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Admin\InnPower\OEB\2016 Filings\2017 COS\Interrogatory Responses\Load Forecast\"/>
    </mc:Choice>
  </mc:AlternateContent>
  <bookViews>
    <workbookView xWindow="732" yWindow="0" windowWidth="15468" windowHeight="8568" tabRatio="914" activeTab="1"/>
  </bookViews>
  <sheets>
    <sheet name="Exhibit 3 Tables" sheetId="38" r:id="rId1"/>
    <sheet name="Summary" sheetId="11" r:id="rId2"/>
    <sheet name="Purchased Power Model " sheetId="19" r:id="rId3"/>
    <sheet name="Purchased Power Model WN" sheetId="39" r:id="rId4"/>
    <sheet name="Rate Class Energy Model" sheetId="9" r:id="rId5"/>
    <sheet name="Rate Class Customer Model" sheetId="17" r:id="rId6"/>
    <sheet name="Rate Class Load Model" sheetId="18" r:id="rId7"/>
    <sheet name="Weather Analysis" sheetId="24" r:id="rId8"/>
    <sheet name="2017 COP Forecast" sheetId="32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Order1" hidden="1">255</definedName>
    <definedName name="_Sort" localSheetId="7" hidden="1">[1]Sheet1!$G$40:$K$40</definedName>
    <definedName name="_Sort" hidden="1">[2]Sheet1!$G$40:$K$40</definedName>
    <definedName name="CAfile">[3]Refs!$B$2</definedName>
    <definedName name="CArevReq">[3]Refs!$B$6</definedName>
    <definedName name="ClassRange1">[3]Refs!$B$3</definedName>
    <definedName name="ClassRange2">[3]Refs!$B$4</definedName>
    <definedName name="FolderPath">[3]Menu!$C$8</definedName>
    <definedName name="NewRevReq">[3]Refs!$B$8</definedName>
    <definedName name="PAGE11" localSheetId="3">#REF!</definedName>
    <definedName name="PAGE11" localSheetId="7">#REF!</definedName>
    <definedName name="PAGE11">#REF!</definedName>
    <definedName name="PAGE2" localSheetId="7">[1]Sheet1!$A$1:$I$40</definedName>
    <definedName name="PAGE2">[2]Sheet1!$A$1:$I$40</definedName>
    <definedName name="PAGE3" localSheetId="3">#REF!</definedName>
    <definedName name="PAGE3" localSheetId="7">#REF!</definedName>
    <definedName name="PAGE3">#REF!</definedName>
    <definedName name="PAGE4" localSheetId="3">#REF!</definedName>
    <definedName name="PAGE4" localSheetId="7">#REF!</definedName>
    <definedName name="PAGE4">#REF!</definedName>
    <definedName name="PAGE7" localSheetId="3">#REF!</definedName>
    <definedName name="PAGE7" localSheetId="7">#REF!</definedName>
    <definedName name="PAGE7">#REF!</definedName>
    <definedName name="PAGE9" localSheetId="3">#REF!</definedName>
    <definedName name="PAGE9" localSheetId="7">#REF!</definedName>
    <definedName name="PAGE9">#REF!</definedName>
    <definedName name="_xlnm.Print_Area" localSheetId="8">'2017 COP Forecast'!$A$1:$F$100</definedName>
    <definedName name="_xlnm.Print_Area" localSheetId="2">'Purchased Power Model '!$A$1:$Q$183</definedName>
    <definedName name="_xlnm.Print_Area" localSheetId="3">'Purchased Power Model WN'!$A$1:$Q$183</definedName>
    <definedName name="_xlnm.Print_Area" localSheetId="5">'Rate Class Customer Model'!$A$1:$L$35</definedName>
    <definedName name="_xlnm.Print_Area" localSheetId="4">'Rate Class Energy Model'!$A$3:$Z$107</definedName>
    <definedName name="_xlnm.Print_Area" localSheetId="6">'Rate Class Load Model'!$A$1:$E$26</definedName>
    <definedName name="_xlnm.Print_Area" localSheetId="1">Summary!$A$1:$L$67</definedName>
    <definedName name="_xlnm.Print_Area" localSheetId="7">'Weather Analysis'!$A$1:$W$41</definedName>
    <definedName name="RevReqLookupKey">[3]Refs!$B$5</definedName>
    <definedName name="RevReqRange">[3]Refs!$B$7</definedName>
  </definedNames>
  <calcPr calcId="162913"/>
</workbook>
</file>

<file path=xl/calcChain.xml><?xml version="1.0" encoding="utf-8"?>
<calcChain xmlns="http://schemas.openxmlformats.org/spreadsheetml/2006/main">
  <c r="H19" i="11" l="1"/>
  <c r="D19" i="11"/>
  <c r="I15" i="11"/>
  <c r="D15" i="11"/>
  <c r="K60" i="11"/>
  <c r="K38" i="11" s="1"/>
  <c r="K59" i="11"/>
  <c r="K19" i="11" s="1"/>
  <c r="J60" i="11"/>
  <c r="J38" i="11" s="1"/>
  <c r="I60" i="11"/>
  <c r="I38" i="11" s="1"/>
  <c r="H60" i="11"/>
  <c r="H38" i="11" s="1"/>
  <c r="G60" i="11"/>
  <c r="G38" i="11" s="1"/>
  <c r="J59" i="11"/>
  <c r="J19" i="11" s="1"/>
  <c r="I59" i="11"/>
  <c r="I19" i="11" s="1"/>
  <c r="C61" i="11"/>
  <c r="B61" i="11"/>
  <c r="K58" i="11"/>
  <c r="K15" i="11" s="1"/>
  <c r="J58" i="11"/>
  <c r="J15" i="11" s="1"/>
  <c r="I58" i="11"/>
  <c r="H59" i="11"/>
  <c r="H58" i="11"/>
  <c r="H15" i="11" s="1"/>
  <c r="G59" i="11"/>
  <c r="G19" i="11" s="1"/>
  <c r="G58" i="11"/>
  <c r="G15" i="11" s="1"/>
  <c r="F60" i="11"/>
  <c r="F38" i="11" s="1"/>
  <c r="F59" i="11"/>
  <c r="F19" i="11" s="1"/>
  <c r="F58" i="11"/>
  <c r="F15" i="11" s="1"/>
  <c r="E60" i="11"/>
  <c r="E38" i="11" s="1"/>
  <c r="E59" i="11"/>
  <c r="E19" i="11" s="1"/>
  <c r="E58" i="11"/>
  <c r="E15" i="11" s="1"/>
  <c r="D60" i="11"/>
  <c r="D59" i="11"/>
  <c r="D58" i="11"/>
  <c r="D38" i="11" l="1"/>
  <c r="F305" i="38"/>
  <c r="F318" i="38" s="1"/>
  <c r="B296" i="38"/>
  <c r="E282" i="38"/>
  <c r="F282" i="38"/>
  <c r="G282" i="38"/>
  <c r="H265" i="38"/>
  <c r="I265" i="38"/>
  <c r="J265" i="38"/>
  <c r="G194" i="38"/>
  <c r="H194" i="38"/>
  <c r="I194" i="38"/>
  <c r="J194" i="38"/>
  <c r="E199" i="38"/>
  <c r="E200" i="38"/>
  <c r="E201" i="38"/>
  <c r="E202" i="38"/>
  <c r="E203" i="38"/>
  <c r="E204" i="38"/>
  <c r="E205" i="38"/>
  <c r="E206" i="38"/>
  <c r="E207" i="38"/>
  <c r="H282" i="38" l="1"/>
  <c r="B122" i="38"/>
  <c r="B123" i="38"/>
  <c r="B124" i="38"/>
  <c r="B125" i="38"/>
  <c r="B126" i="38"/>
  <c r="B127" i="38"/>
  <c r="B128" i="38"/>
  <c r="B129" i="38"/>
  <c r="B130" i="38"/>
  <c r="B121" i="38"/>
  <c r="D95" i="32" l="1"/>
  <c r="F95" i="32" s="1"/>
  <c r="F96" i="32" s="1"/>
  <c r="B93" i="32" s="1"/>
  <c r="F94" i="32"/>
  <c r="D94" i="32"/>
  <c r="C28" i="32"/>
  <c r="C24" i="32"/>
  <c r="C25" i="32" s="1"/>
  <c r="C26" i="32" s="1"/>
  <c r="C27" i="32" s="1"/>
  <c r="C23" i="32"/>
  <c r="U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C41" i="24"/>
  <c r="B41" i="24"/>
  <c r="T39" i="24"/>
  <c r="D110" i="19" s="1"/>
  <c r="S39" i="24"/>
  <c r="D98" i="19" s="1"/>
  <c r="R39" i="24"/>
  <c r="D86" i="19" s="1"/>
  <c r="T38" i="24"/>
  <c r="S38" i="24"/>
  <c r="R38" i="24"/>
  <c r="T37" i="24"/>
  <c r="S37" i="24"/>
  <c r="R37" i="24"/>
  <c r="D84" i="19" s="1"/>
  <c r="T36" i="24"/>
  <c r="S36" i="24"/>
  <c r="D95" i="19" s="1"/>
  <c r="R36" i="24"/>
  <c r="T35" i="24"/>
  <c r="D106" i="19" s="1"/>
  <c r="S35" i="24"/>
  <c r="D94" i="19" s="1"/>
  <c r="R35" i="24"/>
  <c r="D82" i="19" s="1"/>
  <c r="T34" i="24"/>
  <c r="S34" i="24"/>
  <c r="D93" i="19" s="1"/>
  <c r="R34" i="24"/>
  <c r="T33" i="24"/>
  <c r="S33" i="24"/>
  <c r="D92" i="19" s="1"/>
  <c r="R33" i="24"/>
  <c r="V33" i="24" s="1"/>
  <c r="T32" i="24"/>
  <c r="S32" i="24"/>
  <c r="R32" i="24"/>
  <c r="T31" i="24"/>
  <c r="D102" i="19" s="1"/>
  <c r="S31" i="24"/>
  <c r="D90" i="19" s="1"/>
  <c r="R31" i="24"/>
  <c r="T30" i="24"/>
  <c r="S30" i="24"/>
  <c r="D89" i="19" s="1"/>
  <c r="R30" i="24"/>
  <c r="T29" i="24"/>
  <c r="S29" i="24"/>
  <c r="D88" i="19" s="1"/>
  <c r="R29" i="24"/>
  <c r="V29" i="24" s="1"/>
  <c r="T28" i="24"/>
  <c r="S28" i="24"/>
  <c r="R28" i="24"/>
  <c r="U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B21" i="24"/>
  <c r="T19" i="24"/>
  <c r="S19" i="24"/>
  <c r="R19" i="24"/>
  <c r="C86" i="19" s="1"/>
  <c r="T18" i="24"/>
  <c r="C109" i="19" s="1"/>
  <c r="S18" i="24"/>
  <c r="R18" i="24"/>
  <c r="C85" i="19" s="1"/>
  <c r="T17" i="24"/>
  <c r="S17" i="24"/>
  <c r="C96" i="19" s="1"/>
  <c r="R17" i="24"/>
  <c r="T16" i="24"/>
  <c r="C107" i="19" s="1"/>
  <c r="S16" i="24"/>
  <c r="R16" i="24"/>
  <c r="C83" i="19" s="1"/>
  <c r="T15" i="24"/>
  <c r="S15" i="24"/>
  <c r="C94" i="19" s="1"/>
  <c r="R15" i="24"/>
  <c r="C82" i="19" s="1"/>
  <c r="T14" i="24"/>
  <c r="C105" i="19" s="1"/>
  <c r="S14" i="24"/>
  <c r="R14" i="24"/>
  <c r="C81" i="19" s="1"/>
  <c r="T13" i="24"/>
  <c r="S13" i="24"/>
  <c r="C92" i="19" s="1"/>
  <c r="R13" i="24"/>
  <c r="T12" i="24"/>
  <c r="C103" i="19" s="1"/>
  <c r="S12" i="24"/>
  <c r="C91" i="19" s="1"/>
  <c r="R12" i="24"/>
  <c r="C79" i="19" s="1"/>
  <c r="T11" i="24"/>
  <c r="S11" i="24"/>
  <c r="C90" i="19" s="1"/>
  <c r="R11" i="24"/>
  <c r="C78" i="19" s="1"/>
  <c r="T10" i="24"/>
  <c r="C101" i="19" s="1"/>
  <c r="S10" i="24"/>
  <c r="R10" i="24"/>
  <c r="C77" i="19" s="1"/>
  <c r="T9" i="24"/>
  <c r="S9" i="24"/>
  <c r="C88" i="19" s="1"/>
  <c r="R9" i="24"/>
  <c r="T8" i="24"/>
  <c r="C99" i="19" s="1"/>
  <c r="S8" i="24"/>
  <c r="R8" i="24"/>
  <c r="L5" i="24"/>
  <c r="K5" i="24"/>
  <c r="J5" i="24"/>
  <c r="I5" i="24"/>
  <c r="H5" i="24"/>
  <c r="G5" i="24"/>
  <c r="F5" i="24"/>
  <c r="D24" i="18"/>
  <c r="G296" i="38" s="1"/>
  <c r="C24" i="18"/>
  <c r="F296" i="38" s="1"/>
  <c r="B24" i="18"/>
  <c r="E296" i="38" s="1"/>
  <c r="D19" i="18"/>
  <c r="G291" i="38" s="1"/>
  <c r="C19" i="18"/>
  <c r="F291" i="38" s="1"/>
  <c r="D18" i="18"/>
  <c r="G290" i="38" s="1"/>
  <c r="C18" i="18"/>
  <c r="F290" i="38" s="1"/>
  <c r="D17" i="18"/>
  <c r="G289" i="38" s="1"/>
  <c r="C17" i="18"/>
  <c r="F289" i="38" s="1"/>
  <c r="D16" i="18"/>
  <c r="G288" i="38" s="1"/>
  <c r="C16" i="18"/>
  <c r="F288" i="38" s="1"/>
  <c r="D15" i="18"/>
  <c r="G287" i="38" s="1"/>
  <c r="C15" i="18"/>
  <c r="F287" i="38" s="1"/>
  <c r="E11" i="18"/>
  <c r="D10" i="18"/>
  <c r="G281" i="38" s="1"/>
  <c r="C10" i="18"/>
  <c r="C23" i="18" s="1"/>
  <c r="F295" i="38" s="1"/>
  <c r="B10" i="18"/>
  <c r="J24" i="11" s="1"/>
  <c r="I336" i="38" s="1"/>
  <c r="K415" i="38" s="1"/>
  <c r="J426" i="38" s="1"/>
  <c r="D9" i="18"/>
  <c r="D22" i="18" s="1"/>
  <c r="G294" i="38" s="1"/>
  <c r="C9" i="18"/>
  <c r="F280" i="38" s="1"/>
  <c r="B9" i="18"/>
  <c r="B22" i="18" s="1"/>
  <c r="E294" i="38" s="1"/>
  <c r="D8" i="18"/>
  <c r="G279" i="38" s="1"/>
  <c r="C8" i="18"/>
  <c r="C21" i="18" s="1"/>
  <c r="F293" i="38" s="1"/>
  <c r="B8" i="18"/>
  <c r="H24" i="11" s="1"/>
  <c r="F336" i="38" s="1"/>
  <c r="D7" i="18"/>
  <c r="D20" i="18" s="1"/>
  <c r="G292" i="38" s="1"/>
  <c r="C7" i="18"/>
  <c r="F278" i="38" s="1"/>
  <c r="B7" i="18"/>
  <c r="B20" i="18" s="1"/>
  <c r="E292" i="38" s="1"/>
  <c r="B6" i="18"/>
  <c r="F24" i="11" s="1"/>
  <c r="B5" i="18"/>
  <c r="E5" i="18" s="1"/>
  <c r="E48" i="11" s="1"/>
  <c r="B4" i="18"/>
  <c r="D24" i="11" s="1"/>
  <c r="B3" i="18"/>
  <c r="E3" i="18" s="1"/>
  <c r="B2" i="18"/>
  <c r="B24" i="11" s="1"/>
  <c r="G12" i="17"/>
  <c r="M35" i="9" s="1"/>
  <c r="J164" i="38" s="1"/>
  <c r="J184" i="38" s="1"/>
  <c r="F12" i="17"/>
  <c r="L35" i="9" s="1"/>
  <c r="E12" i="17"/>
  <c r="D12" i="17"/>
  <c r="K22" i="11" s="1"/>
  <c r="C12" i="17"/>
  <c r="I35" i="9" s="1"/>
  <c r="B12" i="17"/>
  <c r="K14" i="11" s="1"/>
  <c r="I320" i="38" s="1"/>
  <c r="F413" i="38" s="1"/>
  <c r="E424" i="38" s="1"/>
  <c r="G11" i="17"/>
  <c r="M34" i="9" s="1"/>
  <c r="J163" i="38" s="1"/>
  <c r="J178" i="38" s="1"/>
  <c r="F11" i="17"/>
  <c r="E11" i="17"/>
  <c r="D11" i="17"/>
  <c r="C11" i="17"/>
  <c r="I34" i="9" s="1"/>
  <c r="F163" i="38" s="1"/>
  <c r="B11" i="17"/>
  <c r="H34" i="9" s="1"/>
  <c r="G10" i="17"/>
  <c r="F10" i="17"/>
  <c r="L33" i="9" s="1"/>
  <c r="E10" i="17"/>
  <c r="K33" i="9" s="1"/>
  <c r="D10" i="17"/>
  <c r="I22" i="11" s="1"/>
  <c r="G334" i="38" s="1"/>
  <c r="F392" i="38" s="1"/>
  <c r="E403" i="38" s="1"/>
  <c r="C10" i="17"/>
  <c r="I33" i="9" s="1"/>
  <c r="F162" i="38" s="1"/>
  <c r="B10" i="17"/>
  <c r="H33" i="9" s="1"/>
  <c r="E162" i="38" s="1"/>
  <c r="G9" i="17"/>
  <c r="M32" i="9" s="1"/>
  <c r="F9" i="17"/>
  <c r="H32" i="11" s="1"/>
  <c r="E9" i="17"/>
  <c r="D9" i="17"/>
  <c r="J32" i="9" s="1"/>
  <c r="C9" i="17"/>
  <c r="H18" i="11" s="1"/>
  <c r="B9" i="17"/>
  <c r="H14" i="11" s="1"/>
  <c r="G8" i="17"/>
  <c r="G37" i="11" s="1"/>
  <c r="F8" i="17"/>
  <c r="G32" i="11" s="1"/>
  <c r="I58" i="38" s="1"/>
  <c r="E8" i="17"/>
  <c r="G27" i="11" s="1"/>
  <c r="H58" i="38" s="1"/>
  <c r="D8" i="17"/>
  <c r="G22" i="11" s="1"/>
  <c r="G58" i="38" s="1"/>
  <c r="G126" i="38" s="1"/>
  <c r="C8" i="17"/>
  <c r="B8" i="17"/>
  <c r="G14" i="11" s="1"/>
  <c r="E58" i="38" s="1"/>
  <c r="G7" i="17"/>
  <c r="F37" i="11" s="1"/>
  <c r="J57" i="38" s="1"/>
  <c r="J125" i="38" s="1"/>
  <c r="F7" i="17"/>
  <c r="E7" i="17"/>
  <c r="K30" i="9" s="1"/>
  <c r="D7" i="17"/>
  <c r="C7" i="17"/>
  <c r="I30" i="9" s="1"/>
  <c r="F159" i="38" s="1"/>
  <c r="B7" i="17"/>
  <c r="H30" i="9" s="1"/>
  <c r="G6" i="17"/>
  <c r="F6" i="17"/>
  <c r="L29" i="9" s="1"/>
  <c r="I158" i="38" s="1"/>
  <c r="E6" i="17"/>
  <c r="K29" i="9" s="1"/>
  <c r="H158" i="38" s="1"/>
  <c r="D6" i="17"/>
  <c r="E22" i="11" s="1"/>
  <c r="G56" i="38" s="1"/>
  <c r="G124" i="38" s="1"/>
  <c r="C6" i="17"/>
  <c r="B6" i="17"/>
  <c r="H29" i="9" s="1"/>
  <c r="E158" i="38" s="1"/>
  <c r="G5" i="17"/>
  <c r="M28" i="9" s="1"/>
  <c r="J157" i="38" s="1"/>
  <c r="F5" i="17"/>
  <c r="D32" i="11" s="1"/>
  <c r="I55" i="38" s="1"/>
  <c r="I123" i="38" s="1"/>
  <c r="E5" i="17"/>
  <c r="D5" i="17"/>
  <c r="J28" i="9" s="1"/>
  <c r="G157" i="38" s="1"/>
  <c r="C5" i="17"/>
  <c r="I28" i="9" s="1"/>
  <c r="B5" i="17"/>
  <c r="D14" i="11" s="1"/>
  <c r="E55" i="38" s="1"/>
  <c r="G4" i="17"/>
  <c r="C37" i="11" s="1"/>
  <c r="J54" i="38" s="1"/>
  <c r="J122" i="38" s="1"/>
  <c r="F4" i="17"/>
  <c r="C32" i="11" s="1"/>
  <c r="I54" i="38" s="1"/>
  <c r="E4" i="17"/>
  <c r="C27" i="11" s="1"/>
  <c r="H54" i="38" s="1"/>
  <c r="D4" i="17"/>
  <c r="C22" i="11" s="1"/>
  <c r="G54" i="38" s="1"/>
  <c r="G122" i="38" s="1"/>
  <c r="C4" i="17"/>
  <c r="B4" i="17"/>
  <c r="C14" i="11" s="1"/>
  <c r="E54" i="38" s="1"/>
  <c r="G3" i="17"/>
  <c r="M26" i="9" s="1"/>
  <c r="J155" i="38" s="1"/>
  <c r="F3" i="17"/>
  <c r="E3" i="17"/>
  <c r="B27" i="11" s="1"/>
  <c r="H53" i="38" s="1"/>
  <c r="H121" i="38" s="1"/>
  <c r="D3" i="17"/>
  <c r="C3" i="17"/>
  <c r="I26" i="9" s="1"/>
  <c r="F155" i="38" s="1"/>
  <c r="B3" i="17"/>
  <c r="H26" i="9" s="1"/>
  <c r="E155" i="38" s="1"/>
  <c r="G2" i="17"/>
  <c r="F2" i="17"/>
  <c r="D1" i="18" s="1"/>
  <c r="E2" i="17"/>
  <c r="C1" i="18" s="1"/>
  <c r="D2" i="17"/>
  <c r="B1" i="18" s="1"/>
  <c r="C2" i="17"/>
  <c r="B2" i="17"/>
  <c r="O95" i="9"/>
  <c r="H91" i="9"/>
  <c r="H74" i="9"/>
  <c r="Q219" i="38" s="1"/>
  <c r="Q220" i="38" s="1"/>
  <c r="G73" i="9"/>
  <c r="P218" i="38" s="1"/>
  <c r="P220" i="38" s="1"/>
  <c r="H59" i="9"/>
  <c r="E194" i="38" s="1"/>
  <c r="N35" i="9"/>
  <c r="N36" i="9" s="1"/>
  <c r="N53" i="9" s="1"/>
  <c r="N60" i="9" s="1"/>
  <c r="K35" i="9"/>
  <c r="J35" i="9"/>
  <c r="N34" i="9"/>
  <c r="N47" i="9" s="1"/>
  <c r="N33" i="9"/>
  <c r="N32" i="9"/>
  <c r="N45" i="9" s="1"/>
  <c r="N31" i="9"/>
  <c r="M31" i="9"/>
  <c r="J31" i="9"/>
  <c r="G160" i="38" s="1"/>
  <c r="N30" i="9"/>
  <c r="N29" i="9"/>
  <c r="N28" i="9"/>
  <c r="N27" i="9"/>
  <c r="N26" i="9"/>
  <c r="K26" i="9"/>
  <c r="H155" i="38" s="1"/>
  <c r="A18" i="9"/>
  <c r="A36" i="9" s="1"/>
  <c r="G17" i="9"/>
  <c r="A17" i="9"/>
  <c r="A35" i="9" s="1"/>
  <c r="G16" i="9"/>
  <c r="A16" i="9"/>
  <c r="A34" i="9" s="1"/>
  <c r="G15" i="9"/>
  <c r="A15" i="9"/>
  <c r="A33" i="9" s="1"/>
  <c r="G14" i="9"/>
  <c r="A14" i="9"/>
  <c r="A32" i="9" s="1"/>
  <c r="G13" i="9"/>
  <c r="A13" i="9"/>
  <c r="A31" i="9" s="1"/>
  <c r="G12" i="9"/>
  <c r="F47" i="11" s="1"/>
  <c r="A12" i="9"/>
  <c r="A30" i="9" s="1"/>
  <c r="G11" i="9"/>
  <c r="A11" i="9"/>
  <c r="A29" i="9" s="1"/>
  <c r="G10" i="9"/>
  <c r="A10" i="9"/>
  <c r="A28" i="9" s="1"/>
  <c r="G9" i="9"/>
  <c r="A9" i="9"/>
  <c r="A27" i="9" s="1"/>
  <c r="G8" i="9"/>
  <c r="B47" i="11" s="1"/>
  <c r="A8" i="9"/>
  <c r="A26" i="9" s="1"/>
  <c r="B149" i="39"/>
  <c r="B148" i="39"/>
  <c r="B147" i="39"/>
  <c r="B146" i="39"/>
  <c r="G122" i="39"/>
  <c r="G123" i="39" s="1"/>
  <c r="G121" i="39"/>
  <c r="G120" i="39"/>
  <c r="G119" i="39"/>
  <c r="G118" i="39"/>
  <c r="G117" i="39"/>
  <c r="G116" i="39"/>
  <c r="G115" i="39"/>
  <c r="G114" i="39"/>
  <c r="G113" i="39"/>
  <c r="G112" i="39"/>
  <c r="G111" i="39"/>
  <c r="G110" i="39"/>
  <c r="G109" i="39"/>
  <c r="G108" i="39"/>
  <c r="G107" i="39"/>
  <c r="G106" i="39"/>
  <c r="G105" i="39"/>
  <c r="G104" i="39"/>
  <c r="G103" i="39"/>
  <c r="G102" i="39"/>
  <c r="G101" i="39"/>
  <c r="G100" i="39"/>
  <c r="G99" i="39"/>
  <c r="G98" i="39"/>
  <c r="G97" i="39"/>
  <c r="G96" i="39"/>
  <c r="G95" i="39"/>
  <c r="G94" i="39"/>
  <c r="G93" i="39"/>
  <c r="G92" i="39"/>
  <c r="G91" i="39"/>
  <c r="G90" i="39"/>
  <c r="G89" i="39"/>
  <c r="G88" i="39"/>
  <c r="G87" i="39"/>
  <c r="G86" i="39"/>
  <c r="G85" i="39"/>
  <c r="G84" i="39"/>
  <c r="G83" i="39"/>
  <c r="C83" i="39"/>
  <c r="C95" i="39" s="1"/>
  <c r="C107" i="39" s="1"/>
  <c r="C119" i="39" s="1"/>
  <c r="G82" i="39"/>
  <c r="G81" i="39"/>
  <c r="G80" i="39"/>
  <c r="G79" i="39"/>
  <c r="G78" i="39"/>
  <c r="G77" i="39"/>
  <c r="G76" i="39"/>
  <c r="G75" i="39"/>
  <c r="G74" i="39"/>
  <c r="B74" i="39"/>
  <c r="G73" i="39"/>
  <c r="B73" i="39"/>
  <c r="G72" i="39"/>
  <c r="C72" i="39"/>
  <c r="C84" i="39" s="1"/>
  <c r="C96" i="39" s="1"/>
  <c r="C108" i="39" s="1"/>
  <c r="C120" i="39" s="1"/>
  <c r="B72" i="39"/>
  <c r="G71" i="39"/>
  <c r="C71" i="39"/>
  <c r="B71" i="39"/>
  <c r="G70" i="39"/>
  <c r="B70" i="39"/>
  <c r="G69" i="39"/>
  <c r="B69" i="39"/>
  <c r="G68" i="39"/>
  <c r="C68" i="39"/>
  <c r="C80" i="39" s="1"/>
  <c r="C92" i="39" s="1"/>
  <c r="C104" i="39" s="1"/>
  <c r="C116" i="39" s="1"/>
  <c r="B68" i="39"/>
  <c r="G67" i="39"/>
  <c r="B67" i="39"/>
  <c r="G66" i="39"/>
  <c r="B66" i="39"/>
  <c r="G65" i="39"/>
  <c r="B65" i="39"/>
  <c r="G64" i="39"/>
  <c r="B64" i="39"/>
  <c r="G63" i="39"/>
  <c r="B63" i="39"/>
  <c r="B62" i="39"/>
  <c r="G61" i="39"/>
  <c r="B61" i="39"/>
  <c r="G60" i="39"/>
  <c r="B60" i="39"/>
  <c r="G59" i="39"/>
  <c r="B59" i="39"/>
  <c r="G58" i="39"/>
  <c r="B58" i="39"/>
  <c r="G57" i="39"/>
  <c r="B57" i="39"/>
  <c r="G56" i="39"/>
  <c r="B56" i="39"/>
  <c r="G55" i="39"/>
  <c r="B55" i="39"/>
  <c r="G54" i="39"/>
  <c r="B54" i="39"/>
  <c r="G53" i="39"/>
  <c r="B53" i="39"/>
  <c r="G52" i="39"/>
  <c r="B52" i="39"/>
  <c r="G51" i="39"/>
  <c r="B51" i="39"/>
  <c r="G50" i="39"/>
  <c r="B50" i="39"/>
  <c r="G49" i="39"/>
  <c r="B49" i="39"/>
  <c r="G48" i="39"/>
  <c r="B48" i="39"/>
  <c r="G47" i="39"/>
  <c r="B47" i="39"/>
  <c r="G46" i="39"/>
  <c r="B46" i="39"/>
  <c r="G45" i="39"/>
  <c r="C45" i="39"/>
  <c r="C57" i="39" s="1"/>
  <c r="C69" i="39" s="1"/>
  <c r="C81" i="39" s="1"/>
  <c r="C93" i="39" s="1"/>
  <c r="C105" i="39" s="1"/>
  <c r="C117" i="39" s="1"/>
  <c r="B45" i="39"/>
  <c r="G44" i="39"/>
  <c r="C44" i="39"/>
  <c r="C56" i="39" s="1"/>
  <c r="B44" i="39"/>
  <c r="G43" i="39"/>
  <c r="B43" i="39"/>
  <c r="G42" i="39"/>
  <c r="B42" i="39"/>
  <c r="G41" i="39"/>
  <c r="B41" i="39"/>
  <c r="G40" i="39"/>
  <c r="B40" i="39"/>
  <c r="G39" i="39"/>
  <c r="B39" i="39"/>
  <c r="G38" i="39"/>
  <c r="C38" i="39"/>
  <c r="C50" i="39" s="1"/>
  <c r="C62" i="39" s="1"/>
  <c r="C74" i="39" s="1"/>
  <c r="C86" i="39" s="1"/>
  <c r="C98" i="39" s="1"/>
  <c r="C110" i="39" s="1"/>
  <c r="C122" i="39" s="1"/>
  <c r="B38" i="39"/>
  <c r="G37" i="39"/>
  <c r="D37" i="39"/>
  <c r="D49" i="39" s="1"/>
  <c r="D61" i="39" s="1"/>
  <c r="D73" i="39" s="1"/>
  <c r="D85" i="39" s="1"/>
  <c r="D97" i="39" s="1"/>
  <c r="D109" i="39" s="1"/>
  <c r="D121" i="39" s="1"/>
  <c r="C37" i="39"/>
  <c r="C49" i="39" s="1"/>
  <c r="C61" i="39" s="1"/>
  <c r="C73" i="39" s="1"/>
  <c r="C85" i="39" s="1"/>
  <c r="C97" i="39" s="1"/>
  <c r="C109" i="39" s="1"/>
  <c r="C121" i="39" s="1"/>
  <c r="B37" i="39"/>
  <c r="G36" i="39"/>
  <c r="D36" i="39"/>
  <c r="D48" i="39" s="1"/>
  <c r="D60" i="39" s="1"/>
  <c r="D72" i="39" s="1"/>
  <c r="D84" i="39" s="1"/>
  <c r="D96" i="39" s="1"/>
  <c r="D108" i="39" s="1"/>
  <c r="D120" i="39" s="1"/>
  <c r="C36" i="39"/>
  <c r="C48" i="39" s="1"/>
  <c r="C60" i="39" s="1"/>
  <c r="B36" i="39"/>
  <c r="G35" i="39"/>
  <c r="D35" i="39"/>
  <c r="D47" i="39" s="1"/>
  <c r="D59" i="39" s="1"/>
  <c r="D71" i="39" s="1"/>
  <c r="D83" i="39" s="1"/>
  <c r="D95" i="39" s="1"/>
  <c r="D107" i="39" s="1"/>
  <c r="D119" i="39" s="1"/>
  <c r="C35" i="39"/>
  <c r="C47" i="39" s="1"/>
  <c r="C59" i="39" s="1"/>
  <c r="B35" i="39"/>
  <c r="G34" i="39"/>
  <c r="D34" i="39"/>
  <c r="D46" i="39" s="1"/>
  <c r="D58" i="39" s="1"/>
  <c r="D70" i="39" s="1"/>
  <c r="D82" i="39" s="1"/>
  <c r="D94" i="39" s="1"/>
  <c r="D106" i="39" s="1"/>
  <c r="D118" i="39" s="1"/>
  <c r="C34" i="39"/>
  <c r="C46" i="39" s="1"/>
  <c r="C58" i="39" s="1"/>
  <c r="C70" i="39" s="1"/>
  <c r="C82" i="39" s="1"/>
  <c r="C94" i="39" s="1"/>
  <c r="C106" i="39" s="1"/>
  <c r="C118" i="39" s="1"/>
  <c r="B34" i="39"/>
  <c r="G33" i="39"/>
  <c r="D33" i="39"/>
  <c r="D45" i="39" s="1"/>
  <c r="D57" i="39" s="1"/>
  <c r="D69" i="39" s="1"/>
  <c r="D81" i="39" s="1"/>
  <c r="D93" i="39" s="1"/>
  <c r="D105" i="39" s="1"/>
  <c r="D117" i="39" s="1"/>
  <c r="C33" i="39"/>
  <c r="B33" i="39"/>
  <c r="G32" i="39"/>
  <c r="D32" i="39"/>
  <c r="D44" i="39" s="1"/>
  <c r="D56" i="39" s="1"/>
  <c r="D68" i="39" s="1"/>
  <c r="D80" i="39" s="1"/>
  <c r="D92" i="39" s="1"/>
  <c r="D104" i="39" s="1"/>
  <c r="D116" i="39" s="1"/>
  <c r="C32" i="39"/>
  <c r="B32" i="39"/>
  <c r="G31" i="39"/>
  <c r="D31" i="39"/>
  <c r="D43" i="39" s="1"/>
  <c r="D55" i="39" s="1"/>
  <c r="D67" i="39" s="1"/>
  <c r="D79" i="39" s="1"/>
  <c r="D91" i="39" s="1"/>
  <c r="D103" i="39" s="1"/>
  <c r="D115" i="39" s="1"/>
  <c r="C31" i="39"/>
  <c r="C43" i="39" s="1"/>
  <c r="B31" i="39"/>
  <c r="G30" i="39"/>
  <c r="D30" i="39"/>
  <c r="D42" i="39" s="1"/>
  <c r="D54" i="39" s="1"/>
  <c r="D66" i="39" s="1"/>
  <c r="D78" i="39" s="1"/>
  <c r="D90" i="39" s="1"/>
  <c r="D102" i="39" s="1"/>
  <c r="D114" i="39" s="1"/>
  <c r="C30" i="39"/>
  <c r="C42" i="39" s="1"/>
  <c r="C54" i="39" s="1"/>
  <c r="C66" i="39" s="1"/>
  <c r="C78" i="39" s="1"/>
  <c r="C90" i="39" s="1"/>
  <c r="C102" i="39" s="1"/>
  <c r="C114" i="39" s="1"/>
  <c r="B30" i="39"/>
  <c r="G29" i="39"/>
  <c r="B29" i="39"/>
  <c r="G28" i="39"/>
  <c r="B28" i="39"/>
  <c r="G27" i="39"/>
  <c r="B27" i="39"/>
  <c r="G26" i="39"/>
  <c r="H26" i="39" s="1"/>
  <c r="D26" i="39"/>
  <c r="C26" i="39"/>
  <c r="B26" i="39"/>
  <c r="G25" i="39"/>
  <c r="H25" i="39" s="1"/>
  <c r="D25" i="39"/>
  <c r="D133" i="39" s="1"/>
  <c r="C25" i="39"/>
  <c r="B25" i="39"/>
  <c r="G24" i="39"/>
  <c r="H24" i="39" s="1"/>
  <c r="D24" i="39"/>
  <c r="C24" i="39"/>
  <c r="B24" i="39"/>
  <c r="G23" i="39"/>
  <c r="H23" i="39" s="1"/>
  <c r="D23" i="39"/>
  <c r="D131" i="39" s="1"/>
  <c r="C23" i="39"/>
  <c r="B23" i="39"/>
  <c r="G22" i="39"/>
  <c r="H22" i="39" s="1"/>
  <c r="D22" i="39"/>
  <c r="C22" i="39"/>
  <c r="B22" i="39"/>
  <c r="G21" i="39"/>
  <c r="H21" i="39" s="1"/>
  <c r="D21" i="39"/>
  <c r="D129" i="39" s="1"/>
  <c r="C21" i="39"/>
  <c r="B21" i="39"/>
  <c r="G20" i="39"/>
  <c r="H20" i="39" s="1"/>
  <c r="D20" i="39"/>
  <c r="C20" i="39"/>
  <c r="B20" i="39"/>
  <c r="G19" i="39"/>
  <c r="H19" i="39" s="1"/>
  <c r="D19" i="39"/>
  <c r="D127" i="39" s="1"/>
  <c r="C19" i="39"/>
  <c r="B19" i="39"/>
  <c r="G18" i="39"/>
  <c r="H18" i="39" s="1"/>
  <c r="D18" i="39"/>
  <c r="C18" i="39"/>
  <c r="B18" i="39"/>
  <c r="G17" i="39"/>
  <c r="H17" i="39" s="1"/>
  <c r="D17" i="39"/>
  <c r="C17" i="39"/>
  <c r="B17" i="39"/>
  <c r="G16" i="39"/>
  <c r="H16" i="39" s="1"/>
  <c r="D16" i="39"/>
  <c r="C16" i="39"/>
  <c r="B16" i="39"/>
  <c r="G15" i="39"/>
  <c r="H15" i="39" s="1"/>
  <c r="D15" i="39"/>
  <c r="D27" i="39" s="1"/>
  <c r="D39" i="39" s="1"/>
  <c r="D51" i="39" s="1"/>
  <c r="D63" i="39" s="1"/>
  <c r="D75" i="39" s="1"/>
  <c r="D87" i="39" s="1"/>
  <c r="D99" i="39" s="1"/>
  <c r="D111" i="39" s="1"/>
  <c r="C15" i="39"/>
  <c r="C27" i="39" s="1"/>
  <c r="B15" i="39"/>
  <c r="G14" i="39"/>
  <c r="H14" i="39" s="1"/>
  <c r="B14" i="39"/>
  <c r="G13" i="39"/>
  <c r="H13" i="39" s="1"/>
  <c r="B13" i="39"/>
  <c r="G12" i="39"/>
  <c r="H12" i="39" s="1"/>
  <c r="B12" i="39"/>
  <c r="G11" i="39"/>
  <c r="H11" i="39" s="1"/>
  <c r="B11" i="39"/>
  <c r="G10" i="39"/>
  <c r="H10" i="39" s="1"/>
  <c r="B10" i="39"/>
  <c r="G9" i="39"/>
  <c r="H9" i="39" s="1"/>
  <c r="B9" i="39"/>
  <c r="G8" i="39"/>
  <c r="H8" i="39" s="1"/>
  <c r="B8" i="39"/>
  <c r="G7" i="39"/>
  <c r="H7" i="39" s="1"/>
  <c r="B7" i="39"/>
  <c r="G6" i="39"/>
  <c r="H6" i="39" s="1"/>
  <c r="B6" i="39"/>
  <c r="G5" i="39"/>
  <c r="H5" i="39" s="1"/>
  <c r="B5" i="39"/>
  <c r="G4" i="39"/>
  <c r="H4" i="39" s="1"/>
  <c r="B4" i="39"/>
  <c r="G3" i="39"/>
  <c r="H3" i="39" s="1"/>
  <c r="B3" i="39"/>
  <c r="A1" i="39"/>
  <c r="F170" i="19"/>
  <c r="E170" i="19"/>
  <c r="F169" i="19"/>
  <c r="E169" i="19"/>
  <c r="F168" i="19"/>
  <c r="E168" i="19"/>
  <c r="F167" i="19"/>
  <c r="E167" i="19"/>
  <c r="F166" i="19"/>
  <c r="E166" i="19"/>
  <c r="F165" i="19"/>
  <c r="E165" i="19"/>
  <c r="F164" i="19"/>
  <c r="E164" i="19"/>
  <c r="F163" i="19"/>
  <c r="E163" i="19"/>
  <c r="F162" i="19"/>
  <c r="E162" i="19"/>
  <c r="F161" i="19"/>
  <c r="E161" i="19"/>
  <c r="F160" i="19"/>
  <c r="E160" i="19"/>
  <c r="F159" i="19"/>
  <c r="E159" i="19"/>
  <c r="B149" i="19"/>
  <c r="E110" i="38" s="1"/>
  <c r="J111" i="38" s="1"/>
  <c r="B148" i="19"/>
  <c r="B16" i="9" s="1"/>
  <c r="F16" i="9" s="1"/>
  <c r="B147" i="19"/>
  <c r="B15" i="9" s="1"/>
  <c r="F15" i="9" s="1"/>
  <c r="B146" i="19"/>
  <c r="B14" i="9" s="1"/>
  <c r="F14" i="9" s="1"/>
  <c r="G122" i="19"/>
  <c r="G123" i="19" s="1"/>
  <c r="G159" i="19" s="1"/>
  <c r="G121" i="19"/>
  <c r="H121" i="19" s="1"/>
  <c r="I121" i="19" s="1"/>
  <c r="J121" i="19" s="1"/>
  <c r="G120" i="19"/>
  <c r="H120" i="19" s="1"/>
  <c r="I120" i="19" s="1"/>
  <c r="J120" i="19" s="1"/>
  <c r="G119" i="19"/>
  <c r="H119" i="19" s="1"/>
  <c r="I119" i="19" s="1"/>
  <c r="J119" i="19" s="1"/>
  <c r="G118" i="19"/>
  <c r="H118" i="19" s="1"/>
  <c r="I118" i="19" s="1"/>
  <c r="J118" i="19" s="1"/>
  <c r="G117" i="19"/>
  <c r="H117" i="19" s="1"/>
  <c r="I117" i="19" s="1"/>
  <c r="J117" i="19" s="1"/>
  <c r="G116" i="19"/>
  <c r="H116" i="19" s="1"/>
  <c r="I116" i="19" s="1"/>
  <c r="J116" i="19" s="1"/>
  <c r="G115" i="19"/>
  <c r="H115" i="19" s="1"/>
  <c r="I115" i="19" s="1"/>
  <c r="J115" i="19" s="1"/>
  <c r="G114" i="19"/>
  <c r="H114" i="19" s="1"/>
  <c r="I114" i="19" s="1"/>
  <c r="J114" i="19" s="1"/>
  <c r="G113" i="19"/>
  <c r="H113" i="19" s="1"/>
  <c r="I113" i="19" s="1"/>
  <c r="J113" i="19" s="1"/>
  <c r="G112" i="19"/>
  <c r="H112" i="19" s="1"/>
  <c r="I112" i="19" s="1"/>
  <c r="J112" i="19" s="1"/>
  <c r="G111" i="19"/>
  <c r="H111" i="19" s="1"/>
  <c r="G110" i="19"/>
  <c r="G109" i="19"/>
  <c r="D109" i="19"/>
  <c r="G108" i="19"/>
  <c r="D108" i="19"/>
  <c r="G107" i="19"/>
  <c r="D107" i="19"/>
  <c r="H107" i="19" s="1"/>
  <c r="I107" i="19" s="1"/>
  <c r="J107" i="19" s="1"/>
  <c r="G106" i="19"/>
  <c r="G105" i="19"/>
  <c r="D105" i="19"/>
  <c r="G104" i="19"/>
  <c r="D104" i="19"/>
  <c r="G103" i="19"/>
  <c r="D103" i="19"/>
  <c r="G102" i="19"/>
  <c r="G101" i="19"/>
  <c r="D101" i="19"/>
  <c r="G100" i="19"/>
  <c r="D100" i="19"/>
  <c r="G99" i="19"/>
  <c r="D99" i="19"/>
  <c r="G98" i="19"/>
  <c r="C98" i="19"/>
  <c r="G97" i="19"/>
  <c r="G96" i="19"/>
  <c r="D96" i="19"/>
  <c r="G95" i="19"/>
  <c r="G94" i="19"/>
  <c r="G93" i="19"/>
  <c r="C93" i="19"/>
  <c r="G92" i="19"/>
  <c r="G91" i="19"/>
  <c r="D91" i="19"/>
  <c r="G90" i="19"/>
  <c r="G89" i="19"/>
  <c r="C89" i="19"/>
  <c r="G88" i="19"/>
  <c r="G87" i="19"/>
  <c r="D87" i="19"/>
  <c r="C87" i="19"/>
  <c r="G86" i="19"/>
  <c r="G85" i="19"/>
  <c r="D85" i="19"/>
  <c r="G84" i="19"/>
  <c r="C84" i="19"/>
  <c r="G83" i="19"/>
  <c r="D83" i="19"/>
  <c r="G82" i="19"/>
  <c r="G81" i="19"/>
  <c r="G80" i="19"/>
  <c r="C80" i="19"/>
  <c r="G79" i="19"/>
  <c r="D79" i="19"/>
  <c r="G78" i="19"/>
  <c r="D78" i="19"/>
  <c r="G77" i="19"/>
  <c r="G76" i="19"/>
  <c r="C76" i="19"/>
  <c r="G75" i="19"/>
  <c r="D75" i="19"/>
  <c r="G74" i="19"/>
  <c r="D74" i="19"/>
  <c r="C74" i="19"/>
  <c r="B74" i="19"/>
  <c r="G73" i="19"/>
  <c r="D73" i="19"/>
  <c r="C73" i="19"/>
  <c r="B73" i="19"/>
  <c r="G72" i="19"/>
  <c r="D72" i="19"/>
  <c r="C72" i="19"/>
  <c r="B72" i="19"/>
  <c r="G71" i="19"/>
  <c r="D71" i="19"/>
  <c r="C71" i="19"/>
  <c r="B71" i="19"/>
  <c r="G70" i="19"/>
  <c r="D70" i="19"/>
  <c r="C70" i="19"/>
  <c r="B70" i="19"/>
  <c r="G69" i="19"/>
  <c r="D69" i="19"/>
  <c r="C69" i="19"/>
  <c r="B69" i="19"/>
  <c r="G68" i="19"/>
  <c r="D68" i="19"/>
  <c r="C68" i="19"/>
  <c r="B68" i="19"/>
  <c r="G67" i="19"/>
  <c r="D67" i="19"/>
  <c r="C67" i="19"/>
  <c r="B67" i="19"/>
  <c r="G66" i="19"/>
  <c r="D66" i="19"/>
  <c r="C66" i="19"/>
  <c r="B66" i="19"/>
  <c r="G65" i="19"/>
  <c r="D65" i="19"/>
  <c r="C65" i="19"/>
  <c r="B65" i="19"/>
  <c r="G64" i="19"/>
  <c r="D64" i="19"/>
  <c r="C64" i="19"/>
  <c r="B64" i="19"/>
  <c r="G63" i="19"/>
  <c r="D63" i="19"/>
  <c r="C63" i="19"/>
  <c r="B63" i="19"/>
  <c r="D62" i="19"/>
  <c r="C62" i="19"/>
  <c r="B62" i="19"/>
  <c r="G61" i="19"/>
  <c r="D61" i="19"/>
  <c r="C61" i="19"/>
  <c r="B61" i="19"/>
  <c r="G60" i="19"/>
  <c r="D60" i="19"/>
  <c r="C60" i="19"/>
  <c r="B60" i="19"/>
  <c r="G59" i="19"/>
  <c r="D59" i="19"/>
  <c r="C59" i="19"/>
  <c r="B59" i="19"/>
  <c r="G58" i="19"/>
  <c r="D58" i="19"/>
  <c r="C58" i="19"/>
  <c r="B58" i="19"/>
  <c r="G57" i="19"/>
  <c r="D57" i="19"/>
  <c r="C57" i="19"/>
  <c r="B57" i="19"/>
  <c r="G56" i="19"/>
  <c r="D56" i="19"/>
  <c r="C56" i="19"/>
  <c r="B56" i="19"/>
  <c r="G55" i="19"/>
  <c r="D55" i="19"/>
  <c r="C55" i="19"/>
  <c r="B55" i="19"/>
  <c r="G54" i="19"/>
  <c r="D54" i="19"/>
  <c r="C54" i="19"/>
  <c r="B54" i="19"/>
  <c r="G53" i="19"/>
  <c r="D53" i="19"/>
  <c r="C53" i="19"/>
  <c r="B53" i="19"/>
  <c r="G52" i="19"/>
  <c r="D52" i="19"/>
  <c r="C52" i="19"/>
  <c r="B52" i="19"/>
  <c r="G51" i="19"/>
  <c r="D51" i="19"/>
  <c r="C51" i="19"/>
  <c r="B51" i="19"/>
  <c r="G50" i="19"/>
  <c r="D50" i="19"/>
  <c r="C50" i="19"/>
  <c r="B50" i="19"/>
  <c r="G49" i="19"/>
  <c r="D49" i="19"/>
  <c r="C49" i="19"/>
  <c r="B49" i="19"/>
  <c r="G48" i="19"/>
  <c r="D48" i="19"/>
  <c r="C48" i="19"/>
  <c r="B48" i="19"/>
  <c r="G47" i="19"/>
  <c r="D47" i="19"/>
  <c r="C47" i="19"/>
  <c r="B47" i="19"/>
  <c r="G46" i="19"/>
  <c r="D46" i="19"/>
  <c r="C46" i="19"/>
  <c r="B46" i="19"/>
  <c r="G45" i="19"/>
  <c r="D45" i="19"/>
  <c r="C45" i="19"/>
  <c r="B45" i="19"/>
  <c r="G44" i="19"/>
  <c r="D44" i="19"/>
  <c r="C44" i="19"/>
  <c r="B44" i="19"/>
  <c r="G43" i="19"/>
  <c r="D43" i="19"/>
  <c r="C43" i="19"/>
  <c r="B43" i="19"/>
  <c r="G42" i="19"/>
  <c r="D42" i="19"/>
  <c r="C42" i="19"/>
  <c r="B42" i="19"/>
  <c r="G41" i="19"/>
  <c r="D41" i="19"/>
  <c r="C41" i="19"/>
  <c r="B41" i="19"/>
  <c r="G40" i="19"/>
  <c r="D40" i="19"/>
  <c r="C40" i="19"/>
  <c r="B40" i="19"/>
  <c r="G39" i="19"/>
  <c r="D39" i="19"/>
  <c r="C39" i="19"/>
  <c r="B39" i="19"/>
  <c r="G38" i="19"/>
  <c r="D38" i="19"/>
  <c r="C38" i="19"/>
  <c r="B38" i="19"/>
  <c r="G37" i="19"/>
  <c r="D37" i="19"/>
  <c r="C37" i="19"/>
  <c r="B37" i="19"/>
  <c r="G36" i="19"/>
  <c r="D36" i="19"/>
  <c r="C36" i="19"/>
  <c r="B36" i="19"/>
  <c r="G35" i="19"/>
  <c r="D35" i="19"/>
  <c r="C35" i="19"/>
  <c r="B35" i="19"/>
  <c r="G34" i="19"/>
  <c r="D34" i="19"/>
  <c r="C34" i="19"/>
  <c r="B34" i="19"/>
  <c r="G33" i="19"/>
  <c r="D33" i="19"/>
  <c r="C33" i="19"/>
  <c r="B33" i="19"/>
  <c r="G32" i="19"/>
  <c r="D32" i="19"/>
  <c r="C32" i="19"/>
  <c r="B32" i="19"/>
  <c r="G31" i="19"/>
  <c r="D31" i="19"/>
  <c r="C31" i="19"/>
  <c r="B31" i="19"/>
  <c r="G30" i="19"/>
  <c r="D30" i="19"/>
  <c r="C30" i="19"/>
  <c r="B30" i="19"/>
  <c r="G29" i="19"/>
  <c r="D29" i="19"/>
  <c r="C29" i="19"/>
  <c r="B29" i="19"/>
  <c r="G28" i="19"/>
  <c r="D28" i="19"/>
  <c r="C28" i="19"/>
  <c r="B28" i="19"/>
  <c r="G27" i="19"/>
  <c r="D27" i="19"/>
  <c r="C27" i="19"/>
  <c r="B27" i="19"/>
  <c r="G26" i="19"/>
  <c r="D26" i="19"/>
  <c r="C26" i="19"/>
  <c r="B26" i="19"/>
  <c r="G25" i="19"/>
  <c r="D25" i="19"/>
  <c r="C25" i="19"/>
  <c r="B25" i="19"/>
  <c r="G24" i="19"/>
  <c r="D24" i="19"/>
  <c r="C24" i="19"/>
  <c r="B24" i="19"/>
  <c r="G23" i="19"/>
  <c r="D23" i="19"/>
  <c r="C23" i="19"/>
  <c r="B23" i="19"/>
  <c r="G22" i="19"/>
  <c r="D22" i="19"/>
  <c r="C22" i="19"/>
  <c r="B22" i="19"/>
  <c r="G21" i="19"/>
  <c r="D21" i="19"/>
  <c r="C21" i="19"/>
  <c r="B21" i="19"/>
  <c r="G20" i="19"/>
  <c r="D20" i="19"/>
  <c r="C20" i="19"/>
  <c r="B20" i="19"/>
  <c r="G19" i="19"/>
  <c r="D19" i="19"/>
  <c r="C19" i="19"/>
  <c r="B19" i="19"/>
  <c r="G18" i="19"/>
  <c r="D18" i="19"/>
  <c r="C18" i="19"/>
  <c r="B18" i="19"/>
  <c r="G17" i="19"/>
  <c r="D17" i="19"/>
  <c r="C17" i="19"/>
  <c r="B17" i="19"/>
  <c r="G16" i="19"/>
  <c r="D16" i="19"/>
  <c r="C16" i="19"/>
  <c r="B16" i="19"/>
  <c r="G15" i="19"/>
  <c r="D15" i="19"/>
  <c r="C15" i="19"/>
  <c r="B15" i="19"/>
  <c r="G14" i="19"/>
  <c r="H14" i="19" s="1"/>
  <c r="I14" i="19" s="1"/>
  <c r="J14" i="19" s="1"/>
  <c r="B14" i="19"/>
  <c r="G13" i="19"/>
  <c r="H13" i="19" s="1"/>
  <c r="B13" i="19"/>
  <c r="G12" i="19"/>
  <c r="H12" i="19" s="1"/>
  <c r="B12" i="19"/>
  <c r="G11" i="19"/>
  <c r="H11" i="19" s="1"/>
  <c r="B11" i="19"/>
  <c r="G10" i="19"/>
  <c r="H10" i="19" s="1"/>
  <c r="B10" i="19"/>
  <c r="G9" i="19"/>
  <c r="H9" i="19" s="1"/>
  <c r="B9" i="19"/>
  <c r="G8" i="19"/>
  <c r="H8" i="19" s="1"/>
  <c r="B8" i="19"/>
  <c r="G7" i="19"/>
  <c r="H7" i="19" s="1"/>
  <c r="B7" i="19"/>
  <c r="G6" i="19"/>
  <c r="H6" i="19" s="1"/>
  <c r="B6" i="19"/>
  <c r="G5" i="19"/>
  <c r="H5" i="19" s="1"/>
  <c r="B5" i="19"/>
  <c r="G4" i="19"/>
  <c r="H4" i="19" s="1"/>
  <c r="B4" i="19"/>
  <c r="G3" i="19"/>
  <c r="H3" i="19" s="1"/>
  <c r="B3" i="19"/>
  <c r="A1" i="19"/>
  <c r="K56" i="11"/>
  <c r="J56" i="11"/>
  <c r="I56" i="11"/>
  <c r="H56" i="11"/>
  <c r="G56" i="11"/>
  <c r="F56" i="11"/>
  <c r="E56" i="11"/>
  <c r="D56" i="11"/>
  <c r="C56" i="11"/>
  <c r="C62" i="11" s="1"/>
  <c r="B56" i="11"/>
  <c r="B62" i="11" s="1"/>
  <c r="A55" i="11"/>
  <c r="K48" i="11"/>
  <c r="C48" i="11"/>
  <c r="K47" i="11"/>
  <c r="J47" i="11"/>
  <c r="I47" i="11"/>
  <c r="H47" i="11"/>
  <c r="G47" i="11"/>
  <c r="E47" i="11"/>
  <c r="D47" i="11"/>
  <c r="C47" i="11"/>
  <c r="A36" i="11"/>
  <c r="K34" i="11"/>
  <c r="G34" i="11"/>
  <c r="F34" i="11"/>
  <c r="E34" i="11"/>
  <c r="D34" i="11"/>
  <c r="C34" i="11"/>
  <c r="B34" i="11"/>
  <c r="K33" i="11"/>
  <c r="J33" i="11"/>
  <c r="I33" i="11"/>
  <c r="G353" i="38" s="1"/>
  <c r="I394" i="38" s="1"/>
  <c r="H405" i="38" s="1"/>
  <c r="H33" i="11"/>
  <c r="F353" i="38" s="1"/>
  <c r="G33" i="11"/>
  <c r="F33" i="11"/>
  <c r="E33" i="11"/>
  <c r="I38" i="38" s="1"/>
  <c r="D33" i="11"/>
  <c r="C33" i="11"/>
  <c r="B33" i="11"/>
  <c r="K32" i="11"/>
  <c r="I62" i="38" s="1"/>
  <c r="A31" i="11"/>
  <c r="K29" i="11"/>
  <c r="I345" i="38" s="1"/>
  <c r="H29" i="11"/>
  <c r="F345" i="38" s="1"/>
  <c r="F29" i="11"/>
  <c r="E29" i="11"/>
  <c r="D29" i="11"/>
  <c r="C29" i="11"/>
  <c r="B29" i="11"/>
  <c r="K28" i="11"/>
  <c r="J28" i="11"/>
  <c r="H344" i="38" s="1"/>
  <c r="I404" i="38" s="1"/>
  <c r="I28" i="11"/>
  <c r="H28" i="11"/>
  <c r="F344" i="38" s="1"/>
  <c r="G28" i="11"/>
  <c r="F28" i="11"/>
  <c r="H39" i="38" s="1"/>
  <c r="E28" i="11"/>
  <c r="D28" i="11"/>
  <c r="C28" i="11"/>
  <c r="B28" i="11"/>
  <c r="H35" i="38" s="1"/>
  <c r="K27" i="11"/>
  <c r="I27" i="11"/>
  <c r="H60" i="38" s="1"/>
  <c r="H128" i="38" s="1"/>
  <c r="A26" i="11"/>
  <c r="K24" i="11"/>
  <c r="I24" i="11"/>
  <c r="G336" i="38" s="1"/>
  <c r="K392" i="38" s="1"/>
  <c r="J403" i="38" s="1"/>
  <c r="E24" i="11"/>
  <c r="K23" i="11"/>
  <c r="K42" i="11" s="1"/>
  <c r="J23" i="11"/>
  <c r="J42" i="11" s="1"/>
  <c r="I23" i="11"/>
  <c r="H23" i="11"/>
  <c r="G23" i="11"/>
  <c r="G42" i="11" s="1"/>
  <c r="F23" i="11"/>
  <c r="F42" i="11" s="1"/>
  <c r="E23" i="11"/>
  <c r="D23" i="11"/>
  <c r="D42" i="11" s="1"/>
  <c r="C23" i="11"/>
  <c r="B23" i="11"/>
  <c r="A21" i="11"/>
  <c r="G18" i="11"/>
  <c r="F58" i="38" s="1"/>
  <c r="F126" i="38" s="1"/>
  <c r="C18" i="11"/>
  <c r="F54" i="38" s="1"/>
  <c r="F122" i="38" s="1"/>
  <c r="A17" i="11"/>
  <c r="A13" i="11"/>
  <c r="K10" i="11"/>
  <c r="J10" i="11"/>
  <c r="I10" i="11"/>
  <c r="H10" i="11"/>
  <c r="G10" i="11"/>
  <c r="E10" i="11"/>
  <c r="E19" i="38" s="1"/>
  <c r="D10" i="11"/>
  <c r="C10" i="11"/>
  <c r="E17" i="38" s="1"/>
  <c r="K4" i="11"/>
  <c r="I306" i="38" s="1"/>
  <c r="J4" i="11"/>
  <c r="K423" i="38"/>
  <c r="I423" i="38"/>
  <c r="E423" i="38"/>
  <c r="J423" i="38" s="1"/>
  <c r="K412" i="38"/>
  <c r="I412" i="38"/>
  <c r="E412" i="38"/>
  <c r="H412" i="38" s="1"/>
  <c r="K400" i="38"/>
  <c r="I400" i="38"/>
  <c r="E400" i="38"/>
  <c r="H400" i="38" s="1"/>
  <c r="B395" i="38"/>
  <c r="B406" i="38" s="1"/>
  <c r="B418" i="38" s="1"/>
  <c r="B429" i="38" s="1"/>
  <c r="B394" i="38"/>
  <c r="B405" i="38" s="1"/>
  <c r="B417" i="38" s="1"/>
  <c r="B428" i="38" s="1"/>
  <c r="B393" i="38"/>
  <c r="B404" i="38" s="1"/>
  <c r="B416" i="38" s="1"/>
  <c r="B427" i="38" s="1"/>
  <c r="B392" i="38"/>
  <c r="B403" i="38" s="1"/>
  <c r="B415" i="38" s="1"/>
  <c r="B426" i="38" s="1"/>
  <c r="B391" i="38"/>
  <c r="B402" i="38" s="1"/>
  <c r="B414" i="38" s="1"/>
  <c r="B425" i="38" s="1"/>
  <c r="B390" i="38"/>
  <c r="B401" i="38" s="1"/>
  <c r="B413" i="38" s="1"/>
  <c r="B424" i="38" s="1"/>
  <c r="K389" i="38"/>
  <c r="I389" i="38"/>
  <c r="E389" i="38"/>
  <c r="H389" i="38" s="1"/>
  <c r="J383" i="38"/>
  <c r="J382" i="38"/>
  <c r="J381" i="38"/>
  <c r="K378" i="38"/>
  <c r="J378" i="38"/>
  <c r="I378" i="38"/>
  <c r="H378" i="38"/>
  <c r="B374" i="38"/>
  <c r="B373" i="38"/>
  <c r="B372" i="38"/>
  <c r="E370" i="38"/>
  <c r="B365" i="38"/>
  <c r="B364" i="38"/>
  <c r="E362" i="38"/>
  <c r="E361" i="38"/>
  <c r="B358" i="38"/>
  <c r="B357" i="38"/>
  <c r="B356" i="38"/>
  <c r="I354" i="38"/>
  <c r="K417" i="38" s="1"/>
  <c r="J428" i="38" s="1"/>
  <c r="I353" i="38"/>
  <c r="I417" i="38" s="1"/>
  <c r="H428" i="38" s="1"/>
  <c r="H353" i="38"/>
  <c r="I405" i="38" s="1"/>
  <c r="E353" i="38"/>
  <c r="E352" i="38"/>
  <c r="B349" i="38"/>
  <c r="B348" i="38"/>
  <c r="B347" i="38"/>
  <c r="I344" i="38"/>
  <c r="G344" i="38"/>
  <c r="I393" i="38" s="1"/>
  <c r="H404" i="38" s="1"/>
  <c r="E344" i="38"/>
  <c r="I343" i="38"/>
  <c r="F416" i="38" s="1"/>
  <c r="E427" i="38" s="1"/>
  <c r="E343" i="38"/>
  <c r="B340" i="38"/>
  <c r="B339" i="38"/>
  <c r="B338" i="38"/>
  <c r="I335" i="38"/>
  <c r="G335" i="38"/>
  <c r="I392" i="38" s="1"/>
  <c r="H403" i="38" s="1"/>
  <c r="E335" i="38"/>
  <c r="E334" i="38"/>
  <c r="B331" i="38"/>
  <c r="B330" i="38"/>
  <c r="E327" i="38"/>
  <c r="B324" i="38"/>
  <c r="B323" i="38"/>
  <c r="E320" i="38"/>
  <c r="E318" i="38"/>
  <c r="H306" i="38"/>
  <c r="J305" i="38"/>
  <c r="J318" i="38" s="1"/>
  <c r="I305" i="38"/>
  <c r="I318" i="38" s="1"/>
  <c r="H305" i="38"/>
  <c r="H318" i="38" s="1"/>
  <c r="G305" i="38"/>
  <c r="G318" i="38" s="1"/>
  <c r="B295" i="38"/>
  <c r="B294" i="38"/>
  <c r="B293" i="38"/>
  <c r="B292" i="38"/>
  <c r="B291" i="38"/>
  <c r="B290" i="38"/>
  <c r="B289" i="38"/>
  <c r="B288" i="38"/>
  <c r="B287" i="38"/>
  <c r="E280" i="38"/>
  <c r="F279" i="38"/>
  <c r="G277" i="38"/>
  <c r="F277" i="38"/>
  <c r="E277" i="38"/>
  <c r="G276" i="38"/>
  <c r="F276" i="38"/>
  <c r="G275" i="38"/>
  <c r="F275" i="38"/>
  <c r="G274" i="38"/>
  <c r="F274" i="38"/>
  <c r="G273" i="38"/>
  <c r="F273" i="38"/>
  <c r="E273" i="38"/>
  <c r="B259" i="38"/>
  <c r="Q224" i="38"/>
  <c r="P224" i="38"/>
  <c r="O220" i="38"/>
  <c r="O230" i="38" s="1"/>
  <c r="O237" i="38" s="1"/>
  <c r="O244" i="38" s="1"/>
  <c r="O219" i="38"/>
  <c r="O229" i="38" s="1"/>
  <c r="O236" i="38" s="1"/>
  <c r="O243" i="38" s="1"/>
  <c r="O218" i="38"/>
  <c r="O228" i="38" s="1"/>
  <c r="O235" i="38" s="1"/>
  <c r="O242" i="38" s="1"/>
  <c r="E198" i="38"/>
  <c r="B184" i="38"/>
  <c r="B261" i="38" s="1"/>
  <c r="B179" i="38"/>
  <c r="I162" i="38"/>
  <c r="B144" i="38"/>
  <c r="B143" i="38"/>
  <c r="B142" i="38"/>
  <c r="B141" i="38"/>
  <c r="B140" i="38"/>
  <c r="B139" i="38"/>
  <c r="B138" i="38"/>
  <c r="B137" i="38"/>
  <c r="B136" i="38"/>
  <c r="B135" i="38"/>
  <c r="E109" i="38"/>
  <c r="J110" i="38" s="1"/>
  <c r="E96" i="38"/>
  <c r="E95" i="38"/>
  <c r="B95" i="38"/>
  <c r="E94" i="38"/>
  <c r="B94" i="38"/>
  <c r="E93" i="38"/>
  <c r="B93" i="38"/>
  <c r="E92" i="38"/>
  <c r="B92" i="38"/>
  <c r="E91" i="38"/>
  <c r="B91" i="38"/>
  <c r="E88" i="38"/>
  <c r="E87" i="38"/>
  <c r="E86" i="38"/>
  <c r="J69" i="38"/>
  <c r="I69" i="38"/>
  <c r="H69" i="38"/>
  <c r="G69" i="38"/>
  <c r="J66" i="38"/>
  <c r="J119" i="38" s="1"/>
  <c r="J133" i="38" s="1"/>
  <c r="J148" i="38" s="1"/>
  <c r="J153" i="38" s="1"/>
  <c r="J167" i="38" s="1"/>
  <c r="J182" i="38" s="1"/>
  <c r="J187" i="38" s="1"/>
  <c r="J192" i="38" s="1"/>
  <c r="I66" i="38"/>
  <c r="I119" i="38" s="1"/>
  <c r="I133" i="38" s="1"/>
  <c r="I148" i="38" s="1"/>
  <c r="I153" i="38" s="1"/>
  <c r="I167" i="38" s="1"/>
  <c r="I182" i="38" s="1"/>
  <c r="I187" i="38" s="1"/>
  <c r="I192" i="38" s="1"/>
  <c r="H66" i="38"/>
  <c r="H119" i="38" s="1"/>
  <c r="H133" i="38" s="1"/>
  <c r="H148" i="38" s="1"/>
  <c r="H153" i="38" s="1"/>
  <c r="H167" i="38" s="1"/>
  <c r="H182" i="38" s="1"/>
  <c r="H187" i="38" s="1"/>
  <c r="H192" i="38" s="1"/>
  <c r="G66" i="38"/>
  <c r="F66" i="38"/>
  <c r="F119" i="38" s="1"/>
  <c r="F133" i="38" s="1"/>
  <c r="F148" i="38" s="1"/>
  <c r="F153" i="38" s="1"/>
  <c r="F167" i="38" s="1"/>
  <c r="F182" i="38" s="1"/>
  <c r="F187" i="38" s="1"/>
  <c r="F192" i="38" s="1"/>
  <c r="E66" i="38"/>
  <c r="H62" i="38"/>
  <c r="H130" i="38" s="1"/>
  <c r="K51" i="38"/>
  <c r="H14" i="38" s="1"/>
  <c r="B45" i="38"/>
  <c r="I44" i="38"/>
  <c r="H44" i="38"/>
  <c r="G44" i="38"/>
  <c r="B44" i="38"/>
  <c r="B80" i="38" s="1"/>
  <c r="I43" i="38"/>
  <c r="G43" i="38"/>
  <c r="B43" i="38"/>
  <c r="B79" i="38" s="1"/>
  <c r="H42" i="38"/>
  <c r="G42" i="38"/>
  <c r="B42" i="38"/>
  <c r="I41" i="38"/>
  <c r="H41" i="38"/>
  <c r="G41" i="38"/>
  <c r="B41" i="38"/>
  <c r="B77" i="38" s="1"/>
  <c r="I40" i="38"/>
  <c r="H40" i="38"/>
  <c r="G40" i="38"/>
  <c r="B40" i="38"/>
  <c r="B76" i="38" s="1"/>
  <c r="I39" i="38"/>
  <c r="G39" i="38"/>
  <c r="B39" i="38"/>
  <c r="B75" i="38" s="1"/>
  <c r="H38" i="38"/>
  <c r="G38" i="38"/>
  <c r="B38" i="38"/>
  <c r="I37" i="38"/>
  <c r="H37" i="38"/>
  <c r="G37" i="38"/>
  <c r="B37" i="38"/>
  <c r="B55" i="38" s="1"/>
  <c r="I36" i="38"/>
  <c r="H36" i="38"/>
  <c r="G36" i="38"/>
  <c r="B36" i="38"/>
  <c r="B54" i="38" s="1"/>
  <c r="I35" i="38"/>
  <c r="G35" i="38"/>
  <c r="B35" i="38"/>
  <c r="B71" i="38" s="1"/>
  <c r="F33" i="38"/>
  <c r="F69" i="38" s="1"/>
  <c r="E33" i="38"/>
  <c r="E69" i="38" s="1"/>
  <c r="B33" i="38"/>
  <c r="B51" i="38" s="1"/>
  <c r="E25" i="38"/>
  <c r="E24" i="38"/>
  <c r="E23" i="38"/>
  <c r="E22" i="38"/>
  <c r="E21" i="38"/>
  <c r="E18" i="38"/>
  <c r="G7" i="38"/>
  <c r="F7" i="38"/>
  <c r="A5" i="38"/>
  <c r="I352" i="38" l="1"/>
  <c r="I14" i="11"/>
  <c r="G320" i="38" s="1"/>
  <c r="F390" i="38" s="1"/>
  <c r="E401" i="38" s="1"/>
  <c r="E32" i="11"/>
  <c r="I56" i="38" s="1"/>
  <c r="H35" i="9"/>
  <c r="E164" i="38" s="1"/>
  <c r="E184" i="38" s="1"/>
  <c r="I32" i="11"/>
  <c r="G352" i="38" s="1"/>
  <c r="F394" i="38" s="1"/>
  <c r="E405" i="38" s="1"/>
  <c r="C55" i="39"/>
  <c r="C67" i="39" s="1"/>
  <c r="C79" i="39" s="1"/>
  <c r="C91" i="39" s="1"/>
  <c r="C103" i="39" s="1"/>
  <c r="C115" i="39" s="1"/>
  <c r="C127" i="39"/>
  <c r="C39" i="39"/>
  <c r="C51" i="39" s="1"/>
  <c r="C63" i="39" s="1"/>
  <c r="C75" i="39" s="1"/>
  <c r="C87" i="39" s="1"/>
  <c r="C99" i="39" s="1"/>
  <c r="C111" i="39" s="1"/>
  <c r="C129" i="39"/>
  <c r="C133" i="39"/>
  <c r="I334" i="38"/>
  <c r="F415" i="38" s="1"/>
  <c r="E426" i="38" s="1"/>
  <c r="G62" i="38"/>
  <c r="G130" i="38" s="1"/>
  <c r="J416" i="38"/>
  <c r="K416" i="38"/>
  <c r="J427" i="38" s="1"/>
  <c r="F417" i="38"/>
  <c r="E428" i="38" s="1"/>
  <c r="H46" i="39"/>
  <c r="H56" i="39"/>
  <c r="H84" i="39"/>
  <c r="H88" i="39"/>
  <c r="H96" i="39"/>
  <c r="H104" i="39"/>
  <c r="H108" i="39"/>
  <c r="H120" i="39"/>
  <c r="E59" i="38"/>
  <c r="F320" i="38"/>
  <c r="I59" i="38"/>
  <c r="I127" i="38" s="1"/>
  <c r="F352" i="38"/>
  <c r="H43" i="38"/>
  <c r="E62" i="38"/>
  <c r="H336" i="38"/>
  <c r="H30" i="39"/>
  <c r="H31" i="39"/>
  <c r="H32" i="39"/>
  <c r="H33" i="39"/>
  <c r="H34" i="39"/>
  <c r="H35" i="39"/>
  <c r="H36" i="39"/>
  <c r="H37" i="39"/>
  <c r="H81" i="39"/>
  <c r="H85" i="39"/>
  <c r="H93" i="39"/>
  <c r="H97" i="39"/>
  <c r="H105" i="39"/>
  <c r="H109" i="39"/>
  <c r="H117" i="39"/>
  <c r="H121" i="39"/>
  <c r="D123" i="39"/>
  <c r="K36" i="9"/>
  <c r="H164" i="38"/>
  <c r="H184" i="38" s="1"/>
  <c r="I59" i="9"/>
  <c r="F194" i="38" s="1"/>
  <c r="F59" i="38"/>
  <c r="F127" i="38" s="1"/>
  <c r="F327" i="38"/>
  <c r="H27" i="39"/>
  <c r="H58" i="39"/>
  <c r="H80" i="39"/>
  <c r="C131" i="39"/>
  <c r="D43" i="11"/>
  <c r="I42" i="38"/>
  <c r="H416" i="38"/>
  <c r="I416" i="38"/>
  <c r="H427" i="38" s="1"/>
  <c r="F14" i="11"/>
  <c r="E57" i="38" s="1"/>
  <c r="F335" i="38"/>
  <c r="H42" i="11"/>
  <c r="E43" i="11"/>
  <c r="E53" i="11" s="1"/>
  <c r="F348" i="38"/>
  <c r="I382" i="38"/>
  <c r="H393" i="38" s="1"/>
  <c r="C126" i="39"/>
  <c r="C128" i="39"/>
  <c r="C130" i="39"/>
  <c r="C132" i="39"/>
  <c r="C134" i="39"/>
  <c r="C28" i="39"/>
  <c r="C40" i="39" s="1"/>
  <c r="C52" i="39" s="1"/>
  <c r="C64" i="39" s="1"/>
  <c r="C76" i="39" s="1"/>
  <c r="C88" i="39" s="1"/>
  <c r="C100" i="39" s="1"/>
  <c r="C112" i="39" s="1"/>
  <c r="H112" i="39" s="1"/>
  <c r="C29" i="39"/>
  <c r="H45" i="39"/>
  <c r="H47" i="39"/>
  <c r="H49" i="39"/>
  <c r="H55" i="39"/>
  <c r="H57" i="39"/>
  <c r="H59" i="39"/>
  <c r="H61" i="39"/>
  <c r="I415" i="38"/>
  <c r="H426" i="38" s="1"/>
  <c r="K43" i="11"/>
  <c r="K53" i="11" s="1"/>
  <c r="H48" i="39"/>
  <c r="H54" i="39"/>
  <c r="H60" i="39"/>
  <c r="H92" i="39"/>
  <c r="H116" i="39"/>
  <c r="J36" i="9"/>
  <c r="G164" i="38"/>
  <c r="G184" i="38" s="1"/>
  <c r="H335" i="38"/>
  <c r="I403" i="38" s="1"/>
  <c r="H415" i="38" s="1"/>
  <c r="E42" i="11"/>
  <c r="I42" i="11"/>
  <c r="K382" i="38"/>
  <c r="J393" i="38" s="1"/>
  <c r="F349" i="38"/>
  <c r="F357" i="38"/>
  <c r="I383" i="38"/>
  <c r="H394" i="38" s="1"/>
  <c r="D124" i="39"/>
  <c r="D126" i="39"/>
  <c r="D128" i="39"/>
  <c r="D130" i="39"/>
  <c r="D132" i="39"/>
  <c r="D134" i="39"/>
  <c r="D38" i="39"/>
  <c r="D50" i="39" s="1"/>
  <c r="D62" i="39" s="1"/>
  <c r="D74" i="39" s="1"/>
  <c r="D86" i="39" s="1"/>
  <c r="D98" i="39" s="1"/>
  <c r="D110" i="39" s="1"/>
  <c r="D122" i="39" s="1"/>
  <c r="D28" i="39"/>
  <c r="D40" i="39" s="1"/>
  <c r="D52" i="39" s="1"/>
  <c r="D64" i="39" s="1"/>
  <c r="D76" i="39" s="1"/>
  <c r="D88" i="39" s="1"/>
  <c r="D100" i="39" s="1"/>
  <c r="D112" i="39" s="1"/>
  <c r="D29" i="39"/>
  <c r="D41" i="39" s="1"/>
  <c r="D53" i="39" s="1"/>
  <c r="D65" i="39" s="1"/>
  <c r="D77" i="39" s="1"/>
  <c r="D89" i="39" s="1"/>
  <c r="D101" i="39" s="1"/>
  <c r="D113" i="39" s="1"/>
  <c r="W38" i="24"/>
  <c r="D169" i="19" s="1"/>
  <c r="H79" i="39"/>
  <c r="H83" i="39"/>
  <c r="H87" i="39"/>
  <c r="H91" i="39"/>
  <c r="H95" i="39"/>
  <c r="H103" i="39"/>
  <c r="H107" i="39"/>
  <c r="H111" i="39"/>
  <c r="H115" i="39"/>
  <c r="H119" i="39"/>
  <c r="N39" i="9"/>
  <c r="N42" i="9"/>
  <c r="L36" i="9"/>
  <c r="I164" i="38"/>
  <c r="I184" i="38" s="1"/>
  <c r="J12" i="17"/>
  <c r="H40" i="39"/>
  <c r="H42" i="39"/>
  <c r="H43" i="39"/>
  <c r="H44" i="39"/>
  <c r="H64" i="39"/>
  <c r="H66" i="39"/>
  <c r="H67" i="39"/>
  <c r="H68" i="39"/>
  <c r="H69" i="39"/>
  <c r="H70" i="39"/>
  <c r="H71" i="39"/>
  <c r="H72" i="39"/>
  <c r="H73" i="39"/>
  <c r="H74" i="39"/>
  <c r="H78" i="39"/>
  <c r="H82" i="39"/>
  <c r="H86" i="39"/>
  <c r="H90" i="39"/>
  <c r="H94" i="39"/>
  <c r="H98" i="39"/>
  <c r="H102" i="39"/>
  <c r="H106" i="39"/>
  <c r="H110" i="39"/>
  <c r="H114" i="39"/>
  <c r="H118" i="39"/>
  <c r="E25" i="17"/>
  <c r="I36" i="9"/>
  <c r="F164" i="38"/>
  <c r="F184" i="38" s="1"/>
  <c r="B43" i="11"/>
  <c r="F43" i="11"/>
  <c r="K381" i="38"/>
  <c r="J392" i="38" s="1"/>
  <c r="F340" i="38"/>
  <c r="N40" i="9"/>
  <c r="N46" i="9"/>
  <c r="N44" i="9"/>
  <c r="N43" i="9"/>
  <c r="F10" i="11"/>
  <c r="E20" i="38" s="1"/>
  <c r="N41" i="9"/>
  <c r="F37" i="38"/>
  <c r="B10" i="11"/>
  <c r="E16" i="38" s="1"/>
  <c r="F17" i="38" s="1"/>
  <c r="G17" i="38" s="1"/>
  <c r="H4" i="11"/>
  <c r="F306" i="38" s="1"/>
  <c r="I4" i="11"/>
  <c r="G306" i="38" s="1"/>
  <c r="E107" i="38"/>
  <c r="J108" i="38" s="1"/>
  <c r="H15" i="19"/>
  <c r="I15" i="19" s="1"/>
  <c r="J15" i="19" s="1"/>
  <c r="H16" i="19"/>
  <c r="I16" i="19" s="1"/>
  <c r="J16" i="19" s="1"/>
  <c r="H17" i="19"/>
  <c r="I17" i="19" s="1"/>
  <c r="J17" i="19" s="1"/>
  <c r="H18" i="19"/>
  <c r="I18" i="19" s="1"/>
  <c r="J18" i="19" s="1"/>
  <c r="H19" i="19"/>
  <c r="I19" i="19" s="1"/>
  <c r="J19" i="19" s="1"/>
  <c r="H20" i="19"/>
  <c r="I20" i="19" s="1"/>
  <c r="J20" i="19" s="1"/>
  <c r="H21" i="19"/>
  <c r="I21" i="19" s="1"/>
  <c r="J21" i="19" s="1"/>
  <c r="H22" i="19"/>
  <c r="I22" i="19" s="1"/>
  <c r="J22" i="19" s="1"/>
  <c r="H23" i="19"/>
  <c r="I23" i="19" s="1"/>
  <c r="J23" i="19" s="1"/>
  <c r="H24" i="19"/>
  <c r="I24" i="19" s="1"/>
  <c r="J24" i="19" s="1"/>
  <c r="H25" i="19"/>
  <c r="I25" i="19" s="1"/>
  <c r="J25" i="19" s="1"/>
  <c r="H26" i="19"/>
  <c r="I26" i="19" s="1"/>
  <c r="J26" i="19" s="1"/>
  <c r="H27" i="19"/>
  <c r="I27" i="19" s="1"/>
  <c r="J27" i="19" s="1"/>
  <c r="H28" i="19"/>
  <c r="I28" i="19" s="1"/>
  <c r="J28" i="19" s="1"/>
  <c r="H29" i="19"/>
  <c r="I29" i="19" s="1"/>
  <c r="J29" i="19" s="1"/>
  <c r="H30" i="19"/>
  <c r="H31" i="19"/>
  <c r="I31" i="19" s="1"/>
  <c r="J31" i="19" s="1"/>
  <c r="H32" i="19"/>
  <c r="I32" i="19" s="1"/>
  <c r="J32" i="19" s="1"/>
  <c r="H33" i="19"/>
  <c r="I33" i="19" s="1"/>
  <c r="J33" i="19" s="1"/>
  <c r="H34" i="19"/>
  <c r="I34" i="19" s="1"/>
  <c r="J34" i="19" s="1"/>
  <c r="H35" i="19"/>
  <c r="I35" i="19" s="1"/>
  <c r="J35" i="19" s="1"/>
  <c r="H36" i="19"/>
  <c r="I36" i="19" s="1"/>
  <c r="J36" i="19" s="1"/>
  <c r="H37" i="19"/>
  <c r="I37" i="19" s="1"/>
  <c r="J37" i="19" s="1"/>
  <c r="H38" i="19"/>
  <c r="I38" i="19" s="1"/>
  <c r="J38" i="19" s="1"/>
  <c r="H39" i="19"/>
  <c r="I39" i="19" s="1"/>
  <c r="J39" i="19" s="1"/>
  <c r="E108" i="38"/>
  <c r="J109" i="38" s="1"/>
  <c r="B17" i="9"/>
  <c r="F17" i="9" s="1"/>
  <c r="H63" i="19"/>
  <c r="I63" i="19" s="1"/>
  <c r="J63" i="19" s="1"/>
  <c r="H64" i="19"/>
  <c r="I64" i="19" s="1"/>
  <c r="J64" i="19" s="1"/>
  <c r="H65" i="19"/>
  <c r="I65" i="19" s="1"/>
  <c r="J65" i="19" s="1"/>
  <c r="H66" i="19"/>
  <c r="I66" i="19" s="1"/>
  <c r="J66" i="19" s="1"/>
  <c r="H67" i="19"/>
  <c r="I67" i="19" s="1"/>
  <c r="J67" i="19" s="1"/>
  <c r="H68" i="19"/>
  <c r="I68" i="19" s="1"/>
  <c r="J68" i="19" s="1"/>
  <c r="H69" i="19"/>
  <c r="I69" i="19" s="1"/>
  <c r="J69" i="19" s="1"/>
  <c r="H70" i="19"/>
  <c r="I70" i="19" s="1"/>
  <c r="J70" i="19" s="1"/>
  <c r="H71" i="19"/>
  <c r="H72" i="19"/>
  <c r="H73" i="19"/>
  <c r="I73" i="19" s="1"/>
  <c r="J73" i="19" s="1"/>
  <c r="H74" i="19"/>
  <c r="I74" i="19" s="1"/>
  <c r="J74" i="19" s="1"/>
  <c r="H99" i="19"/>
  <c r="I99" i="19" s="1"/>
  <c r="J99" i="19" s="1"/>
  <c r="H40" i="19"/>
  <c r="I40" i="19" s="1"/>
  <c r="J40" i="19" s="1"/>
  <c r="H42" i="19"/>
  <c r="I42" i="19" s="1"/>
  <c r="J42" i="19" s="1"/>
  <c r="H43" i="19"/>
  <c r="I43" i="19" s="1"/>
  <c r="J43" i="19" s="1"/>
  <c r="H45" i="19"/>
  <c r="I45" i="19" s="1"/>
  <c r="J45" i="19" s="1"/>
  <c r="H47" i="19"/>
  <c r="I47" i="19" s="1"/>
  <c r="J47" i="19" s="1"/>
  <c r="H49" i="19"/>
  <c r="I49" i="19" s="1"/>
  <c r="J49" i="19" s="1"/>
  <c r="H51" i="19"/>
  <c r="I51" i="19" s="1"/>
  <c r="J51" i="19" s="1"/>
  <c r="H54" i="19"/>
  <c r="I54" i="19" s="1"/>
  <c r="J54" i="19" s="1"/>
  <c r="H55" i="19"/>
  <c r="I55" i="19" s="1"/>
  <c r="J55" i="19" s="1"/>
  <c r="H57" i="19"/>
  <c r="I57" i="19" s="1"/>
  <c r="J57" i="19" s="1"/>
  <c r="H59" i="19"/>
  <c r="I59" i="19" s="1"/>
  <c r="J59" i="19" s="1"/>
  <c r="I111" i="19"/>
  <c r="J111" i="19" s="1"/>
  <c r="H122" i="19"/>
  <c r="I122" i="19" s="1"/>
  <c r="J122" i="19" s="1"/>
  <c r="H41" i="19"/>
  <c r="I41" i="19" s="1"/>
  <c r="J41" i="19" s="1"/>
  <c r="H44" i="19"/>
  <c r="I44" i="19" s="1"/>
  <c r="J44" i="19" s="1"/>
  <c r="H46" i="19"/>
  <c r="I46" i="19" s="1"/>
  <c r="J46" i="19" s="1"/>
  <c r="H48" i="19"/>
  <c r="I48" i="19" s="1"/>
  <c r="J48" i="19" s="1"/>
  <c r="H50" i="19"/>
  <c r="I50" i="19" s="1"/>
  <c r="J50" i="19" s="1"/>
  <c r="H52" i="19"/>
  <c r="I52" i="19" s="1"/>
  <c r="J52" i="19" s="1"/>
  <c r="H53" i="19"/>
  <c r="I53" i="19" s="1"/>
  <c r="J53" i="19" s="1"/>
  <c r="H56" i="19"/>
  <c r="I56" i="19" s="1"/>
  <c r="J56" i="19" s="1"/>
  <c r="H58" i="19"/>
  <c r="I58" i="19" s="1"/>
  <c r="J58" i="19" s="1"/>
  <c r="H60" i="19"/>
  <c r="I60" i="19" s="1"/>
  <c r="J60" i="19" s="1"/>
  <c r="E379" i="38"/>
  <c r="E382" i="38"/>
  <c r="E383" i="38"/>
  <c r="E380" i="38"/>
  <c r="H381" i="38"/>
  <c r="H384" i="38"/>
  <c r="E384" i="38"/>
  <c r="H382" i="38"/>
  <c r="H383" i="38"/>
  <c r="P221" i="38"/>
  <c r="E27" i="11"/>
  <c r="H56" i="38" s="1"/>
  <c r="H124" i="38" s="1"/>
  <c r="I4" i="19"/>
  <c r="J4" i="19" s="1"/>
  <c r="I6" i="19"/>
  <c r="J6" i="19" s="1"/>
  <c r="I8" i="19"/>
  <c r="J8" i="19" s="1"/>
  <c r="I10" i="19"/>
  <c r="J10" i="19" s="1"/>
  <c r="I12" i="19"/>
  <c r="J12" i="19" s="1"/>
  <c r="I71" i="19"/>
  <c r="J71" i="19" s="1"/>
  <c r="I72" i="19"/>
  <c r="J72" i="19" s="1"/>
  <c r="D37" i="11"/>
  <c r="J55" i="38" s="1"/>
  <c r="J123" i="38" s="1"/>
  <c r="J137" i="38" s="1"/>
  <c r="I3" i="19"/>
  <c r="J3" i="19" s="1"/>
  <c r="I5" i="19"/>
  <c r="J5" i="19" s="1"/>
  <c r="I7" i="19"/>
  <c r="J7" i="19" s="1"/>
  <c r="I9" i="19"/>
  <c r="J9" i="19" s="1"/>
  <c r="I11" i="19"/>
  <c r="J11" i="19" s="1"/>
  <c r="I30" i="19"/>
  <c r="J30" i="19" s="1"/>
  <c r="D97" i="19"/>
  <c r="D133" i="19" s="1"/>
  <c r="H37" i="11"/>
  <c r="I13" i="19"/>
  <c r="J13" i="19" s="1"/>
  <c r="B157" i="38"/>
  <c r="B171" i="38" s="1"/>
  <c r="B162" i="38"/>
  <c r="B176" i="38" s="1"/>
  <c r="B156" i="38"/>
  <c r="B170" i="38" s="1"/>
  <c r="B160" i="38"/>
  <c r="B174" i="38" s="1"/>
  <c r="B164" i="38"/>
  <c r="B178" i="38" s="1"/>
  <c r="B161" i="38"/>
  <c r="B175" i="38" s="1"/>
  <c r="B158" i="38"/>
  <c r="B172" i="38" s="1"/>
  <c r="B155" i="38"/>
  <c r="B169" i="38" s="1"/>
  <c r="B159" i="38"/>
  <c r="B173" i="38" s="1"/>
  <c r="B163" i="38"/>
  <c r="B177" i="38" s="1"/>
  <c r="M30" i="9"/>
  <c r="J159" i="38" s="1"/>
  <c r="C18" i="17"/>
  <c r="E19" i="17"/>
  <c r="C19" i="17"/>
  <c r="G20" i="17"/>
  <c r="C22" i="17"/>
  <c r="E23" i="17"/>
  <c r="G24" i="17"/>
  <c r="V31" i="24"/>
  <c r="I18" i="11"/>
  <c r="G327" i="38" s="1"/>
  <c r="F391" i="38" s="1"/>
  <c r="E402" i="38" s="1"/>
  <c r="B37" i="11"/>
  <c r="J53" i="38" s="1"/>
  <c r="J121" i="38" s="1"/>
  <c r="J136" i="38" s="1"/>
  <c r="J37" i="11"/>
  <c r="J61" i="38" s="1"/>
  <c r="J129" i="38" s="1"/>
  <c r="I27" i="9"/>
  <c r="F156" i="38" s="1"/>
  <c r="F170" i="38" s="1"/>
  <c r="H42" i="9"/>
  <c r="T41" i="24"/>
  <c r="W30" i="24"/>
  <c r="D161" i="19" s="1"/>
  <c r="W34" i="24"/>
  <c r="D165" i="19" s="1"/>
  <c r="E275" i="38"/>
  <c r="H275" i="38" s="1"/>
  <c r="E281" i="38"/>
  <c r="E18" i="11"/>
  <c r="F56" i="38" s="1"/>
  <c r="F124" i="38" s="1"/>
  <c r="W28" i="24"/>
  <c r="D159" i="19" s="1"/>
  <c r="W32" i="24"/>
  <c r="D163" i="19" s="1"/>
  <c r="H159" i="38"/>
  <c r="H173" i="38" s="1"/>
  <c r="M27" i="9"/>
  <c r="M39" i="9" s="1"/>
  <c r="E17" i="17"/>
  <c r="G18" i="17"/>
  <c r="C20" i="17"/>
  <c r="E21" i="17"/>
  <c r="G22" i="17"/>
  <c r="C24" i="17"/>
  <c r="G17" i="17"/>
  <c r="G27" i="17" s="1"/>
  <c r="E20" i="17"/>
  <c r="C23" i="17"/>
  <c r="E274" i="38"/>
  <c r="H274" i="38" s="1"/>
  <c r="E278" i="38"/>
  <c r="F281" i="38"/>
  <c r="G343" i="38"/>
  <c r="F393" i="38" s="1"/>
  <c r="E404" i="38" s="1"/>
  <c r="B18" i="11"/>
  <c r="F53" i="38" s="1"/>
  <c r="F121" i="38" s="1"/>
  <c r="F136" i="38" s="1"/>
  <c r="F18" i="11"/>
  <c r="F57" i="38" s="1"/>
  <c r="F125" i="38" s="1"/>
  <c r="F140" i="38" s="1"/>
  <c r="J18" i="11"/>
  <c r="C24" i="11"/>
  <c r="C43" i="11" s="1"/>
  <c r="C53" i="11" s="1"/>
  <c r="D27" i="11"/>
  <c r="H55" i="38" s="1"/>
  <c r="H123" i="38" s="1"/>
  <c r="H27" i="11"/>
  <c r="J29" i="11"/>
  <c r="H345" i="38" s="1"/>
  <c r="E37" i="11"/>
  <c r="J56" i="38" s="1"/>
  <c r="J124" i="38" s="1"/>
  <c r="J139" i="38" s="1"/>
  <c r="I37" i="11"/>
  <c r="D77" i="19"/>
  <c r="H77" i="19" s="1"/>
  <c r="I77" i="19" s="1"/>
  <c r="J77" i="19" s="1"/>
  <c r="D80" i="19"/>
  <c r="D128" i="19" s="1"/>
  <c r="K28" i="9"/>
  <c r="K41" i="9" s="1"/>
  <c r="I29" i="9"/>
  <c r="F158" i="38" s="1"/>
  <c r="F173" i="38" s="1"/>
  <c r="K31" i="9"/>
  <c r="H160" i="38" s="1"/>
  <c r="I32" i="9"/>
  <c r="F161" i="38" s="1"/>
  <c r="M33" i="9"/>
  <c r="J162" i="38" s="1"/>
  <c r="J177" i="38" s="1"/>
  <c r="K34" i="9"/>
  <c r="E18" i="17"/>
  <c r="C21" i="17"/>
  <c r="G23" i="17"/>
  <c r="S41" i="24"/>
  <c r="H89" i="19"/>
  <c r="I89" i="19" s="1"/>
  <c r="J89" i="19" s="1"/>
  <c r="H93" i="19"/>
  <c r="I93" i="19" s="1"/>
  <c r="J93" i="19" s="1"/>
  <c r="H91" i="19"/>
  <c r="I91" i="19" s="1"/>
  <c r="J91" i="19" s="1"/>
  <c r="D132" i="19"/>
  <c r="G21" i="17"/>
  <c r="E24" i="17"/>
  <c r="E276" i="38"/>
  <c r="H276" i="38" s="1"/>
  <c r="G278" i="38"/>
  <c r="G280" i="38"/>
  <c r="H280" i="38" s="1"/>
  <c r="D18" i="11"/>
  <c r="F55" i="38" s="1"/>
  <c r="F123" i="38" s="1"/>
  <c r="F137" i="38" s="1"/>
  <c r="G24" i="11"/>
  <c r="F27" i="11"/>
  <c r="H57" i="38" s="1"/>
  <c r="H125" i="38" s="1"/>
  <c r="J27" i="11"/>
  <c r="H343" i="38" s="1"/>
  <c r="F404" i="38" s="1"/>
  <c r="I34" i="11"/>
  <c r="G354" i="38" s="1"/>
  <c r="D76" i="19"/>
  <c r="D124" i="19" s="1"/>
  <c r="D81" i="19"/>
  <c r="D129" i="19" s="1"/>
  <c r="H87" i="19"/>
  <c r="I87" i="19" s="1"/>
  <c r="J87" i="19" s="1"/>
  <c r="K27" i="9"/>
  <c r="M29" i="9"/>
  <c r="M42" i="9" s="1"/>
  <c r="I31" i="9"/>
  <c r="F160" i="38" s="1"/>
  <c r="F174" i="38" s="1"/>
  <c r="K32" i="9"/>
  <c r="H161" i="38" s="1"/>
  <c r="C17" i="17"/>
  <c r="G19" i="17"/>
  <c r="E22" i="17"/>
  <c r="B16" i="18"/>
  <c r="E288" i="38" s="1"/>
  <c r="C127" i="19"/>
  <c r="V37" i="24"/>
  <c r="H423" i="38"/>
  <c r="F18" i="38"/>
  <c r="G18" i="38" s="1"/>
  <c r="F22" i="38"/>
  <c r="G22" i="38" s="1"/>
  <c r="F20" i="38"/>
  <c r="G20" i="38" s="1"/>
  <c r="H80" i="38"/>
  <c r="F24" i="38"/>
  <c r="G24" i="38" s="1"/>
  <c r="F19" i="38"/>
  <c r="G19" i="38" s="1"/>
  <c r="F23" i="38"/>
  <c r="G23" i="38" s="1"/>
  <c r="J412" i="38"/>
  <c r="F21" i="38"/>
  <c r="G21" i="38" s="1"/>
  <c r="F25" i="38"/>
  <c r="G25" i="38" s="1"/>
  <c r="H78" i="38"/>
  <c r="B69" i="38"/>
  <c r="J389" i="38"/>
  <c r="J385" i="38"/>
  <c r="B59" i="38"/>
  <c r="J400" i="38"/>
  <c r="H273" i="38"/>
  <c r="H277" i="38"/>
  <c r="I339" i="38"/>
  <c r="E321" i="38"/>
  <c r="I358" i="38"/>
  <c r="J249" i="38"/>
  <c r="J257" i="38"/>
  <c r="I249" i="38"/>
  <c r="I257" i="38"/>
  <c r="G271" i="38" s="1"/>
  <c r="G285" i="38" s="1"/>
  <c r="G300" i="38" s="1"/>
  <c r="H257" i="38"/>
  <c r="F271" i="38" s="1"/>
  <c r="F285" i="38" s="1"/>
  <c r="F300" i="38" s="1"/>
  <c r="H249" i="38"/>
  <c r="F249" i="38"/>
  <c r="F257" i="38"/>
  <c r="B326" i="38" s="1"/>
  <c r="A6" i="38"/>
  <c r="G119" i="38"/>
  <c r="G133" i="38" s="1"/>
  <c r="G148" i="38" s="1"/>
  <c r="G153" i="38" s="1"/>
  <c r="G167" i="38" s="1"/>
  <c r="G182" i="38" s="1"/>
  <c r="G187" i="38" s="1"/>
  <c r="G192" i="38" s="1"/>
  <c r="E381" i="38"/>
  <c r="H339" i="38"/>
  <c r="B81" i="38"/>
  <c r="B111" i="38" s="1"/>
  <c r="B116" i="38" s="1"/>
  <c r="B213" i="38" s="1"/>
  <c r="B267" i="38" s="1"/>
  <c r="B302" i="38" s="1"/>
  <c r="B63" i="38"/>
  <c r="H357" i="38"/>
  <c r="B56" i="38"/>
  <c r="B74" i="38"/>
  <c r="B60" i="38"/>
  <c r="B78" i="38"/>
  <c r="B58" i="38"/>
  <c r="B62" i="38"/>
  <c r="E119" i="38"/>
  <c r="E133" i="38" s="1"/>
  <c r="E148" i="38" s="1"/>
  <c r="E153" i="38" s="1"/>
  <c r="E167" i="38" s="1"/>
  <c r="E182" i="38" s="1"/>
  <c r="E187" i="38" s="1"/>
  <c r="E192" i="38" s="1"/>
  <c r="A4" i="38"/>
  <c r="B265" i="38"/>
  <c r="B263" i="38"/>
  <c r="I349" i="38"/>
  <c r="E328" i="38"/>
  <c r="K33" i="38"/>
  <c r="E14" i="38" s="1"/>
  <c r="I357" i="38"/>
  <c r="G357" i="38"/>
  <c r="E368" i="38"/>
  <c r="H72" i="38"/>
  <c r="H76" i="38"/>
  <c r="I348" i="38"/>
  <c r="B57" i="38"/>
  <c r="B73" i="38"/>
  <c r="B61" i="38"/>
  <c r="B53" i="38"/>
  <c r="B72" i="38"/>
  <c r="I340" i="38"/>
  <c r="M44" i="9"/>
  <c r="J161" i="38"/>
  <c r="L26" i="9"/>
  <c r="I155" i="38" s="1"/>
  <c r="B32" i="11"/>
  <c r="I53" i="38" s="1"/>
  <c r="I121" i="38" s="1"/>
  <c r="H46" i="9"/>
  <c r="E163" i="38"/>
  <c r="G72" i="38"/>
  <c r="J156" i="38"/>
  <c r="J170" i="38" s="1"/>
  <c r="E279" i="38"/>
  <c r="H279" i="38" s="1"/>
  <c r="H109" i="19"/>
  <c r="I109" i="19" s="1"/>
  <c r="J109" i="19" s="1"/>
  <c r="H140" i="39"/>
  <c r="I140" i="19" s="1"/>
  <c r="J27" i="9"/>
  <c r="G156" i="38" s="1"/>
  <c r="G171" i="38" s="1"/>
  <c r="J160" i="38"/>
  <c r="J44" i="9"/>
  <c r="K42" i="9"/>
  <c r="H3" i="17"/>
  <c r="B46" i="11" s="1"/>
  <c r="H16" i="38" s="1"/>
  <c r="B22" i="11"/>
  <c r="G53" i="38" s="1"/>
  <c r="G121" i="38" s="1"/>
  <c r="G136" i="38" s="1"/>
  <c r="J26" i="9"/>
  <c r="G155" i="38" s="1"/>
  <c r="D18" i="17"/>
  <c r="D22" i="11"/>
  <c r="G55" i="38" s="1"/>
  <c r="G123" i="38" s="1"/>
  <c r="G137" i="38" s="1"/>
  <c r="D20" i="17"/>
  <c r="F22" i="11"/>
  <c r="G57" i="38" s="1"/>
  <c r="G125" i="38" s="1"/>
  <c r="G140" i="38" s="1"/>
  <c r="J30" i="9"/>
  <c r="G159" i="38" s="1"/>
  <c r="G174" i="38" s="1"/>
  <c r="D22" i="17"/>
  <c r="H22" i="11"/>
  <c r="J22" i="11"/>
  <c r="J34" i="9"/>
  <c r="G163" i="38" s="1"/>
  <c r="G178" i="38" s="1"/>
  <c r="C20" i="18"/>
  <c r="F292" i="38" s="1"/>
  <c r="F297" i="38" s="1"/>
  <c r="G29" i="11"/>
  <c r="D21" i="18"/>
  <c r="G293" i="38" s="1"/>
  <c r="H34" i="11"/>
  <c r="C125" i="19"/>
  <c r="C129" i="19"/>
  <c r="H88" i="19"/>
  <c r="I88" i="19" s="1"/>
  <c r="J88" i="19" s="1"/>
  <c r="H90" i="19"/>
  <c r="I90" i="19" s="1"/>
  <c r="J90" i="19" s="1"/>
  <c r="H92" i="19"/>
  <c r="I92" i="19" s="1"/>
  <c r="J92" i="19" s="1"/>
  <c r="H94" i="19"/>
  <c r="I94" i="19" s="1"/>
  <c r="J94" i="19" s="1"/>
  <c r="H98" i="19"/>
  <c r="I98" i="19" s="1"/>
  <c r="J98" i="19" s="1"/>
  <c r="E14" i="11"/>
  <c r="E56" i="38" s="1"/>
  <c r="J14" i="11"/>
  <c r="H103" i="19"/>
  <c r="I103" i="19" s="1"/>
  <c r="J103" i="19" s="1"/>
  <c r="H101" i="19"/>
  <c r="I101" i="19" s="1"/>
  <c r="J101" i="19" s="1"/>
  <c r="H162" i="38"/>
  <c r="D19" i="17"/>
  <c r="J29" i="9"/>
  <c r="G158" i="38" s="1"/>
  <c r="G172" i="38" s="1"/>
  <c r="F20" i="17"/>
  <c r="L30" i="9"/>
  <c r="F32" i="11"/>
  <c r="D23" i="17"/>
  <c r="J33" i="9"/>
  <c r="G162" i="38" s="1"/>
  <c r="L34" i="9"/>
  <c r="J32" i="11"/>
  <c r="H352" i="38" s="1"/>
  <c r="F405" i="38" s="1"/>
  <c r="E417" i="38" s="1"/>
  <c r="C22" i="18"/>
  <c r="F294" i="38" s="1"/>
  <c r="I29" i="11"/>
  <c r="G345" i="38" s="1"/>
  <c r="D23" i="18"/>
  <c r="G295" i="38" s="1"/>
  <c r="G297" i="38" s="1"/>
  <c r="J34" i="11"/>
  <c r="H354" i="38" s="1"/>
  <c r="K405" i="38" s="1"/>
  <c r="R21" i="24"/>
  <c r="C75" i="19"/>
  <c r="C123" i="19" s="1"/>
  <c r="V35" i="24"/>
  <c r="W36" i="24"/>
  <c r="D167" i="19" s="1"/>
  <c r="V39" i="24"/>
  <c r="I60" i="38"/>
  <c r="I128" i="38" s="1"/>
  <c r="I142" i="38" s="1"/>
  <c r="H126" i="38"/>
  <c r="E159" i="38"/>
  <c r="E173" i="38" s="1"/>
  <c r="G161" i="38"/>
  <c r="G175" i="38" s="1"/>
  <c r="B14" i="11"/>
  <c r="E53" i="38" s="1"/>
  <c r="E121" i="38" s="1"/>
  <c r="B143" i="19"/>
  <c r="E4" i="11" s="1"/>
  <c r="D126" i="19"/>
  <c r="B142" i="19"/>
  <c r="D4" i="11" s="1"/>
  <c r="H84" i="19"/>
  <c r="I84" i="19" s="1"/>
  <c r="J84" i="19" s="1"/>
  <c r="B140" i="39"/>
  <c r="B142" i="39"/>
  <c r="B144" i="39"/>
  <c r="V10" i="24"/>
  <c r="V14" i="24"/>
  <c r="B141" i="19"/>
  <c r="E102" i="38" s="1"/>
  <c r="J103" i="38" s="1"/>
  <c r="H78" i="19"/>
  <c r="I78" i="19" s="1"/>
  <c r="J78" i="19" s="1"/>
  <c r="H82" i="19"/>
  <c r="I82" i="19" s="1"/>
  <c r="J82" i="19" s="1"/>
  <c r="H86" i="19"/>
  <c r="I86" i="19" s="1"/>
  <c r="J86" i="19" s="1"/>
  <c r="E9" i="18"/>
  <c r="I48" i="11" s="1"/>
  <c r="V12" i="24"/>
  <c r="W29" i="24"/>
  <c r="D160" i="19" s="1"/>
  <c r="V30" i="24"/>
  <c r="W31" i="24"/>
  <c r="D162" i="19" s="1"/>
  <c r="V32" i="24"/>
  <c r="W33" i="24"/>
  <c r="D164" i="19" s="1"/>
  <c r="V34" i="24"/>
  <c r="W35" i="24"/>
  <c r="D166" i="19" s="1"/>
  <c r="V36" i="24"/>
  <c r="W37" i="24"/>
  <c r="D168" i="19" s="1"/>
  <c r="V38" i="24"/>
  <c r="W39" i="24"/>
  <c r="D170" i="19" s="1"/>
  <c r="M36" i="9"/>
  <c r="M47" i="9"/>
  <c r="G124" i="39"/>
  <c r="I347" i="38"/>
  <c r="E416" i="38"/>
  <c r="H122" i="39"/>
  <c r="H12" i="17"/>
  <c r="K46" i="11" s="1"/>
  <c r="H25" i="38" s="1"/>
  <c r="I356" i="38"/>
  <c r="G25" i="17"/>
  <c r="C25" i="17"/>
  <c r="K37" i="11"/>
  <c r="K18" i="11"/>
  <c r="G124" i="19"/>
  <c r="E37" i="38"/>
  <c r="E73" i="38" s="1"/>
  <c r="H122" i="38"/>
  <c r="H136" i="38" s="1"/>
  <c r="H85" i="19"/>
  <c r="I85" i="19" s="1"/>
  <c r="J85" i="19" s="1"/>
  <c r="G76" i="38"/>
  <c r="G60" i="38"/>
  <c r="G128" i="38" s="1"/>
  <c r="F177" i="38"/>
  <c r="G62" i="19"/>
  <c r="H62" i="19" s="1"/>
  <c r="I62" i="19" s="1"/>
  <c r="J62" i="19" s="1"/>
  <c r="H61" i="19"/>
  <c r="I61" i="19" s="1"/>
  <c r="J61" i="19" s="1"/>
  <c r="D134" i="19"/>
  <c r="J45" i="9"/>
  <c r="G338" i="38"/>
  <c r="G41" i="11"/>
  <c r="J58" i="38"/>
  <c r="J126" i="38" s="1"/>
  <c r="J140" i="38" s="1"/>
  <c r="C41" i="11"/>
  <c r="B145" i="19"/>
  <c r="D123" i="19"/>
  <c r="D127" i="19"/>
  <c r="H79" i="19"/>
  <c r="I79" i="19" s="1"/>
  <c r="J79" i="19" s="1"/>
  <c r="D131" i="19"/>
  <c r="H83" i="19"/>
  <c r="I83" i="19" s="1"/>
  <c r="J83" i="19" s="1"/>
  <c r="H63" i="39"/>
  <c r="G62" i="39"/>
  <c r="H62" i="39" s="1"/>
  <c r="I41" i="9"/>
  <c r="F157" i="38"/>
  <c r="J41" i="9"/>
  <c r="I44" i="9"/>
  <c r="H71" i="38"/>
  <c r="G74" i="38"/>
  <c r="E60" i="38"/>
  <c r="E128" i="38" s="1"/>
  <c r="I77" i="38"/>
  <c r="G340" i="38"/>
  <c r="D130" i="19"/>
  <c r="H140" i="19"/>
  <c r="H7" i="17"/>
  <c r="F46" i="11" s="1"/>
  <c r="H20" i="38" s="1"/>
  <c r="B140" i="19"/>
  <c r="B144" i="19"/>
  <c r="H96" i="19"/>
  <c r="I96" i="19" s="1"/>
  <c r="J96" i="19" s="1"/>
  <c r="H105" i="19"/>
  <c r="I105" i="19" s="1"/>
  <c r="J105" i="19" s="1"/>
  <c r="B143" i="39"/>
  <c r="B17" i="17"/>
  <c r="J4" i="17"/>
  <c r="H4" i="17"/>
  <c r="C46" i="11" s="1"/>
  <c r="H17" i="38" s="1"/>
  <c r="H27" i="9"/>
  <c r="F17" i="17"/>
  <c r="L27" i="9"/>
  <c r="B22" i="17"/>
  <c r="J9" i="17"/>
  <c r="H32" i="9"/>
  <c r="H9" i="17"/>
  <c r="H46" i="11" s="1"/>
  <c r="H22" i="38" s="1"/>
  <c r="F22" i="17"/>
  <c r="L32" i="9"/>
  <c r="L45" i="9" s="1"/>
  <c r="H10" i="17"/>
  <c r="I46" i="11" s="1"/>
  <c r="H23" i="38" s="1"/>
  <c r="B17" i="18"/>
  <c r="E289" i="38" s="1"/>
  <c r="E4" i="18"/>
  <c r="D48" i="11" s="1"/>
  <c r="D53" i="11" s="1"/>
  <c r="B23" i="18"/>
  <c r="E295" i="38" s="1"/>
  <c r="E10" i="18"/>
  <c r="J48" i="11" s="1"/>
  <c r="W11" i="24"/>
  <c r="C162" i="19" s="1"/>
  <c r="C102" i="19"/>
  <c r="H102" i="19" s="1"/>
  <c r="I102" i="19" s="1"/>
  <c r="J102" i="19" s="1"/>
  <c r="W15" i="24"/>
  <c r="C106" i="19"/>
  <c r="H106" i="19" s="1"/>
  <c r="I106" i="19" s="1"/>
  <c r="J106" i="19" s="1"/>
  <c r="V18" i="24"/>
  <c r="C97" i="19"/>
  <c r="W19" i="24"/>
  <c r="C170" i="19" s="1"/>
  <c r="C110" i="19"/>
  <c r="H110" i="19" s="1"/>
  <c r="I110" i="19" s="1"/>
  <c r="J110" i="19" s="1"/>
  <c r="B141" i="39"/>
  <c r="H141" i="39"/>
  <c r="I141" i="19" s="1"/>
  <c r="B145" i="39"/>
  <c r="H81" i="9"/>
  <c r="H75" i="9"/>
  <c r="B18" i="17"/>
  <c r="J5" i="17"/>
  <c r="H28" i="9"/>
  <c r="H5" i="17"/>
  <c r="D46" i="11" s="1"/>
  <c r="H18" i="38" s="1"/>
  <c r="I18" i="38" s="1"/>
  <c r="J18" i="38" s="1"/>
  <c r="F18" i="17"/>
  <c r="L28" i="9"/>
  <c r="L41" i="9" s="1"/>
  <c r="H6" i="17"/>
  <c r="E46" i="11" s="1"/>
  <c r="H19" i="38" s="1"/>
  <c r="B21" i="17"/>
  <c r="J8" i="17"/>
  <c r="H8" i="17"/>
  <c r="G46" i="11" s="1"/>
  <c r="H21" i="38" s="1"/>
  <c r="H31" i="9"/>
  <c r="F21" i="17"/>
  <c r="L31" i="9"/>
  <c r="S21" i="24"/>
  <c r="V8" i="24"/>
  <c r="W9" i="24"/>
  <c r="C160" i="19" s="1"/>
  <c r="C100" i="19"/>
  <c r="H100" i="19" s="1"/>
  <c r="I100" i="19" s="1"/>
  <c r="J100" i="19" s="1"/>
  <c r="W13" i="24"/>
  <c r="C164" i="19" s="1"/>
  <c r="C104" i="19"/>
  <c r="H104" i="19" s="1"/>
  <c r="I104" i="19" s="1"/>
  <c r="J104" i="19" s="1"/>
  <c r="V16" i="24"/>
  <c r="C95" i="19"/>
  <c r="H95" i="19" s="1"/>
  <c r="I95" i="19" s="1"/>
  <c r="J95" i="19" s="1"/>
  <c r="W17" i="24"/>
  <c r="C168" i="19" s="1"/>
  <c r="C108" i="19"/>
  <c r="H108" i="19" s="1"/>
  <c r="I108" i="19" s="1"/>
  <c r="J108" i="19" s="1"/>
  <c r="V28" i="24"/>
  <c r="R41" i="24"/>
  <c r="M45" i="9"/>
  <c r="I46" i="9"/>
  <c r="I47" i="9"/>
  <c r="M46" i="9"/>
  <c r="G75" i="9"/>
  <c r="G80" i="9"/>
  <c r="G90" i="9" s="1"/>
  <c r="H73" i="9"/>
  <c r="D24" i="17"/>
  <c r="D25" i="17"/>
  <c r="H11" i="17"/>
  <c r="J46" i="11" s="1"/>
  <c r="H24" i="38" s="1"/>
  <c r="B18" i="18"/>
  <c r="E290" i="38" s="1"/>
  <c r="T21" i="24"/>
  <c r="J3" i="17"/>
  <c r="B20" i="17"/>
  <c r="J7" i="17"/>
  <c r="B25" i="17"/>
  <c r="B24" i="17"/>
  <c r="J11" i="17"/>
  <c r="F25" i="17"/>
  <c r="F24" i="17"/>
  <c r="B15" i="18"/>
  <c r="E287" i="38" s="1"/>
  <c r="E2" i="18"/>
  <c r="B48" i="11" s="1"/>
  <c r="B53" i="11" s="1"/>
  <c r="B19" i="18"/>
  <c r="E291" i="38" s="1"/>
  <c r="E6" i="18"/>
  <c r="F48" i="11" s="1"/>
  <c r="F53" i="11" s="1"/>
  <c r="B21" i="18"/>
  <c r="E293" i="38" s="1"/>
  <c r="E8" i="18"/>
  <c r="H48" i="11" s="1"/>
  <c r="D17" i="17"/>
  <c r="B19" i="17"/>
  <c r="J6" i="17"/>
  <c r="F19" i="17"/>
  <c r="D21" i="17"/>
  <c r="B23" i="17"/>
  <c r="J10" i="17"/>
  <c r="F23" i="17"/>
  <c r="E7" i="18"/>
  <c r="G48" i="11" s="1"/>
  <c r="V9" i="24"/>
  <c r="W10" i="24"/>
  <c r="C161" i="19" s="1"/>
  <c r="V11" i="24"/>
  <c r="W12" i="24"/>
  <c r="C163" i="19" s="1"/>
  <c r="V13" i="24"/>
  <c r="W14" i="24"/>
  <c r="V15" i="24"/>
  <c r="W16" i="24"/>
  <c r="C167" i="19" s="1"/>
  <c r="V17" i="24"/>
  <c r="W18" i="24"/>
  <c r="C169" i="19" s="1"/>
  <c r="V19" i="24"/>
  <c r="W8" i="24"/>
  <c r="C159" i="19" s="1"/>
  <c r="I323" i="38"/>
  <c r="E123" i="38"/>
  <c r="E127" i="38"/>
  <c r="I338" i="38"/>
  <c r="G339" i="38"/>
  <c r="H348" i="38"/>
  <c r="E125" i="38"/>
  <c r="I74" i="38"/>
  <c r="I124" i="38"/>
  <c r="I138" i="38" s="1"/>
  <c r="E122" i="38"/>
  <c r="K54" i="38"/>
  <c r="I72" i="38"/>
  <c r="I122" i="38"/>
  <c r="E126" i="38"/>
  <c r="I126" i="38"/>
  <c r="I76" i="38"/>
  <c r="F141" i="38"/>
  <c r="E130" i="38"/>
  <c r="I130" i="38"/>
  <c r="I80" i="38"/>
  <c r="I73" i="38"/>
  <c r="H417" i="38"/>
  <c r="G348" i="38"/>
  <c r="G356" i="38"/>
  <c r="G323" i="38"/>
  <c r="J417" i="38"/>
  <c r="I370" i="38"/>
  <c r="I374" i="38" s="1"/>
  <c r="G80" i="38" l="1"/>
  <c r="H36" i="9"/>
  <c r="K45" i="9"/>
  <c r="H278" i="38"/>
  <c r="E297" i="38"/>
  <c r="E178" i="38"/>
  <c r="L381" i="38"/>
  <c r="H47" i="9"/>
  <c r="G43" i="11"/>
  <c r="F178" i="38"/>
  <c r="H340" i="38"/>
  <c r="K403" i="38"/>
  <c r="J415" i="38" s="1"/>
  <c r="J419" i="38" s="1"/>
  <c r="F383" i="38"/>
  <c r="E394" i="38" s="1"/>
  <c r="F356" i="38"/>
  <c r="D125" i="39"/>
  <c r="G349" i="38"/>
  <c r="K393" i="38"/>
  <c r="J404" i="38" s="1"/>
  <c r="H43" i="11"/>
  <c r="F354" i="38"/>
  <c r="H349" i="38"/>
  <c r="K404" i="38"/>
  <c r="D41" i="11"/>
  <c r="D51" i="11" s="1"/>
  <c r="I39" i="9"/>
  <c r="H59" i="38"/>
  <c r="H127" i="38" s="1"/>
  <c r="H142" i="38" s="1"/>
  <c r="F343" i="38"/>
  <c r="H75" i="39"/>
  <c r="H76" i="39"/>
  <c r="H28" i="39"/>
  <c r="C124" i="39"/>
  <c r="H50" i="39"/>
  <c r="F380" i="38"/>
  <c r="E391" i="38" s="1"/>
  <c r="F330" i="38"/>
  <c r="C123" i="39"/>
  <c r="H123" i="39" s="1"/>
  <c r="G59" i="38"/>
  <c r="G127" i="38" s="1"/>
  <c r="G141" i="38" s="1"/>
  <c r="F334" i="38"/>
  <c r="H51" i="39"/>
  <c r="C41" i="39"/>
  <c r="H29" i="39"/>
  <c r="F339" i="38"/>
  <c r="I381" i="38"/>
  <c r="H392" i="38" s="1"/>
  <c r="H100" i="39"/>
  <c r="H38" i="39"/>
  <c r="F379" i="38"/>
  <c r="F323" i="38"/>
  <c r="K394" i="38"/>
  <c r="J405" i="38" s="1"/>
  <c r="J59" i="38"/>
  <c r="J127" i="38" s="1"/>
  <c r="F361" i="38"/>
  <c r="F368" i="38" s="1"/>
  <c r="F372" i="38" s="1"/>
  <c r="G383" i="38"/>
  <c r="N50" i="9"/>
  <c r="H99" i="39"/>
  <c r="H39" i="39"/>
  <c r="H52" i="39"/>
  <c r="H141" i="19"/>
  <c r="J141" i="19" s="1"/>
  <c r="H142" i="19"/>
  <c r="D5" i="11" s="1"/>
  <c r="D6" i="11" s="1"/>
  <c r="E104" i="38"/>
  <c r="J105" i="38" s="1"/>
  <c r="H145" i="19"/>
  <c r="C13" i="9" s="1"/>
  <c r="H76" i="19"/>
  <c r="I76" i="19" s="1"/>
  <c r="J76" i="19" s="1"/>
  <c r="H149" i="19"/>
  <c r="C17" i="9" s="1"/>
  <c r="D17" i="9" s="1"/>
  <c r="E17" i="9" s="1"/>
  <c r="D125" i="19"/>
  <c r="H143" i="19"/>
  <c r="B9" i="9"/>
  <c r="F9" i="9" s="1"/>
  <c r="E385" i="38"/>
  <c r="H379" i="38"/>
  <c r="H380" i="38"/>
  <c r="H74" i="38"/>
  <c r="H138" i="38"/>
  <c r="H139" i="38"/>
  <c r="M40" i="9"/>
  <c r="H97" i="19"/>
  <c r="I97" i="19" s="1"/>
  <c r="J97" i="19" s="1"/>
  <c r="H75" i="38"/>
  <c r="E27" i="17"/>
  <c r="K43" i="9"/>
  <c r="H361" i="38"/>
  <c r="F406" i="38" s="1"/>
  <c r="I41" i="11"/>
  <c r="I51" i="11" s="1"/>
  <c r="I43" i="9"/>
  <c r="H81" i="19"/>
  <c r="I81" i="19" s="1"/>
  <c r="J81" i="19" s="1"/>
  <c r="F60" i="38"/>
  <c r="F128" i="38" s="1"/>
  <c r="F142" i="38" s="1"/>
  <c r="G380" i="38"/>
  <c r="H175" i="38"/>
  <c r="H174" i="38"/>
  <c r="J138" i="38"/>
  <c r="G347" i="38"/>
  <c r="G404" i="38"/>
  <c r="G330" i="38"/>
  <c r="L404" i="38"/>
  <c r="F138" i="38"/>
  <c r="F139" i="38"/>
  <c r="H281" i="38"/>
  <c r="J176" i="38"/>
  <c r="K56" i="38"/>
  <c r="I40" i="9"/>
  <c r="C4" i="11"/>
  <c r="M43" i="9"/>
  <c r="H347" i="38"/>
  <c r="C27" i="17"/>
  <c r="F145" i="38" s="1"/>
  <c r="H159" i="19"/>
  <c r="K44" i="9"/>
  <c r="V41" i="24"/>
  <c r="K396" i="38"/>
  <c r="E41" i="11"/>
  <c r="E51" i="11" s="1"/>
  <c r="H61" i="38"/>
  <c r="H129" i="38" s="1"/>
  <c r="H144" i="38" s="1"/>
  <c r="H176" i="38"/>
  <c r="C29" i="17"/>
  <c r="C13" i="17" s="1"/>
  <c r="I53" i="9" s="1"/>
  <c r="H327" i="38"/>
  <c r="F402" i="38" s="1"/>
  <c r="F61" i="38"/>
  <c r="F129" i="38" s="1"/>
  <c r="I45" i="9"/>
  <c r="J43" i="11"/>
  <c r="J53" i="11" s="1"/>
  <c r="H144" i="19"/>
  <c r="I43" i="11"/>
  <c r="I53" i="11" s="1"/>
  <c r="E103" i="38"/>
  <c r="J104" i="38" s="1"/>
  <c r="J158" i="38"/>
  <c r="M41" i="9"/>
  <c r="B152" i="39"/>
  <c r="H75" i="19"/>
  <c r="I75" i="19" s="1"/>
  <c r="J75" i="19" s="1"/>
  <c r="J140" i="19"/>
  <c r="K39" i="9"/>
  <c r="H156" i="38"/>
  <c r="H170" i="38" s="1"/>
  <c r="K47" i="9"/>
  <c r="H163" i="38"/>
  <c r="H178" i="38" s="1"/>
  <c r="J60" i="38"/>
  <c r="J128" i="38" s="1"/>
  <c r="J143" i="38" s="1"/>
  <c r="G361" i="38"/>
  <c r="F395" i="38" s="1"/>
  <c r="E406" i="38" s="1"/>
  <c r="G358" i="38"/>
  <c r="F73" i="38"/>
  <c r="K46" i="9"/>
  <c r="I42" i="9"/>
  <c r="C132" i="19"/>
  <c r="H73" i="38"/>
  <c r="H80" i="19"/>
  <c r="I80" i="19" s="1"/>
  <c r="J80" i="19" s="1"/>
  <c r="K40" i="9"/>
  <c r="H157" i="38"/>
  <c r="L405" i="38"/>
  <c r="I21" i="38"/>
  <c r="J21" i="38" s="1"/>
  <c r="G138" i="38"/>
  <c r="K55" i="38"/>
  <c r="I24" i="38"/>
  <c r="J24" i="38" s="1"/>
  <c r="I19" i="38"/>
  <c r="J19" i="38" s="1"/>
  <c r="I17" i="38"/>
  <c r="J17" i="38" s="1"/>
  <c r="I20" i="38"/>
  <c r="J20" i="38" s="1"/>
  <c r="I22" i="38"/>
  <c r="J22" i="38" s="1"/>
  <c r="I78" i="38"/>
  <c r="I23" i="38"/>
  <c r="J23" i="38" s="1"/>
  <c r="I25" i="38"/>
  <c r="J25" i="38" s="1"/>
  <c r="H140" i="38"/>
  <c r="G370" i="38"/>
  <c r="G374" i="38" s="1"/>
  <c r="E177" i="38"/>
  <c r="J171" i="38"/>
  <c r="G142" i="38"/>
  <c r="H370" i="38"/>
  <c r="H374" i="38" s="1"/>
  <c r="H137" i="38"/>
  <c r="H358" i="38"/>
  <c r="E124" i="38"/>
  <c r="K124" i="38" s="1"/>
  <c r="E369" i="38"/>
  <c r="G75" i="38"/>
  <c r="G176" i="38"/>
  <c r="E249" i="38"/>
  <c r="E257" i="38"/>
  <c r="K59" i="38"/>
  <c r="F171" i="38"/>
  <c r="G257" i="38"/>
  <c r="E271" i="38" s="1"/>
  <c r="E285" i="38" s="1"/>
  <c r="E300" i="38" s="1"/>
  <c r="G249" i="38"/>
  <c r="G139" i="38"/>
  <c r="G170" i="38"/>
  <c r="I57" i="38"/>
  <c r="F41" i="11"/>
  <c r="F51" i="11" s="1"/>
  <c r="J175" i="38"/>
  <c r="J174" i="38"/>
  <c r="H53" i="11"/>
  <c r="C133" i="19"/>
  <c r="B41" i="11"/>
  <c r="B51" i="11" s="1"/>
  <c r="B11" i="9"/>
  <c r="F11" i="9" s="1"/>
  <c r="J47" i="9"/>
  <c r="J41" i="11"/>
  <c r="J51" i="11" s="1"/>
  <c r="G71" i="38"/>
  <c r="L46" i="9"/>
  <c r="L47" i="9"/>
  <c r="I163" i="38"/>
  <c r="I178" i="38" s="1"/>
  <c r="L42" i="9"/>
  <c r="I159" i="38"/>
  <c r="I173" i="38" s="1"/>
  <c r="H320" i="38"/>
  <c r="F401" i="38" s="1"/>
  <c r="E61" i="38"/>
  <c r="C26" i="18"/>
  <c r="G77" i="38"/>
  <c r="G53" i="11"/>
  <c r="D27" i="17"/>
  <c r="G145" i="38" s="1"/>
  <c r="I61" i="38"/>
  <c r="G177" i="38"/>
  <c r="D26" i="18"/>
  <c r="J43" i="9"/>
  <c r="C126" i="19"/>
  <c r="H41" i="11"/>
  <c r="H51" i="11" s="1"/>
  <c r="J42" i="9"/>
  <c r="G51" i="11"/>
  <c r="J46" i="9"/>
  <c r="F172" i="38"/>
  <c r="B10" i="9"/>
  <c r="F10" i="9" s="1"/>
  <c r="J40" i="9"/>
  <c r="H334" i="38"/>
  <c r="F403" i="38" s="1"/>
  <c r="G61" i="38"/>
  <c r="J39" i="9"/>
  <c r="G73" i="38"/>
  <c r="G160" i="19"/>
  <c r="H160" i="19" s="1"/>
  <c r="G125" i="19"/>
  <c r="F62" i="38"/>
  <c r="I327" i="38"/>
  <c r="F414" i="38" s="1"/>
  <c r="E425" i="38" s="1"/>
  <c r="H148" i="19"/>
  <c r="J62" i="38"/>
  <c r="J130" i="38" s="1"/>
  <c r="I361" i="38"/>
  <c r="F418" i="38" s="1"/>
  <c r="E429" i="38" s="1"/>
  <c r="K41" i="11"/>
  <c r="K51" i="11" s="1"/>
  <c r="G125" i="39"/>
  <c r="H124" i="39"/>
  <c r="E61" i="11"/>
  <c r="E62" i="11" s="1"/>
  <c r="D61" i="11"/>
  <c r="F38" i="38"/>
  <c r="F74" i="38" s="1"/>
  <c r="G93" i="9"/>
  <c r="H90" i="9"/>
  <c r="P242" i="38"/>
  <c r="P245" i="38" s="1"/>
  <c r="H82" i="9"/>
  <c r="Q229" i="38"/>
  <c r="C131" i="19"/>
  <c r="B13" i="9"/>
  <c r="F13" i="9" s="1"/>
  <c r="G4" i="11"/>
  <c r="E106" i="38"/>
  <c r="J107" i="38" s="1"/>
  <c r="C134" i="19"/>
  <c r="C130" i="19"/>
  <c r="H44" i="9"/>
  <c r="E161" i="38"/>
  <c r="B27" i="17"/>
  <c r="B8" i="9"/>
  <c r="F8" i="9" s="1"/>
  <c r="B152" i="19"/>
  <c r="B4" i="11"/>
  <c r="E101" i="38"/>
  <c r="J102" i="38" s="1"/>
  <c r="G78" i="38"/>
  <c r="C124" i="19"/>
  <c r="H124" i="19" s="1"/>
  <c r="J141" i="38"/>
  <c r="K58" i="38"/>
  <c r="K121" i="38"/>
  <c r="H45" i="9"/>
  <c r="G67" i="9"/>
  <c r="J313" i="38" s="1"/>
  <c r="Q218" i="38"/>
  <c r="Q221" i="38" s="1"/>
  <c r="V21" i="24"/>
  <c r="H43" i="9"/>
  <c r="E160" i="38"/>
  <c r="E174" i="38" s="1"/>
  <c r="H41" i="9"/>
  <c r="H40" i="9"/>
  <c r="E157" i="38"/>
  <c r="H86" i="9"/>
  <c r="H92" i="9" s="1"/>
  <c r="C128" i="19"/>
  <c r="L44" i="9"/>
  <c r="I161" i="38"/>
  <c r="H39" i="9"/>
  <c r="E156" i="38"/>
  <c r="E170" i="38" s="1"/>
  <c r="G173" i="38"/>
  <c r="L43" i="9"/>
  <c r="I160" i="38"/>
  <c r="G29" i="17"/>
  <c r="G13" i="17" s="1"/>
  <c r="J145" i="38"/>
  <c r="L39" i="9"/>
  <c r="I156" i="38"/>
  <c r="I170" i="38" s="1"/>
  <c r="B12" i="9"/>
  <c r="F12" i="9" s="1"/>
  <c r="F4" i="11"/>
  <c r="E105" i="38"/>
  <c r="J106" i="38" s="1"/>
  <c r="E29" i="17"/>
  <c r="E13" i="17" s="1"/>
  <c r="H145" i="38"/>
  <c r="H150" i="38" s="1"/>
  <c r="G5" i="11"/>
  <c r="K53" i="38"/>
  <c r="B26" i="18"/>
  <c r="F27" i="17"/>
  <c r="C8" i="9"/>
  <c r="B5" i="11"/>
  <c r="F101" i="38"/>
  <c r="K102" i="38" s="1"/>
  <c r="F176" i="38"/>
  <c r="F175" i="38"/>
  <c r="I136" i="38"/>
  <c r="I71" i="38"/>
  <c r="I137" i="38"/>
  <c r="H80" i="9"/>
  <c r="G85" i="9"/>
  <c r="P228" i="38"/>
  <c r="P231" i="38" s="1"/>
  <c r="G82" i="9"/>
  <c r="I157" i="38"/>
  <c r="L40" i="9"/>
  <c r="C51" i="11"/>
  <c r="H123" i="19"/>
  <c r="C9" i="9"/>
  <c r="C5" i="11"/>
  <c r="F102" i="38"/>
  <c r="G405" i="38"/>
  <c r="H356" i="38"/>
  <c r="G394" i="38"/>
  <c r="C10" i="9"/>
  <c r="F103" i="38"/>
  <c r="L18" i="11"/>
  <c r="L392" i="38"/>
  <c r="E141" i="38"/>
  <c r="E142" i="38"/>
  <c r="E413" i="38"/>
  <c r="I141" i="38"/>
  <c r="K123" i="38"/>
  <c r="E137" i="38"/>
  <c r="L403" i="38"/>
  <c r="E140" i="38"/>
  <c r="K126" i="38"/>
  <c r="E136" i="38"/>
  <c r="K122" i="38"/>
  <c r="E415" i="38"/>
  <c r="K407" i="38" l="1"/>
  <c r="I50" i="9"/>
  <c r="F179" i="38" s="1"/>
  <c r="H141" i="38"/>
  <c r="H77" i="38"/>
  <c r="D29" i="17"/>
  <c r="D13" i="17" s="1"/>
  <c r="K127" i="38"/>
  <c r="K50" i="9"/>
  <c r="H179" i="38" s="1"/>
  <c r="E390" i="38"/>
  <c r="G390" i="38" s="1"/>
  <c r="G379" i="38"/>
  <c r="F381" i="38"/>
  <c r="F338" i="38"/>
  <c r="F358" i="38"/>
  <c r="K383" i="38"/>
  <c r="F370" i="38"/>
  <c r="F374" i="38" s="1"/>
  <c r="B59" i="11"/>
  <c r="B19" i="11" s="1"/>
  <c r="F35" i="38" s="1"/>
  <c r="F71" i="38" s="1"/>
  <c r="C59" i="11"/>
  <c r="C19" i="11" s="1"/>
  <c r="F36" i="38" s="1"/>
  <c r="F72" i="38" s="1"/>
  <c r="B60" i="11"/>
  <c r="B38" i="11" s="1"/>
  <c r="J35" i="38" s="1"/>
  <c r="J71" i="38" s="1"/>
  <c r="C60" i="11"/>
  <c r="C38" i="11" s="1"/>
  <c r="J36" i="38" s="1"/>
  <c r="J72" i="38" s="1"/>
  <c r="B58" i="11"/>
  <c r="B15" i="11" s="1"/>
  <c r="C58" i="11"/>
  <c r="C15" i="11" s="1"/>
  <c r="D62" i="11"/>
  <c r="C53" i="39"/>
  <c r="H41" i="39"/>
  <c r="H143" i="39" s="1"/>
  <c r="I143" i="19" s="1"/>
  <c r="J143" i="19" s="1"/>
  <c r="F347" i="38"/>
  <c r="F382" i="38"/>
  <c r="F364" i="38"/>
  <c r="F384" i="38"/>
  <c r="E395" i="38" s="1"/>
  <c r="H142" i="39"/>
  <c r="E5" i="11"/>
  <c r="E6" i="11" s="1"/>
  <c r="C11" i="9"/>
  <c r="D11" i="9" s="1"/>
  <c r="E11" i="9" s="1"/>
  <c r="C6" i="11"/>
  <c r="F106" i="38"/>
  <c r="K107" i="38" s="1"/>
  <c r="F104" i="38"/>
  <c r="G104" i="38" s="1"/>
  <c r="D9" i="9"/>
  <c r="E9" i="9" s="1"/>
  <c r="F5" i="11"/>
  <c r="F6" i="11" s="1"/>
  <c r="F110" i="38"/>
  <c r="K5" i="11"/>
  <c r="J123" i="19"/>
  <c r="E89" i="38" s="1"/>
  <c r="C12" i="9"/>
  <c r="D12" i="9" s="1"/>
  <c r="E12" i="9" s="1"/>
  <c r="H146" i="19"/>
  <c r="H5" i="11" s="1"/>
  <c r="F105" i="38"/>
  <c r="K106" i="38" s="1"/>
  <c r="H385" i="38"/>
  <c r="Q230" i="38"/>
  <c r="E250" i="38"/>
  <c r="J150" i="38"/>
  <c r="G150" i="38"/>
  <c r="G189" i="38" s="1"/>
  <c r="G259" i="38" s="1"/>
  <c r="F143" i="38"/>
  <c r="H364" i="38"/>
  <c r="H147" i="19"/>
  <c r="C15" i="9" s="1"/>
  <c r="D15" i="9" s="1"/>
  <c r="E15" i="9" s="1"/>
  <c r="M50" i="9"/>
  <c r="J179" i="38" s="1"/>
  <c r="J144" i="38"/>
  <c r="K60" i="38"/>
  <c r="J142" i="38"/>
  <c r="H79" i="38"/>
  <c r="G102" i="38"/>
  <c r="K103" i="38"/>
  <c r="K128" i="38"/>
  <c r="G103" i="38"/>
  <c r="K104" i="38"/>
  <c r="B6" i="11"/>
  <c r="L50" i="9"/>
  <c r="I179" i="38" s="1"/>
  <c r="H143" i="38"/>
  <c r="H189" i="38"/>
  <c r="H259" i="38" s="1"/>
  <c r="H177" i="38"/>
  <c r="G364" i="38"/>
  <c r="G368" i="38"/>
  <c r="G372" i="38" s="1"/>
  <c r="J50" i="9"/>
  <c r="G179" i="38" s="1"/>
  <c r="H330" i="38"/>
  <c r="G391" i="38"/>
  <c r="J172" i="38"/>
  <c r="J173" i="38"/>
  <c r="D8" i="9"/>
  <c r="E8" i="9" s="1"/>
  <c r="H172" i="38"/>
  <c r="H171" i="38"/>
  <c r="L393" i="38"/>
  <c r="J407" i="38"/>
  <c r="E138" i="38"/>
  <c r="E139" i="38"/>
  <c r="L382" i="38"/>
  <c r="G101" i="38"/>
  <c r="E129" i="38"/>
  <c r="K61" i="38"/>
  <c r="I177" i="38"/>
  <c r="I125" i="38"/>
  <c r="I75" i="38"/>
  <c r="K57" i="38"/>
  <c r="F21" i="9"/>
  <c r="L7" i="11" s="1"/>
  <c r="G129" i="38"/>
  <c r="G79" i="38"/>
  <c r="H323" i="38"/>
  <c r="H368" i="38"/>
  <c r="H372" i="38" s="1"/>
  <c r="H338" i="38"/>
  <c r="G403" i="38"/>
  <c r="I129" i="38"/>
  <c r="I79" i="38"/>
  <c r="D10" i="9"/>
  <c r="E10" i="9" s="1"/>
  <c r="I174" i="38"/>
  <c r="F109" i="38"/>
  <c r="C16" i="9"/>
  <c r="D16" i="9" s="1"/>
  <c r="E16" i="9" s="1"/>
  <c r="G126" i="39"/>
  <c r="I330" i="38"/>
  <c r="I368" i="38"/>
  <c r="I372" i="38" s="1"/>
  <c r="G161" i="19"/>
  <c r="H161" i="19" s="1"/>
  <c r="G126" i="19"/>
  <c r="H125" i="19"/>
  <c r="I364" i="38"/>
  <c r="J5" i="11"/>
  <c r="J6" i="11" s="1"/>
  <c r="F130" i="38"/>
  <c r="F150" i="38" s="1"/>
  <c r="K62" i="38"/>
  <c r="J37" i="38"/>
  <c r="D52" i="11"/>
  <c r="F39" i="38"/>
  <c r="F75" i="38" s="1"/>
  <c r="J38" i="38"/>
  <c r="J74" i="38" s="1"/>
  <c r="E38" i="38"/>
  <c r="F61" i="11"/>
  <c r="F62" i="11" s="1"/>
  <c r="H93" i="9"/>
  <c r="Q243" i="38"/>
  <c r="H99" i="9"/>
  <c r="H102" i="9" s="1"/>
  <c r="I60" i="9"/>
  <c r="I171" i="38"/>
  <c r="I172" i="38"/>
  <c r="K53" i="9"/>
  <c r="L27" i="11"/>
  <c r="G6" i="11"/>
  <c r="H50" i="9"/>
  <c r="E179" i="38" s="1"/>
  <c r="F29" i="17"/>
  <c r="F13" i="17" s="1"/>
  <c r="I145" i="38"/>
  <c r="I150" i="38" s="1"/>
  <c r="D13" i="9"/>
  <c r="E13" i="9" s="1"/>
  <c r="I175" i="38"/>
  <c r="I176" i="38"/>
  <c r="E171" i="38"/>
  <c r="E172" i="38"/>
  <c r="B29" i="17"/>
  <c r="B13" i="17" s="1"/>
  <c r="E145" i="38"/>
  <c r="E150" i="38" s="1"/>
  <c r="P244" i="38"/>
  <c r="H85" i="9"/>
  <c r="H98" i="9" s="1"/>
  <c r="H101" i="9" s="1"/>
  <c r="G87" i="9"/>
  <c r="P235" i="38"/>
  <c r="P238" i="38" s="1"/>
  <c r="G98" i="9"/>
  <c r="G101" i="9" s="1"/>
  <c r="H67" i="9"/>
  <c r="E265" i="38" s="1"/>
  <c r="Q228" i="38"/>
  <c r="Q231" i="38" s="1"/>
  <c r="H87" i="9"/>
  <c r="Q236" i="38"/>
  <c r="F63" i="38"/>
  <c r="J327" i="38"/>
  <c r="F425" i="38" s="1"/>
  <c r="P230" i="38"/>
  <c r="M53" i="9"/>
  <c r="L37" i="11"/>
  <c r="E175" i="38"/>
  <c r="E176" i="38"/>
  <c r="J53" i="9"/>
  <c r="L22" i="11"/>
  <c r="J67" i="9"/>
  <c r="G265" i="38" s="1"/>
  <c r="Q242" i="38"/>
  <c r="G106" i="38" l="1"/>
  <c r="C65" i="39"/>
  <c r="H53" i="39"/>
  <c r="H144" i="39" s="1"/>
  <c r="I144" i="19" s="1"/>
  <c r="J144" i="19" s="1"/>
  <c r="C42" i="11"/>
  <c r="C52" i="11" s="1"/>
  <c r="E36" i="38"/>
  <c r="E392" i="38"/>
  <c r="G392" i="38" s="1"/>
  <c r="G381" i="38"/>
  <c r="E393" i="38"/>
  <c r="G393" i="38" s="1"/>
  <c r="G382" i="38"/>
  <c r="E35" i="38"/>
  <c r="B42" i="11"/>
  <c r="B52" i="11" s="1"/>
  <c r="J394" i="38"/>
  <c r="L394" i="38" s="1"/>
  <c r="K385" i="38"/>
  <c r="L383" i="38"/>
  <c r="K105" i="38"/>
  <c r="I142" i="19"/>
  <c r="J142" i="19" s="1"/>
  <c r="C14" i="9"/>
  <c r="D14" i="9" s="1"/>
  <c r="E14" i="9" s="1"/>
  <c r="H307" i="38"/>
  <c r="H308" i="38" s="1"/>
  <c r="G105" i="38"/>
  <c r="I307" i="38"/>
  <c r="I308" i="38" s="1"/>
  <c r="K6" i="11"/>
  <c r="G110" i="38"/>
  <c r="K111" i="38"/>
  <c r="H6" i="11"/>
  <c r="F307" i="38"/>
  <c r="F308" i="38" s="1"/>
  <c r="H152" i="19"/>
  <c r="I152" i="19" s="1"/>
  <c r="F107" i="38"/>
  <c r="G107" i="38" s="1"/>
  <c r="Q245" i="38"/>
  <c r="Q237" i="38"/>
  <c r="F250" i="38"/>
  <c r="Q244" i="38"/>
  <c r="G250" i="38"/>
  <c r="G251" i="38" s="1"/>
  <c r="J310" i="38"/>
  <c r="F116" i="38"/>
  <c r="F108" i="38"/>
  <c r="I5" i="11"/>
  <c r="G109" i="38"/>
  <c r="K110" i="38"/>
  <c r="G384" i="38"/>
  <c r="F385" i="38"/>
  <c r="G395" i="38"/>
  <c r="G396" i="38" s="1"/>
  <c r="E396" i="38"/>
  <c r="J396" i="38"/>
  <c r="J189" i="38"/>
  <c r="J259" i="38" s="1"/>
  <c r="I139" i="38"/>
  <c r="K125" i="38"/>
  <c r="I140" i="38"/>
  <c r="K129" i="38"/>
  <c r="E144" i="38"/>
  <c r="E143" i="38"/>
  <c r="I144" i="38"/>
  <c r="I143" i="38"/>
  <c r="G143" i="38"/>
  <c r="G144" i="38"/>
  <c r="F396" i="38"/>
  <c r="E407" i="38"/>
  <c r="G401" i="38"/>
  <c r="G127" i="39"/>
  <c r="H126" i="39"/>
  <c r="F144" i="38"/>
  <c r="K130" i="38"/>
  <c r="I189" i="38"/>
  <c r="I259" i="38" s="1"/>
  <c r="E418" i="38"/>
  <c r="G406" i="38"/>
  <c r="G127" i="19"/>
  <c r="G162" i="19"/>
  <c r="H162" i="19" s="1"/>
  <c r="H126" i="19"/>
  <c r="E414" i="38"/>
  <c r="F407" i="38"/>
  <c r="G402" i="38"/>
  <c r="K37" i="38"/>
  <c r="J73" i="38"/>
  <c r="E52" i="11"/>
  <c r="F40" i="38"/>
  <c r="F76" i="38" s="1"/>
  <c r="J39" i="38"/>
  <c r="J75" i="38" s="1"/>
  <c r="E39" i="38"/>
  <c r="E74" i="38"/>
  <c r="K38" i="38"/>
  <c r="G61" i="11"/>
  <c r="G62" i="11" s="1"/>
  <c r="G63" i="38"/>
  <c r="J334" i="38"/>
  <c r="F426" i="38" s="1"/>
  <c r="J13" i="17"/>
  <c r="H53" i="9"/>
  <c r="H13" i="17"/>
  <c r="L46" i="11" s="1"/>
  <c r="H26" i="38" s="1"/>
  <c r="I26" i="38" s="1"/>
  <c r="J26" i="38" s="1"/>
  <c r="L14" i="11"/>
  <c r="J60" i="9"/>
  <c r="M60" i="9"/>
  <c r="P237" i="38"/>
  <c r="L53" i="9"/>
  <c r="L32" i="11"/>
  <c r="J343" i="38"/>
  <c r="F427" i="38" s="1"/>
  <c r="H63" i="38"/>
  <c r="I67" i="9"/>
  <c r="Q235" i="38"/>
  <c r="Q238" i="38" s="1"/>
  <c r="J361" i="38"/>
  <c r="F429" i="38" s="1"/>
  <c r="J63" i="38"/>
  <c r="G425" i="38"/>
  <c r="J330" i="38"/>
  <c r="K60" i="9"/>
  <c r="L41" i="11" l="1"/>
  <c r="O67" i="9"/>
  <c r="P67" i="9" s="1"/>
  <c r="F265" i="38"/>
  <c r="K265" i="38" s="1"/>
  <c r="G385" i="38"/>
  <c r="K35" i="38"/>
  <c r="E71" i="38"/>
  <c r="E72" i="38"/>
  <c r="K36" i="38"/>
  <c r="C77" i="39"/>
  <c r="H65" i="39"/>
  <c r="H145" i="39" s="1"/>
  <c r="F52" i="11"/>
  <c r="K108" i="38"/>
  <c r="G307" i="38"/>
  <c r="G308" i="38" s="1"/>
  <c r="I6" i="11"/>
  <c r="G108" i="38"/>
  <c r="K109" i="38"/>
  <c r="L51" i="11"/>
  <c r="G414" i="38"/>
  <c r="G407" i="38"/>
  <c r="F189" i="38"/>
  <c r="F259" i="38" s="1"/>
  <c r="E419" i="38"/>
  <c r="G128" i="19"/>
  <c r="G163" i="19"/>
  <c r="H163" i="19" s="1"/>
  <c r="H127" i="19"/>
  <c r="H127" i="39"/>
  <c r="G128" i="39"/>
  <c r="J40" i="38"/>
  <c r="J76" i="38" s="1"/>
  <c r="E40" i="38"/>
  <c r="K39" i="38"/>
  <c r="E75" i="38"/>
  <c r="F321" i="38"/>
  <c r="G416" i="38"/>
  <c r="G427" i="38"/>
  <c r="J347" i="38"/>
  <c r="J320" i="38"/>
  <c r="F424" i="38" s="1"/>
  <c r="F430" i="38" s="1"/>
  <c r="E63" i="38"/>
  <c r="G426" i="38"/>
  <c r="J338" i="38"/>
  <c r="G415" i="38"/>
  <c r="K250" i="38"/>
  <c r="J352" i="38"/>
  <c r="F428" i="38" s="1"/>
  <c r="I63" i="38"/>
  <c r="O53" i="9"/>
  <c r="W53" i="9" s="1"/>
  <c r="G53" i="9"/>
  <c r="H60" i="9"/>
  <c r="K251" i="38"/>
  <c r="G252" i="38"/>
  <c r="K252" i="38" s="1"/>
  <c r="G429" i="38"/>
  <c r="J364" i="38"/>
  <c r="G418" i="38"/>
  <c r="L60" i="9"/>
  <c r="C89" i="39" l="1"/>
  <c r="H77" i="39"/>
  <c r="H146" i="39" s="1"/>
  <c r="I146" i="19" s="1"/>
  <c r="J146" i="19" s="1"/>
  <c r="I145" i="19"/>
  <c r="J145" i="19" s="1"/>
  <c r="I379" i="38"/>
  <c r="H390" i="38" s="1"/>
  <c r="F324" i="38"/>
  <c r="F41" i="38"/>
  <c r="F77" i="38" s="1"/>
  <c r="F328" i="38"/>
  <c r="G129" i="39"/>
  <c r="H128" i="39"/>
  <c r="G164" i="19"/>
  <c r="H164" i="19" s="1"/>
  <c r="G129" i="19"/>
  <c r="H128" i="19"/>
  <c r="H61" i="11"/>
  <c r="H62" i="11" s="1"/>
  <c r="G52" i="11"/>
  <c r="E41" i="38"/>
  <c r="I61" i="11"/>
  <c r="I62" i="11" s="1"/>
  <c r="K40" i="38"/>
  <c r="E76" i="38"/>
  <c r="G417" i="38"/>
  <c r="J356" i="38"/>
  <c r="G428" i="38"/>
  <c r="O60" i="9"/>
  <c r="Y53" i="9"/>
  <c r="T53" i="9"/>
  <c r="U53" i="9"/>
  <c r="X53" i="9"/>
  <c r="V53" i="9"/>
  <c r="K63" i="38"/>
  <c r="S53" i="9"/>
  <c r="J368" i="38"/>
  <c r="J372" i="38" s="1"/>
  <c r="J323" i="38"/>
  <c r="C101" i="39" l="1"/>
  <c r="H89" i="39"/>
  <c r="H147" i="39" s="1"/>
  <c r="I147" i="19" s="1"/>
  <c r="J147" i="19" s="1"/>
  <c r="J41" i="38"/>
  <c r="J77" i="38" s="1"/>
  <c r="F362" i="38"/>
  <c r="I380" i="38"/>
  <c r="H391" i="38" s="1"/>
  <c r="F331" i="38"/>
  <c r="G130" i="19"/>
  <c r="G165" i="19"/>
  <c r="H165" i="19" s="1"/>
  <c r="H129" i="19"/>
  <c r="H129" i="39"/>
  <c r="G130" i="39"/>
  <c r="G328" i="38"/>
  <c r="I391" i="38" s="1"/>
  <c r="H402" i="38" s="1"/>
  <c r="F42" i="38"/>
  <c r="F78" i="38" s="1"/>
  <c r="I52" i="11"/>
  <c r="J61" i="11"/>
  <c r="J62" i="11" s="1"/>
  <c r="H52" i="11"/>
  <c r="G321" i="38"/>
  <c r="I390" i="38" s="1"/>
  <c r="H401" i="38" s="1"/>
  <c r="E42" i="38"/>
  <c r="E77" i="38"/>
  <c r="K150" i="38"/>
  <c r="E189" i="38"/>
  <c r="F419" i="38"/>
  <c r="G413" i="38"/>
  <c r="G419" i="38" s="1"/>
  <c r="E430" i="38"/>
  <c r="G424" i="38"/>
  <c r="G430" i="38" s="1"/>
  <c r="C113" i="39" l="1"/>
  <c r="H113" i="39" s="1"/>
  <c r="H149" i="39" s="1"/>
  <c r="I149" i="19" s="1"/>
  <c r="J149" i="19" s="1"/>
  <c r="H101" i="39"/>
  <c r="H148" i="39" s="1"/>
  <c r="I148" i="19" s="1"/>
  <c r="J148" i="19" s="1"/>
  <c r="C125" i="39"/>
  <c r="H125" i="39" s="1"/>
  <c r="K41" i="38"/>
  <c r="F365" i="38"/>
  <c r="I384" i="38"/>
  <c r="H395" i="38" s="1"/>
  <c r="F369" i="38"/>
  <c r="F373" i="38" s="1"/>
  <c r="G131" i="39"/>
  <c r="H130" i="39"/>
  <c r="G131" i="19"/>
  <c r="G166" i="19"/>
  <c r="H166" i="19" s="1"/>
  <c r="H130" i="19"/>
  <c r="L59" i="11"/>
  <c r="L380" i="38"/>
  <c r="G331" i="38"/>
  <c r="J52" i="11"/>
  <c r="H328" i="38"/>
  <c r="I402" i="38" s="1"/>
  <c r="F43" i="38"/>
  <c r="F79" i="38" s="1"/>
  <c r="G362" i="38"/>
  <c r="I395" i="38" s="1"/>
  <c r="H406" i="38" s="1"/>
  <c r="J42" i="38"/>
  <c r="J78" i="38" s="1"/>
  <c r="G324" i="38"/>
  <c r="H321" i="38"/>
  <c r="I401" i="38" s="1"/>
  <c r="E43" i="38"/>
  <c r="E78" i="38"/>
  <c r="L58" i="11"/>
  <c r="K189" i="38"/>
  <c r="F213" i="38" s="1"/>
  <c r="E259" i="38"/>
  <c r="H152" i="39" l="1"/>
  <c r="L60" i="11"/>
  <c r="L61" i="11" s="1"/>
  <c r="K42" i="38"/>
  <c r="H131" i="39"/>
  <c r="G132" i="39"/>
  <c r="G132" i="19"/>
  <c r="G167" i="19"/>
  <c r="H167" i="19" s="1"/>
  <c r="H131" i="19"/>
  <c r="I385" i="38"/>
  <c r="G365" i="38"/>
  <c r="K61" i="11"/>
  <c r="K62" i="11" s="1"/>
  <c r="G369" i="38"/>
  <c r="G373" i="38" s="1"/>
  <c r="H331" i="38"/>
  <c r="L391" i="38"/>
  <c r="H362" i="38"/>
  <c r="J43" i="38"/>
  <c r="J79" i="38" s="1"/>
  <c r="I328" i="38"/>
  <c r="I414" i="38" s="1"/>
  <c r="H425" i="38" s="1"/>
  <c r="F44" i="38"/>
  <c r="F80" i="38" s="1"/>
  <c r="E44" i="38"/>
  <c r="I321" i="38"/>
  <c r="I413" i="38" s="1"/>
  <c r="E79" i="38"/>
  <c r="L379" i="38"/>
  <c r="H324" i="38"/>
  <c r="K259" i="38"/>
  <c r="I362" i="38" l="1"/>
  <c r="I369" i="38" s="1"/>
  <c r="I373" i="38" s="1"/>
  <c r="J44" i="38"/>
  <c r="J80" i="38" s="1"/>
  <c r="K52" i="11"/>
  <c r="H424" i="38"/>
  <c r="H369" i="38"/>
  <c r="H373" i="38" s="1"/>
  <c r="I406" i="38"/>
  <c r="H418" i="38" s="1"/>
  <c r="K43" i="38"/>
  <c r="G133" i="19"/>
  <c r="G168" i="19"/>
  <c r="H168" i="19" s="1"/>
  <c r="H132" i="19"/>
  <c r="G133" i="39"/>
  <c r="H132" i="39"/>
  <c r="I331" i="38"/>
  <c r="H365" i="38"/>
  <c r="L384" i="38"/>
  <c r="L385" i="38" s="1"/>
  <c r="L390" i="38"/>
  <c r="I324" i="38"/>
  <c r="E80" i="38"/>
  <c r="L406" i="38" l="1"/>
  <c r="I418" i="38"/>
  <c r="I365" i="38"/>
  <c r="K44" i="38"/>
  <c r="G134" i="19"/>
  <c r="G169" i="19"/>
  <c r="H169" i="19" s="1"/>
  <c r="H133" i="19"/>
  <c r="H133" i="39"/>
  <c r="G134" i="39"/>
  <c r="H134" i="39" s="1"/>
  <c r="I396" i="38"/>
  <c r="L395" i="38"/>
  <c r="L396" i="38" s="1"/>
  <c r="H396" i="38"/>
  <c r="H407" i="38"/>
  <c r="H414" i="38"/>
  <c r="L414" i="38" s="1"/>
  <c r="L402" i="38"/>
  <c r="H413" i="38"/>
  <c r="L401" i="38"/>
  <c r="I407" i="38"/>
  <c r="H429" i="38" l="1"/>
  <c r="H430" i="38" s="1"/>
  <c r="I419" i="38"/>
  <c r="L418" i="38"/>
  <c r="L407" i="38"/>
  <c r="H150" i="39"/>
  <c r="H136" i="39"/>
  <c r="G170" i="19"/>
  <c r="H170" i="19" s="1"/>
  <c r="I170" i="19" s="1"/>
  <c r="F112" i="38" s="1"/>
  <c r="H134" i="19"/>
  <c r="H150" i="19" s="1"/>
  <c r="K13" i="17"/>
  <c r="H419" i="38"/>
  <c r="L413" i="38"/>
  <c r="H136" i="19" l="1"/>
  <c r="I150" i="19"/>
  <c r="J150" i="19" s="1"/>
  <c r="H154" i="39"/>
  <c r="F111" i="38"/>
  <c r="E116" i="38" s="1"/>
  <c r="G116" i="38" s="1"/>
  <c r="E213" i="38" s="1"/>
  <c r="H154" i="19"/>
  <c r="C18" i="9"/>
  <c r="G18" i="9" s="1"/>
  <c r="G56" i="9" s="1"/>
  <c r="L5" i="11"/>
  <c r="I154" i="19" l="1"/>
  <c r="G60" i="9"/>
  <c r="L8" i="11"/>
  <c r="L10" i="11" s="1"/>
  <c r="E26" i="38" s="1"/>
  <c r="F26" i="38" s="1"/>
  <c r="G26" i="38" s="1"/>
  <c r="J307" i="38"/>
  <c r="J312" i="38" s="1"/>
  <c r="J314" i="38" s="1"/>
  <c r="H63" i="9" l="1"/>
  <c r="E263" i="38" s="1"/>
  <c r="N63" i="9"/>
  <c r="N56" i="9" s="1"/>
  <c r="M63" i="9"/>
  <c r="I63" i="9"/>
  <c r="F263" i="38" s="1"/>
  <c r="L63" i="9"/>
  <c r="J63" i="9"/>
  <c r="G263" i="38" s="1"/>
  <c r="G267" i="38" s="1"/>
  <c r="E302" i="38" s="1"/>
  <c r="K63" i="9"/>
  <c r="L56" i="9" l="1"/>
  <c r="L33" i="11" s="1"/>
  <c r="J353" i="38" s="1"/>
  <c r="I263" i="38"/>
  <c r="I267" i="38" s="1"/>
  <c r="G302" i="38" s="1"/>
  <c r="K56" i="9"/>
  <c r="L28" i="11" s="1"/>
  <c r="J344" i="38" s="1"/>
  <c r="H263" i="38"/>
  <c r="H267" i="38" s="1"/>
  <c r="F302" i="38" s="1"/>
  <c r="M56" i="9"/>
  <c r="L38" i="11" s="1"/>
  <c r="J263" i="38"/>
  <c r="I56" i="9"/>
  <c r="L19" i="11" s="1"/>
  <c r="J56" i="9"/>
  <c r="L56" i="11"/>
  <c r="L62" i="11" s="1"/>
  <c r="E208" i="38"/>
  <c r="G213" i="38" s="1"/>
  <c r="H213" i="38" s="1"/>
  <c r="H56" i="9"/>
  <c r="L15" i="11" s="1"/>
  <c r="O63" i="9"/>
  <c r="C12" i="18" l="1"/>
  <c r="L29" i="11" s="1"/>
  <c r="H302" i="38"/>
  <c r="D12" i="18"/>
  <c r="L34" i="11" s="1"/>
  <c r="J354" i="38" s="1"/>
  <c r="K428" i="38" s="1"/>
  <c r="I428" i="38"/>
  <c r="J357" i="38"/>
  <c r="I427" i="38"/>
  <c r="J348" i="38"/>
  <c r="F261" i="38"/>
  <c r="F267" i="38" s="1"/>
  <c r="E261" i="38"/>
  <c r="J261" i="38"/>
  <c r="J267" i="38" s="1"/>
  <c r="K263" i="38"/>
  <c r="B6" i="32"/>
  <c r="B17" i="32" s="1"/>
  <c r="D17" i="32" s="1"/>
  <c r="H45" i="38"/>
  <c r="H81" i="38" s="1"/>
  <c r="B5" i="32"/>
  <c r="B16" i="32" s="1"/>
  <c r="D16" i="32" s="1"/>
  <c r="I45" i="38"/>
  <c r="I81" i="38" s="1"/>
  <c r="O56" i="9"/>
  <c r="J321" i="38"/>
  <c r="J362" i="38"/>
  <c r="B12" i="18"/>
  <c r="L23" i="11"/>
  <c r="J335" i="38" s="1"/>
  <c r="J345" i="38"/>
  <c r="K427" i="38" s="1"/>
  <c r="C6" i="32"/>
  <c r="L42" i="11" l="1"/>
  <c r="C5" i="32"/>
  <c r="D86" i="32" s="1"/>
  <c r="F86" i="32" s="1"/>
  <c r="I426" i="38"/>
  <c r="J339" i="38"/>
  <c r="I429" i="38"/>
  <c r="L429" i="38" s="1"/>
  <c r="J365" i="38"/>
  <c r="F45" i="38"/>
  <c r="F81" i="38" s="1"/>
  <c r="J328" i="38"/>
  <c r="J369" i="38" s="1"/>
  <c r="J373" i="38" s="1"/>
  <c r="I424" i="38"/>
  <c r="J324" i="38"/>
  <c r="K261" i="38"/>
  <c r="E267" i="38"/>
  <c r="K267" i="38" s="1"/>
  <c r="B7" i="32"/>
  <c r="B18" i="32" s="1"/>
  <c r="D18" i="32" s="1"/>
  <c r="J45" i="38"/>
  <c r="J81" i="38" s="1"/>
  <c r="B4" i="32"/>
  <c r="B15" i="32" s="1"/>
  <c r="D15" i="32" s="1"/>
  <c r="G45" i="38"/>
  <c r="G81" i="38" s="1"/>
  <c r="B2" i="32"/>
  <c r="D83" i="32" s="1"/>
  <c r="E45" i="38"/>
  <c r="B26" i="32"/>
  <c r="D26" i="32" s="1"/>
  <c r="F26" i="32" s="1"/>
  <c r="B27" i="32"/>
  <c r="D27" i="32" s="1"/>
  <c r="F27" i="32" s="1"/>
  <c r="J349" i="38"/>
  <c r="L427" i="38"/>
  <c r="L416" i="38"/>
  <c r="L47" i="11"/>
  <c r="P56" i="9"/>
  <c r="Q56" i="9" s="1"/>
  <c r="X56" i="9"/>
  <c r="W56" i="9"/>
  <c r="Y56" i="9"/>
  <c r="V56" i="9"/>
  <c r="L24" i="11"/>
  <c r="E12" i="18"/>
  <c r="L48" i="11" s="1"/>
  <c r="F16" i="32"/>
  <c r="F17" i="32"/>
  <c r="T56" i="9"/>
  <c r="D37" i="32"/>
  <c r="D87" i="32"/>
  <c r="F87" i="32" s="1"/>
  <c r="U56" i="9"/>
  <c r="B3" i="32"/>
  <c r="L428" i="38"/>
  <c r="J358" i="38"/>
  <c r="L417" i="38"/>
  <c r="S56" i="9"/>
  <c r="D36" i="32" l="1"/>
  <c r="D46" i="32" s="1"/>
  <c r="F46" i="32" s="1"/>
  <c r="D88" i="32"/>
  <c r="F88" i="32" s="1"/>
  <c r="L424" i="38"/>
  <c r="D57" i="32"/>
  <c r="F57" i="32" s="1"/>
  <c r="I425" i="38"/>
  <c r="L425" i="38" s="1"/>
  <c r="J331" i="38"/>
  <c r="D56" i="32"/>
  <c r="F56" i="32" s="1"/>
  <c r="B8" i="32"/>
  <c r="B13" i="32"/>
  <c r="B23" i="32" s="1"/>
  <c r="D23" i="32" s="1"/>
  <c r="K45" i="38"/>
  <c r="E81" i="38"/>
  <c r="L52" i="11"/>
  <c r="F15" i="32"/>
  <c r="B28" i="32"/>
  <c r="D28" i="32" s="1"/>
  <c r="F28" i="32" s="1"/>
  <c r="C4" i="32"/>
  <c r="J336" i="38"/>
  <c r="K426" i="38" s="1"/>
  <c r="K430" i="38" s="1"/>
  <c r="L43" i="11"/>
  <c r="L53" i="11" s="1"/>
  <c r="B14" i="32"/>
  <c r="D14" i="32" s="1"/>
  <c r="D84" i="32"/>
  <c r="F84" i="32" s="1"/>
  <c r="F37" i="32"/>
  <c r="D47" i="32"/>
  <c r="F47" i="32" s="1"/>
  <c r="F83" i="32"/>
  <c r="F18" i="32"/>
  <c r="B25" i="32"/>
  <c r="D25" i="32" s="1"/>
  <c r="F25" i="32" s="1"/>
  <c r="F36" i="32" l="1"/>
  <c r="I430" i="38"/>
  <c r="D67" i="32"/>
  <c r="D77" i="32" s="1"/>
  <c r="F77" i="32" s="1"/>
  <c r="D58" i="32"/>
  <c r="D68" i="32" s="1"/>
  <c r="D66" i="32"/>
  <c r="D76" i="32" s="1"/>
  <c r="F76" i="32" s="1"/>
  <c r="B19" i="32"/>
  <c r="D38" i="32"/>
  <c r="D48" i="32" s="1"/>
  <c r="F48" i="32" s="1"/>
  <c r="D13" i="32"/>
  <c r="D33" i="32" s="1"/>
  <c r="B24" i="32"/>
  <c r="D24" i="32" s="1"/>
  <c r="F24" i="32" s="1"/>
  <c r="D85" i="32"/>
  <c r="D35" i="32"/>
  <c r="C8" i="32"/>
  <c r="D55" i="32"/>
  <c r="F14" i="32"/>
  <c r="F23" i="32"/>
  <c r="J340" i="38"/>
  <c r="J370" i="38"/>
  <c r="J374" i="38" s="1"/>
  <c r="D29" i="32" l="1"/>
  <c r="D53" i="32"/>
  <c r="F53" i="32" s="1"/>
  <c r="F67" i="32"/>
  <c r="F38" i="32"/>
  <c r="B29" i="32"/>
  <c r="F66" i="32"/>
  <c r="D54" i="32"/>
  <c r="D59" i="32" s="1"/>
  <c r="F29" i="32"/>
  <c r="D34" i="32"/>
  <c r="F34" i="32" s="1"/>
  <c r="F58" i="32"/>
  <c r="D19" i="32"/>
  <c r="F13" i="32"/>
  <c r="F19" i="32" s="1"/>
  <c r="L415" i="38"/>
  <c r="L419" i="38" s="1"/>
  <c r="K419" i="38"/>
  <c r="D43" i="32"/>
  <c r="F43" i="32" s="1"/>
  <c r="F33" i="32"/>
  <c r="F35" i="32"/>
  <c r="D45" i="32"/>
  <c r="F45" i="32" s="1"/>
  <c r="F68" i="32"/>
  <c r="D78" i="32"/>
  <c r="F78" i="32" s="1"/>
  <c r="J430" i="38"/>
  <c r="L426" i="38"/>
  <c r="L430" i="38" s="1"/>
  <c r="D63" i="32"/>
  <c r="F85" i="32"/>
  <c r="F89" i="32" s="1"/>
  <c r="B99" i="32" s="1"/>
  <c r="D89" i="32"/>
  <c r="F55" i="32"/>
  <c r="D65" i="32"/>
  <c r="B94" i="32" l="1"/>
  <c r="D44" i="32"/>
  <c r="F44" i="32" s="1"/>
  <c r="F49" i="32" s="1"/>
  <c r="B97" i="32" s="1"/>
  <c r="F54" i="32"/>
  <c r="F59" i="32" s="1"/>
  <c r="B95" i="32" s="1"/>
  <c r="D64" i="32"/>
  <c r="F64" i="32" s="1"/>
  <c r="D75" i="32"/>
  <c r="F75" i="32" s="1"/>
  <c r="F65" i="32"/>
  <c r="F39" i="32"/>
  <c r="B96" i="32" s="1"/>
  <c r="D73" i="32"/>
  <c r="F63" i="32"/>
  <c r="D69" i="32" l="1"/>
  <c r="D74" i="32"/>
  <c r="F74" i="32" s="1"/>
  <c r="F69" i="32"/>
  <c r="B98" i="32" s="1"/>
  <c r="F73" i="32"/>
  <c r="D79" i="32" l="1"/>
  <c r="F79" i="32"/>
  <c r="B92" i="32" s="1"/>
  <c r="B100" i="32" s="1"/>
</calcChain>
</file>

<file path=xl/sharedStrings.xml><?xml version="1.0" encoding="utf-8"?>
<sst xmlns="http://schemas.openxmlformats.org/spreadsheetml/2006/main" count="646" uniqueCount="289">
  <si>
    <t>Purchased</t>
  </si>
  <si>
    <t>Loss Factor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</si>
  <si>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</si>
  <si>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</si>
  <si>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</si>
  <si>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</si>
  <si>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</si>
  <si>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</si>
  <si>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</si>
  <si>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</si>
  <si>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</si>
  <si>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</si>
  <si>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</si>
  <si>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</si>
  <si>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</si>
  <si>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</si>
  <si>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</si>
  <si>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</si>
  <si>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</si>
  <si>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</si>
  <si>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</si>
  <si>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</si>
  <si>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</si>
  <si>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</si>
  <si>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</si>
  <si>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</si>
  <si>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</si>
  <si>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</si>
  <si>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</si>
  <si>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</si>
  <si>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</si>
  <si>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</si>
  <si>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</si>
  <si>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</si>
  <si>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</si>
  <si>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</si>
  <si>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</si>
  <si>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</si>
  <si>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</si>
  <si>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</si>
  <si>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</si>
  <si>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</si>
  <si>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</si>
  <si>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</si>
  <si>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</si>
  <si>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</si>
  <si>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</si>
  <si>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</si>
  <si>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</si>
  <si>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</si>
  <si>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</si>
  <si>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</si>
  <si>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</si>
  <si>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By Class</t>
  </si>
  <si>
    <t>Billed kWh</t>
  </si>
  <si>
    <t>kW/kWh</t>
  </si>
  <si>
    <t>2008 Actual</t>
  </si>
  <si>
    <t>Residential</t>
  </si>
  <si>
    <t>GS&lt;50</t>
  </si>
  <si>
    <t>GS&gt;50</t>
  </si>
  <si>
    <t>USL</t>
  </si>
  <si>
    <t>Weather Normal</t>
  </si>
  <si>
    <t>Streetlights</t>
  </si>
  <si>
    <t xml:space="preserve">2009 Actual </t>
  </si>
  <si>
    <t xml:space="preserve">  Connections</t>
  </si>
  <si>
    <t>Total of Above</t>
  </si>
  <si>
    <t>Total from Model</t>
  </si>
  <si>
    <t>Check should all be zero</t>
  </si>
  <si>
    <t>Sentinels</t>
  </si>
  <si>
    <t xml:space="preserve">2010 Actual </t>
  </si>
  <si>
    <t xml:space="preserve">2011 Actual </t>
  </si>
  <si>
    <t>Number of Customers - 3 Main Classes</t>
  </si>
  <si>
    <t>Summary of Degree Day Information</t>
  </si>
  <si>
    <t>Summary of All Heating Degree Days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</si>
  <si>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</si>
  <si>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</si>
  <si>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</si>
  <si>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</si>
  <si>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</si>
  <si>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</si>
  <si>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</si>
  <si>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</si>
  <si>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</si>
  <si>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</si>
  <si>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</si>
  <si>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</si>
  <si>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</si>
  <si>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</si>
  <si>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10 Year Avg</t>
  </si>
  <si>
    <t>20 Year Trend</t>
  </si>
  <si>
    <t>kWh</t>
  </si>
  <si>
    <t>kW</t>
  </si>
  <si>
    <t xml:space="preserve">Residential </t>
  </si>
  <si>
    <t>General Service &lt; 50 kW</t>
  </si>
  <si>
    <t>General Service  50 to 4,999 kW</t>
  </si>
  <si>
    <t>Street Lighting</t>
  </si>
  <si>
    <t>Sentinel Lighting</t>
  </si>
  <si>
    <t>Unmetered Scattered Load</t>
  </si>
  <si>
    <t>TOTAL</t>
  </si>
  <si>
    <t>Electricity - Commodity RPP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</si>
  <si>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</si>
  <si>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</si>
  <si>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</si>
  <si>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</si>
  <si>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</si>
  <si>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</si>
  <si>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</si>
  <si>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</si>
  <si>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</si>
  <si>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4705-Power Purchased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</si>
  <si>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</si>
  <si>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</si>
  <si>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</si>
  <si>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</si>
  <si>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</si>
  <si>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TORONTO LESTER B. PEARSON INT'L A</t>
  </si>
  <si>
    <t>Hydro One Load Transfers</t>
  </si>
  <si>
    <t>SME</t>
  </si>
  <si>
    <t>Customers</t>
  </si>
  <si>
    <t>Rate</t>
  </si>
  <si>
    <t>LV</t>
  </si>
  <si>
    <t>Metric(w/o losses)</t>
  </si>
  <si>
    <t>Summary</t>
  </si>
  <si>
    <t>2012 Actual</t>
  </si>
  <si>
    <t>2013 Actual</t>
  </si>
  <si>
    <t>2014 Actual</t>
  </si>
  <si>
    <t>2015 Actual</t>
  </si>
  <si>
    <t>2017 Weather Normal</t>
  </si>
  <si>
    <t>Total to 2015 - Aug</t>
  </si>
  <si>
    <t>2017 Load Foreacst</t>
  </si>
  <si>
    <t>2017 Forecasted Metered kWhs</t>
  </si>
  <si>
    <t>2017  Loss Factor</t>
  </si>
  <si>
    <t>CDM Adjustment</t>
  </si>
  <si>
    <t>2015 %RPP</t>
  </si>
  <si>
    <t>2016 Programs</t>
  </si>
  <si>
    <t>2017 Programs</t>
  </si>
  <si>
    <t>Target Credit</t>
  </si>
  <si>
    <t>Persistence Assumption - Total</t>
  </si>
  <si>
    <t>Persistence Assumption - Residential</t>
  </si>
  <si>
    <t>Persistence Assumption - GS &lt; 50 kW</t>
  </si>
  <si>
    <t>Persistence Assumption - GS &gt; 50 kW</t>
  </si>
  <si>
    <t>Predicted kWh Purchases Before CDM</t>
  </si>
  <si>
    <t>Predicted kWh Purchases After CDM</t>
  </si>
  <si>
    <t>CDM Adjustment - Purchased</t>
  </si>
  <si>
    <t>Residential %</t>
  </si>
  <si>
    <t>2016 CHP Prj</t>
  </si>
  <si>
    <t xml:space="preserve">Check </t>
  </si>
  <si>
    <t>OESP</t>
  </si>
  <si>
    <t>4062-OESP</t>
  </si>
  <si>
    <t>Table 2: Summary of Load and Customer/Connection Forecast</t>
  </si>
  <si>
    <t>Year</t>
  </si>
  <si>
    <t>Billed (GWh)</t>
  </si>
  <si>
    <t>Growth 
(GWh)</t>
  </si>
  <si>
    <t>Percent 
Change</t>
  </si>
  <si>
    <t>Customer/
Connection
Count</t>
  </si>
  <si>
    <t xml:space="preserve">Growth </t>
  </si>
  <si>
    <t>Percent 
Change
(%)</t>
  </si>
  <si>
    <t>Billed Energy (GWh) and Customer Count / Connections</t>
  </si>
  <si>
    <t xml:space="preserve">2008 Actual </t>
  </si>
  <si>
    <t xml:space="preserve">2012 Actual </t>
  </si>
  <si>
    <t xml:space="preserve">2013 Actual </t>
  </si>
  <si>
    <t xml:space="preserve">2014 Actual </t>
  </si>
  <si>
    <t>General Service 50 to 4,999 kW</t>
  </si>
  <si>
    <t>Billed Energy (GWh)</t>
  </si>
  <si>
    <t>Number of Customers/Connections</t>
  </si>
  <si>
    <t>Energy Usage per Customer/Connection (kWh per customer/connection)</t>
  </si>
  <si>
    <t>Statistic</t>
  </si>
  <si>
    <t>Value</t>
  </si>
  <si>
    <t>F Test</t>
  </si>
  <si>
    <t xml:space="preserve">MAPE (Monthly) </t>
  </si>
  <si>
    <t>T-stats by Coefficient</t>
  </si>
  <si>
    <t>Constant</t>
  </si>
  <si>
    <t xml:space="preserve">Actual </t>
  </si>
  <si>
    <t xml:space="preserve">Predicted </t>
  </si>
  <si>
    <t>Purchased Energy (GWh)</t>
  </si>
  <si>
    <t>Growth Rate in Customers/Connections</t>
  </si>
  <si>
    <t>Forecast number of Customers/Connections</t>
  </si>
  <si>
    <t xml:space="preserve">Annual kWh Usage Per Customer/Connection </t>
  </si>
  <si>
    <t xml:space="preserve"> Growth Rate in Usage Per Customer/Connection</t>
  </si>
  <si>
    <t>Forecast Annual kWh Usage per Customers/Connection</t>
  </si>
  <si>
    <t>NON-normalized Weather Billed Energy Forecast (GWh)</t>
  </si>
  <si>
    <t>Weather Sensitivity</t>
  </si>
  <si>
    <t>Non-normalized Weather Billed Energy Forecast (GWh)</t>
  </si>
  <si>
    <t>Adjustment for Weather (GWh)</t>
  </si>
  <si>
    <t>Adjustment for CDM (GWh)</t>
  </si>
  <si>
    <t>Weather Normalized Billed Energy Forecast (GWh)</t>
  </si>
  <si>
    <t>Billed Annual kW</t>
  </si>
  <si>
    <t>Ratio of kW to kWh</t>
  </si>
  <si>
    <t>Predicted Billed kW</t>
  </si>
  <si>
    <t>Predicted kWh Purchases before CDM adjustment</t>
  </si>
  <si>
    <t>% Difference between actual and predicted purchases</t>
  </si>
  <si>
    <t>Total Billed Before Adjustments</t>
  </si>
  <si>
    <t>Total Billed After Adjustments</t>
  </si>
  <si>
    <t xml:space="preserve">  Variance Analysis Compare to Board Approved</t>
  </si>
  <si>
    <t>Customer/Connections</t>
  </si>
  <si>
    <t xml:space="preserve">kW </t>
  </si>
  <si>
    <t>Billing Determinants</t>
  </si>
  <si>
    <t>Volumeteric Difference</t>
  </si>
  <si>
    <t xml:space="preserve">Total </t>
  </si>
  <si>
    <t>Table 1: R Square and Adjusted R Square Values</t>
  </si>
  <si>
    <t>Class</t>
  </si>
  <si>
    <t>Power Purchased</t>
  </si>
  <si>
    <t>2013 Board Approved</t>
  </si>
  <si>
    <t xml:space="preserve">2015 Actual </t>
  </si>
  <si>
    <t>2017 Test - Normalized</t>
  </si>
  <si>
    <t xml:space="preserve">Table 3: Billed Energy by Rate Class </t>
  </si>
  <si>
    <t xml:space="preserve">Sentinel Lighting </t>
  </si>
  <si>
    <t>Table 4:  Number of Customers / Connections by Rate Class</t>
  </si>
  <si>
    <t xml:space="preserve">Table 5: Annual Usage per Customer/Connection by Rate Class </t>
  </si>
  <si>
    <t>Table 6: Statistcial Results</t>
  </si>
  <si>
    <t>Table 7: Total System Purchases</t>
  </si>
  <si>
    <t>2017 Test - Normalized - 20 Year Trend</t>
  </si>
  <si>
    <t>Table 8: Conversion of Total System Purchases to Total Billed</t>
  </si>
  <si>
    <t>Billed</t>
  </si>
  <si>
    <t>Table 9: Historical Customer/Connection Data</t>
  </si>
  <si>
    <t>Table 10: Growth Rate in Customer/Connections</t>
  </si>
  <si>
    <t>Table11: Customer/Connection Forecast</t>
  </si>
  <si>
    <t>Table 12: Historical Annual Usage per Customer Before Allocation of Hydro One Load Transfers</t>
  </si>
  <si>
    <t>Table 13: Growth Rate in Usage Per Customer/Connection</t>
  </si>
  <si>
    <t>Table 14: Forecast Annual kWh Usage per Customer/Connection</t>
  </si>
  <si>
    <t>Table 15: Non-normalized Weather Billed Energy Forecast</t>
  </si>
  <si>
    <t>Table 16: Weather Sensitivity by Rate Class</t>
  </si>
  <si>
    <t>Table 17: Hydro One Load Transfers</t>
  </si>
  <si>
    <t>Hydro One Load Transfers (GWh)</t>
  </si>
  <si>
    <t>2007 - Actual</t>
  </si>
  <si>
    <t>2008 - Actual</t>
  </si>
  <si>
    <t>2009 - Actual</t>
  </si>
  <si>
    <t>2010 - Actual</t>
  </si>
  <si>
    <t>2011 - Actual</t>
  </si>
  <si>
    <t>2012 - Actual</t>
  </si>
  <si>
    <t>2013 - Actual</t>
  </si>
  <si>
    <t>2014 - Actual</t>
  </si>
  <si>
    <t>2015 - Actual</t>
  </si>
  <si>
    <t>2017 - Test Year Forecast</t>
  </si>
  <si>
    <t>Table 18: Difference Between Normalized and Non-normalized Bill Forecast</t>
  </si>
  <si>
    <t>Table 3-8 
(A)</t>
  </si>
  <si>
    <t>Table 3-15
(B)</t>
  </si>
  <si>
    <t>Table 3-17
 (C)</t>
  </si>
  <si>
    <t>Difference
= (A) - (B)
 - (C)</t>
  </si>
  <si>
    <t>Total Including Persistence</t>
  </si>
  <si>
    <t xml:space="preserve">Residential Allocation </t>
  </si>
  <si>
    <t>Table 24: Expected CDM Savings by Rate Class for LRAM Variance Account</t>
  </si>
  <si>
    <t>2017 LRAMVA kWh</t>
  </si>
  <si>
    <t>2017 LRAMVA kW - Annual</t>
  </si>
  <si>
    <t>2017 LRAMVA kW - Monthly</t>
  </si>
  <si>
    <t>Table 25: Alignment of Non-normal to Weather Normal Forecast and Other Adjustments</t>
  </si>
  <si>
    <t>Adjustment for Hydro One Load Transfer (GWh)</t>
  </si>
  <si>
    <t>Table 26: Historical Annual kW per Applicable Rate Class</t>
  </si>
  <si>
    <t>Table 27: Historical kW/KWh Ratio per Applicable Rate Class</t>
  </si>
  <si>
    <t>Table 28: kW Forecast by Applicable Rate Class</t>
  </si>
  <si>
    <t>Table 29: Summary of Total Forecast</t>
  </si>
  <si>
    <t>Table 30: Summary of Billing Determinants and Variances of Actual and Forecast Data</t>
  </si>
  <si>
    <t>Table 32 Billing Determinants - 2013 Actual vs 2013 Board Approved</t>
  </si>
  <si>
    <t xml:space="preserve">2013 Board Approved </t>
  </si>
  <si>
    <t>Table 34 Billing Determinants - 2014 Actual vs 2013 Actual</t>
  </si>
  <si>
    <t>Table 36 Billing Determinants - 2015 Actual vs 2014 Actual</t>
  </si>
  <si>
    <t>2017 Test</t>
  </si>
  <si>
    <t>Calculation Of SME Charges</t>
  </si>
  <si>
    <t>customers</t>
  </si>
  <si>
    <t>InnPower Forecast for 2017 EB-2016-0086  Rate Application</t>
  </si>
  <si>
    <t xml:space="preserve"> Variance Analysis Compare to Board Approved</t>
  </si>
  <si>
    <t>Actual</t>
  </si>
  <si>
    <t>Predicted</t>
  </si>
  <si>
    <t>Weather Noraml Factor</t>
  </si>
  <si>
    <t>Used</t>
  </si>
  <si>
    <t>2016 Actual</t>
  </si>
  <si>
    <t xml:space="preserve">2016 Actual </t>
  </si>
  <si>
    <t>% Variance (Abs)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</si>
  <si>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</si>
  <si>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</si>
  <si>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</si>
  <si>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</si>
  <si>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</si>
  <si>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</si>
  <si>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</si>
  <si>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</si>
  <si>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</si>
  <si>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</si>
  <si>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Geo Mean - 2007 to 2016</t>
  </si>
  <si>
    <t>2017(Not Normalized)</t>
  </si>
  <si>
    <t>2016 - Actual</t>
  </si>
  <si>
    <t>2016-2017 Expected kWh Savings</t>
  </si>
  <si>
    <t>2016-2017 Expected Residential kW kWh Savings</t>
  </si>
  <si>
    <t>2016-2017 Expected General Service &lt; 50 kW kWh Savings</t>
  </si>
  <si>
    <t>2016-2017 Expected General Service  50 to 4,999 kW kWh Savings</t>
  </si>
  <si>
    <t>Average 2007 to 2016</t>
  </si>
  <si>
    <t>Table 40 Billing Determinants - 2017 Test vs 2016 Actual</t>
  </si>
  <si>
    <t>Table 38 Billing Determinants - 2016 Actual vs 2015 Actual</t>
  </si>
  <si>
    <t>GS &lt; 50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</si>
</sst>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;\(#,##0\)"/>
    <numFmt numFmtId="166" formatCode="0.0000"/>
    <numFmt numFmtId="167" formatCode="#,##0.0000"/>
    <numFmt numFmtId="168" formatCode="0.0000%"/>
    <numFmt numFmtId="169" formatCode="_(* #,##0_);_(* \(#,##0\);_(* &quot;-&quot;??_);_(@_)"/>
    <numFmt numFmtId="170" formatCode="#,##0.0000_);\(#,##0.0000\)"/>
    <numFmt numFmtId="171" formatCode="#,##0.00000_);\(#,##0.00000\)"/>
    <numFmt numFmtId="172" formatCode="&quot;$&quot;#,##0.00000_);\(&quot;$&quot;#,##0.00000\)"/>
    <numFmt numFmtId="173" formatCode="&quot;$&quot;#,##0.0000_);\(&quot;$&quot;#,##0.0000\)"/>
    <numFmt numFmtId="174" formatCode="0.0"/>
    <numFmt numFmtId="175" formatCode="#,##0;\(#,###\)"/>
    <numFmt numFmtId="176" formatCode="#,##0.0"/>
    <numFmt numFmtId="177" formatCode="_(&quot;$&quot;* #,##0_);_(&quot;$&quot;* \(#,##0\);_(&quot;$&quot;* &quot;-&quot;??_);_(@_)"/>
    <numFmt numFmtId="178" formatCode="0.000"/>
    <numFmt numFmtId="179" formatCode="#,##0.0;\(#,##0.0\)"/>
    <numFmt numFmtId="180" formatCode="0.0%;\(0.0%\)"/>
    <numFmt numFmtId="181" formatCode="0.0;\(0.0\)"/>
    <numFmt numFmtId="182" formatCode="#,##0_ ;\-#,##0\ "/>
    <numFmt numFmtId="183" formatCode="0.0000%;\(0.0%\)"/>
    <numFmt numFmtId="184" formatCode="0.00%;\(0.00%\)"/>
    <numFmt numFmtId="185" formatCode="0;\(0\)"/>
    <numFmt numFmtId="186" formatCode="#,##0.0000000000"/>
    <numFmt numFmtId="187" formatCode="#,##0.00000"/>
    <numFmt numFmtId="188" formatCode="0.000;\(0.000\)"/>
    <numFmt numFmtId="189" formatCode="#,##0.00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u/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sz val="8"/>
      <color indexed="5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4" fillId="0" borderId="0"/>
    <xf numFmtId="9" fontId="2" fillId="0" borderId="0" applyFont="0" applyFill="0" applyBorder="0" applyAlignment="0" applyProtection="0"/>
    <xf numFmtId="0" fontId="15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7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3" fontId="2" fillId="0" borderId="0" xfId="1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3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/>
    <xf numFmtId="0" fontId="5" fillId="0" borderId="0" xfId="0" applyFont="1" applyAlignment="1"/>
    <xf numFmtId="3" fontId="0" fillId="2" borderId="0" xfId="0" applyNumberFormat="1" applyFill="1" applyAlignment="1">
      <alignment horizontal="center"/>
    </xf>
    <xf numFmtId="17" fontId="5" fillId="0" borderId="0" xfId="0" applyNumberFormat="1" applyFont="1"/>
    <xf numFmtId="0" fontId="0" fillId="0" borderId="0" xfId="0" applyFill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1" xfId="0" applyBorder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/>
    <xf numFmtId="165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5" fillId="0" borderId="0" xfId="0" applyNumberFormat="1" applyFont="1"/>
    <xf numFmtId="0" fontId="6" fillId="0" borderId="0" xfId="0" applyFont="1"/>
    <xf numFmtId="164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" fontId="4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/>
    <xf numFmtId="166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Continuous"/>
    </xf>
    <xf numFmtId="165" fontId="0" fillId="2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10" fontId="0" fillId="0" borderId="0" xfId="11" applyNumberFormat="1" applyFont="1" applyFill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43" fontId="0" fillId="0" borderId="0" xfId="1" applyFont="1" applyFill="1" applyBorder="1" applyAlignment="1"/>
    <xf numFmtId="43" fontId="0" fillId="0" borderId="2" xfId="1" applyFont="1" applyFill="1" applyBorder="1" applyAlignment="1"/>
    <xf numFmtId="169" fontId="0" fillId="0" borderId="0" xfId="1" applyNumberFormat="1" applyFont="1" applyFill="1" applyBorder="1" applyAlignment="1"/>
    <xf numFmtId="169" fontId="0" fillId="0" borderId="2" xfId="1" applyNumberFormat="1" applyFont="1" applyFill="1" applyBorder="1" applyAlignment="1"/>
    <xf numFmtId="9" fontId="0" fillId="0" borderId="0" xfId="11" applyFont="1" applyFill="1" applyBorder="1" applyAlignment="1"/>
    <xf numFmtId="3" fontId="0" fillId="0" borderId="0" xfId="1" applyNumberFormat="1" applyFont="1" applyAlignment="1">
      <alignment horizontal="center"/>
    </xf>
    <xf numFmtId="43" fontId="2" fillId="0" borderId="0" xfId="4" applyFont="1"/>
    <xf numFmtId="0" fontId="9" fillId="0" borderId="0" xfId="0" applyFont="1"/>
    <xf numFmtId="0" fontId="10" fillId="0" borderId="0" xfId="0" applyFont="1"/>
    <xf numFmtId="43" fontId="11" fillId="0" borderId="0" xfId="4" applyFont="1"/>
    <xf numFmtId="0" fontId="11" fillId="0" borderId="0" xfId="0" applyFont="1"/>
    <xf numFmtId="43" fontId="12" fillId="0" borderId="0" xfId="4" applyFont="1" applyAlignment="1">
      <alignment horizontal="right"/>
    </xf>
    <xf numFmtId="0" fontId="12" fillId="0" borderId="4" xfId="0" applyFont="1" applyBorder="1" applyAlignment="1">
      <alignment horizontal="right"/>
    </xf>
    <xf numFmtId="0" fontId="11" fillId="0" borderId="0" xfId="0" applyFont="1" applyAlignment="1">
      <alignment horizontal="right"/>
    </xf>
    <xf numFmtId="43" fontId="11" fillId="0" borderId="0" xfId="0" applyNumberFormat="1" applyFont="1" applyAlignment="1">
      <alignment horizontal="right"/>
    </xf>
    <xf numFmtId="2" fontId="8" fillId="2" borderId="0" xfId="0" applyNumberFormat="1" applyFont="1" applyFill="1"/>
    <xf numFmtId="4" fontId="8" fillId="2" borderId="0" xfId="0" applyNumberFormat="1" applyFont="1" applyFill="1"/>
    <xf numFmtId="0" fontId="12" fillId="2" borderId="0" xfId="0" applyFont="1" applyFill="1"/>
    <xf numFmtId="2" fontId="0" fillId="0" borderId="0" xfId="0" applyNumberFormat="1"/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37" fontId="3" fillId="2" borderId="0" xfId="0" applyNumberFormat="1" applyFont="1" applyFill="1" applyAlignment="1">
      <alignment horizontal="center"/>
    </xf>
    <xf numFmtId="3" fontId="0" fillId="0" borderId="5" xfId="0" applyNumberFormat="1" applyBorder="1"/>
    <xf numFmtId="0" fontId="5" fillId="0" borderId="1" xfId="0" applyFont="1" applyBorder="1" applyAlignment="1">
      <alignment horizontal="left" indent="1"/>
    </xf>
    <xf numFmtId="0" fontId="5" fillId="0" borderId="1" xfId="0" applyFont="1" applyBorder="1"/>
    <xf numFmtId="3" fontId="0" fillId="0" borderId="10" xfId="0" applyNumberFormat="1" applyBorder="1"/>
    <xf numFmtId="0" fontId="5" fillId="0" borderId="0" xfId="0" applyFont="1" applyBorder="1" applyAlignment="1">
      <alignment horizontal="left" indent="1"/>
    </xf>
    <xf numFmtId="37" fontId="5" fillId="0" borderId="0" xfId="0" applyNumberFormat="1" applyFont="1" applyBorder="1"/>
    <xf numFmtId="0" fontId="5" fillId="0" borderId="0" xfId="0" applyFont="1" applyBorder="1"/>
    <xf numFmtId="171" fontId="0" fillId="0" borderId="0" xfId="0" applyNumberFormat="1" applyBorder="1"/>
    <xf numFmtId="5" fontId="5" fillId="0" borderId="0" xfId="0" applyNumberFormat="1" applyFont="1" applyFill="1" applyBorder="1"/>
    <xf numFmtId="5" fontId="0" fillId="0" borderId="5" xfId="0" applyNumberFormat="1" applyBorder="1"/>
    <xf numFmtId="0" fontId="0" fillId="0" borderId="10" xfId="0" applyBorder="1"/>
    <xf numFmtId="5" fontId="0" fillId="0" borderId="5" xfId="0" applyNumberFormat="1" applyFill="1" applyBorder="1"/>
    <xf numFmtId="37" fontId="5" fillId="0" borderId="1" xfId="0" applyNumberFormat="1" applyFont="1" applyBorder="1"/>
    <xf numFmtId="37" fontId="0" fillId="0" borderId="1" xfId="0" applyNumberFormat="1" applyFill="1" applyBorder="1"/>
    <xf numFmtId="170" fontId="0" fillId="0" borderId="1" xfId="0" applyNumberFormat="1" applyFill="1" applyBorder="1"/>
    <xf numFmtId="37" fontId="0" fillId="0" borderId="1" xfId="0" applyNumberFormat="1" applyBorder="1"/>
    <xf numFmtId="5" fontId="0" fillId="0" borderId="1" xfId="0" applyNumberFormat="1" applyBorder="1"/>
    <xf numFmtId="171" fontId="0" fillId="0" borderId="1" xfId="0" applyNumberFormat="1" applyBorder="1"/>
    <xf numFmtId="170" fontId="0" fillId="0" borderId="1" xfId="0" applyNumberFormat="1" applyBorder="1" applyAlignment="1">
      <alignment horizontal="center"/>
    </xf>
    <xf numFmtId="5" fontId="5" fillId="0" borderId="1" xfId="0" applyNumberFormat="1" applyFont="1" applyBorder="1"/>
    <xf numFmtId="3" fontId="0" fillId="0" borderId="1" xfId="0" applyNumberFormat="1" applyBorder="1"/>
    <xf numFmtId="169" fontId="2" fillId="0" borderId="1" xfId="1" applyNumberFormat="1" applyFill="1" applyBorder="1"/>
    <xf numFmtId="165" fontId="0" fillId="0" borderId="0" xfId="0" applyNumberFormat="1"/>
    <xf numFmtId="174" fontId="0" fillId="0" borderId="0" xfId="0" applyNumberFormat="1" applyFill="1" applyAlignment="1">
      <alignment horizontal="center"/>
    </xf>
    <xf numFmtId="174" fontId="4" fillId="0" borderId="0" xfId="0" applyNumberFormat="1" applyFont="1" applyFill="1" applyAlignment="1">
      <alignment horizontal="center" wrapText="1"/>
    </xf>
    <xf numFmtId="174" fontId="3" fillId="2" borderId="0" xfId="0" applyNumberFormat="1" applyFont="1" applyFill="1" applyAlignment="1">
      <alignment horizontal="center"/>
    </xf>
    <xf numFmtId="174" fontId="0" fillId="2" borderId="0" xfId="0" applyNumberFormat="1" applyFill="1" applyAlignment="1">
      <alignment horizontal="center"/>
    </xf>
    <xf numFmtId="175" fontId="0" fillId="0" borderId="0" xfId="0" applyNumberFormat="1" applyFill="1" applyAlignment="1">
      <alignment horizontal="center"/>
    </xf>
    <xf numFmtId="0" fontId="0" fillId="0" borderId="2" xfId="0" applyFill="1" applyBorder="1" applyAlignment="1">
      <alignment wrapText="1"/>
    </xf>
    <xf numFmtId="175" fontId="0" fillId="0" borderId="0" xfId="0" applyNumberFormat="1"/>
    <xf numFmtId="176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174" fontId="3" fillId="0" borderId="0" xfId="0" applyNumberFormat="1" applyFont="1" applyFill="1" applyAlignment="1">
      <alignment horizontal="center"/>
    </xf>
    <xf numFmtId="0" fontId="2" fillId="0" borderId="0" xfId="0" applyFont="1"/>
    <xf numFmtId="0" fontId="2" fillId="0" borderId="10" xfId="0" applyFont="1" applyBorder="1"/>
    <xf numFmtId="0" fontId="13" fillId="6" borderId="1" xfId="0" applyFont="1" applyFill="1" applyBorder="1"/>
    <xf numFmtId="0" fontId="5" fillId="6" borderId="7" xfId="0" applyFont="1" applyFill="1" applyBorder="1"/>
    <xf numFmtId="0" fontId="5" fillId="6" borderId="8" xfId="0" applyFont="1" applyFill="1" applyBorder="1"/>
    <xf numFmtId="0" fontId="5" fillId="6" borderId="9" xfId="0" applyFont="1" applyFill="1" applyBorder="1"/>
    <xf numFmtId="0" fontId="5" fillId="6" borderId="1" xfId="0" applyFont="1" applyFill="1" applyBorder="1"/>
    <xf numFmtId="0" fontId="5" fillId="6" borderId="0" xfId="0" applyFont="1" applyFill="1" applyAlignment="1">
      <alignment horizontal="center"/>
    </xf>
    <xf numFmtId="0" fontId="5" fillId="6" borderId="1" xfId="0" applyFont="1" applyFill="1" applyBorder="1" applyAlignment="1">
      <alignment horizontal="left" indent="1"/>
    </xf>
    <xf numFmtId="37" fontId="5" fillId="6" borderId="1" xfId="0" applyNumberFormat="1" applyFont="1" applyFill="1" applyBorder="1"/>
    <xf numFmtId="171" fontId="0" fillId="6" borderId="1" xfId="0" applyNumberFormat="1" applyFill="1" applyBorder="1"/>
    <xf numFmtId="5" fontId="5" fillId="6" borderId="1" xfId="0" applyNumberFormat="1" applyFont="1" applyFill="1" applyBorder="1"/>
    <xf numFmtId="0" fontId="13" fillId="6" borderId="11" xfId="0" applyFont="1" applyFill="1" applyBorder="1"/>
    <xf numFmtId="0" fontId="5" fillId="6" borderId="12" xfId="0" applyFont="1" applyFill="1" applyBorder="1"/>
    <xf numFmtId="0" fontId="5" fillId="6" borderId="13" xfId="0" applyFont="1" applyFill="1" applyBorder="1" applyAlignment="1">
      <alignment horizontal="center"/>
    </xf>
    <xf numFmtId="0" fontId="5" fillId="6" borderId="13" xfId="0" applyFont="1" applyFill="1" applyBorder="1"/>
    <xf numFmtId="0" fontId="5" fillId="6" borderId="14" xfId="0" applyFont="1" applyFill="1" applyBorder="1"/>
    <xf numFmtId="0" fontId="5" fillId="6" borderId="6" xfId="0" applyNumberFormat="1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37" fontId="5" fillId="5" borderId="0" xfId="0" applyNumberFormat="1" applyFont="1" applyFill="1" applyBorder="1"/>
    <xf numFmtId="0" fontId="5" fillId="5" borderId="0" xfId="0" applyFont="1" applyFill="1" applyBorder="1"/>
    <xf numFmtId="171" fontId="0" fillId="5" borderId="0" xfId="0" applyNumberFormat="1" applyFill="1" applyBorder="1"/>
    <xf numFmtId="5" fontId="5" fillId="5" borderId="0" xfId="0" applyNumberFormat="1" applyFont="1" applyFill="1" applyBorder="1"/>
    <xf numFmtId="37" fontId="0" fillId="5" borderId="1" xfId="0" applyNumberFormat="1" applyFill="1" applyBorder="1"/>
    <xf numFmtId="5" fontId="0" fillId="5" borderId="1" xfId="0" applyNumberFormat="1" applyFill="1" applyBorder="1"/>
    <xf numFmtId="170" fontId="2" fillId="0" borderId="1" xfId="0" applyNumberFormat="1" applyFont="1" applyBorder="1" applyAlignment="1">
      <alignment horizontal="center"/>
    </xf>
    <xf numFmtId="5" fontId="0" fillId="5" borderId="5" xfId="0" applyNumberFormat="1" applyFill="1" applyBorder="1"/>
    <xf numFmtId="177" fontId="0" fillId="0" borderId="5" xfId="6" applyNumberFormat="1" applyFont="1" applyBorder="1"/>
    <xf numFmtId="37" fontId="5" fillId="5" borderId="9" xfId="0" applyNumberFormat="1" applyFont="1" applyFill="1" applyBorder="1"/>
    <xf numFmtId="0" fontId="5" fillId="6" borderId="9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9" fontId="2" fillId="4" borderId="1" xfId="11" applyFill="1" applyBorder="1"/>
    <xf numFmtId="170" fontId="0" fillId="4" borderId="1" xfId="0" applyNumberFormat="1" applyFill="1" applyBorder="1"/>
    <xf numFmtId="172" fontId="0" fillId="4" borderId="1" xfId="0" applyNumberFormat="1" applyFill="1" applyBorder="1"/>
    <xf numFmtId="173" fontId="0" fillId="4" borderId="1" xfId="0" applyNumberFormat="1" applyFill="1" applyBorder="1"/>
    <xf numFmtId="0" fontId="2" fillId="0" borderId="0" xfId="0" applyFont="1" applyAlignment="1">
      <alignment horizontal="center"/>
    </xf>
    <xf numFmtId="37" fontId="2" fillId="0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166" fontId="0" fillId="7" borderId="0" xfId="0" applyNumberFormat="1" applyFill="1" applyAlignment="1">
      <alignment horizontal="center"/>
    </xf>
    <xf numFmtId="0" fontId="0" fillId="5" borderId="0" xfId="0" applyNumberFormat="1" applyFill="1" applyAlignment="1">
      <alignment horizontal="right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0" fillId="4" borderId="0" xfId="0" applyNumberFormat="1" applyFill="1" applyAlignment="1">
      <alignment horizontal="center"/>
    </xf>
    <xf numFmtId="3" fontId="0" fillId="0" borderId="0" xfId="0" applyNumberFormat="1"/>
    <xf numFmtId="164" fontId="0" fillId="0" borderId="0" xfId="11" applyNumberFormat="1" applyFont="1" applyAlignment="1">
      <alignment horizontal="center"/>
    </xf>
    <xf numFmtId="10" fontId="0" fillId="0" borderId="0" xfId="1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11" applyNumberFormat="1" applyFont="1"/>
    <xf numFmtId="178" fontId="0" fillId="0" borderId="0" xfId="0" applyNumberFormat="1" applyFill="1" applyAlignment="1">
      <alignment horizontal="center" wrapText="1"/>
    </xf>
    <xf numFmtId="0" fontId="2" fillId="0" borderId="20" xfId="0" applyFont="1" applyBorder="1"/>
    <xf numFmtId="0" fontId="2" fillId="0" borderId="0" xfId="0" applyFont="1" applyBorder="1"/>
    <xf numFmtId="0" fontId="2" fillId="0" borderId="23" xfId="0" applyFont="1" applyBorder="1"/>
    <xf numFmtId="3" fontId="2" fillId="0" borderId="0" xfId="0" applyNumberFormat="1" applyFont="1" applyBorder="1"/>
    <xf numFmtId="0" fontId="2" fillId="0" borderId="21" xfId="0" applyFont="1" applyBorder="1"/>
    <xf numFmtId="0" fontId="2" fillId="0" borderId="2" xfId="0" applyFont="1" applyBorder="1"/>
    <xf numFmtId="0" fontId="2" fillId="0" borderId="24" xfId="0" applyFont="1" applyBorder="1"/>
    <xf numFmtId="5" fontId="2" fillId="5" borderId="23" xfId="0" applyNumberFormat="1" applyFont="1" applyFill="1" applyBorder="1"/>
    <xf numFmtId="4" fontId="0" fillId="0" borderId="0" xfId="0" applyNumberFormat="1" applyAlignment="1">
      <alignment horizontal="center"/>
    </xf>
    <xf numFmtId="0" fontId="0" fillId="5" borderId="0" xfId="0" applyFill="1"/>
    <xf numFmtId="0" fontId="2" fillId="0" borderId="13" xfId="0" applyFont="1" applyBorder="1"/>
    <xf numFmtId="177" fontId="0" fillId="0" borderId="11" xfId="6" applyNumberFormat="1" applyFont="1" applyBorder="1"/>
    <xf numFmtId="0" fontId="5" fillId="6" borderId="6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174" fontId="8" fillId="0" borderId="1" xfId="13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41" fontId="8" fillId="0" borderId="1" xfId="13" applyNumberFormat="1" applyFont="1" applyFill="1" applyBorder="1" applyAlignment="1">
      <alignment vertical="center"/>
    </xf>
    <xf numFmtId="3" fontId="8" fillId="0" borderId="9" xfId="13" applyNumberFormat="1" applyFont="1" applyFill="1" applyBorder="1" applyAlignment="1">
      <alignment horizontal="center" vertical="center"/>
    </xf>
    <xf numFmtId="176" fontId="8" fillId="0" borderId="1" xfId="13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1" fontId="8" fillId="0" borderId="0" xfId="13" applyNumberFormat="1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174" fontId="8" fillId="0" borderId="9" xfId="13" applyNumberFormat="1" applyFont="1" applyFill="1" applyBorder="1" applyAlignment="1">
      <alignment horizontal="center" vertical="center"/>
    </xf>
    <xf numFmtId="176" fontId="8" fillId="0" borderId="9" xfId="13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174" fontId="8" fillId="0" borderId="0" xfId="0" applyNumberFormat="1" applyFont="1" applyFill="1" applyAlignment="1">
      <alignment vertical="center"/>
    </xf>
    <xf numFmtId="3" fontId="8" fillId="0" borderId="1" xfId="13" applyNumberFormat="1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7" fontId="8" fillId="0" borderId="0" xfId="14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 wrapText="1"/>
    </xf>
    <xf numFmtId="164" fontId="8" fillId="0" borderId="1" xfId="13" applyNumberFormat="1" applyFont="1" applyFill="1" applyBorder="1" applyAlignment="1">
      <alignment horizontal="center" vertical="center"/>
    </xf>
    <xf numFmtId="181" fontId="8" fillId="0" borderId="1" xfId="13" applyNumberFormat="1" applyFont="1" applyFill="1" applyBorder="1" applyAlignment="1">
      <alignment horizontal="center" vertical="center"/>
    </xf>
    <xf numFmtId="180" fontId="8" fillId="0" borderId="9" xfId="13" applyNumberFormat="1" applyFont="1" applyFill="1" applyBorder="1" applyAlignment="1">
      <alignment horizontal="center" vertical="center"/>
    </xf>
    <xf numFmtId="3" fontId="8" fillId="0" borderId="16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Alignment="1">
      <alignment vertical="center"/>
    </xf>
    <xf numFmtId="0" fontId="8" fillId="0" borderId="17" xfId="0" applyFont="1" applyFill="1" applyBorder="1" applyAlignment="1">
      <alignment vertical="center"/>
    </xf>
    <xf numFmtId="0" fontId="8" fillId="0" borderId="15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176" fontId="8" fillId="0" borderId="16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9" fontId="8" fillId="0" borderId="16" xfId="0" applyNumberFormat="1" applyFont="1" applyFill="1" applyBorder="1" applyAlignment="1">
      <alignment horizontal="center" vertical="center" wrapText="1"/>
    </xf>
    <xf numFmtId="9" fontId="8" fillId="0" borderId="0" xfId="0" applyNumberFormat="1" applyFont="1" applyFill="1" applyBorder="1" applyAlignment="1">
      <alignment horizontal="center" vertical="center" wrapText="1"/>
    </xf>
    <xf numFmtId="0" fontId="17" fillId="0" borderId="1" xfId="15" applyFont="1" applyFill="1" applyBorder="1" applyAlignment="1">
      <alignment horizontal="left"/>
    </xf>
    <xf numFmtId="0" fontId="17" fillId="0" borderId="0" xfId="15" applyFont="1" applyFill="1" applyBorder="1" applyAlignment="1">
      <alignment horizontal="left"/>
    </xf>
    <xf numFmtId="182" fontId="8" fillId="0" borderId="0" xfId="16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181" fontId="8" fillId="0" borderId="16" xfId="0" applyNumberFormat="1" applyFont="1" applyFill="1" applyBorder="1" applyAlignment="1">
      <alignment horizontal="center" vertical="center" wrapText="1"/>
    </xf>
    <xf numFmtId="179" fontId="8" fillId="0" borderId="16" xfId="0" applyNumberFormat="1" applyFont="1" applyFill="1" applyBorder="1" applyAlignment="1">
      <alignment horizontal="center" vertical="center" wrapText="1"/>
    </xf>
    <xf numFmtId="179" fontId="8" fillId="0" borderId="0" xfId="0" applyNumberFormat="1" applyFont="1" applyFill="1" applyBorder="1" applyAlignment="1">
      <alignment horizontal="center" vertical="center" wrapText="1"/>
    </xf>
    <xf numFmtId="183" fontId="8" fillId="0" borderId="16" xfId="0" applyNumberFormat="1" applyFont="1" applyFill="1" applyBorder="1" applyAlignment="1">
      <alignment horizontal="center" vertical="center" wrapText="1"/>
    </xf>
    <xf numFmtId="183" fontId="8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180" fontId="12" fillId="0" borderId="9" xfId="13" applyNumberFormat="1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Alignment="1">
      <alignment vertical="center"/>
    </xf>
    <xf numFmtId="184" fontId="8" fillId="0" borderId="1" xfId="11" applyNumberFormat="1" applyFont="1" applyFill="1" applyBorder="1" applyAlignment="1">
      <alignment horizontal="center"/>
    </xf>
    <xf numFmtId="3" fontId="8" fillId="0" borderId="7" xfId="0" applyNumberFormat="1" applyFont="1" applyBorder="1" applyAlignment="1">
      <alignment horizontal="left"/>
    </xf>
    <xf numFmtId="3" fontId="8" fillId="0" borderId="8" xfId="0" applyNumberFormat="1" applyFont="1" applyBorder="1" applyAlignment="1">
      <alignment horizontal="left"/>
    </xf>
    <xf numFmtId="3" fontId="8" fillId="0" borderId="9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185" fontId="8" fillId="0" borderId="1" xfId="0" applyNumberFormat="1" applyFont="1" applyBorder="1" applyAlignment="1">
      <alignment horizontal="center"/>
    </xf>
    <xf numFmtId="3" fontId="8" fillId="0" borderId="1" xfId="11" applyNumberFormat="1" applyFont="1" applyBorder="1" applyAlignment="1">
      <alignment horizontal="center"/>
    </xf>
    <xf numFmtId="3" fontId="8" fillId="0" borderId="1" xfId="0" applyNumberFormat="1" applyFont="1" applyBorder="1"/>
    <xf numFmtId="165" fontId="8" fillId="0" borderId="1" xfId="1" applyNumberFormat="1" applyFont="1" applyBorder="1" applyAlignment="1">
      <alignment horizontal="center"/>
    </xf>
    <xf numFmtId="0" fontId="8" fillId="5" borderId="0" xfId="0" applyFont="1" applyFill="1" applyAlignment="1">
      <alignment vertical="center"/>
    </xf>
    <xf numFmtId="0" fontId="0" fillId="0" borderId="0" xfId="11" applyNumberFormat="1" applyFont="1" applyFill="1" applyAlignment="1">
      <alignment horizontal="center" wrapText="1"/>
    </xf>
    <xf numFmtId="0" fontId="0" fillId="0" borderId="0" xfId="1" applyNumberFormat="1" applyFont="1"/>
    <xf numFmtId="164" fontId="0" fillId="0" borderId="0" xfId="0" applyNumberFormat="1"/>
    <xf numFmtId="186" fontId="8" fillId="0" borderId="0" xfId="0" applyNumberFormat="1" applyFont="1" applyFill="1" applyAlignment="1">
      <alignment vertical="center"/>
    </xf>
    <xf numFmtId="180" fontId="8" fillId="0" borderId="16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8" fillId="0" borderId="0" xfId="0" applyFont="1"/>
    <xf numFmtId="9" fontId="8" fillId="0" borderId="1" xfId="0" applyNumberFormat="1" applyFont="1" applyBorder="1" applyAlignment="1">
      <alignment horizontal="center" vertical="center"/>
    </xf>
    <xf numFmtId="9" fontId="19" fillId="0" borderId="1" xfId="13" applyNumberFormat="1" applyFont="1" applyFill="1" applyBorder="1" applyAlignment="1">
      <alignment horizontal="center" vertical="center" wrapText="1"/>
    </xf>
    <xf numFmtId="176" fontId="8" fillId="0" borderId="0" xfId="13" applyNumberFormat="1" applyFont="1" applyFill="1" applyBorder="1" applyAlignment="1">
      <alignment horizontal="center" vertical="center"/>
    </xf>
    <xf numFmtId="181" fontId="8" fillId="0" borderId="0" xfId="0" applyNumberFormat="1" applyFont="1" applyFill="1" applyBorder="1" applyAlignment="1">
      <alignment horizontal="center" vertical="center"/>
    </xf>
    <xf numFmtId="180" fontId="8" fillId="0" borderId="0" xfId="0" applyNumberFormat="1" applyFont="1" applyFill="1" applyBorder="1" applyAlignment="1">
      <alignment horizontal="center" vertical="center"/>
    </xf>
    <xf numFmtId="187" fontId="8" fillId="0" borderId="0" xfId="0" applyNumberFormat="1" applyFont="1" applyFill="1" applyAlignment="1">
      <alignment vertical="center"/>
    </xf>
    <xf numFmtId="174" fontId="8" fillId="0" borderId="0" xfId="13" applyNumberFormat="1" applyFont="1" applyFill="1" applyBorder="1" applyAlignment="1">
      <alignment horizontal="center" vertical="center"/>
    </xf>
    <xf numFmtId="0" fontId="0" fillId="0" borderId="1" xfId="0" applyBorder="1"/>
    <xf numFmtId="180" fontId="8" fillId="0" borderId="0" xfId="13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67" fontId="8" fillId="0" borderId="1" xfId="13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164" fontId="8" fillId="0" borderId="1" xfId="11" applyNumberFormat="1" applyFont="1" applyFill="1" applyBorder="1" applyAlignment="1">
      <alignment horizontal="center" vertical="center"/>
    </xf>
    <xf numFmtId="164" fontId="8" fillId="0" borderId="0" xfId="11" applyNumberFormat="1" applyFont="1" applyFill="1" applyBorder="1" applyAlignment="1">
      <alignment horizontal="center" vertical="center"/>
    </xf>
    <xf numFmtId="188" fontId="8" fillId="0" borderId="16" xfId="0" applyNumberFormat="1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center" vertical="center" wrapText="1"/>
    </xf>
    <xf numFmtId="3" fontId="8" fillId="0" borderId="8" xfId="13" applyNumberFormat="1" applyFont="1" applyFill="1" applyBorder="1" applyAlignment="1">
      <alignment horizontal="center" vertical="center"/>
    </xf>
    <xf numFmtId="184" fontId="8" fillId="0" borderId="8" xfId="11" applyNumberFormat="1" applyFont="1" applyFill="1" applyBorder="1" applyAlignment="1">
      <alignment horizontal="center"/>
    </xf>
    <xf numFmtId="184" fontId="8" fillId="0" borderId="9" xfId="11" applyNumberFormat="1" applyFont="1" applyFill="1" applyBorder="1" applyAlignment="1">
      <alignment horizontal="center"/>
    </xf>
    <xf numFmtId="3" fontId="8" fillId="0" borderId="6" xfId="13" applyNumberFormat="1" applyFont="1" applyFill="1" applyBorder="1" applyAlignment="1">
      <alignment horizontal="center" vertical="center"/>
    </xf>
    <xf numFmtId="3" fontId="0" fillId="5" borderId="0" xfId="0" applyNumberFormat="1" applyFill="1" applyAlignment="1">
      <alignment horizontal="center"/>
    </xf>
    <xf numFmtId="0" fontId="5" fillId="0" borderId="20" xfId="0" applyFont="1" applyBorder="1"/>
    <xf numFmtId="5" fontId="5" fillId="0" borderId="23" xfId="0" applyNumberFormat="1" applyFont="1" applyBorder="1"/>
    <xf numFmtId="0" fontId="5" fillId="0" borderId="0" xfId="0" applyFont="1" applyBorder="1" applyAlignment="1">
      <alignment horizontal="right"/>
    </xf>
    <xf numFmtId="0" fontId="5" fillId="6" borderId="18" xfId="0" applyFont="1" applyFill="1" applyBorder="1"/>
    <xf numFmtId="0" fontId="5" fillId="6" borderId="19" xfId="0" applyFont="1" applyFill="1" applyBorder="1"/>
    <xf numFmtId="0" fontId="5" fillId="6" borderId="22" xfId="0" applyFont="1" applyFill="1" applyBorder="1"/>
    <xf numFmtId="0" fontId="5" fillId="6" borderId="20" xfId="0" applyFont="1" applyFill="1" applyBorder="1"/>
    <xf numFmtId="0" fontId="5" fillId="6" borderId="0" xfId="0" applyFont="1" applyFill="1" applyBorder="1"/>
    <xf numFmtId="0" fontId="5" fillId="6" borderId="23" xfId="0" applyFont="1" applyFill="1" applyBorder="1"/>
    <xf numFmtId="0" fontId="12" fillId="8" borderId="1" xfId="12" applyFont="1" applyFill="1" applyBorder="1" applyAlignment="1">
      <alignment horizontal="center" vertical="center" wrapText="1"/>
    </xf>
    <xf numFmtId="0" fontId="12" fillId="8" borderId="7" xfId="12" applyFont="1" applyFill="1" applyBorder="1" applyAlignment="1">
      <alignment horizontal="left" vertical="center"/>
    </xf>
    <xf numFmtId="0" fontId="12" fillId="8" borderId="8" xfId="12" applyFont="1" applyFill="1" applyBorder="1" applyAlignment="1">
      <alignment horizontal="center" vertical="center"/>
    </xf>
    <xf numFmtId="3" fontId="12" fillId="8" borderId="1" xfId="12" applyNumberFormat="1" applyFont="1" applyFill="1" applyBorder="1" applyAlignment="1">
      <alignment horizontal="center" vertical="center" wrapText="1"/>
    </xf>
    <xf numFmtId="0" fontId="12" fillId="8" borderId="9" xfId="12" applyFont="1" applyFill="1" applyBorder="1" applyAlignment="1">
      <alignment horizontal="center" vertical="center"/>
    </xf>
    <xf numFmtId="0" fontId="12" fillId="8" borderId="9" xfId="12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/>
    </xf>
    <xf numFmtId="0" fontId="12" fillId="8" borderId="9" xfId="0" applyFont="1" applyFill="1" applyBorder="1" applyAlignment="1">
      <alignment horizontal="left" vertical="center"/>
    </xf>
    <xf numFmtId="0" fontId="12" fillId="8" borderId="13" xfId="12" applyFont="1" applyFill="1" applyBorder="1" applyAlignment="1">
      <alignment horizontal="left" vertical="center"/>
    </xf>
    <xf numFmtId="0" fontId="12" fillId="8" borderId="14" xfId="12" applyFont="1" applyFill="1" applyBorder="1" applyAlignment="1">
      <alignment horizontal="center" vertical="center"/>
    </xf>
    <xf numFmtId="0" fontId="12" fillId="8" borderId="11" xfId="12" applyFont="1" applyFill="1" applyBorder="1" applyAlignment="1">
      <alignment horizontal="center" vertical="center" wrapText="1"/>
    </xf>
    <xf numFmtId="0" fontId="16" fillId="8" borderId="1" xfId="15" applyFont="1" applyFill="1" applyBorder="1" applyAlignment="1">
      <alignment horizontal="center"/>
    </xf>
    <xf numFmtId="0" fontId="8" fillId="8" borderId="7" xfId="0" applyFont="1" applyFill="1" applyBorder="1" applyAlignment="1">
      <alignment horizontal="left" vertical="center"/>
    </xf>
    <xf numFmtId="0" fontId="8" fillId="8" borderId="8" xfId="0" applyFont="1" applyFill="1" applyBorder="1" applyAlignment="1">
      <alignment horizontal="left" vertical="center"/>
    </xf>
    <xf numFmtId="0" fontId="8" fillId="8" borderId="1" xfId="0" applyFont="1" applyFill="1" applyBorder="1"/>
    <xf numFmtId="0" fontId="8" fillId="8" borderId="1" xfId="0" applyFont="1" applyFill="1" applyBorder="1" applyAlignment="1">
      <alignment horizontal="center" wrapText="1"/>
    </xf>
    <xf numFmtId="3" fontId="8" fillId="8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12" fillId="0" borderId="10" xfId="0" applyFont="1" applyBorder="1"/>
    <xf numFmtId="0" fontId="0" fillId="0" borderId="0" xfId="0" applyBorder="1"/>
    <xf numFmtId="0" fontId="0" fillId="0" borderId="17" xfId="0" applyBorder="1"/>
    <xf numFmtId="0" fontId="12" fillId="0" borderId="0" xfId="0" applyFont="1" applyBorder="1"/>
    <xf numFmtId="0" fontId="8" fillId="0" borderId="0" xfId="0" applyFont="1" applyBorder="1"/>
    <xf numFmtId="0" fontId="8" fillId="0" borderId="17" xfId="0" applyFont="1" applyBorder="1"/>
    <xf numFmtId="9" fontId="8" fillId="0" borderId="0" xfId="11" applyFont="1" applyFill="1" applyAlignment="1">
      <alignment vertical="center"/>
    </xf>
    <xf numFmtId="0" fontId="1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center" vertical="center"/>
    </xf>
    <xf numFmtId="0" fontId="16" fillId="8" borderId="1" xfId="15" applyFont="1" applyFill="1" applyBorder="1" applyAlignment="1">
      <alignment horizontal="center"/>
    </xf>
    <xf numFmtId="0" fontId="16" fillId="8" borderId="1" xfId="15" applyFont="1" applyFill="1" applyBorder="1" applyAlignment="1">
      <alignment horizontal="center"/>
    </xf>
    <xf numFmtId="178" fontId="0" fillId="0" borderId="0" xfId="0" applyNumberFormat="1" applyAlignment="1">
      <alignment horizontal="center"/>
    </xf>
    <xf numFmtId="0" fontId="12" fillId="2" borderId="0" xfId="0" applyFont="1" applyFill="1" applyAlignment="1"/>
    <xf numFmtId="3" fontId="2" fillId="0" borderId="0" xfId="0" applyNumberFormat="1" applyFont="1" applyAlignment="1"/>
    <xf numFmtId="184" fontId="8" fillId="0" borderId="9" xfId="0" applyNumberFormat="1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189" fontId="8" fillId="0" borderId="16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/>
    <xf numFmtId="0" fontId="12" fillId="0" borderId="8" xfId="0" applyFont="1" applyBorder="1" applyAlignment="1"/>
    <xf numFmtId="3" fontId="4" fillId="0" borderId="1" xfId="0" applyNumberFormat="1" applyFont="1" applyFill="1" applyBorder="1" applyAlignment="1">
      <alignment horizontal="center"/>
    </xf>
    <xf numFmtId="174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7" fontId="0" fillId="0" borderId="1" xfId="0" applyNumberFormat="1" applyBorder="1"/>
    <xf numFmtId="3" fontId="0" fillId="0" borderId="1" xfId="0" applyNumberFormat="1" applyFill="1" applyBorder="1" applyAlignment="1">
      <alignment horizontal="center"/>
    </xf>
    <xf numFmtId="174" fontId="0" fillId="0" borderId="1" xfId="0" applyNumberFormat="1" applyFill="1" applyBorder="1" applyAlignment="1">
      <alignment horizontal="center"/>
    </xf>
    <xf numFmtId="37" fontId="3" fillId="0" borderId="1" xfId="0" applyNumberFormat="1" applyFont="1" applyBorder="1" applyAlignment="1">
      <alignment horizontal="center"/>
    </xf>
    <xf numFmtId="37" fontId="3" fillId="0" borderId="1" xfId="0" applyNumberFormat="1" applyFont="1" applyFill="1" applyBorder="1" applyAlignment="1">
      <alignment horizontal="center"/>
    </xf>
    <xf numFmtId="37" fontId="0" fillId="0" borderId="1" xfId="0" applyNumberFormat="1" applyBorder="1" applyAlignment="1">
      <alignment horizontal="center"/>
    </xf>
    <xf numFmtId="174" fontId="3" fillId="0" borderId="1" xfId="0" applyNumberFormat="1" applyFont="1" applyFill="1" applyBorder="1" applyAlignment="1">
      <alignment horizontal="center"/>
    </xf>
    <xf numFmtId="37" fontId="2" fillId="0" borderId="1" xfId="0" applyNumberFormat="1" applyFont="1" applyFill="1" applyBorder="1" applyAlignment="1">
      <alignment horizontal="center"/>
    </xf>
    <xf numFmtId="0" fontId="12" fillId="0" borderId="1" xfId="12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2" fillId="8" borderId="7" xfId="12" applyFont="1" applyFill="1" applyBorder="1" applyAlignment="1">
      <alignment horizontal="center" vertical="center"/>
    </xf>
    <xf numFmtId="0" fontId="12" fillId="8" borderId="8" xfId="12" applyFont="1" applyFill="1" applyBorder="1" applyAlignment="1">
      <alignment horizontal="center" vertical="center"/>
    </xf>
    <xf numFmtId="0" fontId="12" fillId="8" borderId="9" xfId="12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2" fillId="8" borderId="7" xfId="12" applyFont="1" applyFill="1" applyBorder="1" applyAlignment="1">
      <alignment horizontal="left" vertical="center" wrapText="1"/>
    </xf>
    <xf numFmtId="0" fontId="12" fillId="8" borderId="8" xfId="12" applyFont="1" applyFill="1" applyBorder="1" applyAlignment="1">
      <alignment horizontal="left" vertical="center" wrapText="1"/>
    </xf>
    <xf numFmtId="0" fontId="12" fillId="8" borderId="9" xfId="12" applyFont="1" applyFill="1" applyBorder="1" applyAlignment="1">
      <alignment horizontal="left" vertical="center" wrapText="1"/>
    </xf>
    <xf numFmtId="3" fontId="19" fillId="0" borderId="1" xfId="0" applyNumberFormat="1" applyFont="1" applyBorder="1" applyAlignment="1">
      <alignment horizontal="left" vertical="center" wrapText="1"/>
    </xf>
    <xf numFmtId="1" fontId="8" fillId="0" borderId="7" xfId="0" applyNumberFormat="1" applyFont="1" applyFill="1" applyBorder="1" applyAlignment="1">
      <alignment horizontal="left" vertical="center" wrapText="1" indent="1"/>
    </xf>
    <xf numFmtId="1" fontId="8" fillId="0" borderId="8" xfId="0" applyNumberFormat="1" applyFont="1" applyFill="1" applyBorder="1" applyAlignment="1">
      <alignment horizontal="left" vertical="center" wrapText="1" indent="1"/>
    </xf>
    <xf numFmtId="1" fontId="8" fillId="0" borderId="9" xfId="0" applyNumberFormat="1" applyFont="1" applyFill="1" applyBorder="1" applyAlignment="1">
      <alignment horizontal="left" vertical="center" wrapText="1" indent="1"/>
    </xf>
    <xf numFmtId="1" fontId="8" fillId="0" borderId="7" xfId="0" applyNumberFormat="1" applyFont="1" applyFill="1" applyBorder="1" applyAlignment="1">
      <alignment horizontal="left" vertical="center" indent="1"/>
    </xf>
    <xf numFmtId="1" fontId="8" fillId="0" borderId="8" xfId="0" applyNumberFormat="1" applyFont="1" applyFill="1" applyBorder="1" applyAlignment="1">
      <alignment horizontal="left" vertical="center" indent="1"/>
    </xf>
    <xf numFmtId="1" fontId="8" fillId="0" borderId="9" xfId="0" applyNumberFormat="1" applyFont="1" applyFill="1" applyBorder="1" applyAlignment="1">
      <alignment horizontal="left" vertical="center" indent="1"/>
    </xf>
    <xf numFmtId="0" fontId="12" fillId="0" borderId="16" xfId="0" applyFont="1" applyFill="1" applyBorder="1" applyAlignment="1">
      <alignment horizontal="left" vertical="center"/>
    </xf>
    <xf numFmtId="0" fontId="12" fillId="8" borderId="7" xfId="12" applyFont="1" applyFill="1" applyBorder="1" applyAlignment="1">
      <alignment horizontal="left" vertical="center"/>
    </xf>
    <xf numFmtId="0" fontId="12" fillId="8" borderId="8" xfId="12" applyFont="1" applyFill="1" applyBorder="1" applyAlignment="1">
      <alignment horizontal="left" vertical="center"/>
    </xf>
    <xf numFmtId="0" fontId="12" fillId="8" borderId="9" xfId="12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16" fillId="8" borderId="1" xfId="15" applyFont="1" applyFill="1" applyBorder="1" applyAlignment="1">
      <alignment horizontal="center"/>
    </xf>
    <xf numFmtId="0" fontId="16" fillId="8" borderId="7" xfId="15" applyFont="1" applyFill="1" applyBorder="1" applyAlignment="1">
      <alignment horizontal="center"/>
    </xf>
    <xf numFmtId="0" fontId="16" fillId="8" borderId="8" xfId="15" applyFont="1" applyFill="1" applyBorder="1" applyAlignment="1">
      <alignment horizontal="center"/>
    </xf>
    <xf numFmtId="0" fontId="16" fillId="8" borderId="9" xfId="15" applyFont="1" applyFill="1" applyBorder="1" applyAlignment="1">
      <alignment horizontal="center"/>
    </xf>
    <xf numFmtId="0" fontId="16" fillId="8" borderId="7" xfId="15" applyFont="1" applyFill="1" applyBorder="1" applyAlignment="1">
      <alignment horizontal="center" wrapText="1"/>
    </xf>
    <xf numFmtId="0" fontId="16" fillId="8" borderId="8" xfId="15" applyFont="1" applyFill="1" applyBorder="1" applyAlignment="1">
      <alignment horizontal="center" wrapText="1"/>
    </xf>
    <xf numFmtId="0" fontId="16" fillId="8" borderId="9" xfId="15" applyFont="1" applyFill="1" applyBorder="1" applyAlignment="1">
      <alignment horizontal="center" wrapText="1"/>
    </xf>
    <xf numFmtId="184" fontId="8" fillId="0" borderId="7" xfId="0" applyNumberFormat="1" applyFont="1" applyFill="1" applyBorder="1" applyAlignment="1">
      <alignment horizontal="left" vertical="center" wrapText="1"/>
    </xf>
    <xf numFmtId="184" fontId="8" fillId="0" borderId="8" xfId="0" applyNumberFormat="1" applyFont="1" applyFill="1" applyBorder="1" applyAlignment="1">
      <alignment horizontal="left" vertical="center" wrapText="1"/>
    </xf>
    <xf numFmtId="184" fontId="8" fillId="0" borderId="9" xfId="0" applyNumberFormat="1" applyFont="1" applyFill="1" applyBorder="1" applyAlignment="1">
      <alignment horizontal="left" vertical="center" wrapText="1"/>
    </xf>
    <xf numFmtId="0" fontId="12" fillId="8" borderId="7" xfId="0" applyFont="1" applyFill="1" applyBorder="1" applyAlignment="1">
      <alignment horizontal="left"/>
    </xf>
    <xf numFmtId="0" fontId="12" fillId="8" borderId="8" xfId="0" applyFont="1" applyFill="1" applyBorder="1" applyAlignment="1">
      <alignment horizontal="left"/>
    </xf>
    <xf numFmtId="0" fontId="12" fillId="8" borderId="9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174" fontId="0" fillId="0" borderId="0" xfId="0" applyNumberFormat="1" applyAlignment="1">
      <alignment horizontal="center" wrapText="1"/>
    </xf>
    <xf numFmtId="0" fontId="5" fillId="6" borderId="11" xfId="0" applyFont="1" applyFill="1" applyBorder="1" applyAlignment="1">
      <alignment horizontal="center" wrapText="1"/>
    </xf>
    <xf numFmtId="0" fontId="5" fillId="6" borderId="16" xfId="0" applyFont="1" applyFill="1" applyBorder="1" applyAlignment="1">
      <alignment horizontal="center" wrapText="1"/>
    </xf>
    <xf numFmtId="0" fontId="5" fillId="6" borderId="13" xfId="0" applyNumberFormat="1" applyFont="1" applyFill="1" applyBorder="1" applyAlignment="1">
      <alignment horizontal="center"/>
    </xf>
    <xf numFmtId="0" fontId="5" fillId="6" borderId="14" xfId="0" applyNumberFormat="1" applyFont="1" applyFill="1" applyBorder="1" applyAlignment="1">
      <alignment horizontal="center"/>
    </xf>
    <xf numFmtId="0" fontId="5" fillId="6" borderId="9" xfId="0" applyNumberFormat="1" applyFont="1" applyFill="1" applyBorder="1" applyAlignment="1">
      <alignment horizontal="center"/>
    </xf>
    <xf numFmtId="0" fontId="5" fillId="6" borderId="10" xfId="0" applyNumberFormat="1" applyFont="1" applyFill="1" applyBorder="1" applyAlignment="1">
      <alignment horizontal="center"/>
    </xf>
    <xf numFmtId="0" fontId="5" fillId="6" borderId="4" xfId="0" applyNumberFormat="1" applyFont="1" applyFill="1" applyBorder="1" applyAlignment="1">
      <alignment horizontal="center"/>
    </xf>
    <xf numFmtId="0" fontId="5" fillId="6" borderId="6" xfId="0" applyNumberFormat="1" applyFont="1" applyFill="1" applyBorder="1" applyAlignment="1">
      <alignment horizontal="center"/>
    </xf>
    <xf numFmtId="0" fontId="5" fillId="6" borderId="11" xfId="0" applyNumberFormat="1" applyFont="1" applyFill="1" applyBorder="1" applyAlignment="1">
      <alignment horizontal="center" wrapText="1"/>
    </xf>
    <xf numFmtId="0" fontId="5" fillId="6" borderId="5" xfId="0" applyNumberFormat="1" applyFont="1" applyFill="1" applyBorder="1" applyAlignment="1">
      <alignment horizontal="center" wrapText="1"/>
    </xf>
    <xf numFmtId="0" fontId="5" fillId="6" borderId="15" xfId="0" applyNumberFormat="1" applyFont="1" applyFill="1" applyBorder="1" applyAlignment="1">
      <alignment horizontal="center"/>
    </xf>
    <xf numFmtId="0" fontId="5" fillId="6" borderId="17" xfId="0" applyNumberFormat="1" applyFont="1" applyFill="1" applyBorder="1" applyAlignment="1">
      <alignment horizontal="center"/>
    </xf>
  </cellXfs>
  <cellStyles count="18">
    <cellStyle name="Comma" xfId="1" builtinId="3"/>
    <cellStyle name="Comma 2" xfId="2"/>
    <cellStyle name="Comma 3" xfId="3"/>
    <cellStyle name="Comma 3 2 5" xfId="16"/>
    <cellStyle name="Comma_Horizon 2011 Load Forecast Model  June 25, 2010" xfId="4"/>
    <cellStyle name="Comma_OPDC_RA2009_Rates Design" xfId="14"/>
    <cellStyle name="Comma0" xfId="5"/>
    <cellStyle name="Currency" xfId="6" builtinId="4"/>
    <cellStyle name="Currency0" xfId="7"/>
    <cellStyle name="Date" xfId="8"/>
    <cellStyle name="Fixed" xfId="9"/>
    <cellStyle name="Normal" xfId="0" builtinId="0"/>
    <cellStyle name="Normal 2" xfId="10"/>
    <cellStyle name="Normal 5 2 3" xfId="15"/>
    <cellStyle name="Normal_OEB Trial Balance - Regulatory-July24-07" xfId="13"/>
    <cellStyle name="Normal_Sheet2" xfId="12"/>
    <cellStyle name="Percent" xfId="11" builtinId="5"/>
    <cellStyle name="Percent 3 2 3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'Exhibit 3 Tables'!$J$101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'Exhibit 3 Tables'!$I$102:$I$111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'Exhibit 3 Tables'!$J$102:$J$111</c:f>
              <c:numCache>
                <c:formatCode>0</c:formatCode>
                <c:ptCount val="10"/>
                <c:pt idx="0">
                  <c:v>241.1546361</c:v>
                </c:pt>
                <c:pt idx="1">
                  <c:v>245.62302780000002</c:v>
                </c:pt>
                <c:pt idx="2">
                  <c:v>247.23918920000003</c:v>
                </c:pt>
                <c:pt idx="3">
                  <c:v>250.23937879999997</c:v>
                </c:pt>
                <c:pt idx="4">
                  <c:v>246.75816720000003</c:v>
                </c:pt>
                <c:pt idx="5">
                  <c:v>245.12983840000004</c:v>
                </c:pt>
                <c:pt idx="6">
                  <c:v>251.7580614</c:v>
                </c:pt>
                <c:pt idx="7">
                  <c:v>253.25498630000001</c:v>
                </c:pt>
                <c:pt idx="8">
                  <c:v>255.77498309999999</c:v>
                </c:pt>
                <c:pt idx="9">
                  <c:v>259.38203600000003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FC-4FA7-8C90-DCC7796DB9B9}"/>
            </c:ext>
          </c:extLst>
        </c:ser>
        <c:ser>
          <c:idx val="1"/>
          <c:order val="1"/>
          <c:tx>
            <c:strRef>
              <c:f>'Exhibit 3 Tables'!$K$101</c:f>
              <c:strCache>
                <c:ptCount val="1"/>
                <c:pt idx="0">
                  <c:v>Predicted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'Exhibit 3 Tables'!$I$102:$I$111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'Exhibit 3 Tables'!$K$102:$K$111</c:f>
              <c:numCache>
                <c:formatCode>0</c:formatCode>
                <c:ptCount val="10"/>
                <c:pt idx="0">
                  <c:v>245.10964281529311</c:v>
                </c:pt>
                <c:pt idx="1">
                  <c:v>243.75214778149052</c:v>
                </c:pt>
                <c:pt idx="2">
                  <c:v>243.4334148098296</c:v>
                </c:pt>
                <c:pt idx="3">
                  <c:v>246.67780133027512</c:v>
                </c:pt>
                <c:pt idx="4">
                  <c:v>249.08561488396003</c:v>
                </c:pt>
                <c:pt idx="5">
                  <c:v>246.97503663319921</c:v>
                </c:pt>
                <c:pt idx="6">
                  <c:v>250.05481672654173</c:v>
                </c:pt>
                <c:pt idx="7">
                  <c:v>254.54088988211166</c:v>
                </c:pt>
                <c:pt idx="8">
                  <c:v>255.30925472807687</c:v>
                </c:pt>
                <c:pt idx="9">
                  <c:v>261.37568470922133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FC-4FA7-8C90-DCC7796DB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049408"/>
        <c:axId val="92087808"/>
      </c:barChart>
      <c:catAx>
        <c:axId val="9204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087808"/>
        <c:crosses val="autoZero"/>
        <c:auto val="1"/>
        <c:lblAlgn val="ctr"/>
        <c:lblOffset val="100"/>
        <c:noMultiLvlLbl val="0"/>
      </c:catAx>
      <c:valAx>
        <c:axId val="9208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049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483870</xdr:colOff>
      <xdr:row>97</xdr:row>
      <xdr:rowOff>148590</xdr:rowOff>
    </xdr:from>
    <xdr:to>
      <xdr:col>15</xdr:col>
      <xdr:colOff>506730</xdr:colOff>
      <xdr:row>112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g\Desktop\Dummy%20F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ndap\AppData\Local\Microsoft\Windows\Temporary%20Internet%20Files\Content.Outlook\L7LXSOMP\eng-daily-01012014-123120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ndap\AppData\Local\Microsoft\Windows\Temporary%20Internet%20Files\Content.Outlook\L7LXSOMP\eng-daily-01012015-1231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Lakeland\2013%20Rate%20Appl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il\AppData\Local\Microsoft\Windows\Temporary%20Internet%20Files\Content.Outlook\UASGTAG3\2016%20OEB%20Trial%20Balance%20and%20PBR%20Dat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ndap\AppData\Local\Microsoft\Windows\Temporary%20Internet%20Files\Content.Outlook\L7LXSOMP\2002%20to%202011%20Load%20Forecast%20Dat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ndap\AppData\Local\Microsoft\Windows\Temporary%20Internet%20Files\Content.Outlook\L7LXSOMP\InnPower%20Power%20Puchased%202002_2015%20Dec%20Updates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Innisfil\2017%20Rate%20Application\Interrogatories\GT%20C3%20March%202017%20%20Financial%20Analysis%20-%20JET%20design%20mod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ndap\AppData\Local\Microsoft\Windows\Temporary%20Internet%20Files\Content.Outlook\L7LXSOMP\InnPower%20CDM%20Plan%20Submission\InnPower%20CDM%20Plan%20Submission\InnPower%20CF%20CDM%20EE%20Cost%20Effectiveness%20Tool%20Final%20v2_01202015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ndap\AppData\Local\Microsoft\Windows\Temporary%20Internet%20Files\Content.Outlook\L7LXSOMP\eng-daily-01012013-1231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4-12312014"/>
    </sheetNames>
    <sheetDataSet>
      <sheetData sheetId="0">
        <row r="57">
          <cell r="M57">
            <v>825.90000000000009</v>
          </cell>
          <cell r="O57">
            <v>0</v>
          </cell>
        </row>
        <row r="86">
          <cell r="M86">
            <v>737.09999999999991</v>
          </cell>
          <cell r="O86">
            <v>0</v>
          </cell>
        </row>
        <row r="117">
          <cell r="M117">
            <v>690.6</v>
          </cell>
          <cell r="O117">
            <v>0</v>
          </cell>
        </row>
        <row r="147">
          <cell r="M147">
            <v>356.90000000000003</v>
          </cell>
          <cell r="O147">
            <v>0</v>
          </cell>
        </row>
        <row r="178">
          <cell r="M178">
            <v>132.10000000000005</v>
          </cell>
          <cell r="O178">
            <v>11.9</v>
          </cell>
        </row>
        <row r="208">
          <cell r="M208">
            <v>14.1</v>
          </cell>
          <cell r="O208">
            <v>68.099999999999994</v>
          </cell>
        </row>
        <row r="239">
          <cell r="M239">
            <v>4</v>
          </cell>
          <cell r="O239">
            <v>71</v>
          </cell>
        </row>
        <row r="270">
          <cell r="M270">
            <v>8.7999999999999989</v>
          </cell>
          <cell r="O270">
            <v>81.799999999999983</v>
          </cell>
        </row>
        <row r="300">
          <cell r="M300">
            <v>69.700000000000017</v>
          </cell>
          <cell r="O300">
            <v>30.099999999999998</v>
          </cell>
        </row>
        <row r="331">
          <cell r="M331">
            <v>224.30000000000004</v>
          </cell>
          <cell r="O331">
            <v>1.3</v>
          </cell>
        </row>
        <row r="361">
          <cell r="M361">
            <v>482.1</v>
          </cell>
          <cell r="O361">
            <v>0</v>
          </cell>
        </row>
        <row r="392">
          <cell r="M392">
            <v>557.29999999999995</v>
          </cell>
          <cell r="O392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5-12312015"/>
    </sheetNames>
    <sheetDataSet>
      <sheetData sheetId="0">
        <row r="57">
          <cell r="M57">
            <v>792.39999999999975</v>
          </cell>
          <cell r="O57">
            <v>0</v>
          </cell>
        </row>
        <row r="86">
          <cell r="M86">
            <v>856.8</v>
          </cell>
          <cell r="O86">
            <v>0</v>
          </cell>
        </row>
        <row r="117">
          <cell r="M117">
            <v>615.49999999999989</v>
          </cell>
          <cell r="O117">
            <v>0</v>
          </cell>
        </row>
        <row r="147">
          <cell r="M147">
            <v>313.7</v>
          </cell>
          <cell r="O147">
            <v>0</v>
          </cell>
        </row>
        <row r="178">
          <cell r="M178">
            <v>89.3</v>
          </cell>
          <cell r="O178">
            <v>34.1</v>
          </cell>
        </row>
        <row r="208">
          <cell r="M208">
            <v>33.800000000000004</v>
          </cell>
          <cell r="O208">
            <v>32.299999999999997</v>
          </cell>
        </row>
        <row r="239">
          <cell r="M239">
            <v>4</v>
          </cell>
          <cell r="O239">
            <v>114.29999999999998</v>
          </cell>
        </row>
        <row r="270">
          <cell r="M270">
            <v>4.4000000000000004</v>
          </cell>
          <cell r="O270">
            <v>88.6</v>
          </cell>
        </row>
        <row r="300">
          <cell r="M300">
            <v>31.099999999999994</v>
          </cell>
          <cell r="O300">
            <v>81.900000000000006</v>
          </cell>
        </row>
        <row r="331">
          <cell r="M331">
            <v>249.8</v>
          </cell>
          <cell r="O331">
            <v>0</v>
          </cell>
        </row>
        <row r="361">
          <cell r="M361">
            <v>345</v>
          </cell>
          <cell r="O361">
            <v>0</v>
          </cell>
        </row>
        <row r="392">
          <cell r="M392">
            <v>429.70000000000005</v>
          </cell>
          <cell r="O39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udited TB"/>
      <sheetName val="2.1.7 OEB TB"/>
      <sheetName val="2.1.7 OEB TB CGAAP IFRS"/>
      <sheetName val="2.1.7 Group 1"/>
      <sheetName val="2.1.7 Sub Accts"/>
      <sheetName val="2.1.13 Summary"/>
      <sheetName val="2.1.13 TB map to audited FS"/>
      <sheetName val="OEB PBR 2.1.5 PBR"/>
      <sheetName val="Retailer 2.1.5"/>
      <sheetName val="OEB 2.1.5.6 ROE Calc"/>
      <sheetName val="OEB 2.1.10 Affliate"/>
      <sheetName val="OEB 2.1.8 AMP"/>
      <sheetName val="Summary Data by year"/>
      <sheetName val="Generation"/>
      <sheetName val="LTLT"/>
      <sheetName val="Wholesale kWh"/>
      <sheetName val="Mthly Retail St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2">
          <cell r="C22">
            <v>784220</v>
          </cell>
          <cell r="D22">
            <v>849293</v>
          </cell>
          <cell r="E22">
            <v>953526</v>
          </cell>
          <cell r="F22">
            <v>873386</v>
          </cell>
          <cell r="G22">
            <v>777643</v>
          </cell>
          <cell r="H22">
            <v>761195</v>
          </cell>
          <cell r="I22">
            <v>811712</v>
          </cell>
          <cell r="J22">
            <v>787771</v>
          </cell>
        </row>
        <row r="23">
          <cell r="C23">
            <v>168467</v>
          </cell>
          <cell r="D23">
            <v>162375</v>
          </cell>
          <cell r="E23">
            <v>200477.98</v>
          </cell>
          <cell r="F23">
            <v>195189</v>
          </cell>
          <cell r="G23">
            <v>203019</v>
          </cell>
          <cell r="H23">
            <v>211433</v>
          </cell>
          <cell r="I23">
            <v>211254</v>
          </cell>
          <cell r="J23">
            <v>162060</v>
          </cell>
        </row>
        <row r="24">
          <cell r="C24">
            <v>4358</v>
          </cell>
          <cell r="D24">
            <v>4358</v>
          </cell>
          <cell r="E24">
            <v>4290</v>
          </cell>
          <cell r="F24">
            <v>3542.4</v>
          </cell>
          <cell r="G24">
            <v>3542.4</v>
          </cell>
          <cell r="H24">
            <v>3542.4</v>
          </cell>
          <cell r="I24">
            <v>3542.4</v>
          </cell>
          <cell r="J24">
            <v>3542.4</v>
          </cell>
        </row>
        <row r="25">
          <cell r="D25">
            <v>5</v>
          </cell>
          <cell r="E25">
            <v>5</v>
          </cell>
          <cell r="F25">
            <v>5</v>
          </cell>
          <cell r="G25">
            <v>2</v>
          </cell>
        </row>
      </sheetData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mption Data "/>
    </sheetNames>
    <sheetDataSet>
      <sheetData sheetId="0">
        <row r="54">
          <cell r="B54">
            <v>23275097</v>
          </cell>
        </row>
        <row r="66">
          <cell r="B66">
            <v>24279309.5</v>
          </cell>
          <cell r="N66">
            <v>9637</v>
          </cell>
          <cell r="AG66">
            <v>13849</v>
          </cell>
        </row>
        <row r="67">
          <cell r="B67">
            <v>23881688.099999998</v>
          </cell>
          <cell r="N67">
            <v>9026</v>
          </cell>
          <cell r="AG67">
            <v>13861</v>
          </cell>
        </row>
        <row r="68">
          <cell r="B68">
            <v>22297189.800000001</v>
          </cell>
          <cell r="N68">
            <v>9028</v>
          </cell>
          <cell r="AG68">
            <v>13865</v>
          </cell>
        </row>
        <row r="69">
          <cell r="B69">
            <v>18569417.100000001</v>
          </cell>
          <cell r="N69">
            <v>9239</v>
          </cell>
          <cell r="AG69">
            <v>13869</v>
          </cell>
        </row>
        <row r="70">
          <cell r="B70">
            <v>16382762.399999999</v>
          </cell>
          <cell r="N70">
            <v>9447</v>
          </cell>
          <cell r="AG70">
            <v>13873</v>
          </cell>
        </row>
        <row r="71">
          <cell r="B71">
            <v>17880105.399999999</v>
          </cell>
          <cell r="F71">
            <v>12991</v>
          </cell>
          <cell r="J71">
            <v>819</v>
          </cell>
          <cell r="N71">
            <v>8939</v>
          </cell>
          <cell r="O71">
            <v>71</v>
          </cell>
          <cell r="T71">
            <v>2489</v>
          </cell>
          <cell r="Y71">
            <v>186</v>
          </cell>
          <cell r="AC71">
            <v>89</v>
          </cell>
          <cell r="AG71">
            <v>13881</v>
          </cell>
        </row>
        <row r="72">
          <cell r="B72">
            <v>18476519.899999999</v>
          </cell>
          <cell r="N72">
            <v>9860</v>
          </cell>
          <cell r="AG72">
            <v>13905</v>
          </cell>
        </row>
        <row r="73">
          <cell r="B73">
            <v>19239333.699999999</v>
          </cell>
          <cell r="N73">
            <v>9614</v>
          </cell>
          <cell r="AG73">
            <v>13925</v>
          </cell>
        </row>
        <row r="74">
          <cell r="B74">
            <v>16489843.199999999</v>
          </cell>
          <cell r="N74">
            <v>9864</v>
          </cell>
          <cell r="AG74">
            <v>13949</v>
          </cell>
        </row>
        <row r="75">
          <cell r="B75">
            <v>17241374.899999999</v>
          </cell>
          <cell r="N75">
            <v>11088</v>
          </cell>
          <cell r="AG75">
            <v>13987</v>
          </cell>
        </row>
        <row r="76">
          <cell r="B76">
            <v>20822608.399999999</v>
          </cell>
          <cell r="N76">
            <v>11005</v>
          </cell>
          <cell r="AG76">
            <v>14001</v>
          </cell>
        </row>
        <row r="77">
          <cell r="B77">
            <v>25594483.699999999</v>
          </cell>
          <cell r="N77">
            <v>10209</v>
          </cell>
          <cell r="AG77">
            <v>14035</v>
          </cell>
        </row>
        <row r="78">
          <cell r="B78">
            <v>25337707.800000001</v>
          </cell>
          <cell r="N78">
            <v>10883.6</v>
          </cell>
          <cell r="AG78">
            <v>14052</v>
          </cell>
        </row>
        <row r="79">
          <cell r="B79">
            <v>23919251.399999999</v>
          </cell>
          <cell r="N79">
            <v>11124.2</v>
          </cell>
          <cell r="AG79">
            <v>14069</v>
          </cell>
        </row>
        <row r="80">
          <cell r="B80">
            <v>23324392.199999999</v>
          </cell>
          <cell r="N80">
            <v>10817.97</v>
          </cell>
          <cell r="AG80">
            <v>14091</v>
          </cell>
        </row>
        <row r="81">
          <cell r="B81">
            <v>17845472.600000001</v>
          </cell>
          <cell r="N81">
            <v>10786.43</v>
          </cell>
          <cell r="AG81">
            <v>14109</v>
          </cell>
        </row>
        <row r="82">
          <cell r="B82">
            <v>17203594.699999999</v>
          </cell>
          <cell r="N82">
            <v>10931.11</v>
          </cell>
          <cell r="AG82">
            <v>14151</v>
          </cell>
        </row>
        <row r="83">
          <cell r="B83">
            <v>17657148.199999999</v>
          </cell>
          <cell r="F83">
            <v>13277</v>
          </cell>
          <cell r="J83">
            <v>836</v>
          </cell>
          <cell r="N83">
            <v>10815.33</v>
          </cell>
          <cell r="O83">
            <v>73</v>
          </cell>
          <cell r="T83">
            <v>2588</v>
          </cell>
          <cell r="Y83">
            <v>186</v>
          </cell>
          <cell r="AC83">
            <v>84</v>
          </cell>
          <cell r="AG83">
            <v>14186</v>
          </cell>
        </row>
        <row r="84">
          <cell r="B84">
            <v>19399005.699999999</v>
          </cell>
          <cell r="N84">
            <v>11417.45</v>
          </cell>
          <cell r="AG84">
            <v>14218</v>
          </cell>
        </row>
        <row r="85">
          <cell r="B85">
            <v>18496934.800000001</v>
          </cell>
          <cell r="N85">
            <v>10696.82</v>
          </cell>
          <cell r="AG85">
            <v>14260</v>
          </cell>
        </row>
        <row r="86">
          <cell r="B86">
            <v>16944225</v>
          </cell>
          <cell r="N86">
            <v>12504.78</v>
          </cell>
          <cell r="AG86">
            <v>14297</v>
          </cell>
        </row>
        <row r="87">
          <cell r="B87">
            <v>18736114.300000001</v>
          </cell>
          <cell r="N87">
            <v>12072.95</v>
          </cell>
          <cell r="AG87">
            <v>14337</v>
          </cell>
        </row>
        <row r="88">
          <cell r="B88">
            <v>20914295.899999999</v>
          </cell>
          <cell r="N88">
            <v>11417.41</v>
          </cell>
          <cell r="AG88">
            <v>14348</v>
          </cell>
        </row>
        <row r="89">
          <cell r="B89">
            <v>25844885.199999999</v>
          </cell>
          <cell r="N89">
            <v>11224.8</v>
          </cell>
          <cell r="AG89">
            <v>14388</v>
          </cell>
        </row>
        <row r="90">
          <cell r="B90">
            <v>27698757.900000002</v>
          </cell>
          <cell r="N90">
            <v>11199.28</v>
          </cell>
          <cell r="AG90">
            <v>14411</v>
          </cell>
        </row>
        <row r="91">
          <cell r="B91">
            <v>22854686.900000002</v>
          </cell>
          <cell r="N91">
            <v>11214.19</v>
          </cell>
          <cell r="AG91">
            <v>14426</v>
          </cell>
        </row>
        <row r="92">
          <cell r="B92">
            <v>22750703.800000001</v>
          </cell>
          <cell r="N92">
            <v>11022.45</v>
          </cell>
          <cell r="AG92">
            <v>14438</v>
          </cell>
        </row>
        <row r="93">
          <cell r="B93">
            <v>18949041.899999999</v>
          </cell>
          <cell r="N93">
            <v>10848.5</v>
          </cell>
          <cell r="AG93">
            <v>14448</v>
          </cell>
        </row>
        <row r="94">
          <cell r="B94">
            <v>17348781.300000001</v>
          </cell>
          <cell r="N94">
            <v>10796.08</v>
          </cell>
          <cell r="AG94">
            <v>14455</v>
          </cell>
        </row>
        <row r="95">
          <cell r="B95">
            <v>17392957.300000001</v>
          </cell>
          <cell r="F95">
            <v>13533</v>
          </cell>
          <cell r="J95">
            <v>855</v>
          </cell>
          <cell r="N95">
            <v>10794.83</v>
          </cell>
          <cell r="O95">
            <v>72</v>
          </cell>
          <cell r="T95">
            <v>2625</v>
          </cell>
          <cell r="Y95">
            <v>193</v>
          </cell>
          <cell r="AC95">
            <v>83</v>
          </cell>
          <cell r="AG95">
            <v>14460</v>
          </cell>
        </row>
        <row r="96">
          <cell r="B96">
            <v>18006297.300000001</v>
          </cell>
          <cell r="N96">
            <v>11558.97</v>
          </cell>
          <cell r="AG96">
            <v>14710</v>
          </cell>
        </row>
        <row r="97">
          <cell r="B97">
            <v>20135392.300000001</v>
          </cell>
          <cell r="N97">
            <v>10696.82</v>
          </cell>
          <cell r="AG97">
            <v>14976</v>
          </cell>
        </row>
        <row r="98">
          <cell r="B98">
            <v>17368091.399999999</v>
          </cell>
          <cell r="N98">
            <v>12014.58</v>
          </cell>
          <cell r="AG98">
            <v>15073</v>
          </cell>
        </row>
        <row r="99">
          <cell r="B99">
            <v>19458169</v>
          </cell>
          <cell r="N99">
            <v>12443.72</v>
          </cell>
          <cell r="AG99">
            <v>15110</v>
          </cell>
        </row>
        <row r="100">
          <cell r="B100">
            <v>19998429.5</v>
          </cell>
          <cell r="N100">
            <v>11954.84</v>
          </cell>
          <cell r="AG100">
            <v>15107</v>
          </cell>
        </row>
        <row r="101">
          <cell r="B101">
            <v>25277880.599999998</v>
          </cell>
          <cell r="N101">
            <v>11578.03</v>
          </cell>
          <cell r="AG101">
            <v>14563</v>
          </cell>
        </row>
        <row r="102">
          <cell r="B102">
            <v>26451955.599999998</v>
          </cell>
          <cell r="N102">
            <v>11900.95</v>
          </cell>
          <cell r="AG102">
            <v>14554</v>
          </cell>
        </row>
        <row r="103">
          <cell r="B103">
            <v>22355017.900000002</v>
          </cell>
          <cell r="N103">
            <v>11242.31</v>
          </cell>
          <cell r="AG103">
            <v>14553</v>
          </cell>
        </row>
        <row r="104">
          <cell r="B104">
            <v>21335193</v>
          </cell>
          <cell r="N104">
            <v>11564.8</v>
          </cell>
          <cell r="AG104">
            <v>14566</v>
          </cell>
        </row>
        <row r="105">
          <cell r="B105">
            <v>17366211</v>
          </cell>
          <cell r="N105">
            <v>11943</v>
          </cell>
          <cell r="AG105">
            <v>14576</v>
          </cell>
        </row>
        <row r="106">
          <cell r="B106">
            <v>18594842.100000001</v>
          </cell>
          <cell r="N106">
            <v>11602.16</v>
          </cell>
          <cell r="AG106">
            <v>14570</v>
          </cell>
        </row>
        <row r="107">
          <cell r="B107">
            <v>18232281.300000001</v>
          </cell>
          <cell r="F107">
            <v>13651</v>
          </cell>
          <cell r="J107">
            <v>865</v>
          </cell>
          <cell r="N107">
            <v>12118.61</v>
          </cell>
          <cell r="O107">
            <v>68</v>
          </cell>
          <cell r="T107">
            <v>2685</v>
          </cell>
          <cell r="Y107">
            <v>201</v>
          </cell>
          <cell r="AC107">
            <v>82</v>
          </cell>
          <cell r="AG107">
            <v>14584</v>
          </cell>
        </row>
        <row r="108">
          <cell r="B108">
            <v>22225961.800000001</v>
          </cell>
          <cell r="N108">
            <v>12362.87</v>
          </cell>
          <cell r="AG108">
            <v>14599</v>
          </cell>
        </row>
        <row r="109">
          <cell r="B109">
            <v>21301864.899999999</v>
          </cell>
          <cell r="N109">
            <v>12588.76</v>
          </cell>
          <cell r="AG109">
            <v>14633</v>
          </cell>
        </row>
        <row r="110">
          <cell r="B110">
            <v>17785837.5</v>
          </cell>
          <cell r="N110">
            <v>12170.46</v>
          </cell>
          <cell r="AG110">
            <v>14646</v>
          </cell>
        </row>
        <row r="111">
          <cell r="B111">
            <v>18734173.199999999</v>
          </cell>
          <cell r="N111">
            <v>12621.87</v>
          </cell>
          <cell r="AG111">
            <v>14664</v>
          </cell>
        </row>
        <row r="112">
          <cell r="B112">
            <v>20451455.399999999</v>
          </cell>
          <cell r="N112">
            <v>12419.76</v>
          </cell>
          <cell r="AG112">
            <v>14688</v>
          </cell>
        </row>
        <row r="113">
          <cell r="B113">
            <v>25404585.100000001</v>
          </cell>
          <cell r="N113">
            <v>11966.66</v>
          </cell>
          <cell r="AG113">
            <v>14707</v>
          </cell>
        </row>
        <row r="114">
          <cell r="B114">
            <v>26274474</v>
          </cell>
          <cell r="N114">
            <v>11373</v>
          </cell>
          <cell r="AG114">
            <v>14713</v>
          </cell>
        </row>
        <row r="115">
          <cell r="B115">
            <v>22971970.300000001</v>
          </cell>
          <cell r="N115">
            <v>7571</v>
          </cell>
          <cell r="AG115">
            <v>14716</v>
          </cell>
        </row>
        <row r="116">
          <cell r="B116">
            <v>22951605.199999999</v>
          </cell>
          <cell r="N116">
            <v>11700</v>
          </cell>
          <cell r="AG116">
            <v>14728</v>
          </cell>
        </row>
        <row r="117">
          <cell r="B117">
            <v>18914566.699999999</v>
          </cell>
          <cell r="N117">
            <v>11197</v>
          </cell>
          <cell r="AG117">
            <v>14729</v>
          </cell>
        </row>
        <row r="118">
          <cell r="B118">
            <v>17615740</v>
          </cell>
          <cell r="N118">
            <v>11307.42</v>
          </cell>
          <cell r="AG118">
            <v>14733</v>
          </cell>
        </row>
        <row r="119">
          <cell r="B119">
            <v>17571916.300000001</v>
          </cell>
          <cell r="F119">
            <v>13779</v>
          </cell>
          <cell r="J119">
            <v>896</v>
          </cell>
          <cell r="N119">
            <v>12414.22</v>
          </cell>
          <cell r="O119">
            <v>67</v>
          </cell>
          <cell r="T119">
            <v>2728</v>
          </cell>
          <cell r="Y119">
            <v>225</v>
          </cell>
          <cell r="AC119">
            <v>81</v>
          </cell>
          <cell r="AG119">
            <v>14742</v>
          </cell>
        </row>
        <row r="120">
          <cell r="B120">
            <v>22292830.300000001</v>
          </cell>
          <cell r="N120">
            <v>12303.65</v>
          </cell>
          <cell r="AG120">
            <v>14759</v>
          </cell>
        </row>
        <row r="121">
          <cell r="B121">
            <v>19354570.300000001</v>
          </cell>
          <cell r="N121">
            <v>12567.55</v>
          </cell>
          <cell r="AG121">
            <v>14772</v>
          </cell>
        </row>
        <row r="122">
          <cell r="B122">
            <v>17323768.100000001</v>
          </cell>
          <cell r="N122">
            <v>12390.52</v>
          </cell>
          <cell r="AG122">
            <v>14772</v>
          </cell>
        </row>
        <row r="123">
          <cell r="B123">
            <v>18576164</v>
          </cell>
          <cell r="N123">
            <v>12603</v>
          </cell>
          <cell r="AG123">
            <v>14794</v>
          </cell>
        </row>
        <row r="124">
          <cell r="B124">
            <v>19598868</v>
          </cell>
          <cell r="N124">
            <v>12239</v>
          </cell>
          <cell r="AG124">
            <v>14809</v>
          </cell>
        </row>
        <row r="125">
          <cell r="B125">
            <v>23311694</v>
          </cell>
          <cell r="N125">
            <v>11759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Purchased"/>
      <sheetName val="Residential"/>
      <sheetName val="GS LT 50"/>
      <sheetName val="GS GT 50"/>
      <sheetName val="KW"/>
      <sheetName val="Customer Numbers"/>
    </sheetNames>
    <sheetDataSet>
      <sheetData sheetId="0" refreshError="1">
        <row r="123">
          <cell r="B123">
            <v>24487281</v>
          </cell>
        </row>
        <row r="124">
          <cell r="B124">
            <v>21711326.899999999</v>
          </cell>
        </row>
        <row r="125">
          <cell r="B125">
            <v>20140443.699999999</v>
          </cell>
        </row>
        <row r="126">
          <cell r="B126">
            <v>18335838.899999999</v>
          </cell>
        </row>
        <row r="127">
          <cell r="B127">
            <v>17673429</v>
          </cell>
        </row>
        <row r="128">
          <cell r="B128">
            <v>19474755.100000001</v>
          </cell>
        </row>
        <row r="129">
          <cell r="B129">
            <v>22780193</v>
          </cell>
        </row>
        <row r="130">
          <cell r="B130">
            <v>20627757.200000003</v>
          </cell>
        </row>
        <row r="131">
          <cell r="B131">
            <v>17795945.799999997</v>
          </cell>
        </row>
        <row r="132">
          <cell r="B132">
            <v>17475406.5</v>
          </cell>
        </row>
        <row r="133">
          <cell r="B133">
            <v>20981769.300000001</v>
          </cell>
        </row>
        <row r="134">
          <cell r="B134">
            <v>23645692</v>
          </cell>
        </row>
      </sheetData>
      <sheetData sheetId="1" refreshError="1"/>
      <sheetData sheetId="2" refreshError="1"/>
      <sheetData sheetId="3" refreshError="1"/>
      <sheetData sheetId="4" refreshError="1">
        <row r="15">
          <cell r="B15">
            <v>141986.79999999999</v>
          </cell>
          <cell r="C15">
            <v>287.601</v>
          </cell>
          <cell r="D15">
            <v>3139.7699999999995</v>
          </cell>
        </row>
        <row r="32">
          <cell r="B32">
            <v>135393.63999999998</v>
          </cell>
          <cell r="C32">
            <v>299.94344444444442</v>
          </cell>
          <cell r="D32">
            <v>4581.3899999999994</v>
          </cell>
        </row>
        <row r="49">
          <cell r="B49">
            <v>130935</v>
          </cell>
          <cell r="C49">
            <v>283</v>
          </cell>
          <cell r="D49">
            <v>4149</v>
          </cell>
        </row>
        <row r="66">
          <cell r="B66">
            <v>144982</v>
          </cell>
          <cell r="C66">
            <v>315</v>
          </cell>
          <cell r="D66">
            <v>4424</v>
          </cell>
        </row>
      </sheetData>
      <sheetData sheetId="5" refreshError="1">
        <row r="6">
          <cell r="C6">
            <v>904</v>
          </cell>
          <cell r="J6">
            <v>14826</v>
          </cell>
        </row>
        <row r="7">
          <cell r="J7">
            <v>14835</v>
          </cell>
        </row>
        <row r="8">
          <cell r="J8">
            <v>14856</v>
          </cell>
        </row>
        <row r="9">
          <cell r="J9">
            <v>14867</v>
          </cell>
        </row>
        <row r="10">
          <cell r="J10">
            <v>14877</v>
          </cell>
        </row>
        <row r="11">
          <cell r="J11">
            <v>14882</v>
          </cell>
        </row>
        <row r="12">
          <cell r="J12">
            <v>14921</v>
          </cell>
        </row>
        <row r="13">
          <cell r="J13">
            <v>14953</v>
          </cell>
        </row>
        <row r="14">
          <cell r="J14">
            <v>14968</v>
          </cell>
        </row>
        <row r="15">
          <cell r="J15">
            <v>15012</v>
          </cell>
        </row>
        <row r="16">
          <cell r="J16">
            <v>15036</v>
          </cell>
        </row>
        <row r="17">
          <cell r="J17">
            <v>15062</v>
          </cell>
        </row>
        <row r="18">
          <cell r="B18">
            <v>13942.916666666666</v>
          </cell>
          <cell r="C18">
            <v>913.75</v>
          </cell>
          <cell r="D18">
            <v>78.666666666666671</v>
          </cell>
          <cell r="E18">
            <v>67.916666666666671</v>
          </cell>
          <cell r="F18">
            <v>172.08333333333334</v>
          </cell>
          <cell r="G18">
            <v>2728</v>
          </cell>
        </row>
        <row r="23">
          <cell r="J23">
            <v>15076</v>
          </cell>
        </row>
        <row r="24">
          <cell r="J24">
            <v>15088</v>
          </cell>
        </row>
        <row r="25">
          <cell r="J25">
            <v>15100</v>
          </cell>
        </row>
        <row r="26">
          <cell r="J26">
            <v>15107</v>
          </cell>
        </row>
        <row r="27">
          <cell r="J27">
            <v>15139</v>
          </cell>
        </row>
        <row r="28">
          <cell r="J28">
            <v>15172</v>
          </cell>
        </row>
        <row r="29">
          <cell r="J29">
            <v>15207</v>
          </cell>
        </row>
        <row r="30">
          <cell r="J30">
            <v>15244</v>
          </cell>
        </row>
        <row r="31">
          <cell r="J31">
            <v>15260</v>
          </cell>
        </row>
        <row r="32">
          <cell r="J32">
            <v>15288</v>
          </cell>
        </row>
        <row r="33">
          <cell r="J33">
            <v>15334</v>
          </cell>
        </row>
        <row r="34">
          <cell r="J34">
            <v>15352</v>
          </cell>
        </row>
        <row r="36">
          <cell r="B36">
            <v>14181</v>
          </cell>
          <cell r="C36">
            <v>949.25</v>
          </cell>
          <cell r="D36">
            <v>77.583333333333329</v>
          </cell>
          <cell r="E36">
            <v>67</v>
          </cell>
          <cell r="F36">
            <v>168</v>
          </cell>
          <cell r="G36">
            <v>2843.3333333333335</v>
          </cell>
        </row>
        <row r="41">
          <cell r="J41">
            <v>15406</v>
          </cell>
        </row>
        <row r="42">
          <cell r="J42">
            <v>15425</v>
          </cell>
        </row>
        <row r="43">
          <cell r="J43">
            <v>15444</v>
          </cell>
        </row>
        <row r="44">
          <cell r="J44">
            <v>15478</v>
          </cell>
        </row>
        <row r="45">
          <cell r="J45">
            <v>15497</v>
          </cell>
        </row>
        <row r="46">
          <cell r="J46">
            <v>15515</v>
          </cell>
        </row>
        <row r="47">
          <cell r="J47">
            <v>15587</v>
          </cell>
        </row>
        <row r="48">
          <cell r="J48">
            <v>15628</v>
          </cell>
        </row>
        <row r="49">
          <cell r="J49">
            <v>15648</v>
          </cell>
        </row>
        <row r="50">
          <cell r="J50">
            <v>15688</v>
          </cell>
        </row>
        <row r="51">
          <cell r="J51">
            <v>15720</v>
          </cell>
        </row>
        <row r="52">
          <cell r="J52">
            <v>15775</v>
          </cell>
        </row>
        <row r="54">
          <cell r="B54">
            <v>14509.166666666666</v>
          </cell>
          <cell r="C54">
            <v>991.25</v>
          </cell>
          <cell r="D54">
            <v>75.583333333333329</v>
          </cell>
          <cell r="E54">
            <v>67.166666666666671</v>
          </cell>
          <cell r="F54">
            <v>169.41666666666666</v>
          </cell>
          <cell r="G54">
            <v>2923.3333333333335</v>
          </cell>
        </row>
        <row r="60">
          <cell r="J60">
            <v>15793</v>
          </cell>
        </row>
        <row r="61">
          <cell r="J61">
            <v>15802</v>
          </cell>
        </row>
        <row r="62">
          <cell r="J62">
            <v>15826</v>
          </cell>
        </row>
        <row r="63">
          <cell r="J63">
            <v>15843</v>
          </cell>
        </row>
        <row r="64">
          <cell r="J64">
            <v>15856</v>
          </cell>
        </row>
        <row r="65">
          <cell r="J65">
            <v>15883</v>
          </cell>
        </row>
        <row r="66">
          <cell r="J66">
            <v>15881</v>
          </cell>
        </row>
        <row r="67">
          <cell r="J67">
            <v>15970</v>
          </cell>
        </row>
        <row r="68">
          <cell r="J68">
            <v>16005</v>
          </cell>
        </row>
        <row r="69">
          <cell r="J69">
            <v>16050</v>
          </cell>
        </row>
        <row r="70">
          <cell r="J70">
            <v>16127</v>
          </cell>
        </row>
        <row r="71">
          <cell r="J71">
            <v>16168</v>
          </cell>
        </row>
        <row r="72">
          <cell r="B72">
            <v>14861.583333333334</v>
          </cell>
          <cell r="C72">
            <v>1000.5833333333334</v>
          </cell>
          <cell r="D72">
            <v>76</v>
          </cell>
          <cell r="E72">
            <v>71.5</v>
          </cell>
          <cell r="F72">
            <v>165.75</v>
          </cell>
          <cell r="G72">
            <v>2897.6666666666665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g Asset Definitions"/>
      <sheetName val="JET Report"/>
      <sheetName val="IPC Summary"/>
      <sheetName val="IPC revenue and costs"/>
      <sheetName val="IPC revenue by customer class"/>
      <sheetName val="IPC Other Income"/>
      <sheetName val="Ratios"/>
      <sheetName val="Distr Revenue by Cust Class"/>
      <sheetName val="Qterly Stats"/>
      <sheetName val="Mthly Stats"/>
      <sheetName val="TOU"/>
      <sheetName val="TOU Chart"/>
      <sheetName val="Load Analysis"/>
      <sheetName val="Wholesale kWh"/>
      <sheetName val="Wholesale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5">
          <cell r="L55">
            <v>15110</v>
          </cell>
          <cell r="M55">
            <v>1013</v>
          </cell>
          <cell r="O55">
            <v>74</v>
          </cell>
        </row>
        <row r="56">
          <cell r="L56">
            <v>15125</v>
          </cell>
          <cell r="M56">
            <v>1013</v>
          </cell>
          <cell r="O56">
            <v>74</v>
          </cell>
        </row>
        <row r="57">
          <cell r="L57">
            <v>15151</v>
          </cell>
          <cell r="M57">
            <v>1018</v>
          </cell>
          <cell r="O57">
            <v>74</v>
          </cell>
        </row>
        <row r="58">
          <cell r="L58">
            <v>15161</v>
          </cell>
          <cell r="M58">
            <v>1014</v>
          </cell>
          <cell r="O58">
            <v>74</v>
          </cell>
        </row>
        <row r="59">
          <cell r="L59">
            <v>15167</v>
          </cell>
          <cell r="M59">
            <v>1020</v>
          </cell>
          <cell r="O59">
            <v>74</v>
          </cell>
        </row>
        <row r="60">
          <cell r="L60">
            <v>15178</v>
          </cell>
          <cell r="M60">
            <v>1017</v>
          </cell>
          <cell r="O60">
            <v>74</v>
          </cell>
        </row>
        <row r="61">
          <cell r="L61">
            <v>15191</v>
          </cell>
          <cell r="M61">
            <v>1016</v>
          </cell>
          <cell r="O61">
            <v>74</v>
          </cell>
        </row>
        <row r="62">
          <cell r="L62">
            <v>15202</v>
          </cell>
          <cell r="M62">
            <v>1013</v>
          </cell>
          <cell r="O62">
            <v>77</v>
          </cell>
        </row>
        <row r="63">
          <cell r="L63">
            <v>15234</v>
          </cell>
          <cell r="M63">
            <v>1011</v>
          </cell>
          <cell r="O63">
            <v>78</v>
          </cell>
        </row>
        <row r="64">
          <cell r="L64">
            <v>15274</v>
          </cell>
          <cell r="M64">
            <v>1018</v>
          </cell>
          <cell r="O64">
            <v>78</v>
          </cell>
        </row>
        <row r="65">
          <cell r="L65">
            <v>15300</v>
          </cell>
          <cell r="M65">
            <v>1021</v>
          </cell>
          <cell r="O65">
            <v>78</v>
          </cell>
        </row>
        <row r="66">
          <cell r="L66">
            <v>15326</v>
          </cell>
          <cell r="M66">
            <v>1021</v>
          </cell>
          <cell r="O66">
            <v>78</v>
          </cell>
        </row>
        <row r="68">
          <cell r="L68">
            <v>15201.583333333334</v>
          </cell>
          <cell r="M68">
            <v>1016.25</v>
          </cell>
          <cell r="N68">
            <v>75.333333333333329</v>
          </cell>
          <cell r="O68">
            <v>75.583333333333329</v>
          </cell>
          <cell r="P68">
            <v>166.08333333333334</v>
          </cell>
          <cell r="Q68">
            <v>2863.1666666666665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"/>
      <sheetName val="ARCHITECTURE"/>
      <sheetName val="CDM Plan Summary"/>
      <sheetName val="OPA ADMIN ONLY"/>
      <sheetName val="Detailed CDM Plan Summary"/>
      <sheetName val="PROGRAM DESIGN &gt;&gt;"/>
      <sheetName val="Custom Measure Input"/>
      <sheetName val="Measure Selection &amp; CE Results"/>
      <sheetName val="Program Budget Input"/>
      <sheetName val="External Inputs"/>
      <sheetName val="RESULTS &gt;&gt;"/>
      <sheetName val="Program Portfolio CE Results"/>
      <sheetName val="Measure Savings Results"/>
      <sheetName val="Summary CE Results"/>
      <sheetName val="ADMIN INPUT &gt;&gt;"/>
      <sheetName val="ADMIN OPTIONS"/>
      <sheetName val="CE Parameters"/>
      <sheetName val="Rates Table"/>
      <sheetName val="Avoided Cost Table"/>
      <sheetName val="DEFINED INPUTS &gt;&gt;"/>
      <sheetName val="Custom Load Profile Input"/>
      <sheetName val="Formatted Load Profiles"/>
      <sheetName val="Formatted Measure List"/>
      <sheetName val="CALCULATION &gt;&gt;"/>
      <sheetName val="Levelized Rates Table"/>
      <sheetName val="Levelized Avoided Cost Table"/>
      <sheetName val="Measure CE Results"/>
      <sheetName val="VBA References"/>
      <sheetName val="Revision History"/>
    </sheetNames>
    <sheetDataSet>
      <sheetData sheetId="0" refreshError="1"/>
      <sheetData sheetId="1" refreshError="1"/>
      <sheetData sheetId="2" refreshError="1">
        <row r="19">
          <cell r="D19">
            <v>1701.8888382273094</v>
          </cell>
        </row>
        <row r="20">
          <cell r="D20">
            <v>3143.7144894793105</v>
          </cell>
        </row>
        <row r="21">
          <cell r="D21">
            <v>1139.9026568728054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3-12312013"/>
    </sheetNames>
    <sheetDataSet>
      <sheetData sheetId="0">
        <row r="57">
          <cell r="M57">
            <v>624.40000000000009</v>
          </cell>
          <cell r="O57">
            <v>0</v>
          </cell>
        </row>
        <row r="86">
          <cell r="M86">
            <v>631.49999999999989</v>
          </cell>
          <cell r="O86">
            <v>0</v>
          </cell>
        </row>
        <row r="117">
          <cell r="M117">
            <v>554.79999999999995</v>
          </cell>
          <cell r="O117">
            <v>0</v>
          </cell>
        </row>
        <row r="147">
          <cell r="M147">
            <v>358.6</v>
          </cell>
          <cell r="O147">
            <v>0</v>
          </cell>
        </row>
        <row r="178">
          <cell r="M178">
            <v>109.10000000000001</v>
          </cell>
          <cell r="O178">
            <v>23.1</v>
          </cell>
        </row>
        <row r="208">
          <cell r="M208">
            <v>32.999999999999993</v>
          </cell>
          <cell r="O208">
            <v>59.6</v>
          </cell>
        </row>
        <row r="239">
          <cell r="M239">
            <v>1.2999999999999998</v>
          </cell>
          <cell r="O239">
            <v>120.80000000000003</v>
          </cell>
        </row>
        <row r="270">
          <cell r="M270">
            <v>4.4000000000000004</v>
          </cell>
          <cell r="O270">
            <v>93.799999999999983</v>
          </cell>
        </row>
        <row r="300">
          <cell r="M300">
            <v>82.999999999999986</v>
          </cell>
          <cell r="O300">
            <v>28.099999999999998</v>
          </cell>
        </row>
        <row r="331">
          <cell r="M331">
            <v>208.5</v>
          </cell>
          <cell r="O331">
            <v>0.4</v>
          </cell>
        </row>
        <row r="361">
          <cell r="M361">
            <v>478.20000000000005</v>
          </cell>
          <cell r="O361">
            <v>0</v>
          </cell>
        </row>
        <row r="392">
          <cell r="M392">
            <v>687.9</v>
          </cell>
          <cell r="O39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430"/>
  <sheetViews>
    <sheetView showGridLines="0" topLeftCell="A404" zoomScaleNormal="100" workbookViewId="0">
      <selection activeCell="O43" sqref="O43"/>
    </sheetView>
  </sheetViews>
  <sheetFormatPr defaultColWidth="12.6640625" defaultRowHeight="13.2" x14ac:dyDescent="0.25"/>
  <cols>
    <col min="1" max="1" width="1.109375" style="184" customWidth="1"/>
    <col min="2" max="3" width="12.6640625" style="185" customWidth="1"/>
    <col min="4" max="4" width="2.6640625" style="185" customWidth="1"/>
    <col min="5" max="5" width="11" style="184" customWidth="1"/>
    <col min="6" max="6" width="11.109375" style="184" customWidth="1"/>
    <col min="7" max="7" width="11" style="184" customWidth="1"/>
    <col min="8" max="8" width="11.109375" style="184" customWidth="1"/>
    <col min="9" max="12" width="10.6640625" style="184" customWidth="1"/>
    <col min="13" max="13" width="11" style="184" customWidth="1"/>
    <col min="14" max="14" width="10.5546875" style="184" customWidth="1"/>
    <col min="15" max="15" width="21.44140625" style="184" bestFit="1" customWidth="1"/>
    <col min="16" max="17" width="12.6640625" style="184"/>
    <col min="23" max="23" width="13.109375" bestFit="1" customWidth="1"/>
    <col min="25" max="16384" width="12.6640625" style="184"/>
  </cols>
  <sheetData>
    <row r="2" spans="1:24" ht="15" customHeight="1" x14ac:dyDescent="0.25">
      <c r="B2" s="182" t="s">
        <v>199</v>
      </c>
      <c r="C2" s="182"/>
      <c r="D2" s="182"/>
      <c r="E2" s="183"/>
      <c r="F2" s="183"/>
    </row>
    <row r="3" spans="1:24" s="263" customFormat="1" ht="20.399999999999999" x14ac:dyDescent="0.25">
      <c r="A3" s="364" t="s">
        <v>200</v>
      </c>
      <c r="B3" s="365"/>
      <c r="C3" s="365"/>
      <c r="D3" s="365"/>
      <c r="E3" s="366"/>
      <c r="F3" s="294" t="s">
        <v>21</v>
      </c>
      <c r="G3" s="294" t="s">
        <v>22</v>
      </c>
      <c r="H3"/>
      <c r="R3"/>
      <c r="S3"/>
      <c r="T3"/>
      <c r="U3"/>
      <c r="V3"/>
      <c r="W3"/>
      <c r="X3"/>
    </row>
    <row r="4" spans="1:24" s="263" customFormat="1" ht="14.25" customHeight="1" x14ac:dyDescent="0.25">
      <c r="A4" s="367" t="str">
        <f>E66</f>
        <v>Residential</v>
      </c>
      <c r="B4" s="367"/>
      <c r="C4" s="367"/>
      <c r="D4" s="367"/>
      <c r="E4" s="367"/>
      <c r="F4" s="264">
        <v>0.77653338145393225</v>
      </c>
      <c r="G4" s="265">
        <v>0.77075407235360294</v>
      </c>
      <c r="H4"/>
      <c r="R4"/>
      <c r="S4"/>
      <c r="T4"/>
      <c r="U4"/>
      <c r="V4"/>
      <c r="W4"/>
      <c r="X4"/>
    </row>
    <row r="5" spans="1:24" s="263" customFormat="1" ht="13.8" x14ac:dyDescent="0.25">
      <c r="A5" s="367" t="str">
        <f>F30</f>
        <v>General Service &lt; 50 kW</v>
      </c>
      <c r="B5" s="367"/>
      <c r="C5" s="367"/>
      <c r="D5" s="367"/>
      <c r="E5" s="367"/>
      <c r="F5" s="264">
        <v>0.72154306847647276</v>
      </c>
      <c r="G5" s="265">
        <v>0.714341596109485</v>
      </c>
      <c r="H5"/>
      <c r="R5"/>
      <c r="S5"/>
      <c r="T5"/>
      <c r="U5"/>
      <c r="V5"/>
      <c r="W5"/>
      <c r="X5"/>
    </row>
    <row r="6" spans="1:24" s="263" customFormat="1" ht="14.25" customHeight="1" x14ac:dyDescent="0.25">
      <c r="A6" s="367" t="str">
        <f>G66</f>
        <v>General Service 50 to 4,999 kW</v>
      </c>
      <c r="B6" s="367"/>
      <c r="C6" s="367"/>
      <c r="D6" s="367"/>
      <c r="E6" s="367"/>
      <c r="F6" s="264">
        <v>2.9628671787656102E-2</v>
      </c>
      <c r="G6" s="265">
        <v>4.5328615752678993E-3</v>
      </c>
      <c r="H6"/>
      <c r="R6"/>
      <c r="S6"/>
      <c r="T6"/>
      <c r="U6"/>
      <c r="V6"/>
      <c r="W6"/>
      <c r="X6"/>
    </row>
    <row r="7" spans="1:24" ht="15" customHeight="1" x14ac:dyDescent="0.25">
      <c r="A7" s="367" t="s">
        <v>201</v>
      </c>
      <c r="B7" s="367"/>
      <c r="C7" s="367"/>
      <c r="D7" s="367"/>
      <c r="E7" s="367"/>
      <c r="F7" s="264">
        <f>'Purchased Power Model '!L6</f>
        <v>0.96126220891572767</v>
      </c>
      <c r="G7" s="265">
        <f>'Purchased Power Model '!L7</f>
        <v>0.95956318299097898</v>
      </c>
      <c r="H7"/>
    </row>
    <row r="8" spans="1:24" ht="15" customHeight="1" x14ac:dyDescent="0.25"/>
    <row r="9" spans="1:24" x14ac:dyDescent="0.25">
      <c r="B9" s="182" t="s">
        <v>149</v>
      </c>
      <c r="C9" s="182"/>
      <c r="D9" s="182"/>
      <c r="E9" s="183"/>
      <c r="F9" s="183"/>
      <c r="G9" s="183"/>
      <c r="H9" s="183"/>
      <c r="I9" s="183"/>
      <c r="J9" s="183"/>
    </row>
    <row r="10" spans="1:24" ht="5.25" customHeight="1" x14ac:dyDescent="0.25"/>
    <row r="11" spans="1:24" ht="30.6" x14ac:dyDescent="0.25">
      <c r="B11" s="295" t="s">
        <v>150</v>
      </c>
      <c r="C11" s="296"/>
      <c r="D11" s="296"/>
      <c r="E11" s="294" t="s">
        <v>151</v>
      </c>
      <c r="F11" s="294" t="s">
        <v>152</v>
      </c>
      <c r="G11" s="294" t="s">
        <v>153</v>
      </c>
      <c r="H11" s="294" t="s">
        <v>154</v>
      </c>
      <c r="I11" s="294" t="s">
        <v>155</v>
      </c>
      <c r="J11" s="294" t="s">
        <v>156</v>
      </c>
      <c r="K11"/>
    </row>
    <row r="12" spans="1:24" ht="15" customHeight="1" x14ac:dyDescent="0.25">
      <c r="B12" s="186" t="s">
        <v>157</v>
      </c>
      <c r="C12" s="187"/>
      <c r="D12" s="187"/>
      <c r="E12" s="187"/>
      <c r="F12" s="187"/>
      <c r="G12" s="187"/>
      <c r="H12" s="187"/>
      <c r="I12" s="187"/>
      <c r="J12" s="188"/>
    </row>
    <row r="13" spans="1:24" ht="15" customHeight="1" x14ac:dyDescent="0.25">
      <c r="B13" s="198"/>
      <c r="C13" s="199"/>
      <c r="D13" s="199"/>
      <c r="E13" s="189"/>
      <c r="F13" s="190"/>
      <c r="G13" s="191"/>
      <c r="H13" s="192"/>
      <c r="I13" s="190"/>
      <c r="J13" s="191"/>
    </row>
    <row r="14" spans="1:24" ht="15" customHeight="1" x14ac:dyDescent="0.25">
      <c r="B14" s="198" t="s">
        <v>202</v>
      </c>
      <c r="C14" s="199"/>
      <c r="D14" s="199"/>
      <c r="E14" s="193">
        <f>K33</f>
        <v>233.35565499999998</v>
      </c>
      <c r="F14" s="194"/>
      <c r="G14" s="195"/>
      <c r="H14" s="192">
        <f>K51</f>
        <v>18369</v>
      </c>
      <c r="I14" s="196"/>
      <c r="J14" s="195"/>
    </row>
    <row r="15" spans="1:24" ht="15" customHeight="1" x14ac:dyDescent="0.25">
      <c r="B15" s="198"/>
      <c r="C15" s="199"/>
      <c r="D15" s="199"/>
      <c r="E15" s="193"/>
      <c r="F15" s="194"/>
      <c r="G15" s="195"/>
      <c r="H15" s="192"/>
      <c r="I15" s="190"/>
      <c r="J15" s="195"/>
    </row>
    <row r="16" spans="1:24" ht="15" customHeight="1" x14ac:dyDescent="0.25">
      <c r="B16" s="349" t="s">
        <v>49</v>
      </c>
      <c r="C16" s="350"/>
      <c r="D16" s="351"/>
      <c r="E16" s="193">
        <f>Summary!B10/1000000</f>
        <v>219.64484684999999</v>
      </c>
      <c r="G16" s="195"/>
      <c r="H16" s="196">
        <f>Summary!B46</f>
        <v>16645</v>
      </c>
      <c r="I16" s="196"/>
      <c r="J16" s="195"/>
    </row>
    <row r="17" spans="2:17" ht="15" customHeight="1" x14ac:dyDescent="0.25">
      <c r="B17" s="349" t="s">
        <v>158</v>
      </c>
      <c r="C17" s="350"/>
      <c r="D17" s="351"/>
      <c r="E17" s="193">
        <f>Summary!C10/1000000</f>
        <v>226.84762239000003</v>
      </c>
      <c r="F17" s="197">
        <f t="shared" ref="F17:F26" si="0">E17-E16</f>
        <v>7.2027755400000331</v>
      </c>
      <c r="G17" s="195">
        <f t="shared" ref="G17:G26" si="1">F17/E16</f>
        <v>3.2792827345132107E-2</v>
      </c>
      <c r="H17" s="196">
        <f>Summary!C46</f>
        <v>17044</v>
      </c>
      <c r="I17" s="196">
        <f t="shared" ref="I17" si="2">H17-H16</f>
        <v>399</v>
      </c>
      <c r="J17" s="195">
        <f t="shared" ref="J17" si="3">I17/H16</f>
        <v>2.3971162511264642E-2</v>
      </c>
    </row>
    <row r="18" spans="2:17" ht="15" customHeight="1" x14ac:dyDescent="0.25">
      <c r="B18" s="349" t="s">
        <v>63</v>
      </c>
      <c r="C18" s="350"/>
      <c r="D18" s="351"/>
      <c r="E18" s="193">
        <f>Summary!D10/1000000</f>
        <v>229.10645431</v>
      </c>
      <c r="F18" s="197">
        <f t="shared" si="0"/>
        <v>2.2588319199999773</v>
      </c>
      <c r="G18" s="195">
        <f t="shared" si="1"/>
        <v>9.9574855411821671E-3</v>
      </c>
      <c r="H18" s="196">
        <f>Summary!D46</f>
        <v>17361</v>
      </c>
      <c r="I18" s="196">
        <f t="shared" ref="I18:I26" si="4">H18-H17</f>
        <v>317</v>
      </c>
      <c r="J18" s="195">
        <f t="shared" ref="J18:J26" si="5">I18/H17</f>
        <v>1.8598920441210982E-2</v>
      </c>
      <c r="M18"/>
      <c r="N18"/>
    </row>
    <row r="19" spans="2:17" ht="15" customHeight="1" x14ac:dyDescent="0.25">
      <c r="B19" s="349" t="s">
        <v>69</v>
      </c>
      <c r="C19" s="350"/>
      <c r="D19" s="351"/>
      <c r="E19" s="193">
        <f>Summary!E10/1000000</f>
        <v>231.87495046999996</v>
      </c>
      <c r="F19" s="197">
        <f t="shared" si="0"/>
        <v>2.7684961599999554</v>
      </c>
      <c r="G19" s="195">
        <f t="shared" si="1"/>
        <v>1.2083885494792525E-2</v>
      </c>
      <c r="H19" s="196">
        <f>Summary!E46</f>
        <v>17552</v>
      </c>
      <c r="I19" s="196">
        <f t="shared" si="4"/>
        <v>191</v>
      </c>
      <c r="J19" s="195">
        <f t="shared" si="5"/>
        <v>1.1001670410690629E-2</v>
      </c>
      <c r="M19"/>
      <c r="N19"/>
    </row>
    <row r="20" spans="2:17" ht="15" customHeight="1" x14ac:dyDescent="0.25">
      <c r="B20" s="349" t="s">
        <v>70</v>
      </c>
      <c r="C20" s="350"/>
      <c r="D20" s="351"/>
      <c r="E20" s="193">
        <f>Summary!F10/1000000</f>
        <v>233.60158296999998</v>
      </c>
      <c r="F20" s="197">
        <f t="shared" si="0"/>
        <v>1.7266325000000222</v>
      </c>
      <c r="G20" s="195">
        <f t="shared" si="1"/>
        <v>7.4463951215955702E-3</v>
      </c>
      <c r="H20" s="196">
        <f>Summary!F46</f>
        <v>17776</v>
      </c>
      <c r="I20" s="196">
        <f t="shared" si="4"/>
        <v>224</v>
      </c>
      <c r="J20" s="195">
        <f t="shared" si="5"/>
        <v>1.276207839562443E-2</v>
      </c>
      <c r="M20"/>
      <c r="N20"/>
    </row>
    <row r="21" spans="2:17" ht="15" customHeight="1" x14ac:dyDescent="0.25">
      <c r="B21" s="349" t="s">
        <v>159</v>
      </c>
      <c r="C21" s="350"/>
      <c r="D21" s="351"/>
      <c r="E21" s="193">
        <f>Summary!G10/1000000</f>
        <v>229.95020459647745</v>
      </c>
      <c r="F21" s="197">
        <f t="shared" si="0"/>
        <v>-3.6513783735225331</v>
      </c>
      <c r="G21" s="195">
        <f t="shared" si="1"/>
        <v>-1.5630794650871253E-2</v>
      </c>
      <c r="H21" s="196">
        <f>Summary!G46</f>
        <v>17903.333333333332</v>
      </c>
      <c r="I21" s="196">
        <f t="shared" si="4"/>
        <v>127.33333333333212</v>
      </c>
      <c r="J21" s="195">
        <f t="shared" si="5"/>
        <v>7.1632163216320951E-3</v>
      </c>
      <c r="M21"/>
      <c r="N21"/>
    </row>
    <row r="22" spans="2:17" ht="15" customHeight="1" x14ac:dyDescent="0.25">
      <c r="B22" s="349" t="s">
        <v>160</v>
      </c>
      <c r="C22" s="350"/>
      <c r="D22" s="351"/>
      <c r="E22" s="193">
        <f>Summary!H10/1000000</f>
        <v>232.84591019703763</v>
      </c>
      <c r="F22" s="197">
        <f t="shared" si="0"/>
        <v>2.8957056005601771</v>
      </c>
      <c r="G22" s="195">
        <f t="shared" si="1"/>
        <v>1.2592750702882113E-2</v>
      </c>
      <c r="H22" s="196">
        <f>Summary!H46</f>
        <v>18286.166666666664</v>
      </c>
      <c r="I22" s="196">
        <f t="shared" si="4"/>
        <v>382.83333333333212</v>
      </c>
      <c r="J22" s="195">
        <f t="shared" si="5"/>
        <v>2.138335505492453E-2</v>
      </c>
      <c r="M22"/>
      <c r="N22"/>
    </row>
    <row r="23" spans="2:17" ht="15" customHeight="1" x14ac:dyDescent="0.25">
      <c r="B23" s="349" t="s">
        <v>161</v>
      </c>
      <c r="C23" s="350"/>
      <c r="D23" s="351"/>
      <c r="E23" s="193">
        <f>Summary!I10/1000000</f>
        <v>238.34736448236424</v>
      </c>
      <c r="F23" s="197">
        <f t="shared" si="0"/>
        <v>5.5014542853266164</v>
      </c>
      <c r="G23" s="195">
        <f t="shared" si="1"/>
        <v>2.3627017028863447E-2</v>
      </c>
      <c r="H23" s="196">
        <f>Summary!I46</f>
        <v>18735.916666666664</v>
      </c>
      <c r="I23" s="196">
        <f t="shared" si="4"/>
        <v>449.75</v>
      </c>
      <c r="J23" s="195">
        <f t="shared" si="5"/>
        <v>2.4595094652606255E-2</v>
      </c>
      <c r="K23"/>
      <c r="L23"/>
      <c r="M23"/>
      <c r="N23"/>
    </row>
    <row r="24" spans="2:17" ht="15" customHeight="1" x14ac:dyDescent="0.25">
      <c r="B24" s="349" t="s">
        <v>203</v>
      </c>
      <c r="C24" s="350"/>
      <c r="D24" s="351"/>
      <c r="E24" s="193">
        <f>Summary!J10/1000000</f>
        <v>242.58697699999999</v>
      </c>
      <c r="F24" s="197">
        <f t="shared" si="0"/>
        <v>4.2396125176357486</v>
      </c>
      <c r="G24" s="195">
        <f t="shared" si="1"/>
        <v>1.7787536803032054E-2</v>
      </c>
      <c r="H24" s="196">
        <f>Summary!J46</f>
        <v>19073.083333333336</v>
      </c>
      <c r="I24" s="196">
        <f t="shared" si="4"/>
        <v>337.16666666667152</v>
      </c>
      <c r="J24" s="195">
        <f t="shared" si="5"/>
        <v>1.799573902175438E-2</v>
      </c>
      <c r="K24"/>
      <c r="L24"/>
      <c r="M24"/>
      <c r="N24"/>
    </row>
    <row r="25" spans="2:17" ht="15" customHeight="1" x14ac:dyDescent="0.25">
      <c r="B25" s="349" t="s">
        <v>266</v>
      </c>
      <c r="C25" s="350"/>
      <c r="D25" s="351"/>
      <c r="E25" s="193">
        <f>Summary!K10/1000000</f>
        <v>242.01631790000005</v>
      </c>
      <c r="F25" s="197">
        <f t="shared" si="0"/>
        <v>-0.57065909999994346</v>
      </c>
      <c r="G25" s="195">
        <f t="shared" si="1"/>
        <v>-2.3523896750646408E-3</v>
      </c>
      <c r="H25" s="196">
        <f>Summary!K46</f>
        <v>19398</v>
      </c>
      <c r="I25" s="196">
        <f t="shared" si="4"/>
        <v>324.91666666666424</v>
      </c>
      <c r="J25" s="195">
        <f t="shared" si="5"/>
        <v>1.7035350865311806E-2</v>
      </c>
      <c r="O25"/>
      <c r="P25"/>
      <c r="Q25"/>
    </row>
    <row r="26" spans="2:17" x14ac:dyDescent="0.25">
      <c r="B26" s="349" t="s">
        <v>204</v>
      </c>
      <c r="C26" s="350"/>
      <c r="D26" s="351"/>
      <c r="E26" s="193">
        <f>Summary!L10/1000000</f>
        <v>239.28894239224306</v>
      </c>
      <c r="F26" s="197">
        <f t="shared" si="0"/>
        <v>-2.7273755077569888</v>
      </c>
      <c r="G26" s="195">
        <f t="shared" si="1"/>
        <v>-1.1269386838964829E-2</v>
      </c>
      <c r="H26" s="196">
        <f>Summary!L46</f>
        <v>19732.688255456196</v>
      </c>
      <c r="I26" s="196">
        <f t="shared" si="4"/>
        <v>334.6882554561962</v>
      </c>
      <c r="J26" s="195">
        <f t="shared" si="5"/>
        <v>1.7253750667914021E-2</v>
      </c>
      <c r="M26"/>
      <c r="N26"/>
    </row>
    <row r="27" spans="2:17" x14ac:dyDescent="0.25">
      <c r="B27" s="201"/>
      <c r="C27" s="201"/>
      <c r="D27" s="201"/>
      <c r="E27" s="266"/>
      <c r="F27" s="267"/>
      <c r="G27" s="268"/>
      <c r="H27" s="239"/>
      <c r="I27" s="267"/>
      <c r="J27" s="268"/>
      <c r="M27"/>
      <c r="N27"/>
    </row>
    <row r="28" spans="2:17" ht="15" customHeight="1" x14ac:dyDescent="0.25">
      <c r="B28" s="201"/>
      <c r="C28" s="201"/>
      <c r="D28" s="201"/>
      <c r="E28" s="202"/>
      <c r="F28" s="202"/>
      <c r="G28" s="202"/>
      <c r="H28" s="202"/>
      <c r="I28" s="202"/>
      <c r="J28" s="202"/>
      <c r="M28"/>
      <c r="N28"/>
    </row>
    <row r="29" spans="2:17" ht="15" customHeight="1" x14ac:dyDescent="0.25">
      <c r="B29" s="182" t="s">
        <v>205</v>
      </c>
      <c r="C29" s="182"/>
      <c r="D29" s="182"/>
      <c r="E29" s="183"/>
      <c r="F29" s="183"/>
      <c r="G29" s="183"/>
      <c r="H29" s="183"/>
      <c r="I29" s="183"/>
      <c r="J29" s="183"/>
      <c r="K29" s="183"/>
      <c r="M29"/>
      <c r="N29"/>
    </row>
    <row r="30" spans="2:17" ht="30.6" x14ac:dyDescent="0.25">
      <c r="B30" s="295" t="s">
        <v>150</v>
      </c>
      <c r="C30" s="296"/>
      <c r="D30" s="296"/>
      <c r="E30" s="297" t="s">
        <v>57</v>
      </c>
      <c r="F30" s="297" t="s">
        <v>93</v>
      </c>
      <c r="G30" s="297" t="s">
        <v>162</v>
      </c>
      <c r="H30" s="297" t="s">
        <v>206</v>
      </c>
      <c r="I30" s="297" t="s">
        <v>95</v>
      </c>
      <c r="J30" s="297" t="s">
        <v>97</v>
      </c>
      <c r="K30" s="297" t="s">
        <v>9</v>
      </c>
    </row>
    <row r="31" spans="2:17" ht="15" customHeight="1" x14ac:dyDescent="0.25">
      <c r="B31" s="203" t="s">
        <v>163</v>
      </c>
      <c r="C31" s="204"/>
      <c r="D31" s="204"/>
      <c r="E31" s="204"/>
      <c r="F31" s="204"/>
      <c r="G31" s="204"/>
      <c r="I31" s="204"/>
      <c r="J31" s="204"/>
      <c r="K31" s="205"/>
    </row>
    <row r="32" spans="2:17" ht="15" customHeight="1" x14ac:dyDescent="0.25">
      <c r="B32" s="198"/>
      <c r="C32" s="199"/>
      <c r="D32" s="199"/>
      <c r="E32" s="189"/>
      <c r="F32" s="206"/>
      <c r="G32" s="206"/>
      <c r="H32" s="206"/>
      <c r="I32" s="206"/>
      <c r="J32" s="206"/>
      <c r="K32" s="206"/>
    </row>
    <row r="33" spans="1:25" ht="15" customHeight="1" x14ac:dyDescent="0.25">
      <c r="B33" s="198" t="str">
        <f>B14</f>
        <v>2013 Board Approved</v>
      </c>
      <c r="C33" s="199"/>
      <c r="D33" s="199"/>
      <c r="E33" s="189">
        <f>148.148873</f>
        <v>148.14887300000001</v>
      </c>
      <c r="F33" s="189">
        <f>31.781016</f>
        <v>31.781016000000001</v>
      </c>
      <c r="G33" s="189">
        <v>51.329340999999999</v>
      </c>
      <c r="H33" s="189">
        <v>0.10494199999999999</v>
      </c>
      <c r="I33" s="189">
        <v>1.516831</v>
      </c>
      <c r="J33" s="189">
        <v>0.47465200000000002</v>
      </c>
      <c r="K33" s="207">
        <f>SUM(E33:J33)</f>
        <v>233.35565499999998</v>
      </c>
      <c r="L33" s="260"/>
      <c r="M33" s="269"/>
      <c r="N33" s="269"/>
    </row>
    <row r="34" spans="1:25" ht="15" customHeight="1" x14ac:dyDescent="0.25">
      <c r="B34" s="198"/>
      <c r="C34" s="199"/>
      <c r="D34" s="199"/>
      <c r="E34" s="189"/>
      <c r="F34" s="189"/>
      <c r="G34" s="189"/>
      <c r="H34" s="189"/>
      <c r="I34" s="189"/>
      <c r="J34" s="189"/>
      <c r="K34" s="207"/>
      <c r="L34" s="260"/>
    </row>
    <row r="35" spans="1:25" ht="15" customHeight="1" x14ac:dyDescent="0.25">
      <c r="B35" s="198" t="str">
        <f t="shared" ref="B35:B45" si="6">B16</f>
        <v xml:space="preserve">2007 Actual </v>
      </c>
      <c r="C35" s="199"/>
      <c r="D35" s="199"/>
      <c r="E35" s="189">
        <f>Summary!B15/1000000</f>
        <v>149.54028797127353</v>
      </c>
      <c r="F35" s="189">
        <f>Summary!B19/1000000</f>
        <v>28.638157412327427</v>
      </c>
      <c r="G35" s="189">
        <f>Summary!B23/1000000</f>
        <v>39.320569999999996</v>
      </c>
      <c r="H35" s="189">
        <f>Summary!B28/1000000</f>
        <v>0.12637100000000001</v>
      </c>
      <c r="I35" s="189">
        <f>Summary!B33/1000000</f>
        <v>1.4959469999999999</v>
      </c>
      <c r="J35" s="189">
        <f>Summary!B38/1000000</f>
        <v>0.5235134663990415</v>
      </c>
      <c r="K35" s="207">
        <f>SUM(E35:J35)</f>
        <v>219.64484684999999</v>
      </c>
      <c r="L35" s="260"/>
      <c r="P35" s="50"/>
      <c r="Q35" s="50"/>
      <c r="Y35" s="50"/>
    </row>
    <row r="36" spans="1:25" ht="15" customHeight="1" x14ac:dyDescent="0.25">
      <c r="B36" s="198" t="str">
        <f t="shared" si="6"/>
        <v xml:space="preserve">2008 Actual </v>
      </c>
      <c r="C36" s="199"/>
      <c r="D36" s="199"/>
      <c r="E36" s="189">
        <f>Summary!C15/1000000</f>
        <v>150.82954773240874</v>
      </c>
      <c r="F36" s="189">
        <f>Summary!C19/1000000</f>
        <v>28.578436331503898</v>
      </c>
      <c r="G36" s="189">
        <f>Summary!C23/1000000</f>
        <v>45.269405570000004</v>
      </c>
      <c r="H36" s="189">
        <f>Summary!C28/1000000</f>
        <v>0.12421161999999999</v>
      </c>
      <c r="I36" s="189">
        <f>Summary!C33/1000000</f>
        <v>1.5338988</v>
      </c>
      <c r="J36" s="189">
        <f>Summary!C38/1000000</f>
        <v>0.51212233608737145</v>
      </c>
      <c r="K36" s="207">
        <f t="shared" ref="K36:K45" si="7">SUM(E36:J36)</f>
        <v>226.84762239000003</v>
      </c>
      <c r="L36" s="260"/>
      <c r="M36" s="50"/>
      <c r="N36" s="50"/>
      <c r="O36" s="50"/>
      <c r="P36" s="50"/>
      <c r="Q36" s="50"/>
      <c r="Y36" s="50"/>
    </row>
    <row r="37" spans="1:25" ht="15" customHeight="1" x14ac:dyDescent="0.25">
      <c r="B37" s="198" t="str">
        <f t="shared" si="6"/>
        <v xml:space="preserve">2009 Actual </v>
      </c>
      <c r="C37" s="199"/>
      <c r="D37" s="199"/>
      <c r="E37" s="189">
        <f>Summary!D15/1000000</f>
        <v>151.16154800000001</v>
      </c>
      <c r="F37" s="189">
        <f>Summary!D19/1000000</f>
        <v>28.275493000000001</v>
      </c>
      <c r="G37" s="189">
        <f>Summary!D23/1000000</f>
        <v>47.473258209999997</v>
      </c>
      <c r="H37" s="189">
        <f>Summary!D28/1000000</f>
        <v>0.12202110000000001</v>
      </c>
      <c r="I37" s="189">
        <f>Summary!D33/1000000</f>
        <v>1.5769116000000001</v>
      </c>
      <c r="J37" s="189">
        <f>Summary!D38/1000000</f>
        <v>0.49722240000000001</v>
      </c>
      <c r="K37" s="207">
        <f t="shared" si="7"/>
        <v>229.10645431</v>
      </c>
      <c r="L37" s="260"/>
      <c r="M37" s="50"/>
      <c r="N37" s="50"/>
      <c r="O37" s="50"/>
      <c r="P37" s="50"/>
      <c r="Q37" s="50"/>
      <c r="Y37" s="50"/>
    </row>
    <row r="38" spans="1:25" ht="15" customHeight="1" x14ac:dyDescent="0.25">
      <c r="B38" s="198" t="str">
        <f t="shared" si="6"/>
        <v xml:space="preserve">2010 Actual </v>
      </c>
      <c r="C38" s="199"/>
      <c r="D38" s="199"/>
      <c r="E38" s="189">
        <f>Summary!E15/1000000</f>
        <v>149.15206822999997</v>
      </c>
      <c r="F38" s="189">
        <f>Summary!E19/1000000</f>
        <v>29.400127999999999</v>
      </c>
      <c r="G38" s="189">
        <f>Summary!E23/1000000</f>
        <v>51.128771119999989</v>
      </c>
      <c r="H38" s="189">
        <f>Summary!E28/1000000</f>
        <v>0.11670272</v>
      </c>
      <c r="I38" s="189">
        <f>Summary!E33/1000000</f>
        <v>1.580058</v>
      </c>
      <c r="J38" s="189">
        <f>Summary!E38/1000000</f>
        <v>0.49722240000000001</v>
      </c>
      <c r="K38" s="207">
        <f t="shared" si="7"/>
        <v>231.87495046999996</v>
      </c>
      <c r="L38" s="260"/>
      <c r="M38" s="50"/>
      <c r="N38" s="50"/>
      <c r="O38" s="50"/>
      <c r="P38" s="50"/>
      <c r="Q38" s="50"/>
      <c r="Y38" s="50"/>
    </row>
    <row r="39" spans="1:25" ht="15" customHeight="1" x14ac:dyDescent="0.25">
      <c r="B39" s="198" t="str">
        <f t="shared" si="6"/>
        <v xml:space="preserve">2011 Actual </v>
      </c>
      <c r="C39" s="199"/>
      <c r="D39" s="199"/>
      <c r="E39" s="189">
        <f>Summary!F15/1000000</f>
        <v>150.85930457000001</v>
      </c>
      <c r="F39" s="189">
        <f>Summary!F19/1000000</f>
        <v>30.76012832</v>
      </c>
      <c r="G39" s="189">
        <f>Summary!F23/1000000</f>
        <v>49.921685450000005</v>
      </c>
      <c r="H39" s="189">
        <f>Summary!F28/1000000</f>
        <v>0.11024082</v>
      </c>
      <c r="I39" s="189">
        <f>Summary!F33/1000000</f>
        <v>1.4573694099999999</v>
      </c>
      <c r="J39" s="189">
        <f>Summary!F38/1000000</f>
        <v>0.49285440000000003</v>
      </c>
      <c r="K39" s="207">
        <f t="shared" si="7"/>
        <v>233.60158297000004</v>
      </c>
      <c r="L39" s="260"/>
      <c r="M39" s="50"/>
      <c r="N39" s="50"/>
      <c r="O39" s="50"/>
      <c r="P39" s="50"/>
      <c r="Q39" s="50"/>
      <c r="Y39" s="50"/>
    </row>
    <row r="40" spans="1:25" ht="15" customHeight="1" x14ac:dyDescent="0.25">
      <c r="B40" s="198" t="str">
        <f t="shared" si="6"/>
        <v xml:space="preserve">2012 Actual </v>
      </c>
      <c r="C40" s="199"/>
      <c r="D40" s="199"/>
      <c r="E40" s="189">
        <f>Summary!G15/1000000</f>
        <v>145.72073800000001</v>
      </c>
      <c r="F40" s="189">
        <f>Summary!G19/1000000</f>
        <v>30.926417000000001</v>
      </c>
      <c r="G40" s="189">
        <f>Summary!G23/1000000</f>
        <v>51.138109999999998</v>
      </c>
      <c r="H40" s="189">
        <f>Summary!G28/1000000</f>
        <v>0.11335985597714041</v>
      </c>
      <c r="I40" s="189">
        <f>Summary!G33/1000000</f>
        <v>1.5697088405002926</v>
      </c>
      <c r="J40" s="189">
        <f>Summary!G38/1000000</f>
        <v>0.48187090000000005</v>
      </c>
      <c r="K40" s="207">
        <f t="shared" si="7"/>
        <v>229.95020459647739</v>
      </c>
      <c r="L40" s="260"/>
      <c r="O40" s="50"/>
      <c r="P40" s="50"/>
      <c r="Q40" s="50"/>
      <c r="Y40" s="50"/>
    </row>
    <row r="41" spans="1:25" x14ac:dyDescent="0.25">
      <c r="B41" s="198" t="str">
        <f t="shared" si="6"/>
        <v xml:space="preserve">2013 Actual </v>
      </c>
      <c r="C41" s="199"/>
      <c r="D41" s="199"/>
      <c r="E41" s="189">
        <f>Summary!H15/1000000</f>
        <v>148.837682</v>
      </c>
      <c r="F41" s="189">
        <f>Summary!H19/1000000</f>
        <v>31.038184000000001</v>
      </c>
      <c r="G41" s="189">
        <f>Summary!H23/1000000</f>
        <v>50.921722000000003</v>
      </c>
      <c r="H41" s="189">
        <f>Summary!H28/1000000</f>
        <v>0.10184393410009757</v>
      </c>
      <c r="I41" s="189">
        <f>Summary!H33/1000000</f>
        <v>1.4721342629375482</v>
      </c>
      <c r="J41" s="189">
        <f>Summary!H38/1000000</f>
        <v>0.47434399999999999</v>
      </c>
      <c r="K41" s="207">
        <f t="shared" si="7"/>
        <v>232.84591019703765</v>
      </c>
      <c r="L41" s="260"/>
      <c r="Y41" s="50"/>
    </row>
    <row r="42" spans="1:25" x14ac:dyDescent="0.25">
      <c r="B42" s="198" t="str">
        <f t="shared" si="6"/>
        <v xml:space="preserve">2014 Actual </v>
      </c>
      <c r="C42" s="199"/>
      <c r="D42" s="199"/>
      <c r="E42" s="189">
        <f>Summary!I15/1000000</f>
        <v>153.33148431999999</v>
      </c>
      <c r="F42" s="189">
        <f>Summary!I19/1000000</f>
        <v>32.222518180000002</v>
      </c>
      <c r="G42" s="189">
        <f>Summary!I23/1000000</f>
        <v>50.592266850000001</v>
      </c>
      <c r="H42" s="189">
        <f>Summary!I28/1000000</f>
        <v>0.10798000000000001</v>
      </c>
      <c r="I42" s="189">
        <f>Summary!I33/1000000</f>
        <v>1.6255534323642933</v>
      </c>
      <c r="J42" s="189">
        <f>Summary!I38/1000000</f>
        <v>0.46756170000000002</v>
      </c>
      <c r="K42" s="207">
        <f t="shared" si="7"/>
        <v>238.3473644823643</v>
      </c>
      <c r="L42" s="260"/>
      <c r="M42" s="50"/>
      <c r="N42" s="50"/>
      <c r="O42" s="50"/>
      <c r="P42" s="50"/>
      <c r="Q42" s="50"/>
      <c r="Y42" s="50"/>
    </row>
    <row r="43" spans="1:25" x14ac:dyDescent="0.25">
      <c r="B43" s="198" t="str">
        <f t="shared" si="6"/>
        <v xml:space="preserve">2015 Actual </v>
      </c>
      <c r="C43" s="199"/>
      <c r="D43" s="199"/>
      <c r="E43" s="189">
        <f>Summary!J15/1000000</f>
        <v>151.89221599999999</v>
      </c>
      <c r="F43" s="189">
        <f>Summary!J19/1000000</f>
        <v>34.381050000000002</v>
      </c>
      <c r="G43" s="189">
        <f>Summary!J23/1000000</f>
        <v>54.636276000000002</v>
      </c>
      <c r="H43" s="189">
        <f>Summary!J28/1000000</f>
        <v>0.103536</v>
      </c>
      <c r="I43" s="189">
        <f>Summary!J33/1000000</f>
        <v>1.106444</v>
      </c>
      <c r="J43" s="189">
        <f>Summary!J38/1000000</f>
        <v>0.46745500000000001</v>
      </c>
      <c r="K43" s="207">
        <f t="shared" si="7"/>
        <v>242.58697699999999</v>
      </c>
      <c r="L43" s="260"/>
      <c r="N43"/>
      <c r="O43"/>
      <c r="P43"/>
      <c r="Q43" s="50"/>
      <c r="Y43" s="50"/>
    </row>
    <row r="44" spans="1:25" x14ac:dyDescent="0.25">
      <c r="B44" s="349" t="str">
        <f t="shared" si="6"/>
        <v xml:space="preserve">2016 Actual </v>
      </c>
      <c r="C44" s="350"/>
      <c r="D44" s="351"/>
      <c r="E44" s="189">
        <f>Summary!K15/1000000</f>
        <v>149.50894191</v>
      </c>
      <c r="F44" s="189">
        <f>Summary!K19/1000000</f>
        <v>33.411508120000008</v>
      </c>
      <c r="G44" s="189">
        <f>Summary!K23/1000000</f>
        <v>57.98060744</v>
      </c>
      <c r="H44" s="189">
        <f>Summary!K28/1000000</f>
        <v>0.10630536</v>
      </c>
      <c r="I44" s="189">
        <f>Summary!K33/1000000</f>
        <v>0.53654952</v>
      </c>
      <c r="J44" s="189">
        <f>Summary!K38/1000000</f>
        <v>0.47240555000000001</v>
      </c>
      <c r="K44" s="207">
        <f t="shared" si="7"/>
        <v>242.01631789999999</v>
      </c>
      <c r="Q44" s="50"/>
      <c r="Y44" s="50"/>
    </row>
    <row r="45" spans="1:25" x14ac:dyDescent="0.25">
      <c r="B45" s="349" t="str">
        <f t="shared" si="6"/>
        <v>2017 Test - Normalized</v>
      </c>
      <c r="C45" s="350"/>
      <c r="D45" s="351"/>
      <c r="E45" s="189">
        <f>Summary!L15/1000000</f>
        <v>149.17400831039717</v>
      </c>
      <c r="F45" s="189">
        <f>Summary!L19/1000000</f>
        <v>32.869504377750033</v>
      </c>
      <c r="G45" s="189">
        <f>Summary!L23/1000000</f>
        <v>56.130544059063354</v>
      </c>
      <c r="H45" s="189">
        <f>Summary!L28/1000000</f>
        <v>0.10478466677941774</v>
      </c>
      <c r="I45" s="189">
        <f>Summary!L33/1000000</f>
        <v>0.54684311902564298</v>
      </c>
      <c r="J45" s="189">
        <f>Summary!L38/1000000</f>
        <v>0.46325785922741913</v>
      </c>
      <c r="K45" s="207">
        <f t="shared" si="7"/>
        <v>239.28894239224303</v>
      </c>
      <c r="L45" s="260"/>
      <c r="M45" s="50"/>
      <c r="N45" s="50"/>
      <c r="O45" s="50"/>
      <c r="P45" s="50"/>
      <c r="Q45" s="50"/>
      <c r="Y45" s="50"/>
    </row>
    <row r="46" spans="1:25" x14ac:dyDescent="0.25">
      <c r="B46" s="201"/>
      <c r="C46" s="201"/>
      <c r="D46" s="201"/>
      <c r="E46" s="270"/>
      <c r="F46" s="270"/>
      <c r="G46" s="270"/>
      <c r="H46" s="270"/>
      <c r="I46" s="270"/>
      <c r="J46" s="270"/>
      <c r="K46" s="266"/>
      <c r="L46" s="50"/>
      <c r="M46" s="50"/>
      <c r="N46" s="50"/>
      <c r="O46" s="50"/>
      <c r="P46" s="50"/>
      <c r="Q46" s="50"/>
      <c r="Y46" s="50"/>
    </row>
    <row r="47" spans="1:25" x14ac:dyDescent="0.25">
      <c r="B47" s="182" t="s">
        <v>207</v>
      </c>
      <c r="C47" s="201"/>
      <c r="D47" s="201"/>
      <c r="E47" s="270"/>
      <c r="F47" s="270"/>
      <c r="G47" s="270"/>
      <c r="H47" s="270"/>
      <c r="I47" s="270"/>
      <c r="J47" s="270"/>
      <c r="K47" s="266"/>
      <c r="L47" s="50"/>
      <c r="M47" s="50"/>
      <c r="N47" s="50"/>
      <c r="O47" s="50"/>
      <c r="P47" s="50"/>
      <c r="Q47" s="50"/>
      <c r="Y47" s="50"/>
    </row>
    <row r="48" spans="1:25" ht="30.6" x14ac:dyDescent="0.25">
      <c r="A48" s="209"/>
      <c r="B48" s="295" t="s">
        <v>150</v>
      </c>
      <c r="C48" s="296"/>
      <c r="D48" s="296"/>
      <c r="E48" s="297" t="s">
        <v>57</v>
      </c>
      <c r="F48" s="297" t="s">
        <v>93</v>
      </c>
      <c r="G48" s="297" t="s">
        <v>162</v>
      </c>
      <c r="H48" s="297" t="s">
        <v>206</v>
      </c>
      <c r="I48" s="297" t="s">
        <v>95</v>
      </c>
      <c r="J48" s="297" t="s">
        <v>97</v>
      </c>
      <c r="K48" s="297" t="s">
        <v>9</v>
      </c>
      <c r="L48" s="209"/>
    </row>
    <row r="49" spans="1:15" ht="15" customHeight="1" x14ac:dyDescent="0.25">
      <c r="B49" s="360" t="s">
        <v>164</v>
      </c>
      <c r="C49" s="360"/>
      <c r="D49" s="360"/>
      <c r="E49" s="360"/>
      <c r="F49" s="360"/>
      <c r="G49" s="360"/>
      <c r="H49" s="360"/>
      <c r="I49" s="360"/>
      <c r="J49" s="360"/>
      <c r="K49" s="360"/>
    </row>
    <row r="50" spans="1:15" ht="15" customHeight="1" x14ac:dyDescent="0.25">
      <c r="B50" s="198"/>
      <c r="C50" s="199"/>
      <c r="D50" s="199"/>
      <c r="E50" s="210"/>
      <c r="F50" s="192"/>
      <c r="G50" s="192"/>
      <c r="H50" s="192"/>
      <c r="I50" s="192"/>
      <c r="J50" s="192"/>
      <c r="K50" s="192"/>
    </row>
    <row r="51" spans="1:15" ht="15" customHeight="1" x14ac:dyDescent="0.25">
      <c r="B51" s="198" t="str">
        <f>B33</f>
        <v>2013 Board Approved</v>
      </c>
      <c r="C51" s="199"/>
      <c r="D51" s="199"/>
      <c r="E51" s="210">
        <v>14189</v>
      </c>
      <c r="F51" s="192">
        <v>910</v>
      </c>
      <c r="G51" s="192">
        <v>66</v>
      </c>
      <c r="H51" s="192">
        <v>237</v>
      </c>
      <c r="I51" s="192">
        <v>2889</v>
      </c>
      <c r="J51" s="192">
        <v>78</v>
      </c>
      <c r="K51" s="192">
        <f>SUM(E51:J51)</f>
        <v>18369</v>
      </c>
      <c r="L51"/>
      <c r="M51" s="208"/>
    </row>
    <row r="52" spans="1:15" ht="15" customHeight="1" x14ac:dyDescent="0.25">
      <c r="A52" s="212"/>
      <c r="B52" s="198"/>
      <c r="C52" s="199"/>
      <c r="D52" s="199"/>
      <c r="E52" s="210"/>
      <c r="F52" s="192"/>
      <c r="G52" s="192"/>
      <c r="H52" s="192"/>
      <c r="I52" s="192"/>
      <c r="J52" s="192"/>
      <c r="K52" s="192"/>
      <c r="L52"/>
      <c r="M52" s="208"/>
    </row>
    <row r="53" spans="1:15" ht="15" customHeight="1" x14ac:dyDescent="0.25">
      <c r="A53" s="213"/>
      <c r="B53" s="198" t="str">
        <f t="shared" ref="B53:B63" si="8">B35</f>
        <v xml:space="preserve">2007 Actual </v>
      </c>
      <c r="C53" s="199"/>
      <c r="D53" s="199"/>
      <c r="E53" s="210">
        <f>Summary!B14</f>
        <v>12991</v>
      </c>
      <c r="F53" s="210">
        <f>Summary!B18</f>
        <v>819</v>
      </c>
      <c r="G53" s="210">
        <f>Summary!B22</f>
        <v>71</v>
      </c>
      <c r="H53" s="192">
        <f>Summary!B27</f>
        <v>186</v>
      </c>
      <c r="I53" s="192">
        <f>Summary!B32</f>
        <v>2489</v>
      </c>
      <c r="J53" s="192">
        <f>Summary!B37</f>
        <v>89</v>
      </c>
      <c r="K53" s="192">
        <f>SUM(E53:J53)</f>
        <v>16645</v>
      </c>
      <c r="L53"/>
    </row>
    <row r="54" spans="1:15" ht="15" customHeight="1" x14ac:dyDescent="0.25">
      <c r="A54" s="213"/>
      <c r="B54" s="198" t="str">
        <f t="shared" si="8"/>
        <v xml:space="preserve">2008 Actual </v>
      </c>
      <c r="C54" s="199"/>
      <c r="D54" s="199"/>
      <c r="E54" s="210">
        <f>Summary!C14</f>
        <v>13277</v>
      </c>
      <c r="F54" s="210">
        <f>Summary!C18</f>
        <v>836</v>
      </c>
      <c r="G54" s="210">
        <f>Summary!C22</f>
        <v>73</v>
      </c>
      <c r="H54" s="192">
        <f>Summary!C27</f>
        <v>186</v>
      </c>
      <c r="I54" s="192">
        <f>Summary!C32</f>
        <v>2588</v>
      </c>
      <c r="J54" s="192">
        <f>Summary!C37</f>
        <v>84</v>
      </c>
      <c r="K54" s="192">
        <f t="shared" ref="K54:K63" si="9">SUM(E54:J54)</f>
        <v>17044</v>
      </c>
      <c r="L54"/>
      <c r="M54" s="208"/>
    </row>
    <row r="55" spans="1:15" ht="15" customHeight="1" x14ac:dyDescent="0.25">
      <c r="A55" s="213"/>
      <c r="B55" s="198" t="str">
        <f t="shared" si="8"/>
        <v xml:space="preserve">2009 Actual </v>
      </c>
      <c r="C55" s="199"/>
      <c r="D55" s="199"/>
      <c r="E55" s="210">
        <f>Summary!D14</f>
        <v>13533</v>
      </c>
      <c r="F55" s="210">
        <f>Summary!D18</f>
        <v>855</v>
      </c>
      <c r="G55" s="210">
        <f>Summary!D22</f>
        <v>72</v>
      </c>
      <c r="H55" s="192">
        <f>Summary!D27</f>
        <v>193</v>
      </c>
      <c r="I55" s="192">
        <f>Summary!D32</f>
        <v>2625</v>
      </c>
      <c r="J55" s="192">
        <f>Summary!D37</f>
        <v>83</v>
      </c>
      <c r="K55" s="192">
        <f t="shared" si="9"/>
        <v>17361</v>
      </c>
      <c r="L55"/>
      <c r="M55" s="208"/>
    </row>
    <row r="56" spans="1:15" ht="15" customHeight="1" x14ac:dyDescent="0.25">
      <c r="A56" s="213"/>
      <c r="B56" s="198" t="str">
        <f t="shared" si="8"/>
        <v xml:space="preserve">2010 Actual </v>
      </c>
      <c r="C56" s="199"/>
      <c r="D56" s="199"/>
      <c r="E56" s="210">
        <f>Summary!E14</f>
        <v>13651</v>
      </c>
      <c r="F56" s="210">
        <f>Summary!E18</f>
        <v>865</v>
      </c>
      <c r="G56" s="210">
        <f>Summary!E22</f>
        <v>68</v>
      </c>
      <c r="H56" s="192">
        <f>Summary!E27</f>
        <v>201</v>
      </c>
      <c r="I56" s="192">
        <f>Summary!E32</f>
        <v>2685</v>
      </c>
      <c r="J56" s="192">
        <f>Summary!E37</f>
        <v>82</v>
      </c>
      <c r="K56" s="192">
        <f t="shared" si="9"/>
        <v>17552</v>
      </c>
      <c r="L56"/>
      <c r="M56" s="208"/>
    </row>
    <row r="57" spans="1:15" ht="15" customHeight="1" x14ac:dyDescent="0.25">
      <c r="A57" s="213"/>
      <c r="B57" s="198" t="str">
        <f t="shared" si="8"/>
        <v xml:space="preserve">2011 Actual </v>
      </c>
      <c r="C57" s="199"/>
      <c r="D57" s="199"/>
      <c r="E57" s="210">
        <f>Summary!F14</f>
        <v>13779</v>
      </c>
      <c r="F57" s="210">
        <f>Summary!F18</f>
        <v>896</v>
      </c>
      <c r="G57" s="210">
        <f>Summary!F22</f>
        <v>67</v>
      </c>
      <c r="H57" s="192">
        <f>Summary!F27</f>
        <v>225</v>
      </c>
      <c r="I57" s="192">
        <f>Summary!F32</f>
        <v>2728</v>
      </c>
      <c r="J57" s="192">
        <f>Summary!F37</f>
        <v>81</v>
      </c>
      <c r="K57" s="192">
        <f t="shared" si="9"/>
        <v>17776</v>
      </c>
      <c r="L57"/>
      <c r="M57" s="208"/>
    </row>
    <row r="58" spans="1:15" ht="15" customHeight="1" x14ac:dyDescent="0.25">
      <c r="A58" s="213"/>
      <c r="B58" s="198" t="str">
        <f t="shared" si="8"/>
        <v xml:space="preserve">2012 Actual </v>
      </c>
      <c r="C58" s="199"/>
      <c r="D58" s="199"/>
      <c r="E58" s="210">
        <f>Summary!G14</f>
        <v>13942.916666666666</v>
      </c>
      <c r="F58" s="210">
        <f>Summary!G18</f>
        <v>913.75</v>
      </c>
      <c r="G58" s="210">
        <f>Summary!G22</f>
        <v>67.916666666666671</v>
      </c>
      <c r="H58" s="192">
        <f>Summary!G27</f>
        <v>172.08333333333334</v>
      </c>
      <c r="I58" s="192">
        <f>Summary!G32</f>
        <v>2728</v>
      </c>
      <c r="J58" s="192">
        <f>Summary!G37</f>
        <v>78.666666666666671</v>
      </c>
      <c r="K58" s="192">
        <f t="shared" si="9"/>
        <v>17903.333333333332</v>
      </c>
      <c r="L58"/>
      <c r="M58" s="208"/>
    </row>
    <row r="59" spans="1:15" ht="15" customHeight="1" x14ac:dyDescent="0.25">
      <c r="A59" s="213"/>
      <c r="B59" s="198" t="str">
        <f t="shared" si="8"/>
        <v xml:space="preserve">2013 Actual </v>
      </c>
      <c r="C59" s="199"/>
      <c r="D59" s="199"/>
      <c r="E59" s="210">
        <f>Summary!H14</f>
        <v>14181</v>
      </c>
      <c r="F59" s="210">
        <f>Summary!H18</f>
        <v>949.25</v>
      </c>
      <c r="G59" s="210">
        <f>Summary!H22</f>
        <v>67</v>
      </c>
      <c r="H59" s="192">
        <f>Summary!H27</f>
        <v>168</v>
      </c>
      <c r="I59" s="192">
        <f>Summary!H32</f>
        <v>2843.3333333333335</v>
      </c>
      <c r="J59" s="192">
        <f>Summary!H37</f>
        <v>77.583333333333329</v>
      </c>
      <c r="K59" s="192">
        <f t="shared" si="9"/>
        <v>18286.166666666664</v>
      </c>
      <c r="L59"/>
      <c r="M59" s="208"/>
    </row>
    <row r="60" spans="1:15" ht="15" customHeight="1" x14ac:dyDescent="0.25">
      <c r="A60" s="213"/>
      <c r="B60" s="198" t="str">
        <f t="shared" si="8"/>
        <v xml:space="preserve">2014 Actual </v>
      </c>
      <c r="C60" s="199"/>
      <c r="D60" s="199"/>
      <c r="E60" s="210">
        <f>Summary!I14</f>
        <v>14509.166666666666</v>
      </c>
      <c r="F60" s="210">
        <f>Summary!I18</f>
        <v>991.25</v>
      </c>
      <c r="G60" s="210">
        <f>Summary!I22</f>
        <v>67.166666666666671</v>
      </c>
      <c r="H60" s="192">
        <f>Summary!I27</f>
        <v>169.41666666666666</v>
      </c>
      <c r="I60" s="192">
        <f>Summary!I32</f>
        <v>2923.3333333333335</v>
      </c>
      <c r="J60" s="192">
        <f>Summary!I37</f>
        <v>75.583333333333329</v>
      </c>
      <c r="K60" s="192">
        <f t="shared" si="9"/>
        <v>18735.916666666664</v>
      </c>
      <c r="L60"/>
      <c r="M60" s="208"/>
    </row>
    <row r="61" spans="1:15" ht="15" customHeight="1" x14ac:dyDescent="0.25">
      <c r="A61" s="213"/>
      <c r="B61" s="198" t="str">
        <f t="shared" si="8"/>
        <v xml:space="preserve">2015 Actual </v>
      </c>
      <c r="C61" s="199"/>
      <c r="D61" s="199"/>
      <c r="E61" s="210">
        <f>Summary!J14</f>
        <v>14861.583333333334</v>
      </c>
      <c r="F61" s="210">
        <f>Summary!J18</f>
        <v>1000.5833333333334</v>
      </c>
      <c r="G61" s="210">
        <f>Summary!J22</f>
        <v>71.5</v>
      </c>
      <c r="H61" s="192">
        <f>Summary!J27</f>
        <v>165.75</v>
      </c>
      <c r="I61" s="192">
        <f>Summary!J32</f>
        <v>2897.6666666666665</v>
      </c>
      <c r="J61" s="192">
        <f>Summary!J37</f>
        <v>76</v>
      </c>
      <c r="K61" s="192">
        <f t="shared" si="9"/>
        <v>19073.083333333336</v>
      </c>
      <c r="L61"/>
      <c r="M61" s="208"/>
    </row>
    <row r="62" spans="1:15" ht="15" customHeight="1" x14ac:dyDescent="0.25">
      <c r="A62" s="213"/>
      <c r="B62" s="198" t="str">
        <f t="shared" si="8"/>
        <v xml:space="preserve">2016 Actual </v>
      </c>
      <c r="C62" s="199"/>
      <c r="D62" s="199"/>
      <c r="E62" s="210">
        <f>Summary!K14</f>
        <v>15201.583333333334</v>
      </c>
      <c r="F62" s="210">
        <f>Summary!K18</f>
        <v>1016.25</v>
      </c>
      <c r="G62" s="210">
        <f>Summary!K22</f>
        <v>75.583333333333329</v>
      </c>
      <c r="H62" s="192">
        <f>Summary!K27</f>
        <v>166.08333333333334</v>
      </c>
      <c r="I62" s="192">
        <f>Summary!K32</f>
        <v>2863.1666666666665</v>
      </c>
      <c r="J62" s="192">
        <f>Summary!K37</f>
        <v>75.333333333333329</v>
      </c>
      <c r="K62" s="192">
        <f t="shared" si="9"/>
        <v>19398</v>
      </c>
      <c r="L62"/>
      <c r="M62"/>
      <c r="N62"/>
      <c r="O62"/>
    </row>
    <row r="63" spans="1:15" ht="15" customHeight="1" x14ac:dyDescent="0.25">
      <c r="A63" s="213"/>
      <c r="B63" s="198" t="str">
        <f t="shared" si="8"/>
        <v>2017 Test - Normalized</v>
      </c>
      <c r="C63" s="199"/>
      <c r="D63" s="199"/>
      <c r="E63" s="210">
        <f>Summary!L14</f>
        <v>15459.364493237083</v>
      </c>
      <c r="F63" s="210">
        <f>Summary!L18</f>
        <v>1042.0096211924233</v>
      </c>
      <c r="G63" s="210">
        <f>Summary!L22</f>
        <v>75.649663863218251</v>
      </c>
      <c r="H63" s="192">
        <f>Summary!L27</f>
        <v>163.70751899008945</v>
      </c>
      <c r="I63" s="192">
        <f>Summary!L32</f>
        <v>2918.0959667809479</v>
      </c>
      <c r="J63" s="192">
        <f>Summary!L37</f>
        <v>73.860991392432041</v>
      </c>
      <c r="K63" s="192">
        <f t="shared" si="9"/>
        <v>19732.688255456196</v>
      </c>
      <c r="L63"/>
      <c r="M63"/>
      <c r="N63"/>
      <c r="O63"/>
    </row>
    <row r="64" spans="1:15" ht="15" customHeight="1" x14ac:dyDescent="0.25">
      <c r="B64" s="184"/>
      <c r="C64" s="184"/>
      <c r="D64" s="184"/>
    </row>
    <row r="65" spans="2:14" ht="15" customHeight="1" x14ac:dyDescent="0.25">
      <c r="B65" s="182" t="s">
        <v>208</v>
      </c>
      <c r="C65" s="182"/>
      <c r="D65" s="182"/>
      <c r="E65" s="183"/>
      <c r="F65" s="183"/>
      <c r="G65" s="183"/>
      <c r="H65" s="183"/>
      <c r="I65" s="183"/>
      <c r="J65" s="183"/>
      <c r="K65" s="183"/>
    </row>
    <row r="66" spans="2:14" ht="30.6" x14ac:dyDescent="0.25">
      <c r="B66" s="295" t="s">
        <v>150</v>
      </c>
      <c r="C66" s="296"/>
      <c r="D66" s="298"/>
      <c r="E66" s="299" t="str">
        <f t="shared" ref="E66:J66" si="10">E30</f>
        <v>Residential</v>
      </c>
      <c r="F66" s="294" t="str">
        <f t="shared" si="10"/>
        <v>General Service &lt; 50 kW</v>
      </c>
      <c r="G66" s="294" t="str">
        <f t="shared" si="10"/>
        <v>General Service 50 to 4,999 kW</v>
      </c>
      <c r="H66" s="294" t="str">
        <f t="shared" si="10"/>
        <v xml:space="preserve">Sentinel Lighting </v>
      </c>
      <c r="I66" s="294" t="str">
        <f t="shared" si="10"/>
        <v>Street Lighting</v>
      </c>
      <c r="J66" s="294" t="str">
        <f t="shared" si="10"/>
        <v>Unmetered Scattered Load</v>
      </c>
    </row>
    <row r="67" spans="2:14" ht="15" customHeight="1" x14ac:dyDescent="0.25">
      <c r="B67" s="374" t="s">
        <v>165</v>
      </c>
      <c r="C67" s="374"/>
      <c r="D67" s="374"/>
      <c r="E67" s="360"/>
      <c r="F67" s="360"/>
      <c r="G67" s="360"/>
      <c r="H67" s="360"/>
      <c r="I67" s="360"/>
      <c r="J67" s="360"/>
    </row>
    <row r="68" spans="2:14" ht="15" customHeight="1" x14ac:dyDescent="0.25">
      <c r="B68" s="221"/>
      <c r="C68" s="223"/>
      <c r="D68" s="223"/>
      <c r="E68" s="218"/>
      <c r="F68" s="218"/>
      <c r="G68" s="218"/>
      <c r="H68" s="218"/>
      <c r="I68" s="218"/>
      <c r="J68" s="271"/>
    </row>
    <row r="69" spans="2:14" ht="15" customHeight="1" x14ac:dyDescent="0.25">
      <c r="B69" s="198" t="str">
        <f>B33</f>
        <v>2013 Board Approved</v>
      </c>
      <c r="C69" s="199"/>
      <c r="D69" s="199"/>
      <c r="E69" s="190">
        <f t="shared" ref="E69:J69" si="11">E33*1000000/E51</f>
        <v>10441.107407146381</v>
      </c>
      <c r="F69" s="190">
        <f t="shared" si="11"/>
        <v>34924.193406593404</v>
      </c>
      <c r="G69" s="190">
        <f t="shared" si="11"/>
        <v>777717.28787878784</v>
      </c>
      <c r="H69" s="190">
        <f t="shared" si="11"/>
        <v>442.7932489451477</v>
      </c>
      <c r="I69" s="190">
        <f t="shared" si="11"/>
        <v>525.03669089650396</v>
      </c>
      <c r="J69" s="190">
        <f t="shared" si="11"/>
        <v>6085.2820512820517</v>
      </c>
      <c r="K69"/>
    </row>
    <row r="70" spans="2:14" ht="15" customHeight="1" x14ac:dyDescent="0.25">
      <c r="B70" s="198"/>
      <c r="C70" s="199"/>
      <c r="D70" s="199"/>
      <c r="E70" s="190"/>
      <c r="F70" s="190"/>
      <c r="G70" s="190"/>
      <c r="H70" s="190"/>
      <c r="I70" s="190"/>
      <c r="J70" s="271"/>
    </row>
    <row r="71" spans="2:14" ht="15" customHeight="1" x14ac:dyDescent="0.25">
      <c r="B71" s="198" t="str">
        <f t="shared" ref="B71:B81" si="12">B35</f>
        <v xml:space="preserve">2007 Actual </v>
      </c>
      <c r="C71" s="199"/>
      <c r="D71" s="199"/>
      <c r="E71" s="190">
        <f t="shared" ref="E71:J81" si="13">E35*1000000/E53</f>
        <v>11511.068275827383</v>
      </c>
      <c r="F71" s="190">
        <f t="shared" si="13"/>
        <v>34967.225167676959</v>
      </c>
      <c r="G71" s="190">
        <f t="shared" si="13"/>
        <v>553810.84507042251</v>
      </c>
      <c r="H71" s="190">
        <f t="shared" si="13"/>
        <v>679.41397849462373</v>
      </c>
      <c r="I71" s="190">
        <f t="shared" si="13"/>
        <v>601.02330253113701</v>
      </c>
      <c r="J71" s="190">
        <f t="shared" si="13"/>
        <v>5882.1737797645119</v>
      </c>
      <c r="L71" s="211"/>
      <c r="M71" s="211"/>
      <c r="N71" s="211"/>
    </row>
    <row r="72" spans="2:14" ht="15" customHeight="1" x14ac:dyDescent="0.25">
      <c r="B72" s="198" t="str">
        <f t="shared" si="12"/>
        <v xml:space="preserve">2008 Actual </v>
      </c>
      <c r="C72" s="199"/>
      <c r="D72" s="199"/>
      <c r="E72" s="190">
        <f t="shared" si="13"/>
        <v>11360.212979770184</v>
      </c>
      <c r="F72" s="190">
        <f t="shared" si="13"/>
        <v>34184.732453952034</v>
      </c>
      <c r="G72" s="190">
        <f t="shared" si="13"/>
        <v>620128.84342465759</v>
      </c>
      <c r="H72" s="190">
        <f t="shared" si="13"/>
        <v>667.80440860215049</v>
      </c>
      <c r="I72" s="190">
        <f t="shared" si="13"/>
        <v>592.69659969088104</v>
      </c>
      <c r="J72" s="190">
        <f t="shared" si="13"/>
        <v>6096.6944772306124</v>
      </c>
      <c r="L72" s="211"/>
      <c r="M72" s="211"/>
      <c r="N72" s="211"/>
    </row>
    <row r="73" spans="2:14" ht="15" customHeight="1" x14ac:dyDescent="0.25">
      <c r="B73" s="198" t="str">
        <f t="shared" si="12"/>
        <v xml:space="preserve">2009 Actual </v>
      </c>
      <c r="C73" s="199"/>
      <c r="D73" s="199"/>
      <c r="E73" s="190">
        <f t="shared" si="13"/>
        <v>11169.847631715067</v>
      </c>
      <c r="F73" s="190">
        <f t="shared" si="13"/>
        <v>33070.752046783629</v>
      </c>
      <c r="G73" s="190">
        <f t="shared" si="13"/>
        <v>659350.80847222218</v>
      </c>
      <c r="H73" s="190">
        <f t="shared" si="13"/>
        <v>632.23367875647671</v>
      </c>
      <c r="I73" s="190">
        <f t="shared" si="13"/>
        <v>600.72822857142864</v>
      </c>
      <c r="J73" s="190">
        <f t="shared" si="13"/>
        <v>5990.6313253012049</v>
      </c>
      <c r="L73" s="211"/>
      <c r="M73" s="211"/>
      <c r="N73" s="211"/>
    </row>
    <row r="74" spans="2:14" ht="15" customHeight="1" x14ac:dyDescent="0.25">
      <c r="B74" s="198" t="str">
        <f t="shared" si="12"/>
        <v xml:space="preserve">2010 Actual </v>
      </c>
      <c r="C74" s="199"/>
      <c r="D74" s="199"/>
      <c r="E74" s="190">
        <f t="shared" si="13"/>
        <v>10926.090999194195</v>
      </c>
      <c r="F74" s="190">
        <f t="shared" si="13"/>
        <v>33988.587283236993</v>
      </c>
      <c r="G74" s="190">
        <f t="shared" si="13"/>
        <v>751893.69294117636</v>
      </c>
      <c r="H74" s="190">
        <f t="shared" si="13"/>
        <v>580.61054726368161</v>
      </c>
      <c r="I74" s="190">
        <f t="shared" si="13"/>
        <v>588.47597765363128</v>
      </c>
      <c r="J74" s="190">
        <f t="shared" si="13"/>
        <v>6063.6878048780491</v>
      </c>
      <c r="L74" s="211"/>
      <c r="M74" s="211"/>
      <c r="N74" s="211"/>
    </row>
    <row r="75" spans="2:14" ht="15" customHeight="1" x14ac:dyDescent="0.25">
      <c r="B75" s="198" t="str">
        <f t="shared" si="12"/>
        <v xml:space="preserve">2011 Actual </v>
      </c>
      <c r="C75" s="199"/>
      <c r="D75" s="199"/>
      <c r="E75" s="190">
        <f t="shared" si="13"/>
        <v>10948.494416866246</v>
      </c>
      <c r="F75" s="190">
        <f t="shared" si="13"/>
        <v>34330.500357142861</v>
      </c>
      <c r="G75" s="190">
        <f t="shared" si="13"/>
        <v>745099.78283582092</v>
      </c>
      <c r="H75" s="190">
        <f t="shared" si="13"/>
        <v>489.95920000000001</v>
      </c>
      <c r="I75" s="190">
        <f t="shared" si="13"/>
        <v>534.22632331378293</v>
      </c>
      <c r="J75" s="190">
        <f t="shared" si="13"/>
        <v>6084.6222222222223</v>
      </c>
      <c r="L75" s="211"/>
      <c r="M75" s="211"/>
      <c r="N75" s="211"/>
    </row>
    <row r="76" spans="2:14" ht="15" customHeight="1" x14ac:dyDescent="0.25">
      <c r="B76" s="198" t="str">
        <f t="shared" si="12"/>
        <v xml:space="preserve">2012 Actual </v>
      </c>
      <c r="C76" s="199"/>
      <c r="D76" s="199"/>
      <c r="E76" s="190">
        <f t="shared" si="13"/>
        <v>10451.23782087679</v>
      </c>
      <c r="F76" s="190">
        <f t="shared" si="13"/>
        <v>33845.599999999999</v>
      </c>
      <c r="G76" s="190">
        <f t="shared" si="13"/>
        <v>752953.7668711656</v>
      </c>
      <c r="H76" s="190">
        <f t="shared" si="13"/>
        <v>658.7497683901621</v>
      </c>
      <c r="I76" s="190">
        <f t="shared" si="13"/>
        <v>575.40646645905156</v>
      </c>
      <c r="J76" s="190">
        <f t="shared" si="13"/>
        <v>6125.4775423728815</v>
      </c>
      <c r="L76" s="211"/>
      <c r="M76" s="211"/>
      <c r="N76" s="211"/>
    </row>
    <row r="77" spans="2:14" ht="15" customHeight="1" x14ac:dyDescent="0.25">
      <c r="B77" s="198" t="str">
        <f t="shared" si="12"/>
        <v xml:space="preserve">2013 Actual </v>
      </c>
      <c r="C77" s="199"/>
      <c r="D77" s="199"/>
      <c r="E77" s="190">
        <f t="shared" si="13"/>
        <v>10495.570270079685</v>
      </c>
      <c r="F77" s="190">
        <f t="shared" si="13"/>
        <v>32697.586515670268</v>
      </c>
      <c r="G77" s="190">
        <f t="shared" si="13"/>
        <v>760025.70149253728</v>
      </c>
      <c r="H77" s="190">
        <f t="shared" si="13"/>
        <v>606.21389345296177</v>
      </c>
      <c r="I77" s="190">
        <f t="shared" si="13"/>
        <v>517.74944769198646</v>
      </c>
      <c r="J77" s="190">
        <f t="shared" si="13"/>
        <v>6113.9935553168643</v>
      </c>
      <c r="L77" s="211"/>
      <c r="M77" s="211"/>
      <c r="N77" s="211"/>
    </row>
    <row r="78" spans="2:14" ht="15" customHeight="1" x14ac:dyDescent="0.25">
      <c r="B78" s="198" t="str">
        <f t="shared" si="12"/>
        <v xml:space="preserve">2014 Actual </v>
      </c>
      <c r="C78" s="199"/>
      <c r="D78" s="199"/>
      <c r="E78" s="190">
        <f t="shared" si="13"/>
        <v>10567.904266498192</v>
      </c>
      <c r="F78" s="190">
        <f t="shared" si="13"/>
        <v>32506.954027742748</v>
      </c>
      <c r="G78" s="190">
        <f t="shared" si="13"/>
        <v>753234.74218362279</v>
      </c>
      <c r="H78" s="190">
        <f t="shared" si="13"/>
        <v>637.36350221347766</v>
      </c>
      <c r="I78" s="190">
        <f t="shared" si="13"/>
        <v>556.06160742222119</v>
      </c>
      <c r="J78" s="190">
        <f t="shared" si="13"/>
        <v>6186.042337375965</v>
      </c>
      <c r="L78" s="211"/>
      <c r="M78" s="211"/>
      <c r="N78" s="211"/>
    </row>
    <row r="79" spans="2:14" ht="15" customHeight="1" x14ac:dyDescent="0.25">
      <c r="B79" s="198" t="str">
        <f t="shared" si="12"/>
        <v xml:space="preserve">2015 Actual </v>
      </c>
      <c r="C79" s="199"/>
      <c r="D79" s="199"/>
      <c r="E79" s="190">
        <f t="shared" si="13"/>
        <v>10220.459865761275</v>
      </c>
      <c r="F79" s="190">
        <f t="shared" si="13"/>
        <v>34361.006079786792</v>
      </c>
      <c r="G79" s="190">
        <f t="shared" si="13"/>
        <v>764143.72027972026</v>
      </c>
      <c r="H79" s="190">
        <f t="shared" si="13"/>
        <v>624.65158371040729</v>
      </c>
      <c r="I79" s="190">
        <f t="shared" si="13"/>
        <v>381.83964109053261</v>
      </c>
      <c r="J79" s="190">
        <f t="shared" si="13"/>
        <v>6150.7236842105267</v>
      </c>
      <c r="L79" s="211"/>
      <c r="M79" s="211"/>
      <c r="N79" s="211"/>
    </row>
    <row r="80" spans="2:14" ht="15" customHeight="1" x14ac:dyDescent="0.25">
      <c r="B80" s="198" t="str">
        <f t="shared" si="12"/>
        <v xml:space="preserve">2016 Actual </v>
      </c>
      <c r="C80" s="199"/>
      <c r="D80" s="199"/>
      <c r="E80" s="190">
        <f t="shared" si="13"/>
        <v>9835.0901107888967</v>
      </c>
      <c r="F80" s="190">
        <f t="shared" si="13"/>
        <v>32877.252762607633</v>
      </c>
      <c r="G80" s="190">
        <f t="shared" si="13"/>
        <v>767108.36745314219</v>
      </c>
      <c r="H80" s="190">
        <f t="shared" si="13"/>
        <v>640.07241344706472</v>
      </c>
      <c r="I80" s="190">
        <f t="shared" si="13"/>
        <v>187.39723616042843</v>
      </c>
      <c r="J80" s="190">
        <f t="shared" si="13"/>
        <v>6270.8701327433628</v>
      </c>
      <c r="L80" s="211"/>
      <c r="M80" s="211"/>
      <c r="N80" s="211"/>
    </row>
    <row r="81" spans="2:14" ht="15" customHeight="1" x14ac:dyDescent="0.25">
      <c r="B81" s="198" t="str">
        <f t="shared" si="12"/>
        <v>2017 Test - Normalized</v>
      </c>
      <c r="C81" s="199"/>
      <c r="D81" s="199"/>
      <c r="E81" s="190">
        <f t="shared" si="13"/>
        <v>9649.4269460853611</v>
      </c>
      <c r="F81" s="190">
        <f t="shared" si="13"/>
        <v>31544.33865988284</v>
      </c>
      <c r="G81" s="190">
        <f t="shared" si="13"/>
        <v>741980.08547073894</v>
      </c>
      <c r="H81" s="190">
        <f t="shared" si="13"/>
        <v>640.07241344706472</v>
      </c>
      <c r="I81" s="190">
        <f t="shared" si="13"/>
        <v>187.39723616042841</v>
      </c>
      <c r="J81" s="190">
        <f t="shared" si="13"/>
        <v>6272.0233034251632</v>
      </c>
      <c r="L81" s="211"/>
      <c r="M81" s="211"/>
      <c r="N81" s="211"/>
    </row>
    <row r="82" spans="2:14" ht="15" customHeight="1" x14ac:dyDescent="0.25">
      <c r="B82" s="184"/>
      <c r="C82" s="184"/>
      <c r="D82" s="184"/>
    </row>
    <row r="83" spans="2:14" ht="16.5" customHeight="1" x14ac:dyDescent="0.25">
      <c r="B83" s="184"/>
      <c r="C83" s="184"/>
      <c r="D83" s="184"/>
    </row>
    <row r="84" spans="2:14" ht="15" customHeight="1" x14ac:dyDescent="0.25">
      <c r="B84" s="182" t="s">
        <v>209</v>
      </c>
      <c r="C84" s="182"/>
      <c r="D84" s="182"/>
      <c r="E84" s="183"/>
      <c r="F84" s="183"/>
      <c r="G84" s="183"/>
    </row>
    <row r="85" spans="2:14" x14ac:dyDescent="0.25">
      <c r="B85" s="295" t="s">
        <v>166</v>
      </c>
      <c r="C85" s="296"/>
      <c r="D85" s="296"/>
      <c r="E85" s="294" t="s">
        <v>167</v>
      </c>
      <c r="F85" s="50"/>
      <c r="G85" s="50"/>
    </row>
    <row r="86" spans="2:14" ht="15" customHeight="1" x14ac:dyDescent="0.25">
      <c r="B86" s="198" t="s">
        <v>21</v>
      </c>
      <c r="C86" s="199"/>
      <c r="D86" s="199"/>
      <c r="E86" s="215">
        <f>'Purchased Power Model '!L6</f>
        <v>0.96126220891572767</v>
      </c>
      <c r="F86" s="50"/>
      <c r="G86" s="50"/>
    </row>
    <row r="87" spans="2:14" ht="15" customHeight="1" x14ac:dyDescent="0.25">
      <c r="B87" s="198" t="s">
        <v>22</v>
      </c>
      <c r="C87" s="199"/>
      <c r="D87" s="199"/>
      <c r="E87" s="215">
        <f>'Purchased Power Model '!L7</f>
        <v>0.95956318299097898</v>
      </c>
      <c r="F87" s="50"/>
      <c r="G87" s="50"/>
    </row>
    <row r="88" spans="2:14" ht="15" customHeight="1" x14ac:dyDescent="0.25">
      <c r="B88" s="198" t="s">
        <v>168</v>
      </c>
      <c r="C88" s="199"/>
      <c r="D88" s="199"/>
      <c r="E88" s="189">
        <f>'Purchased Power Model '!O13</f>
        <v>565.77253761319662</v>
      </c>
      <c r="F88" s="50"/>
      <c r="G88" s="50"/>
    </row>
    <row r="89" spans="2:14" ht="15" customHeight="1" x14ac:dyDescent="0.25">
      <c r="B89" s="198" t="s">
        <v>169</v>
      </c>
      <c r="C89" s="199"/>
      <c r="D89" s="199"/>
      <c r="E89" s="215">
        <f>'Purchased Power Model '!J123</f>
        <v>2.1339846645501145E-2</v>
      </c>
      <c r="F89" s="50"/>
      <c r="G89" s="50"/>
    </row>
    <row r="90" spans="2:14" ht="15" customHeight="1" x14ac:dyDescent="0.25">
      <c r="B90" s="198" t="s">
        <v>170</v>
      </c>
      <c r="C90" s="199"/>
      <c r="D90" s="199"/>
      <c r="E90" s="189"/>
      <c r="F90" s="50"/>
      <c r="G90" s="50"/>
    </row>
    <row r="91" spans="2:14" ht="15" customHeight="1" x14ac:dyDescent="0.25">
      <c r="B91" s="371" t="str">
        <f>'Purchased Power Model '!K19</f>
        <v>Heating Degree Days</v>
      </c>
      <c r="C91" s="372"/>
      <c r="D91" s="373"/>
      <c r="E91" s="216">
        <f>'Purchased Power Model '!N19</f>
        <v>38.667212914351182</v>
      </c>
      <c r="F91" s="50"/>
      <c r="G91" s="50"/>
    </row>
    <row r="92" spans="2:14" ht="15" customHeight="1" x14ac:dyDescent="0.25">
      <c r="B92" s="371" t="str">
        <f>'Purchased Power Model '!K20</f>
        <v>Cooling Degree Days</v>
      </c>
      <c r="C92" s="372"/>
      <c r="D92" s="373"/>
      <c r="E92" s="216">
        <f>'Purchased Power Model '!N20</f>
        <v>16.749336157092607</v>
      </c>
      <c r="F92" s="50"/>
      <c r="G92" s="50"/>
    </row>
    <row r="93" spans="2:14" ht="15" customHeight="1" x14ac:dyDescent="0.25">
      <c r="B93" s="371" t="str">
        <f>'Purchased Power Model '!K21</f>
        <v>Number of Days in Month</v>
      </c>
      <c r="C93" s="372"/>
      <c r="D93" s="373"/>
      <c r="E93" s="216">
        <f>'Purchased Power Model '!N21</f>
        <v>9.5462741804900819</v>
      </c>
      <c r="F93" s="50"/>
      <c r="G93" s="50"/>
    </row>
    <row r="94" spans="2:14" ht="15" customHeight="1" x14ac:dyDescent="0.25">
      <c r="B94" s="371" t="str">
        <f>'Purchased Power Model '!K22</f>
        <v>Spring Fall Flag</v>
      </c>
      <c r="C94" s="372"/>
      <c r="D94" s="373"/>
      <c r="E94" s="216">
        <f>'Purchased Power Model '!N22</f>
        <v>-6.6614509594189091</v>
      </c>
      <c r="F94" s="50"/>
      <c r="G94" s="50"/>
    </row>
    <row r="95" spans="2:14" ht="24.75" customHeight="1" x14ac:dyDescent="0.25">
      <c r="B95" s="368" t="str">
        <f>'Purchased Power Model '!K23</f>
        <v>Number of Customers - 3 Main Classes</v>
      </c>
      <c r="C95" s="369"/>
      <c r="D95" s="370"/>
      <c r="E95" s="216">
        <f>'Purchased Power Model '!N23</f>
        <v>7.029870117728823</v>
      </c>
      <c r="F95" s="50"/>
      <c r="G95" s="50"/>
    </row>
    <row r="96" spans="2:14" ht="15" customHeight="1" x14ac:dyDescent="0.25">
      <c r="B96" s="371" t="s">
        <v>171</v>
      </c>
      <c r="C96" s="372"/>
      <c r="D96" s="373"/>
      <c r="E96" s="216">
        <f>'Purchased Power Model '!N18</f>
        <v>-4.8233917763902561</v>
      </c>
    </row>
    <row r="97" spans="2:13" ht="15" customHeight="1" x14ac:dyDescent="0.25">
      <c r="B97" s="184"/>
      <c r="C97" s="184"/>
      <c r="D97" s="184"/>
    </row>
    <row r="98" spans="2:13" ht="15" customHeight="1" x14ac:dyDescent="0.25">
      <c r="B98" s="182" t="s">
        <v>210</v>
      </c>
      <c r="C98" s="182"/>
      <c r="D98" s="182"/>
      <c r="E98" s="183"/>
      <c r="F98" s="183"/>
      <c r="G98" s="183"/>
    </row>
    <row r="99" spans="2:13" x14ac:dyDescent="0.25">
      <c r="B99" s="295" t="s">
        <v>150</v>
      </c>
      <c r="C99" s="296"/>
      <c r="D99" s="296"/>
      <c r="E99" s="294" t="s">
        <v>172</v>
      </c>
      <c r="F99" s="294" t="s">
        <v>173</v>
      </c>
      <c r="G99" s="294" t="s">
        <v>8</v>
      </c>
    </row>
    <row r="100" spans="2:13" ht="15" customHeight="1" x14ac:dyDescent="0.25">
      <c r="B100" s="300" t="s">
        <v>174</v>
      </c>
      <c r="C100" s="301"/>
      <c r="D100" s="301"/>
      <c r="E100" s="301"/>
      <c r="F100" s="301"/>
      <c r="G100" s="302"/>
    </row>
    <row r="101" spans="2:13" ht="15" customHeight="1" x14ac:dyDescent="0.25">
      <c r="B101" s="198">
        <v>2007</v>
      </c>
      <c r="C101" s="199"/>
      <c r="D101" s="199"/>
      <c r="E101" s="193">
        <f>'Purchased Power Model '!B140/1000000</f>
        <v>241.1546361</v>
      </c>
      <c r="F101" s="193">
        <f>'Purchased Power Model '!H140/1000000</f>
        <v>245.10964281529311</v>
      </c>
      <c r="G101" s="217">
        <f t="shared" ref="G101:G110" si="14">F101/E101-1</f>
        <v>1.6400293103438823E-2</v>
      </c>
      <c r="I101" s="320" t="s">
        <v>150</v>
      </c>
      <c r="J101" s="183" t="s">
        <v>261</v>
      </c>
      <c r="K101" s="183" t="s">
        <v>262</v>
      </c>
      <c r="L101" s="319"/>
      <c r="M101" s="319"/>
    </row>
    <row r="102" spans="2:13" ht="15" customHeight="1" x14ac:dyDescent="0.25">
      <c r="B102" s="198">
        <v>2008</v>
      </c>
      <c r="C102" s="199"/>
      <c r="D102" s="199"/>
      <c r="E102" s="193">
        <f>'Purchased Power Model '!B141/1000000</f>
        <v>245.62302780000002</v>
      </c>
      <c r="F102" s="193">
        <f>'Purchased Power Model '!H141/1000000</f>
        <v>243.75214778149052</v>
      </c>
      <c r="G102" s="217">
        <f t="shared" si="14"/>
        <v>-7.6168754829977203E-3</v>
      </c>
      <c r="I102" s="321" t="s">
        <v>268</v>
      </c>
      <c r="J102" s="322">
        <f>E101</f>
        <v>241.1546361</v>
      </c>
      <c r="K102" s="322">
        <f>F101</f>
        <v>245.10964281529311</v>
      </c>
      <c r="L102" s="319"/>
      <c r="M102" s="319"/>
    </row>
    <row r="103" spans="2:13" ht="15" customHeight="1" x14ac:dyDescent="0.25">
      <c r="B103" s="198">
        <v>2009</v>
      </c>
      <c r="C103" s="199"/>
      <c r="D103" s="199"/>
      <c r="E103" s="193">
        <f>'Purchased Power Model '!B142/1000000</f>
        <v>247.23918920000003</v>
      </c>
      <c r="F103" s="193">
        <f>'Purchased Power Model '!H142/1000000</f>
        <v>243.4334148098296</v>
      </c>
      <c r="G103" s="217">
        <f t="shared" si="14"/>
        <v>-1.539308716585297E-2</v>
      </c>
      <c r="I103" s="321" t="s">
        <v>269</v>
      </c>
      <c r="J103" s="322">
        <f t="shared" ref="J103:K111" si="15">E102</f>
        <v>245.62302780000002</v>
      </c>
      <c r="K103" s="322">
        <f t="shared" si="15"/>
        <v>243.75214778149052</v>
      </c>
      <c r="L103" s="319"/>
      <c r="M103" s="319"/>
    </row>
    <row r="104" spans="2:13" ht="15" customHeight="1" x14ac:dyDescent="0.25">
      <c r="B104" s="198">
        <v>2010</v>
      </c>
      <c r="C104" s="199"/>
      <c r="D104" s="199"/>
      <c r="E104" s="193">
        <f>'Purchased Power Model '!B143/1000000</f>
        <v>250.23937879999997</v>
      </c>
      <c r="F104" s="193">
        <f>'Purchased Power Model '!H143/1000000</f>
        <v>246.67780133027512</v>
      </c>
      <c r="G104" s="217">
        <f t="shared" si="14"/>
        <v>-1.4232681869672414E-2</v>
      </c>
      <c r="I104" s="321" t="s">
        <v>270</v>
      </c>
      <c r="J104" s="322">
        <f t="shared" si="15"/>
        <v>247.23918920000003</v>
      </c>
      <c r="K104" s="322">
        <f t="shared" si="15"/>
        <v>243.4334148098296</v>
      </c>
      <c r="L104" s="319"/>
      <c r="M104" s="319"/>
    </row>
    <row r="105" spans="2:13" ht="15" customHeight="1" x14ac:dyDescent="0.25">
      <c r="B105" s="198">
        <v>2011</v>
      </c>
      <c r="C105" s="199"/>
      <c r="D105" s="199"/>
      <c r="E105" s="193">
        <f>'Purchased Power Model '!B144/1000000</f>
        <v>246.75816720000003</v>
      </c>
      <c r="F105" s="193">
        <f>'Purchased Power Model '!H144/1000000</f>
        <v>249.08561488396003</v>
      </c>
      <c r="G105" s="217">
        <f t="shared" si="14"/>
        <v>9.432099899143731E-3</v>
      </c>
      <c r="I105" s="321" t="s">
        <v>271</v>
      </c>
      <c r="J105" s="322">
        <f t="shared" si="15"/>
        <v>250.23937879999997</v>
      </c>
      <c r="K105" s="322">
        <f t="shared" si="15"/>
        <v>246.67780133027512</v>
      </c>
      <c r="L105" s="319"/>
      <c r="M105" s="319"/>
    </row>
    <row r="106" spans="2:13" ht="15" customHeight="1" x14ac:dyDescent="0.25">
      <c r="B106" s="198">
        <v>2012</v>
      </c>
      <c r="C106" s="199"/>
      <c r="D106" s="199"/>
      <c r="E106" s="193">
        <f>'Purchased Power Model '!B145/1000000</f>
        <v>245.12983840000004</v>
      </c>
      <c r="F106" s="193">
        <f>'Purchased Power Model '!H145/1000000</f>
        <v>246.97503663319921</v>
      </c>
      <c r="G106" s="217">
        <f t="shared" si="14"/>
        <v>7.5274321773435293E-3</v>
      </c>
      <c r="I106" s="321" t="s">
        <v>272</v>
      </c>
      <c r="J106" s="322">
        <f t="shared" si="15"/>
        <v>246.75816720000003</v>
      </c>
      <c r="K106" s="322">
        <f t="shared" si="15"/>
        <v>249.08561488396003</v>
      </c>
      <c r="L106" s="319"/>
      <c r="M106" s="319"/>
    </row>
    <row r="107" spans="2:13" ht="15" customHeight="1" x14ac:dyDescent="0.25">
      <c r="B107" s="198">
        <v>2013</v>
      </c>
      <c r="C107" s="199"/>
      <c r="D107" s="199"/>
      <c r="E107" s="193">
        <f>'Purchased Power Model '!B146/1000000</f>
        <v>251.7580614</v>
      </c>
      <c r="F107" s="193">
        <f>'Purchased Power Model '!H146/1000000</f>
        <v>250.05481672654173</v>
      </c>
      <c r="G107" s="217">
        <f t="shared" si="14"/>
        <v>-6.76540272032089E-3</v>
      </c>
      <c r="I107" s="321" t="s">
        <v>273</v>
      </c>
      <c r="J107" s="322">
        <f t="shared" si="15"/>
        <v>245.12983840000004</v>
      </c>
      <c r="K107" s="322">
        <f t="shared" si="15"/>
        <v>246.97503663319921</v>
      </c>
      <c r="L107" s="319"/>
      <c r="M107" s="319"/>
    </row>
    <row r="108" spans="2:13" ht="15" customHeight="1" x14ac:dyDescent="0.25">
      <c r="B108" s="198">
        <v>2014</v>
      </c>
      <c r="C108" s="199"/>
      <c r="D108" s="199"/>
      <c r="E108" s="193">
        <f>'Purchased Power Model '!B147/1000000</f>
        <v>253.25498630000001</v>
      </c>
      <c r="F108" s="193">
        <f>'Purchased Power Model '!H147/1000000</f>
        <v>254.54088988211166</v>
      </c>
      <c r="G108" s="217">
        <f t="shared" si="14"/>
        <v>5.0775054852756352E-3</v>
      </c>
      <c r="I108" s="321" t="s">
        <v>274</v>
      </c>
      <c r="J108" s="322">
        <f t="shared" si="15"/>
        <v>251.7580614</v>
      </c>
      <c r="K108" s="322">
        <f t="shared" si="15"/>
        <v>250.05481672654173</v>
      </c>
      <c r="L108" s="319"/>
      <c r="M108" s="319"/>
    </row>
    <row r="109" spans="2:13" ht="15" customHeight="1" x14ac:dyDescent="0.25">
      <c r="B109" s="198">
        <v>2015</v>
      </c>
      <c r="C109" s="199"/>
      <c r="D109" s="199"/>
      <c r="E109" s="193">
        <f>'Purchased Power Model '!B148/1000000</f>
        <v>255.77498309999999</v>
      </c>
      <c r="F109" s="193">
        <f>'Purchased Power Model '!H148/1000000</f>
        <v>255.30925472807687</v>
      </c>
      <c r="G109" s="217">
        <f t="shared" si="14"/>
        <v>-1.8208519311719851E-3</v>
      </c>
      <c r="I109" s="321" t="s">
        <v>275</v>
      </c>
      <c r="J109" s="322">
        <f t="shared" si="15"/>
        <v>253.25498630000001</v>
      </c>
      <c r="K109" s="322">
        <f t="shared" si="15"/>
        <v>254.54088988211166</v>
      </c>
      <c r="L109" s="319"/>
      <c r="M109" s="319"/>
    </row>
    <row r="110" spans="2:13" ht="15" customHeight="1" x14ac:dyDescent="0.25">
      <c r="B110" s="330">
        <v>2016</v>
      </c>
      <c r="C110" s="232"/>
      <c r="D110" s="232"/>
      <c r="E110" s="193">
        <f>'Purchased Power Model '!B149/1000000</f>
        <v>259.38203600000003</v>
      </c>
      <c r="F110" s="193">
        <f>'Purchased Power Model '!H149/1000000</f>
        <v>261.37568470922133</v>
      </c>
      <c r="G110" s="217">
        <f t="shared" si="14"/>
        <v>7.6861479690957246E-3</v>
      </c>
      <c r="I110" s="321" t="s">
        <v>276</v>
      </c>
      <c r="J110" s="322">
        <f t="shared" si="15"/>
        <v>255.77498309999999</v>
      </c>
      <c r="K110" s="322">
        <f t="shared" si="15"/>
        <v>255.30925472807687</v>
      </c>
    </row>
    <row r="111" spans="2:13" ht="15" customHeight="1" x14ac:dyDescent="0.25">
      <c r="B111" s="349" t="str">
        <f>B81</f>
        <v>2017 Test - Normalized</v>
      </c>
      <c r="C111" s="350"/>
      <c r="D111" s="350"/>
      <c r="E111" s="351"/>
      <c r="F111" s="193">
        <f>'Purchased Power Model '!H150/1000000</f>
        <v>259.08563578272413</v>
      </c>
      <c r="G111" s="217"/>
      <c r="I111" s="321" t="s">
        <v>277</v>
      </c>
      <c r="J111" s="322">
        <f t="shared" si="15"/>
        <v>259.38203600000003</v>
      </c>
      <c r="K111" s="322">
        <f t="shared" si="15"/>
        <v>261.37568470922133</v>
      </c>
    </row>
    <row r="112" spans="2:13" ht="15" customHeight="1" x14ac:dyDescent="0.25">
      <c r="B112" s="349" t="s">
        <v>211</v>
      </c>
      <c r="C112" s="350"/>
      <c r="D112" s="350"/>
      <c r="E112" s="351"/>
      <c r="F112" s="193">
        <f>'Purchased Power Model '!I170/1000000</f>
        <v>259.99142614134718</v>
      </c>
      <c r="G112" s="217"/>
    </row>
    <row r="113" spans="2:13" ht="15" customHeight="1" x14ac:dyDescent="0.25">
      <c r="B113" s="201"/>
      <c r="C113" s="201"/>
      <c r="D113" s="201"/>
      <c r="E113" s="201"/>
      <c r="F113" s="266"/>
      <c r="G113" s="272"/>
    </row>
    <row r="114" spans="2:13" ht="15" customHeight="1" x14ac:dyDescent="0.25">
      <c r="B114" s="182" t="s">
        <v>212</v>
      </c>
      <c r="C114" s="201"/>
      <c r="D114" s="201"/>
      <c r="E114" s="201"/>
      <c r="F114" s="266"/>
      <c r="G114" s="272"/>
    </row>
    <row r="115" spans="2:13" ht="20.399999999999999" x14ac:dyDescent="0.25">
      <c r="B115" s="295" t="s">
        <v>150</v>
      </c>
      <c r="C115" s="296"/>
      <c r="D115" s="296"/>
      <c r="E115" s="294" t="s">
        <v>201</v>
      </c>
      <c r="F115" s="294" t="s">
        <v>1</v>
      </c>
      <c r="G115" s="294" t="s">
        <v>213</v>
      </c>
    </row>
    <row r="116" spans="2:13" ht="15" customHeight="1" x14ac:dyDescent="0.25">
      <c r="B116" s="198" t="str">
        <f>B111</f>
        <v>2017 Test - Normalized</v>
      </c>
      <c r="C116" s="199"/>
      <c r="D116" s="199"/>
      <c r="E116" s="273">
        <f>F111</f>
        <v>259.08563578272413</v>
      </c>
      <c r="F116" s="274">
        <f>'Rate Class Energy Model'!F21</f>
        <v>1.0731260816888806</v>
      </c>
      <c r="G116" s="262">
        <f>E116/F116</f>
        <v>241.43075096541909</v>
      </c>
      <c r="H116"/>
      <c r="J116"/>
      <c r="K116"/>
    </row>
    <row r="117" spans="2:13" ht="15" customHeight="1" x14ac:dyDescent="0.25">
      <c r="B117" s="184"/>
      <c r="C117" s="184"/>
      <c r="D117" s="184"/>
    </row>
    <row r="118" spans="2:13" ht="15" customHeight="1" x14ac:dyDescent="0.25">
      <c r="B118" s="182" t="s">
        <v>214</v>
      </c>
      <c r="C118" s="182"/>
      <c r="D118" s="182"/>
      <c r="E118" s="183"/>
      <c r="F118" s="183"/>
      <c r="G118" s="183"/>
      <c r="H118" s="183"/>
      <c r="I118" s="183"/>
      <c r="J118" s="183"/>
    </row>
    <row r="119" spans="2:13" ht="30.6" x14ac:dyDescent="0.25">
      <c r="B119" s="295" t="s">
        <v>150</v>
      </c>
      <c r="C119" s="296"/>
      <c r="D119" s="296"/>
      <c r="E119" s="294" t="str">
        <f t="shared" ref="E119:J119" si="16">E66</f>
        <v>Residential</v>
      </c>
      <c r="F119" s="294" t="str">
        <f t="shared" si="16"/>
        <v>General Service &lt; 50 kW</v>
      </c>
      <c r="G119" s="294" t="str">
        <f t="shared" si="16"/>
        <v>General Service 50 to 4,999 kW</v>
      </c>
      <c r="H119" s="294" t="str">
        <f t="shared" si="16"/>
        <v xml:space="preserve">Sentinel Lighting </v>
      </c>
      <c r="I119" s="294" t="str">
        <f t="shared" si="16"/>
        <v>Street Lighting</v>
      </c>
      <c r="J119" s="294" t="str">
        <f t="shared" si="16"/>
        <v>Unmetered Scattered Load</v>
      </c>
      <c r="K119" s="294" t="s">
        <v>9</v>
      </c>
    </row>
    <row r="120" spans="2:13" ht="15" customHeight="1" x14ac:dyDescent="0.25">
      <c r="B120" s="360" t="s">
        <v>164</v>
      </c>
      <c r="C120" s="360"/>
      <c r="D120" s="360"/>
      <c r="E120" s="360"/>
      <c r="F120" s="360"/>
      <c r="G120" s="360"/>
      <c r="H120" s="360"/>
      <c r="I120" s="360"/>
      <c r="J120" s="360"/>
      <c r="K120" s="360"/>
    </row>
    <row r="121" spans="2:13" ht="15" customHeight="1" x14ac:dyDescent="0.25">
      <c r="B121" s="198">
        <f>B101</f>
        <v>2007</v>
      </c>
      <c r="C121" s="199"/>
      <c r="D121" s="199"/>
      <c r="E121" s="218">
        <f t="shared" ref="E121:J130" si="17">E53</f>
        <v>12991</v>
      </c>
      <c r="F121" s="218">
        <f t="shared" si="17"/>
        <v>819</v>
      </c>
      <c r="G121" s="218">
        <f t="shared" si="17"/>
        <v>71</v>
      </c>
      <c r="H121" s="218">
        <f t="shared" si="17"/>
        <v>186</v>
      </c>
      <c r="I121" s="218">
        <f t="shared" si="17"/>
        <v>2489</v>
      </c>
      <c r="J121" s="218">
        <f t="shared" si="17"/>
        <v>89</v>
      </c>
      <c r="K121" s="196">
        <f>SUM(E121:J121)</f>
        <v>16645</v>
      </c>
      <c r="L121" s="211"/>
      <c r="M121" s="211"/>
    </row>
    <row r="122" spans="2:13" ht="15" customHeight="1" x14ac:dyDescent="0.25">
      <c r="B122" s="330">
        <f t="shared" ref="B122:B130" si="18">B102</f>
        <v>2008</v>
      </c>
      <c r="C122" s="199"/>
      <c r="D122" s="199"/>
      <c r="E122" s="218">
        <f t="shared" si="17"/>
        <v>13277</v>
      </c>
      <c r="F122" s="218">
        <f t="shared" si="17"/>
        <v>836</v>
      </c>
      <c r="G122" s="218">
        <f t="shared" si="17"/>
        <v>73</v>
      </c>
      <c r="H122" s="218">
        <f t="shared" si="17"/>
        <v>186</v>
      </c>
      <c r="I122" s="218">
        <f t="shared" si="17"/>
        <v>2588</v>
      </c>
      <c r="J122" s="218">
        <f t="shared" si="17"/>
        <v>84</v>
      </c>
      <c r="K122" s="196">
        <f t="shared" ref="K122:K130" si="19">SUM(E122:J122)</f>
        <v>17044</v>
      </c>
      <c r="L122" s="211"/>
      <c r="M122" s="211"/>
    </row>
    <row r="123" spans="2:13" ht="15" customHeight="1" x14ac:dyDescent="0.25">
      <c r="B123" s="330">
        <f t="shared" si="18"/>
        <v>2009</v>
      </c>
      <c r="C123" s="199"/>
      <c r="D123" s="199"/>
      <c r="E123" s="218">
        <f t="shared" si="17"/>
        <v>13533</v>
      </c>
      <c r="F123" s="218">
        <f t="shared" si="17"/>
        <v>855</v>
      </c>
      <c r="G123" s="218">
        <f t="shared" si="17"/>
        <v>72</v>
      </c>
      <c r="H123" s="218">
        <f t="shared" si="17"/>
        <v>193</v>
      </c>
      <c r="I123" s="218">
        <f t="shared" si="17"/>
        <v>2625</v>
      </c>
      <c r="J123" s="218">
        <f t="shared" si="17"/>
        <v>83</v>
      </c>
      <c r="K123" s="196">
        <f t="shared" si="19"/>
        <v>17361</v>
      </c>
      <c r="L123" s="211"/>
      <c r="M123" s="211"/>
    </row>
    <row r="124" spans="2:13" ht="15" customHeight="1" x14ac:dyDescent="0.25">
      <c r="B124" s="330">
        <f t="shared" si="18"/>
        <v>2010</v>
      </c>
      <c r="C124" s="199"/>
      <c r="D124" s="199"/>
      <c r="E124" s="218">
        <f t="shared" si="17"/>
        <v>13651</v>
      </c>
      <c r="F124" s="218">
        <f t="shared" si="17"/>
        <v>865</v>
      </c>
      <c r="G124" s="218">
        <f t="shared" si="17"/>
        <v>68</v>
      </c>
      <c r="H124" s="218">
        <f t="shared" si="17"/>
        <v>201</v>
      </c>
      <c r="I124" s="218">
        <f t="shared" si="17"/>
        <v>2685</v>
      </c>
      <c r="J124" s="218">
        <f t="shared" si="17"/>
        <v>82</v>
      </c>
      <c r="K124" s="196">
        <f t="shared" si="19"/>
        <v>17552</v>
      </c>
      <c r="L124" s="211"/>
      <c r="M124" s="211"/>
    </row>
    <row r="125" spans="2:13" ht="15" customHeight="1" x14ac:dyDescent="0.25">
      <c r="B125" s="330">
        <f t="shared" si="18"/>
        <v>2011</v>
      </c>
      <c r="C125" s="199"/>
      <c r="D125" s="199"/>
      <c r="E125" s="218">
        <f t="shared" si="17"/>
        <v>13779</v>
      </c>
      <c r="F125" s="218">
        <f t="shared" si="17"/>
        <v>896</v>
      </c>
      <c r="G125" s="218">
        <f t="shared" si="17"/>
        <v>67</v>
      </c>
      <c r="H125" s="218">
        <f t="shared" si="17"/>
        <v>225</v>
      </c>
      <c r="I125" s="218">
        <f t="shared" si="17"/>
        <v>2728</v>
      </c>
      <c r="J125" s="218">
        <f t="shared" si="17"/>
        <v>81</v>
      </c>
      <c r="K125" s="196">
        <f t="shared" si="19"/>
        <v>17776</v>
      </c>
      <c r="L125" s="211"/>
      <c r="M125" s="211"/>
    </row>
    <row r="126" spans="2:13" ht="15" customHeight="1" x14ac:dyDescent="0.25">
      <c r="B126" s="330">
        <f t="shared" si="18"/>
        <v>2012</v>
      </c>
      <c r="C126" s="199"/>
      <c r="D126" s="199"/>
      <c r="E126" s="218">
        <f t="shared" si="17"/>
        <v>13942.916666666666</v>
      </c>
      <c r="F126" s="218">
        <f t="shared" si="17"/>
        <v>913.75</v>
      </c>
      <c r="G126" s="218">
        <f t="shared" si="17"/>
        <v>67.916666666666671</v>
      </c>
      <c r="H126" s="218">
        <f t="shared" si="17"/>
        <v>172.08333333333334</v>
      </c>
      <c r="I126" s="218">
        <f t="shared" si="17"/>
        <v>2728</v>
      </c>
      <c r="J126" s="218">
        <f t="shared" si="17"/>
        <v>78.666666666666671</v>
      </c>
      <c r="K126" s="196">
        <f t="shared" si="19"/>
        <v>17903.333333333332</v>
      </c>
      <c r="L126" s="211"/>
      <c r="M126" s="211"/>
    </row>
    <row r="127" spans="2:13" ht="15" customHeight="1" x14ac:dyDescent="0.25">
      <c r="B127" s="330">
        <f t="shared" si="18"/>
        <v>2013</v>
      </c>
      <c r="C127" s="199"/>
      <c r="D127" s="199"/>
      <c r="E127" s="218">
        <f t="shared" si="17"/>
        <v>14181</v>
      </c>
      <c r="F127" s="218">
        <f t="shared" si="17"/>
        <v>949.25</v>
      </c>
      <c r="G127" s="218">
        <f t="shared" si="17"/>
        <v>67</v>
      </c>
      <c r="H127" s="218">
        <f t="shared" si="17"/>
        <v>168</v>
      </c>
      <c r="I127" s="218">
        <f t="shared" si="17"/>
        <v>2843.3333333333335</v>
      </c>
      <c r="J127" s="218">
        <f t="shared" si="17"/>
        <v>77.583333333333329</v>
      </c>
      <c r="K127" s="196">
        <f t="shared" si="19"/>
        <v>18286.166666666664</v>
      </c>
      <c r="L127" s="211"/>
      <c r="M127" s="211"/>
    </row>
    <row r="128" spans="2:13" ht="15" customHeight="1" x14ac:dyDescent="0.25">
      <c r="B128" s="330">
        <f t="shared" si="18"/>
        <v>2014</v>
      </c>
      <c r="C128" s="199"/>
      <c r="D128" s="199"/>
      <c r="E128" s="218">
        <f t="shared" si="17"/>
        <v>14509.166666666666</v>
      </c>
      <c r="F128" s="218">
        <f t="shared" si="17"/>
        <v>991.25</v>
      </c>
      <c r="G128" s="218">
        <f t="shared" si="17"/>
        <v>67.166666666666671</v>
      </c>
      <c r="H128" s="218">
        <f t="shared" si="17"/>
        <v>169.41666666666666</v>
      </c>
      <c r="I128" s="218">
        <f t="shared" si="17"/>
        <v>2923.3333333333335</v>
      </c>
      <c r="J128" s="218">
        <f t="shared" si="17"/>
        <v>75.583333333333329</v>
      </c>
      <c r="K128" s="196">
        <f t="shared" si="19"/>
        <v>18735.916666666664</v>
      </c>
      <c r="L128" s="211"/>
      <c r="M128" s="211"/>
    </row>
    <row r="129" spans="2:13" ht="15" customHeight="1" x14ac:dyDescent="0.25">
      <c r="B129" s="330">
        <f t="shared" si="18"/>
        <v>2015</v>
      </c>
      <c r="C129" s="199"/>
      <c r="D129" s="199"/>
      <c r="E129" s="218">
        <f t="shared" si="17"/>
        <v>14861.583333333334</v>
      </c>
      <c r="F129" s="218">
        <f t="shared" si="17"/>
        <v>1000.5833333333334</v>
      </c>
      <c r="G129" s="218">
        <f t="shared" si="17"/>
        <v>71.5</v>
      </c>
      <c r="H129" s="218">
        <f t="shared" si="17"/>
        <v>165.75</v>
      </c>
      <c r="I129" s="218">
        <f t="shared" si="17"/>
        <v>2897.6666666666665</v>
      </c>
      <c r="J129" s="218">
        <f t="shared" si="17"/>
        <v>76</v>
      </c>
      <c r="K129" s="196">
        <f t="shared" si="19"/>
        <v>19073.083333333336</v>
      </c>
      <c r="L129" s="211"/>
      <c r="M129" s="211"/>
    </row>
    <row r="130" spans="2:13" ht="15" customHeight="1" x14ac:dyDescent="0.25">
      <c r="B130" s="330">
        <f t="shared" si="18"/>
        <v>2016</v>
      </c>
      <c r="C130" s="199"/>
      <c r="D130" s="199"/>
      <c r="E130" s="218">
        <f t="shared" si="17"/>
        <v>15201.583333333334</v>
      </c>
      <c r="F130" s="218">
        <f t="shared" si="17"/>
        <v>1016.25</v>
      </c>
      <c r="G130" s="218">
        <f t="shared" si="17"/>
        <v>75.583333333333329</v>
      </c>
      <c r="H130" s="218">
        <f t="shared" si="17"/>
        <v>166.08333333333334</v>
      </c>
      <c r="I130" s="218">
        <f t="shared" si="17"/>
        <v>2863.1666666666665</v>
      </c>
      <c r="J130" s="218">
        <f t="shared" si="17"/>
        <v>75.333333333333329</v>
      </c>
      <c r="K130" s="196">
        <f t="shared" si="19"/>
        <v>19398</v>
      </c>
      <c r="L130" s="211"/>
      <c r="M130" s="211"/>
    </row>
    <row r="131" spans="2:13" ht="15" customHeight="1" x14ac:dyDescent="0.25">
      <c r="B131" s="184"/>
      <c r="C131" s="184"/>
      <c r="D131" s="184"/>
    </row>
    <row r="132" spans="2:13" ht="15" customHeight="1" x14ac:dyDescent="0.25">
      <c r="B132" s="182" t="s">
        <v>215</v>
      </c>
      <c r="C132" s="182"/>
      <c r="D132" s="182"/>
      <c r="E132" s="183"/>
      <c r="F132" s="183"/>
      <c r="G132" s="183"/>
      <c r="H132" s="183"/>
      <c r="I132" s="183"/>
      <c r="J132" s="183"/>
    </row>
    <row r="133" spans="2:13" ht="30.6" x14ac:dyDescent="0.25">
      <c r="B133" s="295" t="s">
        <v>150</v>
      </c>
      <c r="C133" s="296"/>
      <c r="D133" s="296"/>
      <c r="E133" s="294" t="str">
        <f t="shared" ref="E133:J133" si="20">E119</f>
        <v>Residential</v>
      </c>
      <c r="F133" s="294" t="str">
        <f t="shared" si="20"/>
        <v>General Service &lt; 50 kW</v>
      </c>
      <c r="G133" s="294" t="str">
        <f t="shared" si="20"/>
        <v>General Service 50 to 4,999 kW</v>
      </c>
      <c r="H133" s="294" t="str">
        <f t="shared" si="20"/>
        <v xml:space="preserve">Sentinel Lighting </v>
      </c>
      <c r="I133" s="294" t="str">
        <f t="shared" si="20"/>
        <v>Street Lighting</v>
      </c>
      <c r="J133" s="294" t="str">
        <f t="shared" si="20"/>
        <v>Unmetered Scattered Load</v>
      </c>
      <c r="K133"/>
    </row>
    <row r="134" spans="2:13" ht="15" customHeight="1" x14ac:dyDescent="0.25">
      <c r="B134" s="360" t="s">
        <v>175</v>
      </c>
      <c r="C134" s="360"/>
      <c r="D134" s="360"/>
      <c r="E134" s="360"/>
      <c r="F134" s="360"/>
      <c r="G134" s="360"/>
      <c r="H134" s="360"/>
      <c r="I134" s="360"/>
      <c r="J134" s="360"/>
    </row>
    <row r="135" spans="2:13" ht="15" customHeight="1" x14ac:dyDescent="0.25">
      <c r="B135" s="221">
        <f t="shared" ref="B135:B144" si="21">B121</f>
        <v>2007</v>
      </c>
      <c r="C135" s="223"/>
      <c r="D135" s="223"/>
      <c r="E135" s="261"/>
      <c r="F135" s="261"/>
      <c r="G135" s="261"/>
      <c r="H135" s="261"/>
      <c r="I135" s="261"/>
      <c r="J135" s="240"/>
    </row>
    <row r="136" spans="2:13" ht="15" customHeight="1" x14ac:dyDescent="0.25">
      <c r="B136" s="198">
        <f t="shared" si="21"/>
        <v>2008</v>
      </c>
      <c r="C136" s="199"/>
      <c r="D136" s="199"/>
      <c r="E136" s="214">
        <f t="shared" ref="E136:J144" si="22">E122/E121-1</f>
        <v>2.201524132091448E-2</v>
      </c>
      <c r="F136" s="214">
        <f t="shared" si="22"/>
        <v>2.0757020757020683E-2</v>
      </c>
      <c r="G136" s="214">
        <f t="shared" si="22"/>
        <v>2.8169014084507005E-2</v>
      </c>
      <c r="H136" s="214">
        <f t="shared" si="22"/>
        <v>0</v>
      </c>
      <c r="I136" s="214">
        <f t="shared" si="22"/>
        <v>3.9775010044194481E-2</v>
      </c>
      <c r="J136" s="214">
        <f t="shared" si="22"/>
        <v>-5.6179775280898903E-2</v>
      </c>
    </row>
    <row r="137" spans="2:13" ht="15" customHeight="1" x14ac:dyDescent="0.25">
      <c r="B137" s="198">
        <f t="shared" si="21"/>
        <v>2009</v>
      </c>
      <c r="C137" s="199"/>
      <c r="D137" s="199"/>
      <c r="E137" s="214">
        <f t="shared" si="22"/>
        <v>1.9281464186186703E-2</v>
      </c>
      <c r="F137" s="214">
        <f t="shared" si="22"/>
        <v>2.2727272727272707E-2</v>
      </c>
      <c r="G137" s="214">
        <f t="shared" si="22"/>
        <v>-1.3698630136986356E-2</v>
      </c>
      <c r="H137" s="214">
        <f t="shared" si="22"/>
        <v>3.7634408602150504E-2</v>
      </c>
      <c r="I137" s="214">
        <f t="shared" si="22"/>
        <v>1.4296754250386456E-2</v>
      </c>
      <c r="J137" s="214">
        <f t="shared" si="22"/>
        <v>-1.1904761904761862E-2</v>
      </c>
    </row>
    <row r="138" spans="2:13" ht="15" customHeight="1" x14ac:dyDescent="0.25">
      <c r="B138" s="198">
        <f t="shared" si="21"/>
        <v>2010</v>
      </c>
      <c r="C138" s="199"/>
      <c r="D138" s="199"/>
      <c r="E138" s="214">
        <f t="shared" si="22"/>
        <v>8.719426586861756E-3</v>
      </c>
      <c r="F138" s="214">
        <f t="shared" si="22"/>
        <v>1.1695906432748648E-2</v>
      </c>
      <c r="G138" s="214">
        <f t="shared" si="22"/>
        <v>-5.555555555555558E-2</v>
      </c>
      <c r="H138" s="214">
        <f t="shared" si="22"/>
        <v>4.1450777202072464E-2</v>
      </c>
      <c r="I138" s="214">
        <f t="shared" si="22"/>
        <v>2.2857142857142909E-2</v>
      </c>
      <c r="J138" s="214">
        <f t="shared" si="22"/>
        <v>-1.2048192771084376E-2</v>
      </c>
    </row>
    <row r="139" spans="2:13" ht="15" customHeight="1" x14ac:dyDescent="0.25">
      <c r="B139" s="198">
        <f t="shared" si="21"/>
        <v>2011</v>
      </c>
      <c r="C139" s="199"/>
      <c r="D139" s="199"/>
      <c r="E139" s="214">
        <f t="shared" si="22"/>
        <v>9.3766024467072384E-3</v>
      </c>
      <c r="F139" s="214">
        <f t="shared" si="22"/>
        <v>3.5838150289017268E-2</v>
      </c>
      <c r="G139" s="214">
        <f t="shared" si="22"/>
        <v>-1.4705882352941124E-2</v>
      </c>
      <c r="H139" s="214">
        <f t="shared" si="22"/>
        <v>0.11940298507462677</v>
      </c>
      <c r="I139" s="214">
        <f t="shared" si="22"/>
        <v>1.6014897579143428E-2</v>
      </c>
      <c r="J139" s="214">
        <f t="shared" si="22"/>
        <v>-1.2195121951219523E-2</v>
      </c>
    </row>
    <row r="140" spans="2:13" ht="15" customHeight="1" x14ac:dyDescent="0.25">
      <c r="B140" s="198">
        <f t="shared" si="21"/>
        <v>2012</v>
      </c>
      <c r="C140" s="199"/>
      <c r="D140" s="199"/>
      <c r="E140" s="214">
        <f t="shared" si="22"/>
        <v>1.1896122118199237E-2</v>
      </c>
      <c r="F140" s="214">
        <f t="shared" si="22"/>
        <v>1.9810267857142794E-2</v>
      </c>
      <c r="G140" s="214">
        <f t="shared" si="22"/>
        <v>1.3681592039801016E-2</v>
      </c>
      <c r="H140" s="214">
        <f t="shared" si="22"/>
        <v>-0.23518518518518516</v>
      </c>
      <c r="I140" s="214">
        <f t="shared" si="22"/>
        <v>0</v>
      </c>
      <c r="J140" s="214">
        <f t="shared" si="22"/>
        <v>-2.8806584362139898E-2</v>
      </c>
    </row>
    <row r="141" spans="2:13" ht="15" customHeight="1" x14ac:dyDescent="0.25">
      <c r="B141" s="198">
        <f t="shared" si="21"/>
        <v>2013</v>
      </c>
      <c r="C141" s="199"/>
      <c r="D141" s="199"/>
      <c r="E141" s="214">
        <f t="shared" si="22"/>
        <v>1.7075576009323745E-2</v>
      </c>
      <c r="F141" s="214">
        <f t="shared" si="22"/>
        <v>3.8850889192886484E-2</v>
      </c>
      <c r="G141" s="214">
        <f t="shared" si="22"/>
        <v>-1.3496932515337456E-2</v>
      </c>
      <c r="H141" s="214">
        <f t="shared" si="22"/>
        <v>-2.3728813559322104E-2</v>
      </c>
      <c r="I141" s="214">
        <f t="shared" si="22"/>
        <v>4.2277614858259982E-2</v>
      </c>
      <c r="J141" s="214">
        <f t="shared" si="22"/>
        <v>-1.3771186440678096E-2</v>
      </c>
    </row>
    <row r="142" spans="2:13" ht="15" customHeight="1" x14ac:dyDescent="0.25">
      <c r="B142" s="198">
        <f t="shared" si="21"/>
        <v>2014</v>
      </c>
      <c r="C142" s="199"/>
      <c r="D142" s="199"/>
      <c r="E142" s="214">
        <f t="shared" si="22"/>
        <v>2.314129233951534E-2</v>
      </c>
      <c r="F142" s="214">
        <f t="shared" si="22"/>
        <v>4.4245456939689287E-2</v>
      </c>
      <c r="G142" s="214">
        <f t="shared" si="22"/>
        <v>2.4875621890547706E-3</v>
      </c>
      <c r="H142" s="214">
        <f t="shared" si="22"/>
        <v>8.4325396825395416E-3</v>
      </c>
      <c r="I142" s="214">
        <f t="shared" si="22"/>
        <v>2.8135990621336537E-2</v>
      </c>
      <c r="J142" s="214">
        <f t="shared" si="22"/>
        <v>-2.5778732545649885E-2</v>
      </c>
    </row>
    <row r="143" spans="2:13" ht="15" customHeight="1" x14ac:dyDescent="0.25">
      <c r="B143" s="198">
        <f t="shared" si="21"/>
        <v>2015</v>
      </c>
      <c r="C143" s="199"/>
      <c r="D143" s="199"/>
      <c r="E143" s="214">
        <f t="shared" si="22"/>
        <v>2.4289242432944835E-2</v>
      </c>
      <c r="F143" s="214">
        <f t="shared" si="22"/>
        <v>9.4157208911307411E-3</v>
      </c>
      <c r="G143" s="214">
        <f t="shared" si="22"/>
        <v>6.4516129032258007E-2</v>
      </c>
      <c r="H143" s="214">
        <f t="shared" si="22"/>
        <v>-2.1642892277422443E-2</v>
      </c>
      <c r="I143" s="214">
        <f t="shared" si="22"/>
        <v>-8.7799315849488302E-3</v>
      </c>
      <c r="J143" s="214">
        <f t="shared" si="22"/>
        <v>5.5126791620727644E-3</v>
      </c>
    </row>
    <row r="144" spans="2:13" ht="15" customHeight="1" x14ac:dyDescent="0.25">
      <c r="B144" s="198">
        <f t="shared" si="21"/>
        <v>2016</v>
      </c>
      <c r="C144" s="199"/>
      <c r="D144" s="199"/>
      <c r="E144" s="214">
        <f t="shared" si="22"/>
        <v>2.2877777715474501E-2</v>
      </c>
      <c r="F144" s="214">
        <f t="shared" si="22"/>
        <v>1.5657533105688293E-2</v>
      </c>
      <c r="G144" s="214">
        <f t="shared" si="22"/>
        <v>5.7109557109557008E-2</v>
      </c>
      <c r="H144" s="214">
        <f t="shared" si="22"/>
        <v>2.0110608345902392E-3</v>
      </c>
      <c r="I144" s="214">
        <f t="shared" si="22"/>
        <v>-1.1906131370067907E-2</v>
      </c>
      <c r="J144" s="214">
        <f t="shared" si="22"/>
        <v>-8.7719298245614308E-3</v>
      </c>
    </row>
    <row r="145" spans="2:12" ht="15" customHeight="1" x14ac:dyDescent="0.25">
      <c r="B145" s="198" t="s">
        <v>278</v>
      </c>
      <c r="C145" s="199"/>
      <c r="D145" s="199"/>
      <c r="E145" s="214">
        <f>'Rate Class Customer Model'!B27-1</f>
        <v>1.6957520427395067E-2</v>
      </c>
      <c r="F145" s="214">
        <f>'Rate Class Customer Model'!C27-1</f>
        <v>2.5347720730551915E-2</v>
      </c>
      <c r="G145" s="214">
        <f>'Rate Class Customer Model'!D27-1</f>
        <v>8.775814317740771E-4</v>
      </c>
      <c r="H145" s="214">
        <f>'Rate Class Customer Model'!E27-1</f>
        <v>-1.4304953396350517E-2</v>
      </c>
      <c r="I145" s="214">
        <f>'Rate Class Customer Model'!F27-1</f>
        <v>1.9184807071755516E-2</v>
      </c>
      <c r="J145" s="214">
        <f>'Rate Class Customer Model'!G27-1</f>
        <v>-1.9544362047362318E-2</v>
      </c>
    </row>
    <row r="146" spans="2:12" ht="15" customHeight="1" x14ac:dyDescent="0.25">
      <c r="B146" s="184"/>
      <c r="C146" s="184"/>
      <c r="D146" s="184"/>
      <c r="E146" s="219"/>
      <c r="F146" s="219"/>
      <c r="G146" s="219"/>
      <c r="H146" s="219"/>
      <c r="I146" s="219"/>
      <c r="J146" s="219"/>
      <c r="K146" s="219"/>
    </row>
    <row r="147" spans="2:12" ht="15" customHeight="1" x14ac:dyDescent="0.25">
      <c r="B147" s="182" t="s">
        <v>216</v>
      </c>
      <c r="C147" s="182"/>
      <c r="D147" s="182"/>
      <c r="E147" s="183"/>
      <c r="F147" s="183"/>
      <c r="G147" s="183"/>
      <c r="H147" s="183"/>
      <c r="I147" s="183"/>
    </row>
    <row r="148" spans="2:12" ht="30.6" x14ac:dyDescent="0.25">
      <c r="B148" s="375" t="s">
        <v>150</v>
      </c>
      <c r="C148" s="376"/>
      <c r="D148" s="377"/>
      <c r="E148" s="294" t="str">
        <f t="shared" ref="E148:J148" si="23">E133</f>
        <v>Residential</v>
      </c>
      <c r="F148" s="294" t="str">
        <f t="shared" si="23"/>
        <v>General Service &lt; 50 kW</v>
      </c>
      <c r="G148" s="294" t="str">
        <f t="shared" si="23"/>
        <v>General Service 50 to 4,999 kW</v>
      </c>
      <c r="H148" s="294" t="str">
        <f t="shared" si="23"/>
        <v xml:space="preserve">Sentinel Lighting </v>
      </c>
      <c r="I148" s="294" t="str">
        <f t="shared" si="23"/>
        <v>Street Lighting</v>
      </c>
      <c r="J148" s="294" t="str">
        <f t="shared" si="23"/>
        <v>Unmetered Scattered Load</v>
      </c>
      <c r="K148" s="294" t="s">
        <v>9</v>
      </c>
    </row>
    <row r="149" spans="2:12" x14ac:dyDescent="0.25">
      <c r="B149" s="186" t="s">
        <v>176</v>
      </c>
      <c r="C149" s="186"/>
      <c r="D149" s="187"/>
      <c r="E149" s="187"/>
      <c r="F149" s="187"/>
      <c r="G149" s="187"/>
      <c r="H149" s="187"/>
      <c r="I149" s="187"/>
      <c r="K149" s="220"/>
    </row>
    <row r="150" spans="2:12" x14ac:dyDescent="0.25">
      <c r="B150" s="378">
        <v>2017</v>
      </c>
      <c r="C150" s="379"/>
      <c r="D150" s="380"/>
      <c r="E150" s="190">
        <f>E130*(1+E145)</f>
        <v>15459.364493237083</v>
      </c>
      <c r="F150" s="190">
        <f t="shared" ref="F150:J150" si="24">F130*(1+F145)</f>
        <v>1042.0096211924233</v>
      </c>
      <c r="G150" s="190">
        <f t="shared" si="24"/>
        <v>75.649663863218251</v>
      </c>
      <c r="H150" s="190">
        <f t="shared" si="24"/>
        <v>163.70751899008945</v>
      </c>
      <c r="I150" s="190">
        <f t="shared" si="24"/>
        <v>2918.0959667809479</v>
      </c>
      <c r="J150" s="190">
        <f t="shared" si="24"/>
        <v>73.860991392432041</v>
      </c>
      <c r="K150" s="196">
        <f>SUM(E150:J150)</f>
        <v>19732.688255456196</v>
      </c>
      <c r="L150"/>
    </row>
    <row r="151" spans="2:12" x14ac:dyDescent="0.25">
      <c r="B151" s="275"/>
      <c r="C151" s="275"/>
      <c r="D151" s="275"/>
      <c r="E151" s="222"/>
      <c r="F151" s="222"/>
      <c r="G151" s="222"/>
      <c r="H151" s="222"/>
      <c r="I151" s="222"/>
      <c r="J151" s="239"/>
      <c r="K151" s="211"/>
      <c r="L151" s="211"/>
    </row>
    <row r="152" spans="2:12" ht="15" customHeight="1" x14ac:dyDescent="0.25">
      <c r="B152" s="182" t="s">
        <v>217</v>
      </c>
      <c r="C152" s="182"/>
      <c r="D152" s="182"/>
      <c r="E152" s="183"/>
      <c r="F152" s="183"/>
      <c r="G152" s="183"/>
      <c r="H152" s="183"/>
      <c r="I152" s="183"/>
      <c r="J152" s="183"/>
    </row>
    <row r="153" spans="2:12" ht="30.6" x14ac:dyDescent="0.25">
      <c r="B153" s="295" t="s">
        <v>150</v>
      </c>
      <c r="C153" s="296"/>
      <c r="D153" s="296"/>
      <c r="E153" s="294" t="str">
        <f t="shared" ref="E153:J153" si="25">E148</f>
        <v>Residential</v>
      </c>
      <c r="F153" s="294" t="str">
        <f t="shared" si="25"/>
        <v>General Service &lt; 50 kW</v>
      </c>
      <c r="G153" s="294" t="str">
        <f t="shared" si="25"/>
        <v>General Service 50 to 4,999 kW</v>
      </c>
      <c r="H153" s="294" t="str">
        <f t="shared" si="25"/>
        <v xml:space="preserve">Sentinel Lighting </v>
      </c>
      <c r="I153" s="294" t="str">
        <f t="shared" si="25"/>
        <v>Street Lighting</v>
      </c>
      <c r="J153" s="294" t="str">
        <f t="shared" si="25"/>
        <v>Unmetered Scattered Load</v>
      </c>
    </row>
    <row r="154" spans="2:12" ht="12.75" customHeight="1" x14ac:dyDescent="0.25">
      <c r="B154" s="360" t="s">
        <v>177</v>
      </c>
      <c r="C154" s="360"/>
      <c r="D154" s="360"/>
      <c r="E154" s="360"/>
      <c r="F154" s="360"/>
      <c r="G154" s="360"/>
      <c r="H154" s="360"/>
      <c r="I154" s="360"/>
      <c r="J154" s="360"/>
    </row>
    <row r="155" spans="2:12" ht="15" customHeight="1" x14ac:dyDescent="0.25">
      <c r="B155" s="198">
        <f>B135</f>
        <v>2007</v>
      </c>
      <c r="C155" s="199"/>
      <c r="D155" s="199"/>
      <c r="E155" s="218">
        <f>'Rate Class Energy Model'!H26</f>
        <v>11445.685628512047</v>
      </c>
      <c r="F155" s="218">
        <f>'Rate Class Energy Model'!I26</f>
        <v>34753.873015873018</v>
      </c>
      <c r="G155" s="218">
        <f>'Rate Class Energy Model'!J26</f>
        <v>553810.84507042251</v>
      </c>
      <c r="H155" s="218">
        <f>'Rate Class Energy Model'!K26</f>
        <v>679.41397849462362</v>
      </c>
      <c r="I155" s="218">
        <f>'Rate Class Energy Model'!L26</f>
        <v>601.02330253113701</v>
      </c>
      <c r="J155" s="218">
        <f>'Rate Class Energy Model'!M26</f>
        <v>5839.2584269662921</v>
      </c>
    </row>
    <row r="156" spans="2:12" ht="15" customHeight="1" x14ac:dyDescent="0.25">
      <c r="B156" s="330">
        <f t="shared" ref="B156:B162" si="26">B136</f>
        <v>2008</v>
      </c>
      <c r="C156" s="199"/>
      <c r="D156" s="199"/>
      <c r="E156" s="218">
        <f>'Rate Class Energy Model'!H27</f>
        <v>11294.766965428937</v>
      </c>
      <c r="F156" s="218">
        <f>'Rate Class Energy Model'!I27</f>
        <v>33970.910287081337</v>
      </c>
      <c r="G156" s="218">
        <f>'Rate Class Energy Model'!J27</f>
        <v>620128.84342465759</v>
      </c>
      <c r="H156" s="218">
        <f>'Rate Class Energy Model'!K27</f>
        <v>667.80440860215049</v>
      </c>
      <c r="I156" s="218">
        <f>'Rate Class Energy Model'!L27</f>
        <v>592.69659969088104</v>
      </c>
      <c r="J156" s="218">
        <f>'Rate Class Energy Model'!M27</f>
        <v>6050.1785714285716</v>
      </c>
    </row>
    <row r="157" spans="2:12" ht="15" customHeight="1" x14ac:dyDescent="0.25">
      <c r="B157" s="330">
        <f t="shared" si="26"/>
        <v>2009</v>
      </c>
      <c r="C157" s="199"/>
      <c r="D157" s="199"/>
      <c r="E157" s="218">
        <f>'Rate Class Energy Model'!H28</f>
        <v>11111.63651814084</v>
      </c>
      <c r="F157" s="218">
        <f>'Rate Class Energy Model'!I28</f>
        <v>32881.2081871345</v>
      </c>
      <c r="G157" s="218">
        <f>'Rate Class Energy Model'!J28</f>
        <v>659350.80847222218</v>
      </c>
      <c r="H157" s="218">
        <f>'Rate Class Energy Model'!K28</f>
        <v>632.23367875647671</v>
      </c>
      <c r="I157" s="218">
        <f>'Rate Class Energy Model'!L28</f>
        <v>600.72822857142864</v>
      </c>
      <c r="J157" s="218">
        <f>'Rate Class Energy Model'!M28</f>
        <v>5947.9518072289156</v>
      </c>
    </row>
    <row r="158" spans="2:12" ht="15" customHeight="1" x14ac:dyDescent="0.25">
      <c r="B158" s="330">
        <f t="shared" si="26"/>
        <v>2010</v>
      </c>
      <c r="C158" s="199"/>
      <c r="D158" s="199"/>
      <c r="E158" s="218">
        <f>'Rate Class Energy Model'!H29</f>
        <v>10866.629274778401</v>
      </c>
      <c r="F158" s="218">
        <f>'Rate Class Energy Model'!I29</f>
        <v>33744.363005780346</v>
      </c>
      <c r="G158" s="218">
        <f>'Rate Class Energy Model'!J29</f>
        <v>751893.69294117636</v>
      </c>
      <c r="H158" s="218">
        <f>'Rate Class Energy Model'!K29</f>
        <v>580.61054726368161</v>
      </c>
      <c r="I158" s="218">
        <f>'Rate Class Energy Model'!L29</f>
        <v>588.47597765363128</v>
      </c>
      <c r="J158" s="218">
        <f>'Rate Class Energy Model'!M29</f>
        <v>6020.4878048780483</v>
      </c>
    </row>
    <row r="159" spans="2:12" ht="15" customHeight="1" x14ac:dyDescent="0.25">
      <c r="B159" s="330">
        <f t="shared" si="26"/>
        <v>2011</v>
      </c>
      <c r="C159" s="199"/>
      <c r="D159" s="199"/>
      <c r="E159" s="218">
        <f>'Rate Class Energy Model'!H30</f>
        <v>10893.251293272371</v>
      </c>
      <c r="F159" s="218">
        <f>'Rate Class Energy Model'!I30</f>
        <v>34094.526026785716</v>
      </c>
      <c r="G159" s="218">
        <f>'Rate Class Energy Model'!J30</f>
        <v>745099.78283582092</v>
      </c>
      <c r="H159" s="218">
        <f>'Rate Class Energy Model'!K30</f>
        <v>489.95920000000001</v>
      </c>
      <c r="I159" s="218">
        <f>'Rate Class Energy Model'!L30</f>
        <v>534.22632331378293</v>
      </c>
      <c r="J159" s="218">
        <f>'Rate Class Energy Model'!M30</f>
        <v>6040.8888888888887</v>
      </c>
    </row>
    <row r="160" spans="2:12" ht="15" customHeight="1" x14ac:dyDescent="0.25">
      <c r="B160" s="330">
        <f t="shared" si="26"/>
        <v>2012</v>
      </c>
      <c r="C160" s="199"/>
      <c r="D160" s="199"/>
      <c r="E160" s="218">
        <f>'Rate Class Energy Model'!H31</f>
        <v>10395.464483160506</v>
      </c>
      <c r="F160" s="218">
        <f>'Rate Class Energy Model'!I31</f>
        <v>33623.417783857731</v>
      </c>
      <c r="G160" s="218">
        <f>'Rate Class Energy Model'!J31</f>
        <v>752953.7668711656</v>
      </c>
      <c r="H160" s="218">
        <f>'Rate Class Energy Model'!K31</f>
        <v>658.7497683901621</v>
      </c>
      <c r="I160" s="218">
        <f>'Rate Class Energy Model'!L31</f>
        <v>575.40646645905156</v>
      </c>
      <c r="J160" s="218">
        <f>'Rate Class Energy Model'!M31</f>
        <v>6080.421610169491</v>
      </c>
    </row>
    <row r="161" spans="2:10" ht="15" customHeight="1" x14ac:dyDescent="0.25">
      <c r="B161" s="330">
        <f t="shared" si="26"/>
        <v>2013</v>
      </c>
      <c r="C161" s="199"/>
      <c r="D161" s="199"/>
      <c r="E161" s="218">
        <f>'Rate Class Energy Model'!H32</f>
        <v>10433.981806642691</v>
      </c>
      <c r="F161" s="218">
        <f>'Rate Class Energy Model'!I32</f>
        <v>32491.962075322623</v>
      </c>
      <c r="G161" s="218">
        <f>'Rate Class Energy Model'!J32</f>
        <v>760025.70149253728</v>
      </c>
      <c r="H161" s="218">
        <f>'Rate Class Energy Model'!K32</f>
        <v>606.21389345296177</v>
      </c>
      <c r="I161" s="218">
        <f>'Rate Class Energy Model'!L32</f>
        <v>517.74944769198646</v>
      </c>
      <c r="J161" s="218">
        <f>'Rate Class Energy Model'!M32</f>
        <v>6068.2698174006446</v>
      </c>
    </row>
    <row r="162" spans="2:10" ht="15" customHeight="1" x14ac:dyDescent="0.25">
      <c r="B162" s="330">
        <f t="shared" si="26"/>
        <v>2014</v>
      </c>
      <c r="C162" s="199"/>
      <c r="D162" s="199"/>
      <c r="E162" s="218">
        <f>'Rate Class Energy Model'!H33</f>
        <v>10502.185399115502</v>
      </c>
      <c r="F162" s="218">
        <f>'Rate Class Energy Model'!I33</f>
        <v>32304.706380832286</v>
      </c>
      <c r="G162" s="218">
        <f>'Rate Class Energy Model'!J33</f>
        <v>753234.74218362279</v>
      </c>
      <c r="H162" s="218">
        <f>'Rate Class Energy Model'!K33</f>
        <v>637.36350221347766</v>
      </c>
      <c r="I162" s="218">
        <f>'Rate Class Energy Model'!L33</f>
        <v>556.06160742222119</v>
      </c>
      <c r="J162" s="218">
        <f>'Rate Class Energy Model'!M33</f>
        <v>6129.2176405733189</v>
      </c>
    </row>
    <row r="163" spans="2:10" ht="15" customHeight="1" x14ac:dyDescent="0.25">
      <c r="B163" s="330">
        <f>B143</f>
        <v>2015</v>
      </c>
      <c r="C163" s="199"/>
      <c r="D163" s="199"/>
      <c r="E163" s="218">
        <f>'Rate Class Energy Model'!H34</f>
        <v>10163.312993792721</v>
      </c>
      <c r="F163" s="218">
        <f>'Rate Class Energy Model'!I34</f>
        <v>34198.725743316398</v>
      </c>
      <c r="G163" s="218">
        <f>'Rate Class Energy Model'!J34</f>
        <v>764143.72027972026</v>
      </c>
      <c r="H163" s="218">
        <f>'Rate Class Energy Model'!K34</f>
        <v>624.65158371040729</v>
      </c>
      <c r="I163" s="218">
        <f>'Rate Class Energy Model'!L34</f>
        <v>381.83964109053261</v>
      </c>
      <c r="J163" s="218">
        <f>'Rate Class Energy Model'!M34</f>
        <v>6093.3157894736842</v>
      </c>
    </row>
    <row r="164" spans="2:10" ht="15" customHeight="1" x14ac:dyDescent="0.25">
      <c r="B164" s="330">
        <f>B144</f>
        <v>2016</v>
      </c>
      <c r="C164" s="331"/>
      <c r="D164" s="331"/>
      <c r="E164" s="218">
        <f>'Rate Class Energy Model'!H35</f>
        <v>9783.5020634911925</v>
      </c>
      <c r="F164" s="218">
        <f>'Rate Class Energy Model'!I35</f>
        <v>32711.479576875772</v>
      </c>
      <c r="G164" s="218">
        <f>'Rate Class Energy Model'!J35</f>
        <v>767108.36745314219</v>
      </c>
      <c r="H164" s="218">
        <f>'Rate Class Energy Model'!K35</f>
        <v>640.07241344706472</v>
      </c>
      <c r="I164" s="218">
        <f>'Rate Class Energy Model'!L35</f>
        <v>187.39723616042843</v>
      </c>
      <c r="J164" s="218">
        <f>'Rate Class Energy Model'!M35</f>
        <v>6213.0205752212396</v>
      </c>
    </row>
    <row r="165" spans="2:10" ht="15" customHeight="1" x14ac:dyDescent="0.25">
      <c r="B165" s="184"/>
      <c r="C165" s="184"/>
      <c r="D165" s="184"/>
    </row>
    <row r="166" spans="2:10" ht="15" customHeight="1" x14ac:dyDescent="0.25">
      <c r="B166" s="182" t="s">
        <v>218</v>
      </c>
      <c r="C166" s="182"/>
      <c r="D166" s="182"/>
      <c r="E166" s="183"/>
      <c r="F166" s="183"/>
      <c r="G166" s="183"/>
      <c r="H166" s="183"/>
      <c r="I166" s="183"/>
    </row>
    <row r="167" spans="2:10" ht="30.6" x14ac:dyDescent="0.25">
      <c r="B167" s="295" t="s">
        <v>150</v>
      </c>
      <c r="C167" s="296"/>
      <c r="D167" s="296"/>
      <c r="E167" s="294" t="str">
        <f t="shared" ref="E167:J167" si="27">E153</f>
        <v>Residential</v>
      </c>
      <c r="F167" s="294" t="str">
        <f t="shared" si="27"/>
        <v>General Service &lt; 50 kW</v>
      </c>
      <c r="G167" s="294" t="str">
        <f t="shared" si="27"/>
        <v>General Service 50 to 4,999 kW</v>
      </c>
      <c r="H167" s="294" t="str">
        <f t="shared" si="27"/>
        <v xml:space="preserve">Sentinel Lighting </v>
      </c>
      <c r="I167" s="294" t="str">
        <f t="shared" si="27"/>
        <v>Street Lighting</v>
      </c>
      <c r="J167" s="294" t="str">
        <f t="shared" si="27"/>
        <v>Unmetered Scattered Load</v>
      </c>
    </row>
    <row r="168" spans="2:10" ht="15" customHeight="1" x14ac:dyDescent="0.25">
      <c r="B168" s="360" t="s">
        <v>178</v>
      </c>
      <c r="C168" s="360"/>
      <c r="D168" s="360"/>
      <c r="E168" s="360"/>
      <c r="F168" s="360"/>
      <c r="G168" s="360"/>
      <c r="H168" s="360"/>
      <c r="I168" s="360"/>
      <c r="J168" s="360"/>
    </row>
    <row r="169" spans="2:10" ht="15" customHeight="1" x14ac:dyDescent="0.25">
      <c r="B169" s="198">
        <f>B155</f>
        <v>2007</v>
      </c>
      <c r="C169" s="199"/>
      <c r="D169" s="199"/>
      <c r="E169" s="214"/>
      <c r="F169" s="214"/>
      <c r="G169" s="214"/>
      <c r="H169" s="214"/>
      <c r="I169" s="214"/>
      <c r="J169" s="214"/>
    </row>
    <row r="170" spans="2:10" ht="15" customHeight="1" x14ac:dyDescent="0.25">
      <c r="B170" s="330">
        <f t="shared" ref="B170:B178" si="28">B156</f>
        <v>2008</v>
      </c>
      <c r="C170" s="331"/>
      <c r="D170" s="331"/>
      <c r="E170" s="214">
        <f t="shared" ref="E170:J178" si="29">E156/E155-1</f>
        <v>-1.3185637626387359E-2</v>
      </c>
      <c r="F170" s="214">
        <f t="shared" si="29"/>
        <v>-2.2528790631020645E-2</v>
      </c>
      <c r="G170" s="214">
        <f t="shared" si="29"/>
        <v>0.11974846456067878</v>
      </c>
      <c r="H170" s="214">
        <f t="shared" si="29"/>
        <v>-1.7087622951468262E-2</v>
      </c>
      <c r="I170" s="214">
        <f t="shared" si="29"/>
        <v>-1.3854209654083349E-2</v>
      </c>
      <c r="J170" s="214">
        <f t="shared" si="29"/>
        <v>3.612104980458275E-2</v>
      </c>
    </row>
    <row r="171" spans="2:10" ht="15" customHeight="1" x14ac:dyDescent="0.25">
      <c r="B171" s="330">
        <f t="shared" si="28"/>
        <v>2009</v>
      </c>
      <c r="C171" s="331"/>
      <c r="D171" s="331"/>
      <c r="E171" s="214">
        <f t="shared" si="29"/>
        <v>-1.6213742864161995E-2</v>
      </c>
      <c r="F171" s="214">
        <f t="shared" si="29"/>
        <v>-3.2077506629583419E-2</v>
      </c>
      <c r="G171" s="214">
        <f t="shared" si="29"/>
        <v>6.3248090237121524E-2</v>
      </c>
      <c r="H171" s="214">
        <f t="shared" si="29"/>
        <v>-5.326519170505406E-2</v>
      </c>
      <c r="I171" s="214">
        <f t="shared" si="29"/>
        <v>1.3550995373917241E-2</v>
      </c>
      <c r="J171" s="214">
        <f t="shared" si="29"/>
        <v>-1.6896487102448954E-2</v>
      </c>
    </row>
    <row r="172" spans="2:10" ht="15" customHeight="1" x14ac:dyDescent="0.25">
      <c r="B172" s="330">
        <f t="shared" si="28"/>
        <v>2010</v>
      </c>
      <c r="C172" s="331"/>
      <c r="D172" s="331"/>
      <c r="E172" s="214">
        <f t="shared" si="29"/>
        <v>-2.2049609250846203E-2</v>
      </c>
      <c r="F172" s="214">
        <f t="shared" si="29"/>
        <v>2.6250702642476975E-2</v>
      </c>
      <c r="G172" s="214">
        <f t="shared" si="29"/>
        <v>0.14035454765481337</v>
      </c>
      <c r="H172" s="214">
        <f t="shared" si="29"/>
        <v>-8.1651979683099452E-2</v>
      </c>
      <c r="I172" s="214">
        <f t="shared" si="29"/>
        <v>-2.039566368794421E-2</v>
      </c>
      <c r="J172" s="214">
        <f t="shared" si="29"/>
        <v>1.2195121951219523E-2</v>
      </c>
    </row>
    <row r="173" spans="2:10" ht="15" customHeight="1" x14ac:dyDescent="0.25">
      <c r="B173" s="330">
        <f t="shared" si="28"/>
        <v>2011</v>
      </c>
      <c r="C173" s="331"/>
      <c r="D173" s="331"/>
      <c r="E173" s="214">
        <f t="shared" si="29"/>
        <v>2.4498874325049602E-3</v>
      </c>
      <c r="F173" s="214">
        <f t="shared" si="29"/>
        <v>1.0376933799147059E-2</v>
      </c>
      <c r="G173" s="214">
        <f t="shared" si="29"/>
        <v>-9.0357322705817422E-3</v>
      </c>
      <c r="H173" s="214">
        <f t="shared" si="29"/>
        <v>-0.15613107218066558</v>
      </c>
      <c r="I173" s="214">
        <f t="shared" si="29"/>
        <v>-9.2186693084996163E-2</v>
      </c>
      <c r="J173" s="214">
        <f t="shared" si="29"/>
        <v>3.388609805722087E-3</v>
      </c>
    </row>
    <row r="174" spans="2:10" ht="15" customHeight="1" x14ac:dyDescent="0.25">
      <c r="B174" s="330">
        <f t="shared" si="28"/>
        <v>2012</v>
      </c>
      <c r="C174" s="331"/>
      <c r="D174" s="331"/>
      <c r="E174" s="214">
        <f t="shared" si="29"/>
        <v>-4.5696807749151747E-2</v>
      </c>
      <c r="F174" s="214">
        <f t="shared" si="29"/>
        <v>-1.3817709111364929E-2</v>
      </c>
      <c r="G174" s="214">
        <f t="shared" si="29"/>
        <v>1.0540848643724843E-2</v>
      </c>
      <c r="H174" s="214">
        <f t="shared" si="29"/>
        <v>0.34449923256908344</v>
      </c>
      <c r="I174" s="214">
        <f t="shared" si="29"/>
        <v>7.7083702820613498E-2</v>
      </c>
      <c r="J174" s="214">
        <f t="shared" si="29"/>
        <v>6.5441894409472567E-3</v>
      </c>
    </row>
    <row r="175" spans="2:10" ht="15" customHeight="1" x14ac:dyDescent="0.25">
      <c r="B175" s="330">
        <f t="shared" si="28"/>
        <v>2013</v>
      </c>
      <c r="C175" s="331"/>
      <c r="D175" s="331"/>
      <c r="E175" s="214">
        <f t="shared" si="29"/>
        <v>3.7052046634933333E-3</v>
      </c>
      <c r="F175" s="214">
        <f t="shared" si="29"/>
        <v>-3.3650823833807575E-2</v>
      </c>
      <c r="G175" s="214">
        <f t="shared" si="29"/>
        <v>9.3922561152173234E-3</v>
      </c>
      <c r="H175" s="214">
        <f t="shared" si="29"/>
        <v>-7.9750881834214971E-2</v>
      </c>
      <c r="I175" s="214">
        <f t="shared" si="29"/>
        <v>-0.10020224333222405</v>
      </c>
      <c r="J175" s="214">
        <f t="shared" si="29"/>
        <v>-1.9985115421145005E-3</v>
      </c>
    </row>
    <row r="176" spans="2:10" ht="15" customHeight="1" x14ac:dyDescent="0.25">
      <c r="B176" s="330">
        <f t="shared" si="28"/>
        <v>2014</v>
      </c>
      <c r="C176" s="331"/>
      <c r="D176" s="331"/>
      <c r="E176" s="214">
        <f t="shared" si="29"/>
        <v>6.5366792598191559E-3</v>
      </c>
      <c r="F176" s="214">
        <f t="shared" si="29"/>
        <v>-5.7631390205442612E-3</v>
      </c>
      <c r="G176" s="214">
        <f t="shared" si="29"/>
        <v>-8.9351706074918269E-3</v>
      </c>
      <c r="H176" s="214">
        <f t="shared" si="29"/>
        <v>5.1383858233748914E-2</v>
      </c>
      <c r="I176" s="214">
        <f t="shared" si="29"/>
        <v>7.3997490293851387E-2</v>
      </c>
      <c r="J176" s="214">
        <f t="shared" si="29"/>
        <v>1.0043690377429693E-2</v>
      </c>
    </row>
    <row r="177" spans="2:13" ht="15" customHeight="1" x14ac:dyDescent="0.25">
      <c r="B177" s="330">
        <f t="shared" si="28"/>
        <v>2015</v>
      </c>
      <c r="C177" s="331"/>
      <c r="D177" s="331"/>
      <c r="E177" s="214">
        <f t="shared" si="29"/>
        <v>-3.2266846608070887E-2</v>
      </c>
      <c r="F177" s="214">
        <f t="shared" si="29"/>
        <v>5.8629827498073439E-2</v>
      </c>
      <c r="G177" s="214">
        <f t="shared" si="29"/>
        <v>1.4482839791049029E-2</v>
      </c>
      <c r="H177" s="214">
        <f t="shared" si="29"/>
        <v>-1.9944534726139107E-2</v>
      </c>
      <c r="I177" s="214">
        <f t="shared" si="29"/>
        <v>-0.31331414362401877</v>
      </c>
      <c r="J177" s="214">
        <f t="shared" si="29"/>
        <v>-5.857493273199621E-3</v>
      </c>
    </row>
    <row r="178" spans="2:13" ht="15" customHeight="1" x14ac:dyDescent="0.25">
      <c r="B178" s="330">
        <f t="shared" si="28"/>
        <v>2016</v>
      </c>
      <c r="C178" s="331"/>
      <c r="D178" s="331"/>
      <c r="E178" s="214">
        <f t="shared" si="29"/>
        <v>-3.7370779639818164E-2</v>
      </c>
      <c r="F178" s="214">
        <f t="shared" si="29"/>
        <v>-4.3488350343909632E-2</v>
      </c>
      <c r="G178" s="214">
        <f t="shared" si="29"/>
        <v>3.8796984058662165E-3</v>
      </c>
      <c r="H178" s="214">
        <f t="shared" si="29"/>
        <v>2.4687089793414607E-2</v>
      </c>
      <c r="I178" s="214">
        <f t="shared" si="29"/>
        <v>-0.50922529775792102</v>
      </c>
      <c r="J178" s="214">
        <f t="shared" si="29"/>
        <v>1.9645262100866034E-2</v>
      </c>
    </row>
    <row r="179" spans="2:13" ht="15" customHeight="1" x14ac:dyDescent="0.25">
      <c r="B179" s="198" t="str">
        <f>B145</f>
        <v>Geo Mean - 2007 to 2016</v>
      </c>
      <c r="C179" s="199"/>
      <c r="D179" s="199"/>
      <c r="E179" s="214">
        <f>'Rate Class Energy Model'!H50-1</f>
        <v>-1.7283928499539525E-2</v>
      </c>
      <c r="F179" s="214">
        <f>'Rate Class Energy Model'!I50-1</f>
        <v>-6.7068464570458897E-3</v>
      </c>
      <c r="G179" s="214">
        <f>'Rate Class Energy Model'!J50-1</f>
        <v>3.6863761210617962E-2</v>
      </c>
      <c r="H179" s="214">
        <f>'Rate Class Energy Model'!K50-1</f>
        <v>-6.6057868179040247E-3</v>
      </c>
      <c r="I179" s="214">
        <f>'Rate Class Energy Model'!L50-1</f>
        <v>-0.12145595121484531</v>
      </c>
      <c r="J179" s="214">
        <f>'Rate Class Energy Model'!M50-1</f>
        <v>6.9175247064177103E-3</v>
      </c>
    </row>
    <row r="180" spans="2:13" ht="15" customHeight="1" x14ac:dyDescent="0.25">
      <c r="B180" s="184"/>
      <c r="C180" s="184"/>
      <c r="D180" s="184"/>
    </row>
    <row r="181" spans="2:13" ht="15" customHeight="1" x14ac:dyDescent="0.25">
      <c r="B181" s="182" t="s">
        <v>219</v>
      </c>
      <c r="C181" s="182"/>
      <c r="D181" s="182"/>
      <c r="E181" s="183"/>
      <c r="F181" s="183"/>
      <c r="G181" s="183"/>
      <c r="H181" s="183"/>
      <c r="I181" s="183"/>
      <c r="J181" s="183"/>
    </row>
    <row r="182" spans="2:13" ht="30.6" x14ac:dyDescent="0.25">
      <c r="B182" s="303" t="s">
        <v>150</v>
      </c>
      <c r="C182" s="304"/>
      <c r="D182" s="304"/>
      <c r="E182" s="305" t="str">
        <f t="shared" ref="E182:J182" si="30">E167</f>
        <v>Residential</v>
      </c>
      <c r="F182" s="305" t="str">
        <f t="shared" si="30"/>
        <v>General Service &lt; 50 kW</v>
      </c>
      <c r="G182" s="305" t="str">
        <f t="shared" si="30"/>
        <v>General Service 50 to 4,999 kW</v>
      </c>
      <c r="H182" s="305" t="str">
        <f t="shared" si="30"/>
        <v xml:space="preserve">Sentinel Lighting </v>
      </c>
      <c r="I182" s="305" t="str">
        <f t="shared" si="30"/>
        <v>Street Lighting</v>
      </c>
      <c r="J182" s="305" t="str">
        <f t="shared" si="30"/>
        <v>Unmetered Scattered Load</v>
      </c>
    </row>
    <row r="183" spans="2:13" ht="15" customHeight="1" x14ac:dyDescent="0.25">
      <c r="B183" s="360" t="s">
        <v>179</v>
      </c>
      <c r="C183" s="360"/>
      <c r="D183" s="360"/>
      <c r="E183" s="360"/>
      <c r="F183" s="360"/>
      <c r="G183" s="360"/>
      <c r="H183" s="360"/>
      <c r="I183" s="360"/>
      <c r="J183" s="360"/>
    </row>
    <row r="184" spans="2:13" x14ac:dyDescent="0.25">
      <c r="B184" s="353">
        <f>B150</f>
        <v>2017</v>
      </c>
      <c r="C184" s="354"/>
      <c r="D184" s="355"/>
      <c r="E184" s="218">
        <f>E164</f>
        <v>9783.5020634911925</v>
      </c>
      <c r="F184" s="218">
        <f t="shared" ref="F184:J184" si="31">F164</f>
        <v>32711.479576875772</v>
      </c>
      <c r="G184" s="218">
        <f t="shared" si="31"/>
        <v>767108.36745314219</v>
      </c>
      <c r="H184" s="218">
        <f t="shared" si="31"/>
        <v>640.07241344706472</v>
      </c>
      <c r="I184" s="218">
        <f t="shared" si="31"/>
        <v>187.39723616042843</v>
      </c>
      <c r="J184" s="218">
        <f t="shared" si="31"/>
        <v>6213.0205752212396</v>
      </c>
    </row>
    <row r="185" spans="2:13" x14ac:dyDescent="0.25">
      <c r="B185" s="275"/>
      <c r="C185" s="275"/>
      <c r="D185" s="275"/>
      <c r="E185" s="222"/>
      <c r="F185" s="222"/>
      <c r="G185" s="222"/>
      <c r="H185" s="222"/>
      <c r="I185" s="222"/>
    </row>
    <row r="186" spans="2:13" ht="15" customHeight="1" x14ac:dyDescent="0.25">
      <c r="B186" s="182" t="s">
        <v>220</v>
      </c>
      <c r="C186" s="182"/>
      <c r="D186" s="182"/>
      <c r="E186" s="183"/>
      <c r="F186" s="183"/>
      <c r="G186" s="183"/>
      <c r="H186" s="183"/>
      <c r="I186" s="183"/>
    </row>
    <row r="187" spans="2:13" ht="30.6" x14ac:dyDescent="0.25">
      <c r="B187" s="295" t="s">
        <v>150</v>
      </c>
      <c r="C187" s="296"/>
      <c r="D187" s="296"/>
      <c r="E187" s="294" t="str">
        <f t="shared" ref="E187:J187" si="32">E182</f>
        <v>Residential</v>
      </c>
      <c r="F187" s="294" t="str">
        <f t="shared" si="32"/>
        <v>General Service &lt; 50 kW</v>
      </c>
      <c r="G187" s="294" t="str">
        <f t="shared" si="32"/>
        <v>General Service 50 to 4,999 kW</v>
      </c>
      <c r="H187" s="294" t="str">
        <f t="shared" si="32"/>
        <v xml:space="preserve">Sentinel Lighting </v>
      </c>
      <c r="I187" s="294" t="str">
        <f t="shared" si="32"/>
        <v>Street Lighting</v>
      </c>
      <c r="J187" s="294" t="str">
        <f t="shared" si="32"/>
        <v>Unmetered Scattered Load</v>
      </c>
      <c r="K187" s="294" t="s">
        <v>98</v>
      </c>
    </row>
    <row r="188" spans="2:13" x14ac:dyDescent="0.25">
      <c r="B188" s="360" t="s">
        <v>180</v>
      </c>
      <c r="C188" s="360"/>
      <c r="D188" s="360"/>
      <c r="E188" s="360"/>
      <c r="F188" s="360"/>
      <c r="G188" s="360"/>
      <c r="H188" s="360"/>
      <c r="I188" s="360"/>
      <c r="J188" s="360"/>
      <c r="K188" s="360"/>
    </row>
    <row r="189" spans="2:13" ht="15" customHeight="1" x14ac:dyDescent="0.25">
      <c r="B189" s="221" t="s">
        <v>279</v>
      </c>
      <c r="C189" s="223"/>
      <c r="D189" s="223"/>
      <c r="E189" s="333">
        <f t="shared" ref="E189:J189" si="33">E184*E150/1000000</f>
        <v>151.24672441984745</v>
      </c>
      <c r="F189" s="333">
        <f t="shared" si="33"/>
        <v>34.085676442544013</v>
      </c>
      <c r="G189" s="333">
        <f t="shared" si="33"/>
        <v>58.031490144492324</v>
      </c>
      <c r="H189" s="333">
        <f t="shared" si="33"/>
        <v>0.10478466677941774</v>
      </c>
      <c r="I189" s="333">
        <f t="shared" si="33"/>
        <v>0.54684311902564298</v>
      </c>
      <c r="J189" s="333">
        <f t="shared" si="33"/>
        <v>0.4588998592274191</v>
      </c>
      <c r="K189" s="224">
        <f>SUM(E189:J189)</f>
        <v>244.47441865191627</v>
      </c>
      <c r="L189"/>
      <c r="M189"/>
    </row>
    <row r="190" spans="2:13" ht="15" customHeight="1" x14ac:dyDescent="0.25">
      <c r="B190" s="201"/>
      <c r="C190" s="201"/>
      <c r="D190" s="201"/>
      <c r="E190" s="225"/>
      <c r="F190" s="225"/>
      <c r="G190" s="225"/>
      <c r="H190" s="225"/>
      <c r="I190" s="225"/>
      <c r="J190" s="225"/>
      <c r="K190" s="225"/>
    </row>
    <row r="191" spans="2:13" ht="15" customHeight="1" x14ac:dyDescent="0.25">
      <c r="B191" s="184"/>
      <c r="C191" s="183"/>
      <c r="D191" s="183"/>
      <c r="E191" s="182" t="s">
        <v>221</v>
      </c>
      <c r="F191" s="183"/>
      <c r="G191" s="183"/>
    </row>
    <row r="192" spans="2:13" ht="30.6" x14ac:dyDescent="0.25">
      <c r="B192" s="184"/>
      <c r="C192" s="184"/>
      <c r="D192" s="184"/>
      <c r="E192" s="294" t="str">
        <f t="shared" ref="E192:J192" si="34">E187</f>
        <v>Residential</v>
      </c>
      <c r="F192" s="294" t="str">
        <f t="shared" si="34"/>
        <v>General Service &lt; 50 kW</v>
      </c>
      <c r="G192" s="294" t="str">
        <f t="shared" si="34"/>
        <v>General Service 50 to 4,999 kW</v>
      </c>
      <c r="H192" s="294" t="str">
        <f t="shared" si="34"/>
        <v xml:space="preserve">Sentinel Lighting </v>
      </c>
      <c r="I192" s="294" t="str">
        <f t="shared" si="34"/>
        <v>Street Lighting</v>
      </c>
      <c r="J192" s="294" t="str">
        <f t="shared" si="34"/>
        <v>Unmetered Scattered Load</v>
      </c>
    </row>
    <row r="193" spans="2:10" ht="15" customHeight="1" x14ac:dyDescent="0.25">
      <c r="B193" s="184"/>
      <c r="C193" s="184"/>
      <c r="D193" s="184"/>
      <c r="E193" s="361" t="s">
        <v>181</v>
      </c>
      <c r="F193" s="362"/>
      <c r="G193" s="362"/>
      <c r="H193" s="362"/>
      <c r="I193" s="362"/>
      <c r="J193" s="363"/>
    </row>
    <row r="194" spans="2:10" ht="15" customHeight="1" x14ac:dyDescent="0.25">
      <c r="B194" s="184"/>
      <c r="C194" s="184"/>
      <c r="D194" s="184"/>
      <c r="E194" s="226">
        <f>'Rate Class Energy Model'!H59</f>
        <v>0.82499999999999996</v>
      </c>
      <c r="F194" s="226">
        <f>'Rate Class Energy Model'!I59</f>
        <v>0.82499999999999996</v>
      </c>
      <c r="G194" s="226">
        <f>'Rate Class Energy Model'!J59</f>
        <v>0.65</v>
      </c>
      <c r="H194" s="226">
        <f>'Rate Class Energy Model'!K59</f>
        <v>0</v>
      </c>
      <c r="I194" s="226">
        <f>'Rate Class Energy Model'!L59</f>
        <v>0</v>
      </c>
      <c r="J194" s="226">
        <f>'Rate Class Energy Model'!M59</f>
        <v>0</v>
      </c>
    </row>
    <row r="195" spans="2:10" ht="15" customHeight="1" x14ac:dyDescent="0.25">
      <c r="B195" s="184"/>
      <c r="C195" s="184"/>
      <c r="D195" s="184"/>
      <c r="E195" s="227"/>
      <c r="F195" s="227"/>
      <c r="G195" s="227"/>
      <c r="H195" s="227"/>
      <c r="I195" s="227"/>
      <c r="J195" s="227"/>
    </row>
    <row r="196" spans="2:10" ht="15" customHeight="1" x14ac:dyDescent="0.25">
      <c r="B196" s="182" t="s">
        <v>222</v>
      </c>
      <c r="C196" s="182"/>
      <c r="D196" s="182"/>
      <c r="E196" s="183"/>
      <c r="F196" s="183"/>
      <c r="G196" s="183"/>
      <c r="H196" s="227"/>
      <c r="I196" s="227"/>
      <c r="J196" s="227"/>
    </row>
    <row r="197" spans="2:10" ht="40.799999999999997" x14ac:dyDescent="0.25">
      <c r="B197" s="295" t="s">
        <v>150</v>
      </c>
      <c r="C197" s="296"/>
      <c r="D197" s="296"/>
      <c r="E197" s="294" t="s">
        <v>223</v>
      </c>
      <c r="F197"/>
      <c r="G197"/>
      <c r="H197" s="227"/>
      <c r="I197" s="227"/>
      <c r="J197" s="227"/>
    </row>
    <row r="198" spans="2:10" ht="15" customHeight="1" x14ac:dyDescent="0.25">
      <c r="B198" s="198" t="s">
        <v>224</v>
      </c>
      <c r="C198" s="199"/>
      <c r="D198" s="199"/>
      <c r="E198" s="193">
        <f>'Rate Class Energy Model'!N8/1000000</f>
        <v>1.02794085</v>
      </c>
      <c r="F198"/>
      <c r="G198"/>
      <c r="H198" s="227"/>
      <c r="I198" s="227"/>
      <c r="J198" s="227"/>
    </row>
    <row r="199" spans="2:10" ht="15" customHeight="1" x14ac:dyDescent="0.25">
      <c r="B199" s="198" t="s">
        <v>225</v>
      </c>
      <c r="C199" s="199"/>
      <c r="D199" s="199"/>
      <c r="E199" s="193">
        <f>'Rate Class Energy Model'!N9/1000000</f>
        <v>1.0515893999999999</v>
      </c>
      <c r="F199"/>
      <c r="G199"/>
      <c r="H199" s="227"/>
      <c r="I199" s="227"/>
      <c r="J199" s="227"/>
    </row>
    <row r="200" spans="2:10" ht="15" customHeight="1" x14ac:dyDescent="0.25">
      <c r="B200" s="198" t="s">
        <v>226</v>
      </c>
      <c r="C200" s="199"/>
      <c r="D200" s="199"/>
      <c r="E200" s="193">
        <f>'Rate Class Energy Model'!N10/1000000</f>
        <v>0.95337340000000004</v>
      </c>
      <c r="F200"/>
      <c r="G200"/>
      <c r="H200" s="227"/>
      <c r="I200" s="227"/>
      <c r="J200" s="227"/>
    </row>
    <row r="201" spans="2:10" ht="15" customHeight="1" x14ac:dyDescent="0.25">
      <c r="B201" s="198" t="s">
        <v>227</v>
      </c>
      <c r="C201" s="199"/>
      <c r="D201" s="199"/>
      <c r="E201" s="193">
        <f>'Rate Class Energy Model'!N11/1000000</f>
        <v>1.0265084</v>
      </c>
      <c r="F201"/>
      <c r="G201"/>
      <c r="H201" s="227"/>
      <c r="I201" s="227"/>
      <c r="J201" s="227"/>
    </row>
    <row r="202" spans="2:10" ht="15" customHeight="1" x14ac:dyDescent="0.25">
      <c r="B202" s="198" t="s">
        <v>228</v>
      </c>
      <c r="C202" s="199"/>
      <c r="D202" s="199"/>
      <c r="E202" s="193">
        <f>'Rate Class Energy Model'!N12/1000000</f>
        <v>0.97617039999999999</v>
      </c>
      <c r="F202"/>
      <c r="G202"/>
      <c r="H202" s="227"/>
      <c r="I202" s="227"/>
      <c r="J202" s="227"/>
    </row>
    <row r="203" spans="2:10" ht="15" customHeight="1" x14ac:dyDescent="0.25">
      <c r="B203" s="198" t="s">
        <v>229</v>
      </c>
      <c r="C203" s="199"/>
      <c r="D203" s="199"/>
      <c r="E203" s="193">
        <f>'Rate Class Energy Model'!N13/1000000</f>
        <v>0.98420640000000004</v>
      </c>
      <c r="F203"/>
      <c r="G203"/>
      <c r="H203" s="227"/>
      <c r="I203" s="227"/>
      <c r="J203" s="227"/>
    </row>
    <row r="204" spans="2:10" ht="15" customHeight="1" x14ac:dyDescent="0.25">
      <c r="B204" s="198" t="s">
        <v>230</v>
      </c>
      <c r="C204" s="199"/>
      <c r="D204" s="199"/>
      <c r="E204" s="193">
        <f>'Rate Class Energy Model'!N14/1000000</f>
        <v>1.0721223999999998</v>
      </c>
      <c r="F204"/>
      <c r="G204"/>
      <c r="H204" s="227"/>
      <c r="I204" s="227"/>
      <c r="J204" s="227"/>
    </row>
    <row r="205" spans="2:10" ht="15" customHeight="1" x14ac:dyDescent="0.25">
      <c r="B205" s="198" t="s">
        <v>231</v>
      </c>
      <c r="C205" s="199"/>
      <c r="D205" s="199"/>
      <c r="E205" s="193">
        <f>'Rate Class Energy Model'!N15/1000000</f>
        <v>1.1582989800000001</v>
      </c>
      <c r="F205"/>
      <c r="G205"/>
      <c r="H205" s="227"/>
      <c r="I205" s="227"/>
      <c r="J205" s="227"/>
    </row>
    <row r="206" spans="2:10" ht="15" customHeight="1" x14ac:dyDescent="0.25">
      <c r="B206" s="198" t="s">
        <v>232</v>
      </c>
      <c r="C206" s="199"/>
      <c r="D206" s="199"/>
      <c r="E206" s="193">
        <f>'Rate Class Energy Model'!N16/1000000</f>
        <v>1.0160309999999999</v>
      </c>
      <c r="F206"/>
      <c r="G206"/>
      <c r="H206" s="227"/>
      <c r="I206" s="227"/>
      <c r="J206" s="227"/>
    </row>
    <row r="207" spans="2:10" ht="15" customHeight="1" x14ac:dyDescent="0.25">
      <c r="B207" s="330" t="s">
        <v>280</v>
      </c>
      <c r="C207" s="232"/>
      <c r="D207" s="232"/>
      <c r="E207" s="193">
        <f>'Rate Class Energy Model'!N17/1000000</f>
        <v>0.95704500000000003</v>
      </c>
      <c r="F207"/>
      <c r="G207"/>
      <c r="H207" s="227"/>
      <c r="I207" s="227"/>
      <c r="J207" s="227"/>
    </row>
    <row r="208" spans="2:10" ht="15" customHeight="1" x14ac:dyDescent="0.25">
      <c r="B208" s="198" t="s">
        <v>233</v>
      </c>
      <c r="C208" s="232"/>
      <c r="D208" s="232"/>
      <c r="E208" s="193">
        <f>'Rate Class Energy Model'!N56/1000000</f>
        <v>0.95704500000000003</v>
      </c>
      <c r="F208"/>
      <c r="G208"/>
      <c r="H208" s="227"/>
      <c r="I208" s="227"/>
      <c r="J208" s="227"/>
    </row>
    <row r="209" spans="2:17" ht="15" customHeight="1" x14ac:dyDescent="0.25">
      <c r="B209" s="201"/>
      <c r="C209" s="212"/>
      <c r="D209" s="212"/>
      <c r="E209" s="266"/>
      <c r="F209"/>
      <c r="G209"/>
      <c r="H209" s="227"/>
      <c r="I209" s="227"/>
      <c r="J209" s="227"/>
    </row>
    <row r="210" spans="2:17" ht="15" customHeight="1" x14ac:dyDescent="0.25">
      <c r="B210" s="182" t="s">
        <v>234</v>
      </c>
      <c r="C210" s="201"/>
      <c r="D210" s="201"/>
      <c r="E210" s="201"/>
      <c r="F210" s="266"/>
      <c r="G210" s="272"/>
      <c r="J210"/>
      <c r="K210"/>
    </row>
    <row r="211" spans="2:17" ht="30.6" x14ac:dyDescent="0.25">
      <c r="B211" s="295" t="s">
        <v>150</v>
      </c>
      <c r="C211" s="296"/>
      <c r="D211" s="296"/>
      <c r="E211" s="294" t="s">
        <v>235</v>
      </c>
      <c r="F211" s="294" t="s">
        <v>236</v>
      </c>
      <c r="G211" s="294" t="s">
        <v>237</v>
      </c>
      <c r="H211" s="294" t="s">
        <v>238</v>
      </c>
      <c r="J211"/>
      <c r="K211"/>
    </row>
    <row r="212" spans="2:17" x14ac:dyDescent="0.25">
      <c r="B212" s="348" t="s">
        <v>163</v>
      </c>
      <c r="C212" s="348"/>
      <c r="D212" s="348"/>
      <c r="E212" s="348"/>
      <c r="F212" s="348"/>
      <c r="G212" s="348"/>
      <c r="H212" s="348"/>
      <c r="J212"/>
      <c r="K212"/>
    </row>
    <row r="213" spans="2:17" ht="15" customHeight="1" x14ac:dyDescent="0.25">
      <c r="B213" s="198" t="str">
        <f>B116</f>
        <v>2017 Test - Normalized</v>
      </c>
      <c r="C213" s="199"/>
      <c r="D213" s="199"/>
      <c r="E213" s="273">
        <f>G116</f>
        <v>241.43075096541909</v>
      </c>
      <c r="F213" s="273">
        <f>K189</f>
        <v>244.47441865191627</v>
      </c>
      <c r="G213" s="262">
        <f>E208</f>
        <v>0.95704500000000003</v>
      </c>
      <c r="H213" s="197">
        <f>E213-F213-G213</f>
        <v>-4.0007126864971729</v>
      </c>
      <c r="I213"/>
      <c r="J213"/>
      <c r="K213"/>
    </row>
    <row r="214" spans="2:17" ht="15" customHeight="1" x14ac:dyDescent="0.25">
      <c r="B214" s="201"/>
      <c r="C214" s="212"/>
      <c r="D214" s="212"/>
      <c r="E214" s="266"/>
      <c r="F214"/>
      <c r="G214"/>
      <c r="H214" s="227"/>
      <c r="I214" s="227"/>
      <c r="J214" s="227"/>
    </row>
    <row r="215" spans="2:17" ht="15" customHeight="1" x14ac:dyDescent="0.25">
      <c r="B215"/>
      <c r="C215"/>
      <c r="D215"/>
      <c r="E215"/>
      <c r="F215"/>
      <c r="G215"/>
      <c r="H215" s="227"/>
      <c r="I215" s="227"/>
      <c r="J215" s="227"/>
    </row>
    <row r="216" spans="2:17" ht="15" customHeight="1" x14ac:dyDescent="0.25">
      <c r="B216"/>
      <c r="C216"/>
      <c r="D216"/>
      <c r="E216"/>
      <c r="F216"/>
      <c r="G216"/>
      <c r="H216" s="227"/>
      <c r="I216" s="227"/>
      <c r="J216" s="227"/>
      <c r="O216" s="381" t="s">
        <v>281</v>
      </c>
      <c r="P216" s="381"/>
      <c r="Q216" s="381"/>
    </row>
    <row r="217" spans="2:17" ht="15" customHeight="1" x14ac:dyDescent="0.25">
      <c r="B217"/>
      <c r="C217"/>
      <c r="D217"/>
      <c r="E217"/>
      <c r="F217"/>
      <c r="G217"/>
      <c r="J217" s="227"/>
      <c r="O217" s="323"/>
      <c r="P217" s="323">
        <v>2016</v>
      </c>
      <c r="Q217" s="323">
        <v>2017</v>
      </c>
    </row>
    <row r="218" spans="2:17" ht="15" customHeight="1" x14ac:dyDescent="0.25">
      <c r="B218" s="184"/>
      <c r="C218" s="184"/>
      <c r="D218" s="184"/>
      <c r="J218" s="227"/>
      <c r="O218" s="228" t="str">
        <f>'Rate Class Energy Model'!F73</f>
        <v>2016 Programs</v>
      </c>
      <c r="P218" s="196">
        <f>'Rate Class Energy Model'!G73</f>
        <v>3143714.4894793103</v>
      </c>
      <c r="Q218" s="196">
        <f>'Rate Class Energy Model'!H73</f>
        <v>3143714.4894793103</v>
      </c>
    </row>
    <row r="219" spans="2:17" ht="15" customHeight="1" x14ac:dyDescent="0.25">
      <c r="B219" s="184"/>
      <c r="C219" s="184"/>
      <c r="D219" s="184"/>
      <c r="J219" s="227"/>
      <c r="O219" s="228" t="str">
        <f>'Rate Class Energy Model'!F74</f>
        <v>2017 Programs</v>
      </c>
      <c r="P219" s="196"/>
      <c r="Q219" s="196">
        <f>'Rate Class Energy Model'!H74</f>
        <v>1139902.6568728054</v>
      </c>
    </row>
    <row r="220" spans="2:17" ht="15" customHeight="1" x14ac:dyDescent="0.25">
      <c r="B220" s="184"/>
      <c r="C220" s="184"/>
      <c r="D220" s="184"/>
      <c r="J220" s="227"/>
      <c r="O220" s="228" t="str">
        <f>'Rate Class Energy Model'!F75</f>
        <v>Target Credit</v>
      </c>
      <c r="P220" s="196">
        <f>P218</f>
        <v>3143714.4894793103</v>
      </c>
      <c r="Q220" s="196">
        <f>Q219</f>
        <v>1139902.6568728054</v>
      </c>
    </row>
    <row r="221" spans="2:17" ht="15" customHeight="1" x14ac:dyDescent="0.25">
      <c r="B221" s="184"/>
      <c r="C221" s="184"/>
      <c r="D221" s="184"/>
      <c r="J221" s="227"/>
      <c r="O221" s="228" t="s">
        <v>239</v>
      </c>
      <c r="P221" s="196">
        <f>SUM(P218:P219)</f>
        <v>3143714.4894793103</v>
      </c>
      <c r="Q221" s="196">
        <f>SUM(Q218:Q219)</f>
        <v>4283617.146352116</v>
      </c>
    </row>
    <row r="222" spans="2:17" ht="15" customHeight="1" x14ac:dyDescent="0.25">
      <c r="B222" s="184"/>
      <c r="C222" s="184"/>
      <c r="D222" s="184"/>
      <c r="J222" s="227"/>
      <c r="O222"/>
      <c r="P222"/>
      <c r="Q222"/>
    </row>
    <row r="223" spans="2:17" ht="15" customHeight="1" x14ac:dyDescent="0.25">
      <c r="B223" s="184"/>
      <c r="C223" s="184"/>
      <c r="D223" s="184"/>
      <c r="J223" s="227"/>
      <c r="O223" s="306"/>
      <c r="P223" s="306">
        <v>2016</v>
      </c>
      <c r="Q223" s="306">
        <v>2017</v>
      </c>
    </row>
    <row r="224" spans="2:17" ht="15" customHeight="1" x14ac:dyDescent="0.25">
      <c r="B224" s="184"/>
      <c r="C224" s="184"/>
      <c r="D224" s="184"/>
      <c r="J224" s="227"/>
      <c r="O224" s="228" t="s">
        <v>240</v>
      </c>
      <c r="P224" s="276">
        <f>'Rate Class Energy Model'!G77</f>
        <v>0.22964187470247915</v>
      </c>
      <c r="Q224" s="276">
        <f>'Rate Class Energy Model'!H77</f>
        <v>0.19579380458424031</v>
      </c>
    </row>
    <row r="225" spans="2:34" ht="15" customHeight="1" x14ac:dyDescent="0.25">
      <c r="B225" s="184"/>
      <c r="C225" s="184"/>
      <c r="D225" s="184"/>
      <c r="J225" s="227"/>
      <c r="O225" s="229"/>
      <c r="P225" s="277"/>
      <c r="Q225" s="277"/>
    </row>
    <row r="226" spans="2:34" ht="15" customHeight="1" x14ac:dyDescent="0.25">
      <c r="B226" s="184"/>
      <c r="C226" s="184"/>
      <c r="D226" s="184"/>
      <c r="J226" s="227"/>
      <c r="O226" s="382" t="s">
        <v>282</v>
      </c>
      <c r="P226" s="383"/>
      <c r="Q226" s="384"/>
    </row>
    <row r="227" spans="2:34" ht="15" customHeight="1" x14ac:dyDescent="0.25">
      <c r="B227" s="184"/>
      <c r="C227" s="184"/>
      <c r="D227" s="184"/>
      <c r="J227" s="227"/>
      <c r="O227" s="324"/>
      <c r="P227" s="324">
        <v>2016</v>
      </c>
      <c r="Q227" s="324">
        <v>2017</v>
      </c>
    </row>
    <row r="228" spans="2:34" ht="15" customHeight="1" x14ac:dyDescent="0.25">
      <c r="B228" s="184"/>
      <c r="C228" s="184"/>
      <c r="D228" s="184"/>
      <c r="J228" s="227"/>
      <c r="O228" s="228" t="str">
        <f>O218</f>
        <v>2016 Programs</v>
      </c>
      <c r="P228" s="196">
        <f>'Rate Class Energy Model'!G80</f>
        <v>252999.78075091357</v>
      </c>
      <c r="Q228" s="196">
        <f>'Rate Class Energy Model'!H80</f>
        <v>252999.78075091357</v>
      </c>
      <c r="Y228"/>
      <c r="Z228"/>
      <c r="AA228"/>
      <c r="AB228"/>
      <c r="AC228"/>
      <c r="AD228"/>
      <c r="AE228"/>
      <c r="AF228"/>
      <c r="AG228"/>
      <c r="AH228"/>
    </row>
    <row r="229" spans="2:34" ht="15" customHeight="1" x14ac:dyDescent="0.25">
      <c r="B229" s="184"/>
      <c r="C229" s="184"/>
      <c r="D229" s="184"/>
      <c r="J229" s="227"/>
      <c r="O229" s="228" t="str">
        <f>O219</f>
        <v>2017 Programs</v>
      </c>
      <c r="P229" s="196"/>
      <c r="Q229" s="196">
        <f>'Rate Class Energy Model'!H81</f>
        <v>223185.87804481041</v>
      </c>
      <c r="Y229"/>
      <c r="Z229"/>
      <c r="AA229"/>
      <c r="AB229"/>
      <c r="AC229"/>
      <c r="AD229"/>
      <c r="AE229"/>
      <c r="AF229"/>
      <c r="AG229"/>
      <c r="AH229"/>
    </row>
    <row r="230" spans="2:34" ht="15" customHeight="1" x14ac:dyDescent="0.25">
      <c r="B230" s="184"/>
      <c r="C230" s="184"/>
      <c r="D230" s="184"/>
      <c r="J230" s="227"/>
      <c r="O230" s="228" t="str">
        <f>O220</f>
        <v>Target Credit</v>
      </c>
      <c r="P230" s="196">
        <f>P228</f>
        <v>252999.78075091357</v>
      </c>
      <c r="Q230" s="196">
        <f>Q229</f>
        <v>223185.87804481041</v>
      </c>
      <c r="Y230"/>
      <c r="Z230"/>
      <c r="AA230"/>
      <c r="AB230"/>
      <c r="AC230"/>
      <c r="AD230"/>
      <c r="AE230"/>
      <c r="AF230"/>
      <c r="AG230"/>
      <c r="AH230"/>
    </row>
    <row r="231" spans="2:34" ht="15" customHeight="1" x14ac:dyDescent="0.25">
      <c r="B231" s="184"/>
      <c r="C231" s="184"/>
      <c r="D231" s="184"/>
      <c r="J231" s="227"/>
      <c r="O231" s="228" t="s">
        <v>239</v>
      </c>
      <c r="P231" s="196">
        <f>SUM(P228:P229)</f>
        <v>252999.78075091357</v>
      </c>
      <c r="Q231" s="196">
        <f>SUM(Q228:Q229)</f>
        <v>476185.65879572398</v>
      </c>
      <c r="Y231"/>
      <c r="Z231"/>
      <c r="AA231"/>
      <c r="AB231"/>
      <c r="AC231"/>
      <c r="AD231"/>
      <c r="AE231"/>
      <c r="AF231"/>
      <c r="AG231"/>
      <c r="AH231"/>
    </row>
    <row r="232" spans="2:34" ht="15" customHeight="1" x14ac:dyDescent="0.25">
      <c r="B232" s="184"/>
      <c r="C232" s="184"/>
      <c r="D232" s="184"/>
      <c r="J232" s="227"/>
      <c r="O232" s="229"/>
      <c r="P232" s="277"/>
      <c r="Q232" s="277"/>
    </row>
    <row r="233" spans="2:34" ht="15" customHeight="1" x14ac:dyDescent="0.25">
      <c r="B233" s="184"/>
      <c r="C233" s="184"/>
      <c r="D233" s="184"/>
      <c r="J233" s="227"/>
      <c r="O233" s="382" t="s">
        <v>283</v>
      </c>
      <c r="P233" s="383"/>
      <c r="Q233" s="384"/>
    </row>
    <row r="234" spans="2:34" ht="15" customHeight="1" x14ac:dyDescent="0.25">
      <c r="B234" s="184"/>
      <c r="C234" s="184"/>
      <c r="D234" s="184"/>
      <c r="J234" s="227"/>
      <c r="O234" s="324"/>
      <c r="P234" s="324">
        <v>2016</v>
      </c>
      <c r="Q234" s="324">
        <v>2017</v>
      </c>
    </row>
    <row r="235" spans="2:34" ht="15" customHeight="1" x14ac:dyDescent="0.25">
      <c r="B235" s="184"/>
      <c r="C235" s="184"/>
      <c r="D235" s="184"/>
      <c r="J235" s="227"/>
      <c r="O235" s="228" t="str">
        <f>O228</f>
        <v>2016 Programs</v>
      </c>
      <c r="P235" s="196">
        <f>'Rate Class Energy Model'!G85</f>
        <v>763843.23785555712</v>
      </c>
      <c r="Q235" s="196">
        <f>'Rate Class Energy Model'!H85</f>
        <v>763843.23785555712</v>
      </c>
    </row>
    <row r="236" spans="2:34" ht="15" customHeight="1" x14ac:dyDescent="0.25">
      <c r="B236" s="184"/>
      <c r="C236" s="184"/>
      <c r="D236" s="184"/>
      <c r="J236" s="227"/>
      <c r="O236" s="228" t="str">
        <f>O229</f>
        <v>2017 Programs</v>
      </c>
      <c r="P236" s="196"/>
      <c r="Q236" s="196">
        <f>'Rate Class Energy Model'!H86</f>
        <v>825045.10094519553</v>
      </c>
    </row>
    <row r="237" spans="2:34" ht="15" customHeight="1" x14ac:dyDescent="0.25">
      <c r="B237" s="184"/>
      <c r="C237" s="184"/>
      <c r="D237" s="184"/>
      <c r="J237" s="227"/>
      <c r="O237" s="228" t="str">
        <f>O230</f>
        <v>Target Credit</v>
      </c>
      <c r="P237" s="196">
        <f>P235</f>
        <v>763843.23785555712</v>
      </c>
      <c r="Q237" s="196">
        <f>Q236</f>
        <v>825045.10094519553</v>
      </c>
    </row>
    <row r="238" spans="2:34" ht="15" customHeight="1" x14ac:dyDescent="0.25">
      <c r="B238" s="184"/>
      <c r="C238" s="184"/>
      <c r="D238" s="184"/>
      <c r="J238" s="227"/>
      <c r="O238" s="228" t="s">
        <v>239</v>
      </c>
      <c r="P238" s="196">
        <f>SUM(P235:P236)</f>
        <v>763843.23785555712</v>
      </c>
      <c r="Q238" s="196">
        <f>SUM(Q235:Q236)</f>
        <v>1588888.3388007525</v>
      </c>
    </row>
    <row r="239" spans="2:34" ht="15" customHeight="1" x14ac:dyDescent="0.25">
      <c r="B239" s="184"/>
      <c r="C239" s="184"/>
      <c r="D239" s="184"/>
      <c r="J239" s="227"/>
      <c r="O239" s="229"/>
      <c r="P239" s="277"/>
      <c r="Q239" s="277"/>
      <c r="Y239"/>
      <c r="Z239"/>
      <c r="AA239"/>
      <c r="AB239"/>
      <c r="AC239"/>
      <c r="AD239" s="211"/>
    </row>
    <row r="240" spans="2:34" ht="22.5" customHeight="1" x14ac:dyDescent="0.25">
      <c r="B240" s="184"/>
      <c r="C240" s="184"/>
      <c r="D240" s="184"/>
      <c r="J240" s="227"/>
      <c r="O240" s="385" t="s">
        <v>284</v>
      </c>
      <c r="P240" s="386"/>
      <c r="Q240" s="387"/>
      <c r="Y240"/>
      <c r="Z240"/>
      <c r="AA240"/>
      <c r="AB240"/>
      <c r="AC240"/>
    </row>
    <row r="241" spans="1:29" ht="15" customHeight="1" x14ac:dyDescent="0.25">
      <c r="B241" s="184"/>
      <c r="C241" s="184"/>
      <c r="D241" s="184"/>
      <c r="J241" s="227"/>
      <c r="O241" s="324"/>
      <c r="P241" s="324">
        <v>2016</v>
      </c>
      <c r="Q241" s="324">
        <v>2017</v>
      </c>
      <c r="Y241"/>
      <c r="Z241"/>
      <c r="AA241"/>
      <c r="AB241"/>
      <c r="AC241"/>
    </row>
    <row r="242" spans="1:29" ht="15" customHeight="1" x14ac:dyDescent="0.25">
      <c r="B242" s="184"/>
      <c r="C242" s="184"/>
      <c r="D242" s="184"/>
      <c r="J242" s="227"/>
      <c r="O242" s="228" t="str">
        <f>O235</f>
        <v>2016 Programs</v>
      </c>
      <c r="P242" s="196">
        <f>'Rate Class Energy Model'!G90+'Rate Class Energy Model'!G91</f>
        <v>2126871.4708728399</v>
      </c>
      <c r="Q242" s="196">
        <f>'Rate Class Energy Model'!H90+'Rate Class Energy Model'!H91</f>
        <v>2126871.4708728399</v>
      </c>
      <c r="Y242"/>
      <c r="Z242"/>
      <c r="AA242"/>
      <c r="AB242"/>
      <c r="AC242"/>
    </row>
    <row r="243" spans="1:29" ht="15" customHeight="1" x14ac:dyDescent="0.25">
      <c r="B243" s="184"/>
      <c r="C243" s="184"/>
      <c r="D243" s="184"/>
      <c r="J243" s="227"/>
      <c r="O243" s="228" t="str">
        <f>O236</f>
        <v>2017 Programs</v>
      </c>
      <c r="P243" s="196"/>
      <c r="Q243" s="196">
        <f>'Rate Class Energy Model'!H92</f>
        <v>91671.677882799529</v>
      </c>
      <c r="Y243"/>
      <c r="Z243"/>
      <c r="AA243"/>
      <c r="AB243"/>
      <c r="AC243"/>
    </row>
    <row r="244" spans="1:29" ht="15" customHeight="1" x14ac:dyDescent="0.25">
      <c r="B244" s="184"/>
      <c r="C244" s="184"/>
      <c r="D244" s="184"/>
      <c r="J244" s="227"/>
      <c r="O244" s="228" t="str">
        <f>O237</f>
        <v>Target Credit</v>
      </c>
      <c r="P244" s="196">
        <f>P242</f>
        <v>2126871.4708728399</v>
      </c>
      <c r="Q244" s="196">
        <f>Q243</f>
        <v>91671.677882799529</v>
      </c>
      <c r="Y244"/>
      <c r="Z244"/>
      <c r="AA244"/>
      <c r="AB244"/>
      <c r="AC244"/>
    </row>
    <row r="245" spans="1:29" ht="15" customHeight="1" x14ac:dyDescent="0.25">
      <c r="B245" s="184"/>
      <c r="C245" s="184"/>
      <c r="D245" s="184"/>
      <c r="E245" s="227"/>
      <c r="F245" s="227"/>
      <c r="G245" s="227"/>
      <c r="H245" s="227"/>
      <c r="I245" s="227"/>
      <c r="J245" s="227"/>
      <c r="O245" s="228" t="s">
        <v>239</v>
      </c>
      <c r="P245" s="196">
        <f>SUM(P242:P243)</f>
        <v>2126871.4708728399</v>
      </c>
      <c r="Q245" s="196">
        <f>SUM(Q242:Q243)</f>
        <v>2218543.1487556393</v>
      </c>
      <c r="Y245"/>
      <c r="Z245"/>
      <c r="AA245"/>
      <c r="AB245"/>
      <c r="AC245"/>
    </row>
    <row r="246" spans="1:29" ht="15" customHeight="1" x14ac:dyDescent="0.25">
      <c r="B246" s="184"/>
      <c r="C246" s="184"/>
      <c r="D246" s="184"/>
      <c r="E246" s="227"/>
      <c r="F246" s="227"/>
      <c r="G246" s="227"/>
      <c r="H246" s="227"/>
      <c r="I246" s="227"/>
      <c r="J246" s="227"/>
      <c r="O246" s="229"/>
      <c r="P246" s="230"/>
      <c r="Q246" s="230"/>
      <c r="Y246"/>
      <c r="Z246"/>
      <c r="AA246"/>
      <c r="AB246"/>
      <c r="AC246"/>
    </row>
    <row r="247" spans="1:29" ht="15" customHeight="1" x14ac:dyDescent="0.25">
      <c r="B247" s="184"/>
      <c r="C247" s="184"/>
      <c r="D247" s="184"/>
      <c r="E247" s="227"/>
      <c r="F247" s="227"/>
      <c r="G247" s="227"/>
      <c r="H247" s="227"/>
      <c r="I247" s="227"/>
      <c r="J247" s="227"/>
      <c r="O247" s="229"/>
      <c r="P247" s="230"/>
      <c r="Q247" s="230"/>
      <c r="Y247"/>
      <c r="Z247"/>
      <c r="AA247"/>
      <c r="AB247"/>
      <c r="AC247"/>
    </row>
    <row r="248" spans="1:29" ht="15" customHeight="1" x14ac:dyDescent="0.25">
      <c r="A248" s="182" t="s">
        <v>241</v>
      </c>
      <c r="B248" s="182"/>
      <c r="C248" s="182"/>
      <c r="D248" s="183"/>
      <c r="E248" s="183"/>
      <c r="F248" s="183"/>
      <c r="G248" s="183"/>
      <c r="H248" s="183"/>
      <c r="O248" s="229"/>
      <c r="P248" s="230"/>
      <c r="Q248" s="230"/>
      <c r="Y248"/>
      <c r="Z248"/>
      <c r="AA248"/>
      <c r="AB248"/>
      <c r="AC248"/>
    </row>
    <row r="249" spans="1:29" ht="30.6" x14ac:dyDescent="0.25">
      <c r="A249" s="357" t="s">
        <v>150</v>
      </c>
      <c r="B249" s="358"/>
      <c r="C249" s="358"/>
      <c r="D249" s="359"/>
      <c r="E249" s="294" t="str">
        <f t="shared" ref="E249:J249" si="35">E192</f>
        <v>Residential</v>
      </c>
      <c r="F249" s="294" t="str">
        <f t="shared" si="35"/>
        <v>General Service &lt; 50 kW</v>
      </c>
      <c r="G249" s="294" t="str">
        <f t="shared" si="35"/>
        <v>General Service 50 to 4,999 kW</v>
      </c>
      <c r="H249" s="294" t="str">
        <f t="shared" si="35"/>
        <v xml:space="preserve">Sentinel Lighting </v>
      </c>
      <c r="I249" s="294" t="str">
        <f t="shared" si="35"/>
        <v>Street Lighting</v>
      </c>
      <c r="J249" s="294" t="str">
        <f t="shared" si="35"/>
        <v>Unmetered Scattered Load</v>
      </c>
      <c r="K249" s="294" t="s">
        <v>9</v>
      </c>
      <c r="M249" s="229"/>
      <c r="N249" s="229"/>
      <c r="O249" s="230"/>
      <c r="P249" s="230"/>
      <c r="Q249" s="230"/>
      <c r="Y249"/>
      <c r="Z249"/>
      <c r="AA249"/>
      <c r="AB249"/>
      <c r="AC249"/>
    </row>
    <row r="250" spans="1:29" ht="15" customHeight="1" x14ac:dyDescent="0.25">
      <c r="A250" s="349" t="s">
        <v>242</v>
      </c>
      <c r="B250" s="350"/>
      <c r="C250" s="350"/>
      <c r="D250" s="351"/>
      <c r="E250" s="218">
        <f>Q229</f>
        <v>223185.87804481041</v>
      </c>
      <c r="F250" s="218">
        <f>Q236</f>
        <v>825045.10094519553</v>
      </c>
      <c r="G250" s="218">
        <f>Q243</f>
        <v>91671.677882799529</v>
      </c>
      <c r="H250" s="218">
        <v>0</v>
      </c>
      <c r="I250" s="218">
        <v>0</v>
      </c>
      <c r="J250" s="218">
        <v>0</v>
      </c>
      <c r="K250" s="218">
        <f>SUM(E250:J250)</f>
        <v>1139902.6568728054</v>
      </c>
      <c r="L250" s="211"/>
      <c r="M250" s="211"/>
      <c r="N250" s="211"/>
      <c r="O250" s="211"/>
      <c r="Y250"/>
      <c r="Z250"/>
      <c r="AA250"/>
      <c r="AB250"/>
      <c r="AC250"/>
    </row>
    <row r="251" spans="1:29" ht="15" customHeight="1" x14ac:dyDescent="0.25">
      <c r="A251" s="349" t="s">
        <v>243</v>
      </c>
      <c r="B251" s="350"/>
      <c r="C251" s="350"/>
      <c r="D251" s="351"/>
      <c r="E251" s="218">
        <v>0</v>
      </c>
      <c r="F251" s="218">
        <v>0</v>
      </c>
      <c r="G251" s="218">
        <f>G250*'Rate Class Load Model'!D26</f>
        <v>261.12713157628212</v>
      </c>
      <c r="H251" s="218">
        <v>0</v>
      </c>
      <c r="I251" s="218">
        <v>0</v>
      </c>
      <c r="J251" s="218">
        <v>0</v>
      </c>
      <c r="K251" s="218">
        <f>SUM(E251:J251)</f>
        <v>261.12713157628212</v>
      </c>
      <c r="Y251"/>
      <c r="Z251"/>
      <c r="AA251"/>
      <c r="AB251"/>
      <c r="AC251"/>
    </row>
    <row r="252" spans="1:29" ht="15" customHeight="1" x14ac:dyDescent="0.25">
      <c r="A252" s="349" t="s">
        <v>244</v>
      </c>
      <c r="B252" s="350"/>
      <c r="C252" s="350"/>
      <c r="D252" s="351"/>
      <c r="E252" s="218">
        <v>0</v>
      </c>
      <c r="F252" s="218">
        <v>0</v>
      </c>
      <c r="G252" s="218">
        <f>G251/12</f>
        <v>21.760594298023509</v>
      </c>
      <c r="H252" s="218">
        <v>0</v>
      </c>
      <c r="I252" s="218">
        <v>0</v>
      </c>
      <c r="J252" s="218">
        <v>0</v>
      </c>
      <c r="K252" s="218">
        <f>SUM(E252:J252)</f>
        <v>21.760594298023509</v>
      </c>
      <c r="Y252"/>
      <c r="Z252"/>
      <c r="AA252"/>
      <c r="AB252"/>
      <c r="AC252"/>
    </row>
    <row r="253" spans="1:29" ht="15" customHeight="1" x14ac:dyDescent="0.25">
      <c r="A253" s="201"/>
      <c r="B253" s="201"/>
      <c r="C253" s="201"/>
      <c r="D253" s="201"/>
      <c r="E253" s="222"/>
      <c r="F253" s="222"/>
      <c r="G253" s="222"/>
      <c r="H253" s="222"/>
      <c r="I253" s="222"/>
      <c r="J253" s="222"/>
      <c r="Y253"/>
      <c r="Z253"/>
      <c r="AA253"/>
      <c r="AB253"/>
      <c r="AC253"/>
    </row>
    <row r="254" spans="1:29" ht="15" customHeight="1" x14ac:dyDescent="0.25">
      <c r="A254" s="201"/>
      <c r="B254" s="201"/>
      <c r="C254" s="201"/>
      <c r="D254" s="201"/>
      <c r="E254" s="222"/>
      <c r="F254" s="222"/>
      <c r="G254" s="222"/>
      <c r="H254" s="222"/>
      <c r="I254" s="222"/>
      <c r="J254" s="222"/>
    </row>
    <row r="255" spans="1:29" ht="15" customHeight="1" x14ac:dyDescent="0.25">
      <c r="B255" s="184"/>
      <c r="C255" s="184"/>
      <c r="D255" s="184"/>
      <c r="E255" s="227"/>
      <c r="F255" s="227"/>
      <c r="G255" s="227"/>
      <c r="H255" s="227"/>
      <c r="I255" s="227"/>
      <c r="J255" s="227"/>
    </row>
    <row r="256" spans="1:29" ht="15" customHeight="1" x14ac:dyDescent="0.25">
      <c r="B256" s="182" t="s">
        <v>245</v>
      </c>
      <c r="C256" s="182"/>
      <c r="D256" s="182"/>
      <c r="E256" s="183"/>
      <c r="F256" s="183"/>
      <c r="G256" s="183"/>
      <c r="H256" s="183"/>
      <c r="I256" s="183"/>
      <c r="J256" s="183"/>
    </row>
    <row r="257" spans="2:17" ht="30.6" x14ac:dyDescent="0.25">
      <c r="B257" s="295" t="s">
        <v>150</v>
      </c>
      <c r="C257" s="296"/>
      <c r="D257" s="296"/>
      <c r="E257" s="294" t="str">
        <f t="shared" ref="E257:J257" si="36">E192</f>
        <v>Residential</v>
      </c>
      <c r="F257" s="294" t="str">
        <f t="shared" si="36"/>
        <v>General Service &lt; 50 kW</v>
      </c>
      <c r="G257" s="294" t="str">
        <f t="shared" si="36"/>
        <v>General Service 50 to 4,999 kW</v>
      </c>
      <c r="H257" s="294" t="str">
        <f t="shared" si="36"/>
        <v xml:space="preserve">Sentinel Lighting </v>
      </c>
      <c r="I257" s="294" t="str">
        <f t="shared" si="36"/>
        <v>Street Lighting</v>
      </c>
      <c r="J257" s="294" t="str">
        <f t="shared" si="36"/>
        <v>Unmetered Scattered Load</v>
      </c>
      <c r="K257" s="294" t="s">
        <v>9</v>
      </c>
    </row>
    <row r="258" spans="2:17" ht="15" customHeight="1" x14ac:dyDescent="0.25">
      <c r="B258" s="349" t="s">
        <v>182</v>
      </c>
      <c r="C258" s="350"/>
      <c r="D258" s="350"/>
      <c r="E258" s="350"/>
      <c r="F258" s="350"/>
      <c r="G258" s="350"/>
      <c r="H258" s="350"/>
      <c r="I258" s="350"/>
      <c r="J258" s="350"/>
      <c r="K258" s="351"/>
    </row>
    <row r="259" spans="2:17" ht="15" customHeight="1" x14ac:dyDescent="0.25">
      <c r="B259" s="221" t="str">
        <f>B189</f>
        <v>2017(Not Normalized)</v>
      </c>
      <c r="C259" s="223"/>
      <c r="D259" s="223"/>
      <c r="E259" s="224">
        <f t="shared" ref="E259:J259" si="37">E189</f>
        <v>151.24672441984745</v>
      </c>
      <c r="F259" s="224">
        <f t="shared" si="37"/>
        <v>34.085676442544013</v>
      </c>
      <c r="G259" s="224">
        <f t="shared" si="37"/>
        <v>58.031490144492324</v>
      </c>
      <c r="H259" s="224">
        <f t="shared" si="37"/>
        <v>0.10478466677941774</v>
      </c>
      <c r="I259" s="224">
        <f t="shared" si="37"/>
        <v>0.54684311902564298</v>
      </c>
      <c r="J259" s="224">
        <f t="shared" si="37"/>
        <v>0.4588998592274191</v>
      </c>
      <c r="K259" s="224">
        <f>SUM(E259:J259)</f>
        <v>244.47441865191627</v>
      </c>
      <c r="L259" s="208"/>
    </row>
    <row r="260" spans="2:17" ht="15" customHeight="1" x14ac:dyDescent="0.25">
      <c r="B260" s="356" t="s">
        <v>246</v>
      </c>
      <c r="C260" s="356"/>
      <c r="D260" s="356"/>
      <c r="E260" s="356"/>
      <c r="F260" s="356"/>
      <c r="G260" s="356"/>
      <c r="H260" s="356"/>
      <c r="I260" s="356"/>
      <c r="J260" s="356"/>
      <c r="K260" s="356"/>
    </row>
    <row r="261" spans="2:17" x14ac:dyDescent="0.25">
      <c r="B261" s="353">
        <f>B184</f>
        <v>2017</v>
      </c>
      <c r="C261" s="354"/>
      <c r="D261" s="355"/>
      <c r="E261" s="234">
        <f>Summary!L56*Summary!L58/1000000</f>
        <v>750533.82990000001</v>
      </c>
      <c r="F261" s="234">
        <f>Summary!L56*Summary!L59/1000000</f>
        <v>161230.500015</v>
      </c>
      <c r="G261" s="234">
        <v>0</v>
      </c>
      <c r="H261" s="234">
        <v>0</v>
      </c>
      <c r="I261" s="234">
        <v>0</v>
      </c>
      <c r="J261" s="278">
        <f>Summary!L56*Summary!L60/1000000</f>
        <v>4170.8021099999996</v>
      </c>
      <c r="K261" s="224">
        <f>SUM(E261:J261)</f>
        <v>915935.13202500006</v>
      </c>
      <c r="L261" s="208"/>
    </row>
    <row r="262" spans="2:17" ht="15" customHeight="1" x14ac:dyDescent="0.25">
      <c r="B262" s="352" t="s">
        <v>183</v>
      </c>
      <c r="C262" s="352"/>
      <c r="D262" s="352"/>
      <c r="E262" s="352"/>
      <c r="F262" s="352"/>
      <c r="G262" s="352"/>
      <c r="H262" s="352"/>
      <c r="I262" s="352"/>
      <c r="J262" s="352"/>
      <c r="K262" s="352"/>
    </row>
    <row r="263" spans="2:17" ht="15" customHeight="1" x14ac:dyDescent="0.25">
      <c r="B263" s="353">
        <f>B261</f>
        <v>2017</v>
      </c>
      <c r="C263" s="354"/>
      <c r="D263" s="355"/>
      <c r="E263" s="234">
        <f>'Rate Class Energy Model'!H63/1000000</f>
        <v>-2.6188432800524239</v>
      </c>
      <c r="F263" s="234">
        <f>'Rate Class Energy Model'!I63/1000000</f>
        <v>-0.59019489539360726</v>
      </c>
      <c r="G263" s="234">
        <f>'Rate Class Energy Model'!J63/1000000</f>
        <v>-0.79167451105115028</v>
      </c>
      <c r="H263" s="234">
        <f>'Rate Class Energy Model'!K63/1000000</f>
        <v>0</v>
      </c>
      <c r="I263" s="234">
        <f>'Rate Class Energy Model'!L63/1000000</f>
        <v>0</v>
      </c>
      <c r="J263" s="234">
        <f>'Rate Class Energy Model'!M63/1000000</f>
        <v>0</v>
      </c>
      <c r="K263" s="234">
        <f>SUM(E263:J263)</f>
        <v>-4.0007126864971809</v>
      </c>
      <c r="L263" s="209"/>
    </row>
    <row r="264" spans="2:17" ht="15" customHeight="1" x14ac:dyDescent="0.25">
      <c r="B264" s="356" t="s">
        <v>184</v>
      </c>
      <c r="C264" s="356"/>
      <c r="D264" s="356"/>
      <c r="E264" s="356"/>
      <c r="F264" s="356"/>
      <c r="G264" s="356"/>
      <c r="H264" s="356"/>
      <c r="I264" s="356"/>
      <c r="J264" s="356"/>
      <c r="K264" s="356"/>
    </row>
    <row r="265" spans="2:17" x14ac:dyDescent="0.25">
      <c r="B265" s="353">
        <f>B261</f>
        <v>2017</v>
      </c>
      <c r="C265" s="354"/>
      <c r="D265" s="355"/>
      <c r="E265" s="235">
        <f>'Rate Class Energy Model'!H67/1000000</f>
        <v>-0.238092829397862</v>
      </c>
      <c r="F265" s="235">
        <f>'Rate Class Energy Model'!I67/1000000</f>
        <v>-0.79444416940037632</v>
      </c>
      <c r="G265" s="235">
        <f>'Rate Class Energy Model'!J67/1000000</f>
        <v>-1.1092715743778196</v>
      </c>
      <c r="H265" s="235">
        <f>'Rate Class Energy Model'!K67/1000000</f>
        <v>0</v>
      </c>
      <c r="I265" s="235">
        <f>'Rate Class Energy Model'!L67/1000000</f>
        <v>0</v>
      </c>
      <c r="J265" s="235">
        <f>'Rate Class Energy Model'!M67/1000000</f>
        <v>0</v>
      </c>
      <c r="K265" s="234">
        <f>SUM(E265:J265)</f>
        <v>-2.1418085731760579</v>
      </c>
    </row>
    <row r="266" spans="2:17" ht="15" customHeight="1" x14ac:dyDescent="0.25">
      <c r="B266" s="356" t="s">
        <v>185</v>
      </c>
      <c r="C266" s="356"/>
      <c r="D266" s="356"/>
      <c r="E266" s="356"/>
      <c r="F266" s="356"/>
      <c r="G266" s="356"/>
      <c r="H266" s="356"/>
      <c r="I266" s="356"/>
      <c r="J266" s="356"/>
      <c r="K266" s="356"/>
    </row>
    <row r="267" spans="2:17" ht="11.25" customHeight="1" x14ac:dyDescent="0.25">
      <c r="B267" s="378" t="str">
        <f>B213</f>
        <v>2017 Test - Normalized</v>
      </c>
      <c r="C267" s="379"/>
      <c r="D267" s="380"/>
      <c r="E267" s="235">
        <f t="shared" ref="E267:J267" si="38">E259+E261+E263+E265</f>
        <v>750682.21968831052</v>
      </c>
      <c r="F267" s="235">
        <f t="shared" si="38"/>
        <v>161263.20105237773</v>
      </c>
      <c r="G267" s="235">
        <f t="shared" si="38"/>
        <v>56.130544059063354</v>
      </c>
      <c r="H267" s="235">
        <f t="shared" si="38"/>
        <v>0.10478466677941774</v>
      </c>
      <c r="I267" s="235">
        <f t="shared" si="38"/>
        <v>0.54684311902564298</v>
      </c>
      <c r="J267" s="235">
        <f t="shared" si="38"/>
        <v>4171.2610098592268</v>
      </c>
      <c r="K267" s="234">
        <f>SUM(E267:J267)</f>
        <v>916173.46392239246</v>
      </c>
      <c r="L267" s="208"/>
      <c r="N267"/>
      <c r="O267" s="208"/>
      <c r="P267" s="208"/>
      <c r="Q267" s="208"/>
    </row>
    <row r="268" spans="2:17" customFormat="1" ht="11.25" customHeight="1" x14ac:dyDescent="0.25"/>
    <row r="269" spans="2:17" ht="15" customHeight="1" x14ac:dyDescent="0.25">
      <c r="B269" s="201"/>
      <c r="C269" s="201"/>
      <c r="D269" s="201"/>
      <c r="E269" s="236"/>
    </row>
    <row r="270" spans="2:17" ht="15" customHeight="1" x14ac:dyDescent="0.25">
      <c r="B270" s="182" t="s">
        <v>247</v>
      </c>
      <c r="C270" s="182"/>
      <c r="D270" s="182"/>
      <c r="E270" s="183"/>
      <c r="F270" s="183"/>
      <c r="G270" s="183"/>
      <c r="H270" s="183"/>
      <c r="I270" s="183"/>
      <c r="J270" s="183"/>
    </row>
    <row r="271" spans="2:17" ht="30.6" x14ac:dyDescent="0.25">
      <c r="B271" s="303" t="s">
        <v>150</v>
      </c>
      <c r="C271" s="304"/>
      <c r="D271" s="304"/>
      <c r="E271" s="305" t="str">
        <f>G257</f>
        <v>General Service 50 to 4,999 kW</v>
      </c>
      <c r="F271" s="305" t="str">
        <f>H257</f>
        <v xml:space="preserve">Sentinel Lighting </v>
      </c>
      <c r="G271" s="305" t="str">
        <f>I257</f>
        <v>Street Lighting</v>
      </c>
      <c r="H271" s="305" t="s">
        <v>9</v>
      </c>
    </row>
    <row r="272" spans="2:17" ht="15" customHeight="1" x14ac:dyDescent="0.25">
      <c r="B272" s="360" t="s">
        <v>186</v>
      </c>
      <c r="C272" s="360"/>
      <c r="D272" s="360"/>
      <c r="E272" s="360"/>
      <c r="F272" s="360"/>
      <c r="G272" s="360"/>
      <c r="H272" s="360"/>
    </row>
    <row r="273" spans="2:11" ht="15" customHeight="1" x14ac:dyDescent="0.25">
      <c r="B273" s="221">
        <v>2007</v>
      </c>
      <c r="C273" s="199"/>
      <c r="D273" s="199"/>
      <c r="E273" s="218">
        <f>'Rate Class Load Model'!B2</f>
        <v>116956</v>
      </c>
      <c r="F273" s="218">
        <f>'Rate Class Load Model'!C2</f>
        <v>351</v>
      </c>
      <c r="G273" s="218">
        <f>'Rate Class Load Model'!D2</f>
        <v>4153</v>
      </c>
      <c r="H273" s="218">
        <f t="shared" ref="H273:H281" si="39">SUM(E273:G273)</f>
        <v>121460</v>
      </c>
      <c r="I273"/>
      <c r="K273" s="211"/>
    </row>
    <row r="274" spans="2:11" ht="15" customHeight="1" x14ac:dyDescent="0.25">
      <c r="B274" s="221">
        <v>2008</v>
      </c>
      <c r="C274" s="199"/>
      <c r="D274" s="199"/>
      <c r="E274" s="218">
        <f>'Rate Class Load Model'!B3</f>
        <v>134692.85</v>
      </c>
      <c r="F274" s="218">
        <f>'Rate Class Load Model'!C3</f>
        <v>345.03227777777778</v>
      </c>
      <c r="G274" s="218">
        <f>'Rate Class Load Model'!D3</f>
        <v>4260.83</v>
      </c>
      <c r="H274" s="218">
        <f t="shared" si="39"/>
        <v>139298.71227777778</v>
      </c>
      <c r="I274"/>
      <c r="K274" s="211"/>
    </row>
    <row r="275" spans="2:11" ht="15" customHeight="1" x14ac:dyDescent="0.25">
      <c r="B275" s="221">
        <v>2009</v>
      </c>
      <c r="C275" s="223"/>
      <c r="D275" s="223"/>
      <c r="E275" s="218">
        <f>'Rate Class Load Model'!B4</f>
        <v>136122.29</v>
      </c>
      <c r="F275" s="218">
        <f>'Rate Class Load Model'!C4</f>
        <v>338.94749999999999</v>
      </c>
      <c r="G275" s="218">
        <f>'Rate Class Load Model'!D4</f>
        <v>4370.32</v>
      </c>
      <c r="H275" s="218">
        <f t="shared" si="39"/>
        <v>140831.55750000002</v>
      </c>
      <c r="I275"/>
      <c r="K275" s="211"/>
    </row>
    <row r="276" spans="2:11" ht="15" customHeight="1" x14ac:dyDescent="0.25">
      <c r="B276" s="221">
        <v>2010</v>
      </c>
      <c r="C276" s="223"/>
      <c r="D276" s="223"/>
      <c r="E276" s="218">
        <f>'Rate Class Load Model'!B5</f>
        <v>144502.21</v>
      </c>
      <c r="F276" s="218">
        <f>'Rate Class Load Model'!C5</f>
        <v>324.17422222222223</v>
      </c>
      <c r="G276" s="218">
        <f>'Rate Class Load Model'!D5</f>
        <v>4389.05</v>
      </c>
      <c r="H276" s="218">
        <f t="shared" si="39"/>
        <v>149215.43422222219</v>
      </c>
      <c r="I276"/>
      <c r="K276" s="211"/>
    </row>
    <row r="277" spans="2:11" ht="15" customHeight="1" x14ac:dyDescent="0.25">
      <c r="B277" s="221">
        <v>2011</v>
      </c>
      <c r="C277" s="223"/>
      <c r="D277" s="223"/>
      <c r="E277" s="218">
        <f>'Rate Class Load Model'!B6</f>
        <v>139425.35999999999</v>
      </c>
      <c r="F277" s="218">
        <f>'Rate Class Load Model'!C6</f>
        <v>306.31894444444447</v>
      </c>
      <c r="G277" s="218">
        <f>'Rate Class Load Model'!D6</f>
        <v>4416</v>
      </c>
      <c r="H277" s="218">
        <f t="shared" si="39"/>
        <v>144147.67894444443</v>
      </c>
      <c r="I277"/>
      <c r="K277" s="211"/>
    </row>
    <row r="278" spans="2:11" ht="15" customHeight="1" x14ac:dyDescent="0.25">
      <c r="B278" s="221">
        <v>2012</v>
      </c>
      <c r="C278" s="223"/>
      <c r="D278" s="223"/>
      <c r="E278" s="218">
        <f>'Rate Class Load Model'!B7</f>
        <v>144982</v>
      </c>
      <c r="F278" s="218">
        <f>'Rate Class Load Model'!C7</f>
        <v>315</v>
      </c>
      <c r="G278" s="218">
        <f>'Rate Class Load Model'!D7</f>
        <v>4424</v>
      </c>
      <c r="H278" s="218">
        <f t="shared" si="39"/>
        <v>149721</v>
      </c>
      <c r="I278"/>
      <c r="K278" s="211"/>
    </row>
    <row r="279" spans="2:11" ht="15" customHeight="1" x14ac:dyDescent="0.25">
      <c r="B279" s="221">
        <v>2013</v>
      </c>
      <c r="C279" s="223"/>
      <c r="D279" s="223"/>
      <c r="E279" s="218">
        <f>'Rate Class Load Model'!B8</f>
        <v>130935</v>
      </c>
      <c r="F279" s="218">
        <f>'Rate Class Load Model'!C8</f>
        <v>283</v>
      </c>
      <c r="G279" s="218">
        <f>'Rate Class Load Model'!D8</f>
        <v>4149</v>
      </c>
      <c r="H279" s="218">
        <f t="shared" si="39"/>
        <v>135367</v>
      </c>
      <c r="I279"/>
      <c r="K279" s="211"/>
    </row>
    <row r="280" spans="2:11" ht="15" customHeight="1" x14ac:dyDescent="0.25">
      <c r="B280" s="221">
        <v>2014</v>
      </c>
      <c r="C280" s="223"/>
      <c r="D280" s="223"/>
      <c r="E280" s="218">
        <f>'Rate Class Load Model'!B9</f>
        <v>135393.63999999998</v>
      </c>
      <c r="F280" s="218">
        <f>'Rate Class Load Model'!C9</f>
        <v>299.94344444444442</v>
      </c>
      <c r="G280" s="218">
        <f>'Rate Class Load Model'!D9</f>
        <v>4581.3899999999994</v>
      </c>
      <c r="H280" s="218">
        <f t="shared" si="39"/>
        <v>140274.97344444442</v>
      </c>
      <c r="I280"/>
      <c r="K280" s="211"/>
    </row>
    <row r="281" spans="2:11" ht="15" customHeight="1" x14ac:dyDescent="0.25">
      <c r="B281" s="221">
        <v>2015</v>
      </c>
      <c r="C281" s="223"/>
      <c r="D281" s="223"/>
      <c r="E281" s="218">
        <f>'Rate Class Load Model'!B10</f>
        <v>141986.79999999999</v>
      </c>
      <c r="F281" s="218">
        <f>'Rate Class Load Model'!C10</f>
        <v>287.601</v>
      </c>
      <c r="G281" s="218">
        <f>'Rate Class Load Model'!D10</f>
        <v>3139.7699999999995</v>
      </c>
      <c r="H281" s="218">
        <f t="shared" si="39"/>
        <v>145414.17099999997</v>
      </c>
      <c r="I281"/>
      <c r="K281" s="211"/>
    </row>
    <row r="282" spans="2:11" ht="15" customHeight="1" x14ac:dyDescent="0.25">
      <c r="B282" s="221">
        <v>2016</v>
      </c>
      <c r="C282" s="223"/>
      <c r="D282" s="223"/>
      <c r="E282" s="218">
        <f>'Rate Class Load Model'!B11</f>
        <v>150801.71</v>
      </c>
      <c r="F282" s="218">
        <f>'Rate Class Load Model'!C11</f>
        <v>295.29266666666666</v>
      </c>
      <c r="G282" s="218">
        <f>'Rate Class Load Model'!D11</f>
        <v>1641.29</v>
      </c>
      <c r="H282" s="218">
        <f t="shared" ref="H282" si="40">SUM(E282:G282)</f>
        <v>152738.29266666668</v>
      </c>
      <c r="I282"/>
      <c r="K282" s="211"/>
    </row>
    <row r="283" spans="2:11" ht="12" customHeight="1" x14ac:dyDescent="0.25">
      <c r="B283" s="201"/>
      <c r="C283" s="201"/>
      <c r="D283" s="201"/>
      <c r="E283" s="222"/>
      <c r="F283" s="222"/>
      <c r="G283" s="222"/>
      <c r="H283" s="222"/>
      <c r="I283" s="211"/>
    </row>
    <row r="284" spans="2:11" ht="15.75" customHeight="1" x14ac:dyDescent="0.25">
      <c r="B284" s="182" t="s">
        <v>248</v>
      </c>
      <c r="C284" s="182"/>
      <c r="D284" s="182"/>
      <c r="E284" s="183"/>
      <c r="F284" s="183"/>
      <c r="G284" s="183"/>
      <c r="H284" s="183"/>
    </row>
    <row r="285" spans="2:11" ht="30.6" x14ac:dyDescent="0.25">
      <c r="B285" s="295" t="s">
        <v>150</v>
      </c>
      <c r="C285" s="296"/>
      <c r="D285" s="296"/>
      <c r="E285" s="294" t="str">
        <f>E271</f>
        <v>General Service 50 to 4,999 kW</v>
      </c>
      <c r="F285" s="294" t="str">
        <f>F271</f>
        <v xml:space="preserve">Sentinel Lighting </v>
      </c>
      <c r="G285" s="294" t="str">
        <f>G271</f>
        <v>Street Lighting</v>
      </c>
    </row>
    <row r="286" spans="2:11" ht="15" customHeight="1" x14ac:dyDescent="0.25">
      <c r="B286" s="361" t="s">
        <v>187</v>
      </c>
      <c r="C286" s="362"/>
      <c r="D286" s="362"/>
      <c r="E286" s="362"/>
      <c r="F286" s="362"/>
      <c r="G286" s="363"/>
    </row>
    <row r="287" spans="2:11" ht="15" customHeight="1" x14ac:dyDescent="0.25">
      <c r="B287" s="198">
        <f t="shared" ref="B287:B296" si="41">B273</f>
        <v>2007</v>
      </c>
      <c r="C287" s="199"/>
      <c r="D287" s="199"/>
      <c r="E287" s="237">
        <f>'Rate Class Load Model'!B15</f>
        <v>2.9744228021109562E-3</v>
      </c>
      <c r="F287" s="237">
        <f>'Rate Class Load Model'!C15</f>
        <v>2.7775359853130861E-3</v>
      </c>
      <c r="G287" s="237">
        <f>'Rate Class Load Model'!D15</f>
        <v>2.7761678722575066E-3</v>
      </c>
    </row>
    <row r="288" spans="2:11" ht="15" customHeight="1" x14ac:dyDescent="0.25">
      <c r="B288" s="198">
        <f t="shared" si="41"/>
        <v>2008</v>
      </c>
      <c r="C288" s="199"/>
      <c r="D288" s="199"/>
      <c r="E288" s="237">
        <f>'Rate Class Load Model'!B16</f>
        <v>2.9753615781794329E-3</v>
      </c>
      <c r="F288" s="237">
        <f>'Rate Class Load Model'!C16</f>
        <v>2.7777777777777779E-3</v>
      </c>
      <c r="G288" s="237">
        <f>'Rate Class Load Model'!D16</f>
        <v>2.7777777777777775E-3</v>
      </c>
    </row>
    <row r="289" spans="2:12" ht="15" customHeight="1" x14ac:dyDescent="0.25">
      <c r="B289" s="198">
        <f t="shared" si="41"/>
        <v>2009</v>
      </c>
      <c r="C289" s="199"/>
      <c r="D289" s="199"/>
      <c r="E289" s="237">
        <f>'Rate Class Load Model'!B17</f>
        <v>2.8673466943822815E-3</v>
      </c>
      <c r="F289" s="237">
        <f>'Rate Class Load Model'!C17</f>
        <v>2.7777777777777775E-3</v>
      </c>
      <c r="G289" s="237">
        <f>'Rate Class Load Model'!D17</f>
        <v>2.7714426097188959E-3</v>
      </c>
    </row>
    <row r="290" spans="2:12" ht="15" customHeight="1" x14ac:dyDescent="0.25">
      <c r="B290" s="198">
        <f t="shared" si="41"/>
        <v>2010</v>
      </c>
      <c r="C290" s="223"/>
      <c r="D290" s="223"/>
      <c r="E290" s="237">
        <f>'Rate Class Load Model'!B18</f>
        <v>2.8262406241067509E-3</v>
      </c>
      <c r="F290" s="237">
        <f>'Rate Class Load Model'!C18</f>
        <v>2.7777777777777779E-3</v>
      </c>
      <c r="G290" s="237">
        <f>'Rate Class Load Model'!D18</f>
        <v>2.7777777777777779E-3</v>
      </c>
    </row>
    <row r="291" spans="2:12" ht="15" customHeight="1" x14ac:dyDescent="0.25">
      <c r="B291" s="198">
        <f t="shared" si="41"/>
        <v>2011</v>
      </c>
      <c r="C291" s="223"/>
      <c r="D291" s="223"/>
      <c r="E291" s="237">
        <f>'Rate Class Load Model'!B19</f>
        <v>2.7928816654166065E-3</v>
      </c>
      <c r="F291" s="237">
        <f>'Rate Class Load Model'!C19</f>
        <v>2.7786344880638991E-3</v>
      </c>
      <c r="G291" s="237">
        <f>'Rate Class Load Model'!D19</f>
        <v>3.0301171204080647E-3</v>
      </c>
    </row>
    <row r="292" spans="2:12" ht="15" customHeight="1" x14ac:dyDescent="0.25">
      <c r="B292" s="198">
        <f t="shared" si="41"/>
        <v>2012</v>
      </c>
      <c r="C292" s="223"/>
      <c r="D292" s="223"/>
      <c r="E292" s="237">
        <f>'Rate Class Load Model'!B20</f>
        <v>2.8351067335104876E-3</v>
      </c>
      <c r="F292" s="237">
        <f>'Rate Class Load Model'!C20</f>
        <v>2.7787614696998322E-3</v>
      </c>
      <c r="G292" s="237">
        <f>'Rate Class Load Model'!D20</f>
        <v>2.8183570646069605E-3</v>
      </c>
    </row>
    <row r="293" spans="2:12" ht="15" customHeight="1" x14ac:dyDescent="0.25">
      <c r="B293" s="198">
        <f t="shared" si="41"/>
        <v>2013</v>
      </c>
      <c r="C293" s="223"/>
      <c r="D293" s="223"/>
      <c r="E293" s="237">
        <f>'Rate Class Load Model'!B21</f>
        <v>2.5712995330362158E-3</v>
      </c>
      <c r="F293" s="237">
        <f>'Rate Class Load Model'!C21</f>
        <v>2.7787614696998322E-3</v>
      </c>
      <c r="G293" s="237">
        <f>'Rate Class Load Model'!D21</f>
        <v>2.8183570646069605E-3</v>
      </c>
    </row>
    <row r="294" spans="2:12" ht="15" customHeight="1" x14ac:dyDescent="0.25">
      <c r="B294" s="198">
        <f t="shared" si="41"/>
        <v>2014</v>
      </c>
      <c r="C294" s="223"/>
      <c r="D294" s="223"/>
      <c r="E294" s="237">
        <f>'Rate Class Load Model'!B22</f>
        <v>2.6761726332885198E-3</v>
      </c>
      <c r="F294" s="237">
        <f>'Rate Class Load Model'!C22</f>
        <v>2.7777685168035231E-3</v>
      </c>
      <c r="G294" s="237">
        <f>'Rate Class Load Model'!D22</f>
        <v>2.8183570646069605E-3</v>
      </c>
    </row>
    <row r="295" spans="2:12" ht="15" customHeight="1" x14ac:dyDescent="0.25">
      <c r="B295" s="198">
        <f t="shared" si="41"/>
        <v>2015</v>
      </c>
      <c r="C295" s="223"/>
      <c r="D295" s="223"/>
      <c r="E295" s="237">
        <f>'Rate Class Load Model'!B23</f>
        <v>2.598764234956277E-3</v>
      </c>
      <c r="F295" s="237">
        <f>'Rate Class Load Model'!C23</f>
        <v>2.7777874362540566E-3</v>
      </c>
      <c r="G295" s="237">
        <f>'Rate Class Load Model'!D23</f>
        <v>2.8377125277013562E-3</v>
      </c>
    </row>
    <row r="296" spans="2:12" ht="15" customHeight="1" x14ac:dyDescent="0.25">
      <c r="B296" s="330">
        <f t="shared" si="41"/>
        <v>2016</v>
      </c>
      <c r="C296" s="223"/>
      <c r="D296" s="223"/>
      <c r="E296" s="237">
        <f>'Rate Class Load Model'!B24</f>
        <v>2.6008991050335915E-3</v>
      </c>
      <c r="F296" s="237">
        <f>'Rate Class Load Model'!C24</f>
        <v>2.7777777777777779E-3</v>
      </c>
      <c r="G296" s="237">
        <f>'Rate Class Load Model'!D24</f>
        <v>3.0589720777310543E-3</v>
      </c>
    </row>
    <row r="297" spans="2:12" ht="15" customHeight="1" x14ac:dyDescent="0.25">
      <c r="B297" s="198" t="s">
        <v>285</v>
      </c>
      <c r="C297" s="199"/>
      <c r="D297" s="199"/>
      <c r="E297" s="237">
        <f>AVERAGE(E287:E296)</f>
        <v>2.7718495604021121E-3</v>
      </c>
      <c r="F297" s="237">
        <f t="shared" ref="F297:G297" si="42">AVERAGE(F287:F296)</f>
        <v>2.7780360476945343E-3</v>
      </c>
      <c r="G297" s="237">
        <f t="shared" si="42"/>
        <v>2.8485038957193312E-3</v>
      </c>
    </row>
    <row r="298" spans="2:12" ht="15" customHeight="1" x14ac:dyDescent="0.25">
      <c r="B298" s="201"/>
      <c r="C298" s="201"/>
      <c r="D298" s="201"/>
      <c r="E298" s="238"/>
      <c r="F298" s="238"/>
    </row>
    <row r="299" spans="2:12" ht="15" customHeight="1" x14ac:dyDescent="0.25">
      <c r="B299" s="182" t="s">
        <v>249</v>
      </c>
      <c r="C299" s="182"/>
      <c r="D299" s="182"/>
      <c r="E299" s="183"/>
      <c r="F299" s="183"/>
      <c r="G299" s="183"/>
    </row>
    <row r="300" spans="2:12" ht="30.6" x14ac:dyDescent="0.25">
      <c r="B300" s="295" t="s">
        <v>150</v>
      </c>
      <c r="C300" s="296"/>
      <c r="D300" s="296"/>
      <c r="E300" s="294" t="str">
        <f>E285</f>
        <v>General Service 50 to 4,999 kW</v>
      </c>
      <c r="F300" s="294" t="str">
        <f>F285</f>
        <v xml:space="preserve">Sentinel Lighting </v>
      </c>
      <c r="G300" s="294" t="str">
        <f>G285</f>
        <v>Street Lighting</v>
      </c>
      <c r="H300" s="294" t="s">
        <v>9</v>
      </c>
    </row>
    <row r="301" spans="2:12" ht="15" customHeight="1" x14ac:dyDescent="0.25">
      <c r="B301" s="349" t="s">
        <v>188</v>
      </c>
      <c r="C301" s="350"/>
      <c r="D301" s="350"/>
      <c r="E301" s="350"/>
      <c r="F301" s="350"/>
      <c r="G301" s="350"/>
      <c r="H301" s="351"/>
    </row>
    <row r="302" spans="2:12" x14ac:dyDescent="0.25">
      <c r="B302" s="231" t="str">
        <f>B267</f>
        <v>2017 Test - Normalized</v>
      </c>
      <c r="C302" s="199"/>
      <c r="D302" s="200"/>
      <c r="E302" s="279">
        <f>E297*G267*1000000</f>
        <v>155585.42387524617</v>
      </c>
      <c r="F302" s="279">
        <f>F297*H267*1000000</f>
        <v>291.09558155888243</v>
      </c>
      <c r="G302" s="279">
        <f>G297*I267*1000000</f>
        <v>1557.684754891854</v>
      </c>
      <c r="H302" s="279">
        <f>SUM(E302:G302)</f>
        <v>157434.2042116969</v>
      </c>
      <c r="I302" s="211"/>
      <c r="J302" s="211"/>
      <c r="K302" s="211"/>
      <c r="L302" s="211"/>
    </row>
    <row r="303" spans="2:12" ht="15" customHeight="1" x14ac:dyDescent="0.25">
      <c r="B303" s="201"/>
      <c r="C303" s="201"/>
      <c r="D303" s="201"/>
      <c r="E303" s="222"/>
      <c r="F303" s="222"/>
      <c r="G303" s="239"/>
    </row>
    <row r="304" spans="2:12" ht="15" customHeight="1" x14ac:dyDescent="0.25">
      <c r="B304" s="182" t="s">
        <v>250</v>
      </c>
      <c r="C304" s="182"/>
      <c r="D304" s="182"/>
      <c r="E304" s="183"/>
      <c r="F304" s="183"/>
      <c r="G304" s="183"/>
    </row>
    <row r="305" spans="2:15" ht="20.399999999999999" x14ac:dyDescent="0.25">
      <c r="B305" s="357"/>
      <c r="C305" s="358"/>
      <c r="D305" s="358"/>
      <c r="E305" s="359"/>
      <c r="F305" s="297" t="str">
        <f>Summary!H3</f>
        <v>2013 Actual</v>
      </c>
      <c r="G305" s="297" t="str">
        <f>Summary!I3</f>
        <v>2014 Actual</v>
      </c>
      <c r="H305" s="297" t="str">
        <f>Summary!J3</f>
        <v>2015 Actual</v>
      </c>
      <c r="I305" s="297" t="str">
        <f>Summary!K3</f>
        <v>2016 Actual</v>
      </c>
      <c r="J305" s="297" t="str">
        <f>Summary!L3</f>
        <v>2017 Weather Normal</v>
      </c>
      <c r="K305"/>
      <c r="L305"/>
      <c r="M305"/>
      <c r="N305"/>
      <c r="O305"/>
    </row>
    <row r="306" spans="2:15" ht="15" customHeight="1" x14ac:dyDescent="0.25">
      <c r="B306" s="349" t="s">
        <v>52</v>
      </c>
      <c r="C306" s="350"/>
      <c r="D306" s="350"/>
      <c r="E306" s="351"/>
      <c r="F306" s="192">
        <f>Summary!H4</f>
        <v>251758061.40000001</v>
      </c>
      <c r="G306" s="192">
        <f>Summary!I4</f>
        <v>253254986.30000001</v>
      </c>
      <c r="H306" s="192">
        <f>Summary!J4</f>
        <v>255774983.09999999</v>
      </c>
      <c r="I306" s="192">
        <f>Summary!K4</f>
        <v>259382036</v>
      </c>
      <c r="J306" s="192"/>
      <c r="K306"/>
      <c r="L306"/>
      <c r="M306"/>
      <c r="N306"/>
    </row>
    <row r="307" spans="2:15" ht="15" customHeight="1" x14ac:dyDescent="0.25">
      <c r="B307" s="349" t="s">
        <v>189</v>
      </c>
      <c r="C307" s="350"/>
      <c r="D307" s="350"/>
      <c r="E307" s="351"/>
      <c r="F307" s="192">
        <f>Summary!H5</f>
        <v>250054816.72654173</v>
      </c>
      <c r="G307" s="192">
        <f>Summary!I5</f>
        <v>254540889.88211167</v>
      </c>
      <c r="H307" s="192">
        <f>Summary!J5</f>
        <v>255309254.72807688</v>
      </c>
      <c r="I307" s="192">
        <f>Summary!K5</f>
        <v>261375684.70922133</v>
      </c>
      <c r="J307" s="192">
        <f>Summary!L5</f>
        <v>259085635.78272414</v>
      </c>
      <c r="K307"/>
      <c r="L307"/>
      <c r="M307"/>
      <c r="N307"/>
    </row>
    <row r="308" spans="2:15" x14ac:dyDescent="0.25">
      <c r="B308" s="378" t="s">
        <v>190</v>
      </c>
      <c r="C308" s="379"/>
      <c r="D308" s="379"/>
      <c r="E308" s="380"/>
      <c r="F308" s="217">
        <f>F307/F306-1</f>
        <v>-6.76540272032089E-3</v>
      </c>
      <c r="G308" s="217">
        <f>G307/G306-1</f>
        <v>5.0775054852756352E-3</v>
      </c>
      <c r="H308" s="217">
        <f>H307/H306-1</f>
        <v>-1.8208519311719851E-3</v>
      </c>
      <c r="I308" s="217">
        <f>I307/I306-1</f>
        <v>7.6861479690957246E-3</v>
      </c>
      <c r="J308" s="240"/>
      <c r="K308"/>
      <c r="L308"/>
      <c r="M308"/>
      <c r="N308"/>
    </row>
    <row r="309" spans="2:15" x14ac:dyDescent="0.25">
      <c r="B309" s="241"/>
      <c r="C309" s="242"/>
      <c r="D309" s="242"/>
      <c r="E309" s="243"/>
      <c r="F309" s="329"/>
      <c r="G309" s="244"/>
      <c r="H309" s="244"/>
      <c r="I309" s="244"/>
      <c r="J309" s="240"/>
      <c r="K309"/>
      <c r="L309"/>
      <c r="M309"/>
      <c r="N309"/>
    </row>
    <row r="310" spans="2:15" x14ac:dyDescent="0.25">
      <c r="B310" s="241" t="s">
        <v>1</v>
      </c>
      <c r="C310" s="242"/>
      <c r="D310" s="242"/>
      <c r="E310" s="243"/>
      <c r="F310" s="329"/>
      <c r="G310" s="244"/>
      <c r="H310" s="244"/>
      <c r="I310" s="244"/>
      <c r="J310" s="245">
        <f>'Rate Class Energy Model'!F21</f>
        <v>1.0731260816888806</v>
      </c>
      <c r="K310"/>
      <c r="L310"/>
      <c r="M310"/>
      <c r="N310"/>
    </row>
    <row r="311" spans="2:15" x14ac:dyDescent="0.25">
      <c r="B311" s="241"/>
      <c r="C311" s="242"/>
      <c r="D311" s="242"/>
      <c r="E311" s="243"/>
      <c r="F311" s="329"/>
      <c r="G311" s="244"/>
      <c r="H311" s="244"/>
      <c r="I311" s="244"/>
      <c r="J311" s="192"/>
      <c r="K311"/>
      <c r="L311"/>
      <c r="M311"/>
      <c r="N311"/>
    </row>
    <row r="312" spans="2:15" x14ac:dyDescent="0.25">
      <c r="B312" s="388" t="s">
        <v>191</v>
      </c>
      <c r="C312" s="389"/>
      <c r="D312" s="389"/>
      <c r="E312" s="390"/>
      <c r="F312" s="328"/>
      <c r="G312" s="244"/>
      <c r="H312" s="244"/>
      <c r="I312" s="244"/>
      <c r="J312" s="192">
        <f>J307/J310</f>
        <v>241430750.96541911</v>
      </c>
      <c r="K312"/>
      <c r="L312"/>
      <c r="M312"/>
      <c r="N312"/>
    </row>
    <row r="313" spans="2:15" x14ac:dyDescent="0.25">
      <c r="B313" s="378" t="s">
        <v>132</v>
      </c>
      <c r="C313" s="379"/>
      <c r="D313" s="379"/>
      <c r="E313" s="380"/>
      <c r="F313" s="329"/>
      <c r="G313" s="244"/>
      <c r="H313" s="244"/>
      <c r="I313" s="244"/>
      <c r="J313" s="196">
        <f>-'Rate Class Energy Model'!G67</f>
        <v>2141808.573176058</v>
      </c>
      <c r="K313"/>
      <c r="L313"/>
      <c r="M313"/>
      <c r="N313"/>
    </row>
    <row r="314" spans="2:15" x14ac:dyDescent="0.25">
      <c r="B314" s="349" t="s">
        <v>192</v>
      </c>
      <c r="C314" s="350"/>
      <c r="D314" s="350"/>
      <c r="E314" s="351"/>
      <c r="F314" s="332"/>
      <c r="G314" s="192"/>
      <c r="H314" s="192"/>
      <c r="I314" s="192"/>
      <c r="J314" s="192">
        <f>J312-J313</f>
        <v>239288942.39224306</v>
      </c>
      <c r="K314"/>
      <c r="L314"/>
      <c r="M314"/>
      <c r="N314"/>
    </row>
    <row r="315" spans="2:15" customFormat="1" ht="15" customHeight="1" x14ac:dyDescent="0.25">
      <c r="N315" s="246"/>
    </row>
    <row r="316" spans="2:15" customFormat="1" ht="15" customHeight="1" x14ac:dyDescent="0.25"/>
    <row r="317" spans="2:15" customFormat="1" ht="15" customHeight="1" x14ac:dyDescent="0.25">
      <c r="B317" s="182" t="s">
        <v>251</v>
      </c>
    </row>
    <row r="318" spans="2:15" ht="20.399999999999999" x14ac:dyDescent="0.25">
      <c r="B318" s="307"/>
      <c r="C318" s="308"/>
      <c r="D318" s="308"/>
      <c r="E318" s="297" t="str">
        <f>B14</f>
        <v>2013 Board Approved</v>
      </c>
      <c r="F318" s="297" t="str">
        <f>F305</f>
        <v>2013 Actual</v>
      </c>
      <c r="G318" s="297" t="str">
        <f>G305</f>
        <v>2014 Actual</v>
      </c>
      <c r="H318" s="297" t="str">
        <f>H305</f>
        <v>2015 Actual</v>
      </c>
      <c r="I318" s="297" t="str">
        <f>I305</f>
        <v>2016 Actual</v>
      </c>
      <c r="J318" s="297" t="str">
        <f>J305</f>
        <v>2017 Weather Normal</v>
      </c>
      <c r="K318"/>
      <c r="L318"/>
      <c r="M318"/>
      <c r="N318"/>
    </row>
    <row r="319" spans="2:15" ht="15" customHeight="1" x14ac:dyDescent="0.25">
      <c r="B319" s="313" t="s">
        <v>57</v>
      </c>
      <c r="C319" s="314"/>
      <c r="D319" s="314"/>
      <c r="E319" s="314"/>
      <c r="F319" s="314"/>
      <c r="G319" s="314"/>
      <c r="H319" s="314"/>
      <c r="I319" s="314"/>
      <c r="J319" s="315"/>
      <c r="K319"/>
      <c r="L319"/>
      <c r="M319"/>
      <c r="N319"/>
    </row>
    <row r="320" spans="2:15" ht="15" customHeight="1" x14ac:dyDescent="0.25">
      <c r="B320" s="330" t="s">
        <v>46</v>
      </c>
      <c r="C320" s="331"/>
      <c r="D320" s="331"/>
      <c r="E320" s="210">
        <f>E51</f>
        <v>14189</v>
      </c>
      <c r="F320" s="192">
        <f>Summary!H14</f>
        <v>14181</v>
      </c>
      <c r="G320" s="192">
        <f>Summary!I14</f>
        <v>14509.166666666666</v>
      </c>
      <c r="H320" s="192">
        <f>Summary!J14</f>
        <v>14861.583333333334</v>
      </c>
      <c r="I320" s="192">
        <f>Summary!K14</f>
        <v>15201.583333333334</v>
      </c>
      <c r="J320" s="192">
        <f>Summary!L14</f>
        <v>15459.364493237083</v>
      </c>
      <c r="K320"/>
      <c r="L320"/>
      <c r="M320"/>
      <c r="N320"/>
    </row>
    <row r="321" spans="2:14" ht="15" customHeight="1" x14ac:dyDescent="0.25">
      <c r="B321" s="330" t="s">
        <v>47</v>
      </c>
      <c r="C321" s="331"/>
      <c r="D321" s="331"/>
      <c r="E321" s="210">
        <f>E33*1000000</f>
        <v>148148873</v>
      </c>
      <c r="F321" s="192">
        <f>Summary!H15</f>
        <v>148837682</v>
      </c>
      <c r="G321" s="192">
        <f>Summary!I15</f>
        <v>153331484.31999999</v>
      </c>
      <c r="H321" s="192">
        <f>Summary!J15</f>
        <v>151892216</v>
      </c>
      <c r="I321" s="192">
        <f>Summary!K15</f>
        <v>149508941.91</v>
      </c>
      <c r="J321" s="192">
        <f>Summary!L15</f>
        <v>149174008.31039718</v>
      </c>
      <c r="K321"/>
      <c r="L321"/>
      <c r="M321"/>
      <c r="N321"/>
    </row>
    <row r="322" spans="2:14" ht="15" customHeight="1" x14ac:dyDescent="0.25">
      <c r="B322" s="313" t="s">
        <v>193</v>
      </c>
      <c r="C322" s="316"/>
      <c r="D322" s="316"/>
      <c r="E322" s="316"/>
      <c r="F322" s="316"/>
      <c r="G322" s="316"/>
      <c r="H322" s="314"/>
      <c r="I322" s="314"/>
      <c r="J322" s="315"/>
      <c r="K322"/>
      <c r="L322"/>
      <c r="M322"/>
      <c r="N322"/>
    </row>
    <row r="323" spans="2:14" ht="15" customHeight="1" x14ac:dyDescent="0.25">
      <c r="B323" s="330" t="str">
        <f>B320</f>
        <v xml:space="preserve">  Customers</v>
      </c>
      <c r="C323" s="331"/>
      <c r="D323" s="331"/>
      <c r="E323" s="210"/>
      <c r="F323" s="247">
        <f>IF(ISERROR((F320-$E320)/$E320),0,(F320-$E320)/$E320)</f>
        <v>-5.6381704137007543E-4</v>
      </c>
      <c r="G323" s="247">
        <f>IF(ISERROR((G320-$E320)/$E320),0,(G320-$E320)/$E320)</f>
        <v>2.2564427843164852E-2</v>
      </c>
      <c r="H323" s="247">
        <f t="shared" ref="H323:J324" si="43">IF(ISERROR((H320-$E320)/$E320),0,(H320-$E320)/$E320)</f>
        <v>4.7401743134352949E-2</v>
      </c>
      <c r="I323" s="247">
        <f t="shared" si="43"/>
        <v>7.1363967392581149E-2</v>
      </c>
      <c r="J323" s="247">
        <f t="shared" si="43"/>
        <v>8.9531643754815884E-2</v>
      </c>
      <c r="K323"/>
      <c r="L323"/>
      <c r="M323"/>
      <c r="N323"/>
    </row>
    <row r="324" spans="2:14" ht="15" customHeight="1" x14ac:dyDescent="0.25">
      <c r="B324" s="330" t="str">
        <f>B321</f>
        <v xml:space="preserve">  kWh</v>
      </c>
      <c r="C324" s="331"/>
      <c r="D324" s="331"/>
      <c r="E324" s="210"/>
      <c r="F324" s="247">
        <f>IF(ISERROR((F321-$E321)/$E321),0,(F321-$E321)/$E321)</f>
        <v>4.649438001462218E-3</v>
      </c>
      <c r="G324" s="247">
        <f>IF(ISERROR((G321-$E321)/$E321),0,(G321-$E321)/$E321)</f>
        <v>3.498245524959203E-2</v>
      </c>
      <c r="H324" s="247">
        <f t="shared" si="43"/>
        <v>2.5267441622725002E-2</v>
      </c>
      <c r="I324" s="247">
        <f t="shared" si="43"/>
        <v>9.1804202249989204E-3</v>
      </c>
      <c r="J324" s="247">
        <f t="shared" si="43"/>
        <v>6.9196294891637677E-3</v>
      </c>
      <c r="K324"/>
      <c r="L324"/>
      <c r="M324"/>
      <c r="N324"/>
    </row>
    <row r="325" spans="2:14" ht="9" customHeight="1" x14ac:dyDescent="0.25">
      <c r="B325" s="330"/>
      <c r="C325" s="331"/>
      <c r="D325" s="331"/>
      <c r="E325" s="280"/>
      <c r="F325" s="281"/>
      <c r="G325" s="281"/>
      <c r="H325" s="281"/>
      <c r="I325" s="281"/>
      <c r="J325" s="282"/>
      <c r="K325"/>
      <c r="L325"/>
      <c r="M325"/>
      <c r="N325"/>
    </row>
    <row r="326" spans="2:14" ht="15" customHeight="1" x14ac:dyDescent="0.25">
      <c r="B326" s="313" t="str">
        <f>F257</f>
        <v>General Service &lt; 50 kW</v>
      </c>
      <c r="C326" s="316"/>
      <c r="D326" s="314"/>
      <c r="E326" s="314"/>
      <c r="F326" s="314"/>
      <c r="G326" s="314"/>
      <c r="H326" s="314"/>
      <c r="I326" s="314"/>
      <c r="J326" s="315"/>
      <c r="K326"/>
      <c r="L326"/>
      <c r="M326"/>
      <c r="N326"/>
    </row>
    <row r="327" spans="2:14" ht="15" customHeight="1" x14ac:dyDescent="0.25">
      <c r="B327" s="330" t="s">
        <v>46</v>
      </c>
      <c r="C327" s="331"/>
      <c r="D327" s="331"/>
      <c r="E327" s="210">
        <f>F51</f>
        <v>910</v>
      </c>
      <c r="F327" s="192">
        <f>Summary!H18</f>
        <v>949.25</v>
      </c>
      <c r="G327" s="192">
        <f>Summary!I18</f>
        <v>991.25</v>
      </c>
      <c r="H327" s="192">
        <f>Summary!J18</f>
        <v>1000.5833333333334</v>
      </c>
      <c r="I327" s="192">
        <f>Summary!K18</f>
        <v>1016.25</v>
      </c>
      <c r="J327" s="192">
        <f>Summary!L18</f>
        <v>1042.0096211924233</v>
      </c>
      <c r="K327"/>
      <c r="L327"/>
      <c r="M327"/>
      <c r="N327"/>
    </row>
    <row r="328" spans="2:14" ht="15" customHeight="1" x14ac:dyDescent="0.25">
      <c r="B328" s="330" t="s">
        <v>47</v>
      </c>
      <c r="C328" s="331"/>
      <c r="D328" s="331"/>
      <c r="E328" s="210">
        <f>F33*1000000</f>
        <v>31781016</v>
      </c>
      <c r="F328" s="192">
        <f>Summary!H19</f>
        <v>31038184</v>
      </c>
      <c r="G328" s="192">
        <f>Summary!I19</f>
        <v>32222518.180000003</v>
      </c>
      <c r="H328" s="192">
        <f>Summary!J19</f>
        <v>34381050</v>
      </c>
      <c r="I328" s="192">
        <f>Summary!K19</f>
        <v>33411508.120000005</v>
      </c>
      <c r="J328" s="192">
        <f>Summary!L19</f>
        <v>32869504.377750032</v>
      </c>
      <c r="K328"/>
      <c r="L328"/>
      <c r="M328"/>
      <c r="N328"/>
    </row>
    <row r="329" spans="2:14" ht="15" customHeight="1" x14ac:dyDescent="0.25">
      <c r="B329" s="313" t="s">
        <v>193</v>
      </c>
      <c r="C329" s="316"/>
      <c r="D329" s="316"/>
      <c r="E329" s="316"/>
      <c r="F329" s="316"/>
      <c r="G329" s="316"/>
      <c r="H329" s="314"/>
      <c r="I329" s="314"/>
      <c r="J329" s="315"/>
      <c r="K329"/>
      <c r="L329"/>
      <c r="M329"/>
      <c r="N329"/>
    </row>
    <row r="330" spans="2:14" ht="15" customHeight="1" x14ac:dyDescent="0.25">
      <c r="B330" s="330" t="str">
        <f>B327</f>
        <v xml:space="preserve">  Customers</v>
      </c>
      <c r="C330" s="331"/>
      <c r="D330" s="331"/>
      <c r="E330" s="210"/>
      <c r="F330" s="247">
        <f>IF(ISERROR((F327-$E327)/$E327),0,(F327-$E327)/$E327)</f>
        <v>4.3131868131868131E-2</v>
      </c>
      <c r="G330" s="247">
        <f>IF(ISERROR((G327-$E327)/$E327),0,(G327-$E327)/$E327)</f>
        <v>8.9285714285714288E-2</v>
      </c>
      <c r="H330" s="247">
        <f t="shared" ref="H330:J331" si="44">IF(ISERROR((H327-$E327)/$E327),0,(H327-$E327)/$E327)</f>
        <v>9.9542124542124577E-2</v>
      </c>
      <c r="I330" s="247">
        <f t="shared" si="44"/>
        <v>0.11675824175824176</v>
      </c>
      <c r="J330" s="247">
        <f t="shared" si="44"/>
        <v>0.14506551779387178</v>
      </c>
      <c r="K330"/>
      <c r="L330"/>
      <c r="M330"/>
      <c r="N330"/>
    </row>
    <row r="331" spans="2:14" ht="15" customHeight="1" x14ac:dyDescent="0.25">
      <c r="B331" s="330" t="str">
        <f>B328</f>
        <v xml:space="preserve">  kWh</v>
      </c>
      <c r="C331" s="331"/>
      <c r="D331" s="331"/>
      <c r="E331" s="210"/>
      <c r="F331" s="247">
        <f>IF(ISERROR((F328-$E328)/$E328),0,(F328-$E328)/$E328)</f>
        <v>-2.3373450364204844E-2</v>
      </c>
      <c r="G331" s="247">
        <f>IF(ISERROR((G328-$E328)/$E328),0,(G328-$E328)/$E328)</f>
        <v>1.3892009619831015E-2</v>
      </c>
      <c r="H331" s="247">
        <f t="shared" si="44"/>
        <v>8.181091504437743E-2</v>
      </c>
      <c r="I331" s="247">
        <f t="shared" si="44"/>
        <v>5.1303964605788711E-2</v>
      </c>
      <c r="J331" s="247">
        <f t="shared" si="44"/>
        <v>3.4249640658122187E-2</v>
      </c>
      <c r="K331"/>
      <c r="L331"/>
      <c r="M331"/>
      <c r="N331"/>
    </row>
    <row r="332" spans="2:14" ht="9" customHeight="1" x14ac:dyDescent="0.25">
      <c r="B332" s="231"/>
      <c r="C332" s="232"/>
      <c r="D332" s="232"/>
      <c r="E332" s="232"/>
      <c r="F332" s="232"/>
      <c r="G332" s="232"/>
      <c r="H332" s="232"/>
      <c r="I332" s="232"/>
      <c r="J332" s="233"/>
      <c r="K332"/>
      <c r="L332"/>
      <c r="M332"/>
      <c r="N332"/>
    </row>
    <row r="333" spans="2:14" ht="15" customHeight="1" x14ac:dyDescent="0.25">
      <c r="B333" s="313" t="s">
        <v>162</v>
      </c>
      <c r="C333" s="316"/>
      <c r="D333" s="316"/>
      <c r="E333" s="314"/>
      <c r="F333" s="314"/>
      <c r="G333" s="314"/>
      <c r="H333" s="314"/>
      <c r="I333" s="314"/>
      <c r="J333" s="315"/>
      <c r="K333"/>
      <c r="L333"/>
      <c r="M333"/>
      <c r="N333"/>
    </row>
    <row r="334" spans="2:14" ht="15" customHeight="1" x14ac:dyDescent="0.25">
      <c r="B334" s="330" t="s">
        <v>46</v>
      </c>
      <c r="C334" s="331"/>
      <c r="D334" s="331"/>
      <c r="E334" s="210">
        <f>G51</f>
        <v>66</v>
      </c>
      <c r="F334" s="192">
        <f>Summary!H22</f>
        <v>67</v>
      </c>
      <c r="G334" s="192">
        <f>Summary!I22</f>
        <v>67.166666666666671</v>
      </c>
      <c r="H334" s="192">
        <f>Summary!J22</f>
        <v>71.5</v>
      </c>
      <c r="I334" s="192">
        <f>Summary!K22</f>
        <v>75.583333333333329</v>
      </c>
      <c r="J334" s="192">
        <f>Summary!L22</f>
        <v>75.649663863218251</v>
      </c>
      <c r="K334"/>
      <c r="L334"/>
      <c r="M334"/>
      <c r="N334"/>
    </row>
    <row r="335" spans="2:14" ht="15" customHeight="1" x14ac:dyDescent="0.25">
      <c r="B335" s="330" t="s">
        <v>47</v>
      </c>
      <c r="C335" s="331"/>
      <c r="D335" s="331"/>
      <c r="E335" s="210">
        <f>G33*1000000</f>
        <v>51329341</v>
      </c>
      <c r="F335" s="283">
        <f>Summary!H23</f>
        <v>50921722</v>
      </c>
      <c r="G335" s="283">
        <f>Summary!I23</f>
        <v>50592266.850000001</v>
      </c>
      <c r="H335" s="283">
        <f>Summary!J23</f>
        <v>54636276</v>
      </c>
      <c r="I335" s="283">
        <f>Summary!K23</f>
        <v>57980607.439999998</v>
      </c>
      <c r="J335" s="283">
        <f>Summary!L23</f>
        <v>56130544.059063353</v>
      </c>
      <c r="K335"/>
      <c r="L335"/>
      <c r="M335"/>
      <c r="N335"/>
    </row>
    <row r="336" spans="2:14" ht="15" customHeight="1" x14ac:dyDescent="0.25">
      <c r="B336" s="330" t="s">
        <v>48</v>
      </c>
      <c r="C336" s="331"/>
      <c r="D336" s="331"/>
      <c r="E336" s="210">
        <v>147666</v>
      </c>
      <c r="F336" s="283">
        <f>Summary!H24</f>
        <v>130935</v>
      </c>
      <c r="G336" s="283">
        <f>Summary!I24</f>
        <v>135393.63999999998</v>
      </c>
      <c r="H336" s="283">
        <f>Summary!J24</f>
        <v>141986.79999999999</v>
      </c>
      <c r="I336" s="283">
        <f>Summary!J24</f>
        <v>141986.79999999999</v>
      </c>
      <c r="J336" s="283">
        <f>Summary!L24</f>
        <v>155585.42387524614</v>
      </c>
      <c r="K336"/>
      <c r="L336"/>
      <c r="M336"/>
      <c r="N336"/>
    </row>
    <row r="337" spans="2:15" ht="15" customHeight="1" x14ac:dyDescent="0.25">
      <c r="B337" s="313" t="s">
        <v>193</v>
      </c>
      <c r="C337" s="316"/>
      <c r="D337" s="316"/>
      <c r="E337" s="316"/>
      <c r="F337" s="314"/>
      <c r="G337" s="314"/>
      <c r="H337" s="314"/>
      <c r="I337" s="314"/>
      <c r="J337" s="315"/>
      <c r="K337"/>
      <c r="L337"/>
      <c r="M337"/>
      <c r="N337"/>
    </row>
    <row r="338" spans="2:15" ht="15" customHeight="1" x14ac:dyDescent="0.25">
      <c r="B338" s="330" t="str">
        <f>B334</f>
        <v xml:space="preserve">  Customers</v>
      </c>
      <c r="C338" s="331"/>
      <c r="D338" s="331"/>
      <c r="E338" s="210"/>
      <c r="F338" s="247">
        <f t="shared" ref="F338:G340" si="45">IF(ISERROR((F334-$E334)/$E334),0,(F334-$E334)/$E334)</f>
        <v>1.5151515151515152E-2</v>
      </c>
      <c r="G338" s="247">
        <f t="shared" si="45"/>
        <v>1.7676767676767749E-2</v>
      </c>
      <c r="H338" s="247">
        <f t="shared" ref="H338:J340" si="46">IF(ISERROR((H334-$E334)/$E334),0,(H334-$E334)/$E334)</f>
        <v>8.3333333333333329E-2</v>
      </c>
      <c r="I338" s="247">
        <f t="shared" si="46"/>
        <v>0.14520202020202014</v>
      </c>
      <c r="J338" s="247">
        <f t="shared" si="46"/>
        <v>0.14620702823057957</v>
      </c>
      <c r="K338"/>
      <c r="L338"/>
      <c r="M338"/>
      <c r="N338"/>
    </row>
    <row r="339" spans="2:15" ht="15" customHeight="1" x14ac:dyDescent="0.25">
      <c r="B339" s="330" t="str">
        <f>B335</f>
        <v xml:space="preserve">  kWh</v>
      </c>
      <c r="C339" s="331"/>
      <c r="D339" s="331"/>
      <c r="E339" s="210"/>
      <c r="F339" s="247">
        <f t="shared" si="45"/>
        <v>-7.9412474826045399E-3</v>
      </c>
      <c r="G339" s="247">
        <f t="shared" si="45"/>
        <v>-1.4359704131015408E-2</v>
      </c>
      <c r="H339" s="247">
        <f t="shared" si="46"/>
        <v>6.4425822260215648E-2</v>
      </c>
      <c r="I339" s="247">
        <f t="shared" si="46"/>
        <v>0.12958020326035352</v>
      </c>
      <c r="J339" s="247">
        <f t="shared" si="46"/>
        <v>9.3537204365498339E-2</v>
      </c>
      <c r="K339"/>
      <c r="L339"/>
      <c r="M339"/>
      <c r="N339"/>
    </row>
    <row r="340" spans="2:15" ht="15" customHeight="1" x14ac:dyDescent="0.25">
      <c r="B340" s="330" t="str">
        <f>B336</f>
        <v xml:space="preserve">  kW</v>
      </c>
      <c r="C340" s="331"/>
      <c r="D340" s="331"/>
      <c r="E340" s="210"/>
      <c r="F340" s="247">
        <f t="shared" si="45"/>
        <v>-0.11330299459591239</v>
      </c>
      <c r="G340" s="247">
        <f t="shared" si="45"/>
        <v>-8.3108907940893748E-2</v>
      </c>
      <c r="H340" s="247">
        <f t="shared" si="46"/>
        <v>-3.8459767312719322E-2</v>
      </c>
      <c r="I340" s="247">
        <f t="shared" si="46"/>
        <v>-3.8459767312719322E-2</v>
      </c>
      <c r="J340" s="247">
        <f t="shared" si="46"/>
        <v>5.3630652115220424E-2</v>
      </c>
      <c r="K340"/>
      <c r="L340"/>
      <c r="M340"/>
      <c r="N340"/>
    </row>
    <row r="341" spans="2:15" ht="36.75" customHeight="1" x14ac:dyDescent="0.25">
      <c r="B341" s="307"/>
      <c r="C341" s="308"/>
      <c r="D341" s="308"/>
      <c r="E341" s="297" t="s">
        <v>202</v>
      </c>
      <c r="F341" s="297" t="s">
        <v>124</v>
      </c>
      <c r="G341" s="297" t="s">
        <v>125</v>
      </c>
      <c r="H341" s="297" t="s">
        <v>126</v>
      </c>
      <c r="I341" s="297" t="s">
        <v>265</v>
      </c>
      <c r="J341" s="297" t="s">
        <v>127</v>
      </c>
      <c r="K341"/>
      <c r="L341"/>
      <c r="M341"/>
      <c r="N341"/>
      <c r="O341"/>
    </row>
    <row r="342" spans="2:15" ht="15" customHeight="1" x14ac:dyDescent="0.25">
      <c r="B342" s="313" t="s">
        <v>206</v>
      </c>
      <c r="C342" s="316"/>
      <c r="D342" s="314"/>
      <c r="E342" s="314"/>
      <c r="F342" s="314"/>
      <c r="G342" s="314"/>
      <c r="H342" s="314"/>
      <c r="I342" s="314"/>
      <c r="J342" s="315"/>
      <c r="K342"/>
      <c r="L342"/>
      <c r="M342"/>
      <c r="N342"/>
    </row>
    <row r="343" spans="2:15" ht="15" customHeight="1" x14ac:dyDescent="0.25">
      <c r="B343" s="330" t="s">
        <v>64</v>
      </c>
      <c r="C343" s="331"/>
      <c r="D343" s="331"/>
      <c r="E343" s="210">
        <f>H51</f>
        <v>237</v>
      </c>
      <c r="F343" s="192">
        <f>Summary!H27</f>
        <v>168</v>
      </c>
      <c r="G343" s="192">
        <f>Summary!I27</f>
        <v>169.41666666666666</v>
      </c>
      <c r="H343" s="192">
        <f>Summary!J27</f>
        <v>165.75</v>
      </c>
      <c r="I343" s="192">
        <f>Summary!K27</f>
        <v>166.08333333333334</v>
      </c>
      <c r="J343" s="192">
        <f>Summary!L27</f>
        <v>163.70751899008945</v>
      </c>
      <c r="K343"/>
      <c r="L343"/>
      <c r="M343"/>
      <c r="N343"/>
    </row>
    <row r="344" spans="2:15" ht="15" customHeight="1" x14ac:dyDescent="0.25">
      <c r="B344" s="330" t="s">
        <v>47</v>
      </c>
      <c r="C344" s="331"/>
      <c r="D344" s="331"/>
      <c r="E344" s="210">
        <f>H33*1000000</f>
        <v>104942</v>
      </c>
      <c r="F344" s="192">
        <f>Summary!H28</f>
        <v>101843.93410009757</v>
      </c>
      <c r="G344" s="192">
        <f>Summary!I28</f>
        <v>107980</v>
      </c>
      <c r="H344" s="192">
        <f>Summary!J28</f>
        <v>103536</v>
      </c>
      <c r="I344" s="192">
        <f>Summary!K28</f>
        <v>106305.36</v>
      </c>
      <c r="J344" s="192">
        <f>Summary!L28</f>
        <v>104784.66677941773</v>
      </c>
      <c r="K344"/>
      <c r="L344"/>
      <c r="M344"/>
      <c r="N344"/>
    </row>
    <row r="345" spans="2:15" ht="15" customHeight="1" x14ac:dyDescent="0.25">
      <c r="B345" s="330" t="s">
        <v>48</v>
      </c>
      <c r="C345" s="331"/>
      <c r="D345" s="331"/>
      <c r="E345" s="210">
        <v>292</v>
      </c>
      <c r="F345" s="192">
        <f>Summary!H29</f>
        <v>283</v>
      </c>
      <c r="G345" s="192">
        <f>Summary!I29</f>
        <v>299.94344444444442</v>
      </c>
      <c r="H345" s="192">
        <f>Summary!J29</f>
        <v>287.601</v>
      </c>
      <c r="I345" s="192">
        <f>Summary!K29</f>
        <v>295.29266666666666</v>
      </c>
      <c r="J345" s="192">
        <f>Summary!L29</f>
        <v>291.09558155888243</v>
      </c>
      <c r="K345"/>
      <c r="L345"/>
      <c r="M345"/>
      <c r="N345"/>
    </row>
    <row r="346" spans="2:15" ht="15" customHeight="1" x14ac:dyDescent="0.25">
      <c r="B346" s="313" t="s">
        <v>193</v>
      </c>
      <c r="C346" s="316"/>
      <c r="D346" s="316"/>
      <c r="E346" s="316"/>
      <c r="F346" s="314"/>
      <c r="G346" s="314"/>
      <c r="H346" s="314"/>
      <c r="I346" s="314"/>
      <c r="J346" s="315"/>
      <c r="K346"/>
      <c r="L346"/>
      <c r="M346"/>
      <c r="N346"/>
    </row>
    <row r="347" spans="2:15" ht="15" customHeight="1" x14ac:dyDescent="0.25">
      <c r="B347" s="330" t="str">
        <f>B343</f>
        <v xml:space="preserve">  Connections</v>
      </c>
      <c r="C347" s="331"/>
      <c r="D347" s="331"/>
      <c r="E347" s="210"/>
      <c r="F347" s="247">
        <f t="shared" ref="F347:G349" si="47">IF(ISERROR((F343-$E343)/$E343),0,(F343-$E343)/$E343)</f>
        <v>-0.29113924050632911</v>
      </c>
      <c r="G347" s="247">
        <f t="shared" si="47"/>
        <v>-0.28516174402250355</v>
      </c>
      <c r="H347" s="247">
        <f t="shared" ref="H347:J349" si="48">IF(ISERROR((H343-$E343)/$E343),0,(H343-$E343)/$E343)</f>
        <v>-0.30063291139240506</v>
      </c>
      <c r="I347" s="247">
        <f t="shared" si="48"/>
        <v>-0.29922644163150486</v>
      </c>
      <c r="J347" s="247">
        <f t="shared" si="48"/>
        <v>-0.30925097472536095</v>
      </c>
      <c r="K347"/>
      <c r="L347"/>
      <c r="M347"/>
      <c r="N347"/>
    </row>
    <row r="348" spans="2:15" ht="15" customHeight="1" x14ac:dyDescent="0.25">
      <c r="B348" s="330" t="str">
        <f>B344</f>
        <v xml:space="preserve">  kWh</v>
      </c>
      <c r="C348" s="331"/>
      <c r="D348" s="331"/>
      <c r="E348" s="210"/>
      <c r="F348" s="247">
        <f t="shared" si="47"/>
        <v>-2.9521696745844664E-2</v>
      </c>
      <c r="G348" s="247">
        <f t="shared" si="47"/>
        <v>2.8949324388709955E-2</v>
      </c>
      <c r="H348" s="247">
        <f t="shared" si="48"/>
        <v>-1.3397876922490519E-2</v>
      </c>
      <c r="I348" s="247">
        <f t="shared" si="48"/>
        <v>1.2991557241142732E-2</v>
      </c>
      <c r="J348" s="247">
        <f t="shared" si="48"/>
        <v>-1.4992397760883746E-3</v>
      </c>
      <c r="K348"/>
      <c r="L348"/>
      <c r="M348"/>
      <c r="N348"/>
    </row>
    <row r="349" spans="2:15" ht="15" customHeight="1" x14ac:dyDescent="0.25">
      <c r="B349" s="330" t="str">
        <f>B345</f>
        <v xml:space="preserve">  kW</v>
      </c>
      <c r="C349" s="331"/>
      <c r="D349" s="331"/>
      <c r="E349" s="210"/>
      <c r="F349" s="247">
        <f t="shared" si="47"/>
        <v>-3.0821917808219176E-2</v>
      </c>
      <c r="G349" s="247">
        <f t="shared" si="47"/>
        <v>2.7203576864535697E-2</v>
      </c>
      <c r="H349" s="247">
        <f t="shared" si="48"/>
        <v>-1.5065068493150688E-2</v>
      </c>
      <c r="I349" s="247">
        <f t="shared" si="48"/>
        <v>1.127625570776254E-2</v>
      </c>
      <c r="J349" s="247">
        <f t="shared" si="48"/>
        <v>-3.0973234284848309E-3</v>
      </c>
      <c r="K349"/>
      <c r="L349"/>
      <c r="M349"/>
      <c r="N349"/>
    </row>
    <row r="350" spans="2:15" ht="9" customHeight="1" x14ac:dyDescent="0.25">
      <c r="B350" s="92"/>
      <c r="C350" s="314"/>
      <c r="D350" s="314"/>
      <c r="E350" s="314"/>
      <c r="F350" s="314"/>
      <c r="G350" s="314"/>
      <c r="H350" s="314"/>
      <c r="I350" s="314"/>
      <c r="J350" s="315"/>
      <c r="K350"/>
      <c r="L350"/>
      <c r="M350"/>
      <c r="N350"/>
    </row>
    <row r="351" spans="2:15" ht="15" customHeight="1" x14ac:dyDescent="0.25">
      <c r="B351" s="313" t="s">
        <v>95</v>
      </c>
      <c r="C351" s="314"/>
      <c r="D351" s="314"/>
      <c r="E351" s="314"/>
      <c r="F351" s="314"/>
      <c r="G351" s="314"/>
      <c r="H351" s="314"/>
      <c r="I351" s="314"/>
      <c r="J351" s="315"/>
      <c r="K351"/>
      <c r="L351"/>
      <c r="M351"/>
      <c r="N351"/>
    </row>
    <row r="352" spans="2:15" ht="15" customHeight="1" x14ac:dyDescent="0.25">
      <c r="B352" s="330" t="s">
        <v>64</v>
      </c>
      <c r="C352" s="331"/>
      <c r="D352" s="331"/>
      <c r="E352" s="210">
        <f>I51</f>
        <v>2889</v>
      </c>
      <c r="F352" s="192">
        <f>Summary!H32</f>
        <v>2843.3333333333335</v>
      </c>
      <c r="G352" s="192">
        <f>Summary!I32</f>
        <v>2923.3333333333335</v>
      </c>
      <c r="H352" s="192">
        <f>Summary!J32</f>
        <v>2897.6666666666665</v>
      </c>
      <c r="I352" s="192">
        <f>Summary!K32</f>
        <v>2863.1666666666665</v>
      </c>
      <c r="J352" s="192">
        <f>Summary!L32</f>
        <v>2918.0959667809479</v>
      </c>
      <c r="K352"/>
      <c r="L352"/>
      <c r="M352"/>
      <c r="N352"/>
      <c r="O352"/>
    </row>
    <row r="353" spans="2:15" ht="15" customHeight="1" x14ac:dyDescent="0.25">
      <c r="B353" s="330" t="s">
        <v>47</v>
      </c>
      <c r="C353" s="331"/>
      <c r="D353" s="331"/>
      <c r="E353" s="210">
        <f>I33*1000000</f>
        <v>1516831</v>
      </c>
      <c r="F353" s="283">
        <f>Summary!H33</f>
        <v>1472134.2629375483</v>
      </c>
      <c r="G353" s="283">
        <f>Summary!I33</f>
        <v>1625553.4323642934</v>
      </c>
      <c r="H353" s="283">
        <f>Summary!J33</f>
        <v>1106444</v>
      </c>
      <c r="I353" s="283">
        <f>Summary!K33</f>
        <v>536549.52</v>
      </c>
      <c r="J353" s="283">
        <f>Summary!L33</f>
        <v>546843.11902564298</v>
      </c>
      <c r="K353"/>
      <c r="L353"/>
      <c r="M353"/>
      <c r="N353"/>
      <c r="O353"/>
    </row>
    <row r="354" spans="2:15" ht="15" customHeight="1" x14ac:dyDescent="0.25">
      <c r="B354" s="330" t="s">
        <v>48</v>
      </c>
      <c r="C354" s="331"/>
      <c r="D354" s="331"/>
      <c r="E354" s="210">
        <v>4432</v>
      </c>
      <c r="F354" s="283">
        <f>Summary!H34</f>
        <v>4149</v>
      </c>
      <c r="G354" s="283">
        <f>Summary!I34</f>
        <v>4581.3899999999994</v>
      </c>
      <c r="H354" s="283">
        <f>Summary!J34</f>
        <v>3139.7699999999995</v>
      </c>
      <c r="I354" s="283">
        <f>Summary!K34</f>
        <v>1641.29</v>
      </c>
      <c r="J354" s="283">
        <f>Summary!L34</f>
        <v>1557.684754891854</v>
      </c>
      <c r="K354"/>
      <c r="L354"/>
      <c r="M354"/>
      <c r="N354"/>
      <c r="O354"/>
    </row>
    <row r="355" spans="2:15" ht="15" customHeight="1" x14ac:dyDescent="0.25">
      <c r="B355" s="313" t="s">
        <v>193</v>
      </c>
      <c r="C355" s="316"/>
      <c r="D355" s="316"/>
      <c r="E355" s="316"/>
      <c r="F355" s="316"/>
      <c r="G355" s="316"/>
      <c r="H355" s="314"/>
      <c r="I355" s="314"/>
      <c r="J355" s="315"/>
      <c r="K355"/>
      <c r="L355"/>
      <c r="M355"/>
      <c r="N355"/>
    </row>
    <row r="356" spans="2:15" ht="15" customHeight="1" x14ac:dyDescent="0.25">
      <c r="B356" s="330" t="str">
        <f>B352</f>
        <v xml:space="preserve">  Connections</v>
      </c>
      <c r="C356" s="331"/>
      <c r="D356" s="331"/>
      <c r="E356" s="210"/>
      <c r="F356" s="247">
        <f>IF(ISERROR((F352-$E352)/$E352),0,(F352-$E352)/$E352)</f>
        <v>-1.5807084342909835E-2</v>
      </c>
      <c r="G356" s="247">
        <f>IF(ISERROR((G352-$E352)/$E352),0,(G352-$E352)/$E352)</f>
        <v>1.1884158301603836E-2</v>
      </c>
      <c r="H356" s="247">
        <f>IF(ISERROR((H352-$E352)/$E352),0,(H352-$E352)/$E352)</f>
        <v>2.9998846198222621E-3</v>
      </c>
      <c r="I356" s="247">
        <f>IF(ISERROR((I352-$E352)/$E352),0,(I352-$E352)/$E352)</f>
        <v>-8.9419637706242595E-3</v>
      </c>
      <c r="J356" s="247">
        <f>IF(ISERROR((J352-$E352)/$E352),0,(J352-$E352)/$E352)</f>
        <v>1.0071293451349238E-2</v>
      </c>
      <c r="K356"/>
      <c r="L356"/>
      <c r="M356"/>
      <c r="N356"/>
    </row>
    <row r="357" spans="2:15" ht="15" customHeight="1" x14ac:dyDescent="0.25">
      <c r="B357" s="330" t="str">
        <f>B353</f>
        <v xml:space="preserve">  kWh</v>
      </c>
      <c r="C357" s="331"/>
      <c r="D357" s="331"/>
      <c r="E357" s="210"/>
      <c r="F357" s="247">
        <f t="shared" ref="F357" si="49">IF(ISERROR((F353-$E353)/$E353),0,(F353-$E353)/$E353)</f>
        <v>-2.9467183267253678E-2</v>
      </c>
      <c r="G357" s="247">
        <f t="shared" ref="G357:J358" si="50">IF(ISERROR((G353-$E353)/$E353),0,(G353-$E353)/$E353)</f>
        <v>7.1677353880750971E-2</v>
      </c>
      <c r="H357" s="247">
        <f t="shared" si="50"/>
        <v>-0.27055552002826949</v>
      </c>
      <c r="I357" s="247">
        <f t="shared" si="50"/>
        <v>-0.6462694130064589</v>
      </c>
      <c r="J357" s="247">
        <f t="shared" si="50"/>
        <v>-0.63948315993960902</v>
      </c>
      <c r="K357"/>
      <c r="L357"/>
      <c r="M357"/>
      <c r="N357"/>
    </row>
    <row r="358" spans="2:15" ht="15" customHeight="1" x14ac:dyDescent="0.25">
      <c r="B358" s="330" t="str">
        <f>B354</f>
        <v xml:space="preserve">  kW</v>
      </c>
      <c r="C358" s="331"/>
      <c r="D358" s="331"/>
      <c r="E358" s="210"/>
      <c r="F358" s="247">
        <f t="shared" ref="F358" si="51">IF(ISERROR((F354-$E354)/$E354),0,(F354-$E354)/$E354)</f>
        <v>-6.3853790613718417E-2</v>
      </c>
      <c r="G358" s="247">
        <f t="shared" si="50"/>
        <v>3.3707129963898783E-2</v>
      </c>
      <c r="H358" s="247">
        <f t="shared" si="50"/>
        <v>-0.29156814079422394</v>
      </c>
      <c r="I358" s="247">
        <f t="shared" si="50"/>
        <v>-0.62967283393501805</v>
      </c>
      <c r="J358" s="247">
        <f t="shared" si="50"/>
        <v>-0.64853683328252387</v>
      </c>
      <c r="K358"/>
      <c r="L358"/>
      <c r="M358"/>
      <c r="N358"/>
    </row>
    <row r="359" spans="2:15" ht="9" customHeight="1" x14ac:dyDescent="0.25">
      <c r="B359" s="92"/>
      <c r="C359" s="314"/>
      <c r="D359" s="314"/>
      <c r="E359" s="314"/>
      <c r="F359" s="314"/>
      <c r="G359" s="314"/>
      <c r="H359" s="314"/>
      <c r="I359" s="314"/>
      <c r="J359" s="315"/>
      <c r="K359"/>
      <c r="L359"/>
      <c r="M359"/>
      <c r="N359"/>
    </row>
    <row r="360" spans="2:15" ht="15" customHeight="1" x14ac:dyDescent="0.25">
      <c r="B360" s="313" t="s">
        <v>97</v>
      </c>
      <c r="C360" s="316"/>
      <c r="D360" s="314"/>
      <c r="E360" s="314"/>
      <c r="F360" s="314"/>
      <c r="G360" s="314"/>
      <c r="H360" s="314"/>
      <c r="I360" s="314"/>
      <c r="J360" s="315"/>
      <c r="K360"/>
      <c r="L360"/>
      <c r="M360"/>
      <c r="N360"/>
    </row>
    <row r="361" spans="2:15" ht="15" customHeight="1" x14ac:dyDescent="0.25">
      <c r="B361" s="330" t="s">
        <v>64</v>
      </c>
      <c r="C361" s="331"/>
      <c r="D361" s="331"/>
      <c r="E361" s="210">
        <f>J51</f>
        <v>78</v>
      </c>
      <c r="F361" s="192">
        <f>Summary!H37</f>
        <v>77.583333333333329</v>
      </c>
      <c r="G361" s="192">
        <f>Summary!I37</f>
        <v>75.583333333333329</v>
      </c>
      <c r="H361" s="192">
        <f>Summary!J37</f>
        <v>76</v>
      </c>
      <c r="I361" s="192">
        <f>Summary!K37</f>
        <v>75.333333333333329</v>
      </c>
      <c r="J361" s="192">
        <f>Summary!L37</f>
        <v>73.860991392432041</v>
      </c>
      <c r="K361"/>
      <c r="L361"/>
      <c r="M361"/>
      <c r="N361"/>
    </row>
    <row r="362" spans="2:15" ht="15" customHeight="1" x14ac:dyDescent="0.25">
      <c r="B362" s="330" t="s">
        <v>47</v>
      </c>
      <c r="C362" s="331"/>
      <c r="D362" s="331"/>
      <c r="E362" s="210">
        <f>J33*1000000</f>
        <v>474652</v>
      </c>
      <c r="F362" s="192">
        <f>Summary!H38</f>
        <v>474344</v>
      </c>
      <c r="G362" s="192">
        <f>Summary!I38</f>
        <v>467561.7</v>
      </c>
      <c r="H362" s="192">
        <f>Summary!J38</f>
        <v>467455</v>
      </c>
      <c r="I362" s="192">
        <f>Summary!K38</f>
        <v>472405.55</v>
      </c>
      <c r="J362" s="192">
        <f>Summary!L38</f>
        <v>463257.85922741913</v>
      </c>
      <c r="K362"/>
      <c r="L362"/>
      <c r="M362"/>
      <c r="N362"/>
    </row>
    <row r="363" spans="2:15" ht="15" customHeight="1" x14ac:dyDescent="0.25">
      <c r="B363" s="313" t="s">
        <v>193</v>
      </c>
      <c r="C363" s="316"/>
      <c r="D363" s="316"/>
      <c r="E363" s="316"/>
      <c r="F363" s="317"/>
      <c r="G363" s="317"/>
      <c r="H363" s="317"/>
      <c r="I363" s="317"/>
      <c r="J363" s="318"/>
      <c r="K363" s="312"/>
      <c r="L363" s="312"/>
      <c r="M363" s="312"/>
      <c r="N363" s="312"/>
    </row>
    <row r="364" spans="2:15" ht="15" customHeight="1" x14ac:dyDescent="0.25">
      <c r="B364" s="330" t="str">
        <f>B361</f>
        <v xml:space="preserve">  Connections</v>
      </c>
      <c r="C364" s="331"/>
      <c r="D364" s="331"/>
      <c r="E364" s="210"/>
      <c r="F364" s="247">
        <f t="shared" ref="F364" si="52">IF(ISERROR((F361-$E361)/$E361),0,(F361-$E361)/$E361)</f>
        <v>-5.3418803418804027E-3</v>
      </c>
      <c r="G364" s="247">
        <f t="shared" ref="G364:J365" si="53">IF(ISERROR((G361-$E361)/$E361),0,(G361-$E361)/$E361)</f>
        <v>-3.0982905982906043E-2</v>
      </c>
      <c r="H364" s="247">
        <f t="shared" si="53"/>
        <v>-2.564102564102564E-2</v>
      </c>
      <c r="I364" s="247">
        <f t="shared" si="53"/>
        <v>-3.4188034188034247E-2</v>
      </c>
      <c r="J364" s="247">
        <f t="shared" si="53"/>
        <v>-5.3064212917537934E-2</v>
      </c>
      <c r="K364"/>
      <c r="L364"/>
      <c r="M364"/>
      <c r="N364"/>
    </row>
    <row r="365" spans="2:15" ht="15" customHeight="1" x14ac:dyDescent="0.25">
      <c r="B365" s="330" t="str">
        <f>B362</f>
        <v xml:space="preserve">  kWh</v>
      </c>
      <c r="C365" s="331"/>
      <c r="D365" s="331"/>
      <c r="E365" s="210"/>
      <c r="F365" s="247">
        <f t="shared" ref="F365" si="54">IF(ISERROR((F362-$E362)/$E362),0,(F362-$E362)/$E362)</f>
        <v>-6.4889645466573403E-4</v>
      </c>
      <c r="G365" s="247">
        <f t="shared" si="53"/>
        <v>-1.4937891339339112E-2</v>
      </c>
      <c r="H365" s="247">
        <f t="shared" si="53"/>
        <v>-1.5162687611134052E-2</v>
      </c>
      <c r="I365" s="247">
        <f t="shared" si="53"/>
        <v>-4.7328358460514471E-3</v>
      </c>
      <c r="J365" s="247">
        <f t="shared" si="53"/>
        <v>-2.4005251789902638E-2</v>
      </c>
      <c r="K365"/>
      <c r="L365"/>
      <c r="M365"/>
      <c r="N365"/>
    </row>
    <row r="366" spans="2:15" ht="9" customHeight="1" x14ac:dyDescent="0.25">
      <c r="B366" s="92"/>
      <c r="C366" s="314"/>
      <c r="D366" s="314"/>
      <c r="E366" s="314"/>
      <c r="F366" s="314"/>
      <c r="G366" s="314"/>
      <c r="H366" s="314"/>
      <c r="I366" s="314"/>
      <c r="J366" s="315"/>
      <c r="K366"/>
      <c r="L366"/>
      <c r="M366"/>
      <c r="N366"/>
    </row>
    <row r="367" spans="2:15" ht="15" customHeight="1" x14ac:dyDescent="0.25">
      <c r="B367" s="313" t="s">
        <v>9</v>
      </c>
      <c r="C367" s="314"/>
      <c r="D367" s="314"/>
      <c r="E367" s="314"/>
      <c r="F367" s="314"/>
      <c r="G367" s="314"/>
      <c r="H367" s="314"/>
      <c r="I367" s="314"/>
      <c r="J367" s="315"/>
      <c r="K367"/>
      <c r="L367"/>
      <c r="M367"/>
      <c r="N367"/>
    </row>
    <row r="368" spans="2:15" ht="15" customHeight="1" x14ac:dyDescent="0.25">
      <c r="B368" s="330" t="s">
        <v>51</v>
      </c>
      <c r="C368" s="331"/>
      <c r="D368" s="331"/>
      <c r="E368" s="210">
        <f t="shared" ref="E368:J368" si="55">E320+E327+E334+E352+E361+E343</f>
        <v>18369</v>
      </c>
      <c r="F368" s="210">
        <f t="shared" ref="F368" si="56">F320+F327+F334+F352+F361+F343</f>
        <v>18286.166666666664</v>
      </c>
      <c r="G368" s="210">
        <f t="shared" si="55"/>
        <v>18735.916666666664</v>
      </c>
      <c r="H368" s="210">
        <f t="shared" si="55"/>
        <v>19073.083333333336</v>
      </c>
      <c r="I368" s="210">
        <f t="shared" si="55"/>
        <v>19398</v>
      </c>
      <c r="J368" s="210">
        <f t="shared" si="55"/>
        <v>19732.688255456196</v>
      </c>
      <c r="K368"/>
      <c r="L368"/>
      <c r="M368"/>
      <c r="N368"/>
    </row>
    <row r="369" spans="2:14" ht="15" customHeight="1" x14ac:dyDescent="0.25">
      <c r="B369" s="330" t="s">
        <v>47</v>
      </c>
      <c r="C369" s="331"/>
      <c r="D369" s="331"/>
      <c r="E369" s="210">
        <f t="shared" ref="E369:J370" si="57">E321+E328+E335+E353+E362+E344</f>
        <v>233355655</v>
      </c>
      <c r="F369" s="210">
        <f t="shared" ref="F369" si="58">F321+F328+F335+F353+F362+F344</f>
        <v>232845910.19703764</v>
      </c>
      <c r="G369" s="210">
        <f t="shared" si="57"/>
        <v>238347364.48236427</v>
      </c>
      <c r="H369" s="210">
        <f t="shared" si="57"/>
        <v>242586977</v>
      </c>
      <c r="I369" s="210">
        <f t="shared" si="57"/>
        <v>242016317.90000004</v>
      </c>
      <c r="J369" s="210">
        <f t="shared" si="57"/>
        <v>239288942.39224306</v>
      </c>
      <c r="K369"/>
      <c r="L369"/>
      <c r="M369"/>
      <c r="N369"/>
    </row>
    <row r="370" spans="2:14" ht="15" customHeight="1" x14ac:dyDescent="0.25">
      <c r="B370" s="330" t="s">
        <v>50</v>
      </c>
      <c r="C370" s="331"/>
      <c r="D370" s="331"/>
      <c r="E370" s="210">
        <f t="shared" si="57"/>
        <v>152390</v>
      </c>
      <c r="F370" s="210">
        <f t="shared" ref="F370" si="59">F322+F329+F336+F354+F363+F345</f>
        <v>135367</v>
      </c>
      <c r="G370" s="210">
        <f t="shared" si="57"/>
        <v>140274.97344444442</v>
      </c>
      <c r="H370" s="210">
        <f t="shared" si="57"/>
        <v>145414.17099999997</v>
      </c>
      <c r="I370" s="210">
        <f t="shared" si="57"/>
        <v>143923.38266666667</v>
      </c>
      <c r="J370" s="210">
        <f t="shared" si="57"/>
        <v>157434.20421169687</v>
      </c>
      <c r="K370"/>
      <c r="L370"/>
      <c r="M370"/>
      <c r="N370"/>
    </row>
    <row r="371" spans="2:14" ht="15" customHeight="1" x14ac:dyDescent="0.25">
      <c r="B371" s="334" t="s">
        <v>260</v>
      </c>
      <c r="C371" s="335"/>
      <c r="D371" s="335"/>
      <c r="E371" s="335"/>
      <c r="F371" s="335"/>
      <c r="G371" s="335"/>
      <c r="H371" s="314"/>
      <c r="I371" s="314"/>
      <c r="J371" s="315"/>
      <c r="K371"/>
      <c r="L371"/>
      <c r="M371"/>
      <c r="N371"/>
    </row>
    <row r="372" spans="2:14" ht="15" customHeight="1" x14ac:dyDescent="0.25">
      <c r="B372" s="330" t="str">
        <f>B368</f>
        <v xml:space="preserve">  Customer/Connections</v>
      </c>
      <c r="C372" s="331"/>
      <c r="D372" s="331"/>
      <c r="E372" s="210"/>
      <c r="F372" s="247">
        <f>IF(ISERROR((F368-$E368)/$E368),0,(F368-$E368)/$E368)</f>
        <v>-4.5094089680078261E-3</v>
      </c>
      <c r="G372" s="247">
        <f>IF(ISERROR((G368-$E368)/$E368),0,(G368-$E368)/$E368)</f>
        <v>1.9974776344202964E-2</v>
      </c>
      <c r="H372" s="247">
        <f>IF(ISERROR((H368-$E368)/$E368),0,(H368-$E368)/$E368)</f>
        <v>3.8329976228065533E-2</v>
      </c>
      <c r="I372" s="247">
        <f>IF(ISERROR((I368-$E368)/$E368),0,(I368-$E368)/$E368)</f>
        <v>5.6018291687081494E-2</v>
      </c>
      <c r="J372" s="247">
        <f>IF(ISERROR((J368-$E368)/$E368),0,(J368-$E368)/$E368)</f>
        <v>7.4238567992606905E-2</v>
      </c>
      <c r="K372"/>
      <c r="L372"/>
      <c r="M372"/>
      <c r="N372"/>
    </row>
    <row r="373" spans="2:14" ht="15" customHeight="1" x14ac:dyDescent="0.25">
      <c r="B373" s="330" t="str">
        <f>B369</f>
        <v xml:space="preserve">  kWh</v>
      </c>
      <c r="C373" s="331"/>
      <c r="D373" s="331"/>
      <c r="E373" s="210"/>
      <c r="F373" s="247">
        <f t="shared" ref="F373" si="60">IF(ISERROR((F369-$E369)/$E369),0,(F369-$E369)/$E369)</f>
        <v>-2.1844116139476577E-3</v>
      </c>
      <c r="G373" s="247">
        <f t="shared" ref="G373:J374" si="61">IF(ISERROR((G369-$E369)/$E369),0,(G369-$E369)/$E369)</f>
        <v>2.1390994284515054E-2</v>
      </c>
      <c r="H373" s="247">
        <f t="shared" si="61"/>
        <v>3.9559024185636296E-2</v>
      </c>
      <c r="I373" s="247">
        <f t="shared" si="61"/>
        <v>3.7113576270521642E-2</v>
      </c>
      <c r="J373" s="247">
        <f t="shared" si="61"/>
        <v>2.5425942183586927E-2</v>
      </c>
      <c r="K373"/>
      <c r="L373"/>
      <c r="M373"/>
      <c r="N373"/>
    </row>
    <row r="374" spans="2:14" ht="15" customHeight="1" x14ac:dyDescent="0.25">
      <c r="B374" s="330" t="str">
        <f>B370</f>
        <v xml:space="preserve">  kW from applicable classes</v>
      </c>
      <c r="C374" s="331"/>
      <c r="D374" s="331"/>
      <c r="E374" s="210"/>
      <c r="F374" s="247">
        <f t="shared" ref="F374" si="62">IF(ISERROR((F370-$E370)/$E370),0,(F370-$E370)/$E370)</f>
        <v>-0.11170680490845857</v>
      </c>
      <c r="G374" s="247">
        <f t="shared" si="61"/>
        <v>-7.9500141449934919E-2</v>
      </c>
      <c r="H374" s="247">
        <f t="shared" si="61"/>
        <v>-4.5776159853008903E-2</v>
      </c>
      <c r="I374" s="247">
        <f t="shared" si="61"/>
        <v>-5.5558877441651867E-2</v>
      </c>
      <c r="J374" s="247">
        <f t="shared" si="61"/>
        <v>3.3100624789663795E-2</v>
      </c>
      <c r="K374"/>
      <c r="L374"/>
      <c r="M374"/>
      <c r="N374"/>
    </row>
    <row r="375" spans="2:14" ht="15" customHeight="1" x14ac:dyDescent="0.25">
      <c r="E375" s="211"/>
      <c r="F375" s="211"/>
      <c r="G375" s="211"/>
      <c r="H375" s="211"/>
      <c r="I375" s="211"/>
      <c r="J375" s="211"/>
      <c r="K375" s="211"/>
    </row>
    <row r="376" spans="2:14" ht="15" customHeight="1" x14ac:dyDescent="0.25">
      <c r="B376" s="394" t="s">
        <v>252</v>
      </c>
      <c r="C376" s="394"/>
      <c r="D376" s="394"/>
      <c r="E376" s="394"/>
      <c r="F376" s="394"/>
      <c r="G376" s="394"/>
      <c r="H376" s="394"/>
      <c r="I376" s="394"/>
      <c r="J376" s="394"/>
      <c r="K376" s="394"/>
      <c r="L376" s="394"/>
    </row>
    <row r="377" spans="2:14" ht="15" customHeight="1" x14ac:dyDescent="0.25">
      <c r="B377" s="395"/>
      <c r="C377" s="396"/>
      <c r="D377" s="397"/>
      <c r="E377" s="395" t="s">
        <v>194</v>
      </c>
      <c r="F377" s="396"/>
      <c r="G377" s="397"/>
      <c r="H377" s="398" t="s">
        <v>90</v>
      </c>
      <c r="I377" s="398"/>
      <c r="J377" s="398" t="s">
        <v>195</v>
      </c>
      <c r="K377" s="398"/>
      <c r="L377" s="309"/>
    </row>
    <row r="378" spans="2:14" ht="21" x14ac:dyDescent="0.25">
      <c r="B378" s="391" t="s">
        <v>196</v>
      </c>
      <c r="C378" s="392"/>
      <c r="D378" s="393"/>
      <c r="E378" s="310" t="s">
        <v>253</v>
      </c>
      <c r="F378" s="311" t="s">
        <v>160</v>
      </c>
      <c r="G378" s="311" t="s">
        <v>39</v>
      </c>
      <c r="H378" s="310" t="str">
        <f>E378</f>
        <v xml:space="preserve">2013 Board Approved </v>
      </c>
      <c r="I378" s="311" t="str">
        <f>F378</f>
        <v xml:space="preserve">2013 Actual </v>
      </c>
      <c r="J378" s="310" t="str">
        <f>E378</f>
        <v xml:space="preserve">2013 Board Approved </v>
      </c>
      <c r="K378" s="311" t="str">
        <f>F378</f>
        <v xml:space="preserve">2013 Actual </v>
      </c>
      <c r="L378" s="310" t="s">
        <v>197</v>
      </c>
    </row>
    <row r="379" spans="2:14" ht="15" customHeight="1" x14ac:dyDescent="0.25">
      <c r="B379" s="248" t="s">
        <v>57</v>
      </c>
      <c r="C379" s="249"/>
      <c r="D379" s="250"/>
      <c r="E379" s="251">
        <f>E320</f>
        <v>14189</v>
      </c>
      <c r="F379" s="251">
        <f>$F$320</f>
        <v>14181</v>
      </c>
      <c r="G379" s="252">
        <f t="shared" ref="G379:G384" si="63">F379-E379</f>
        <v>-8</v>
      </c>
      <c r="H379" s="253">
        <f>E321</f>
        <v>148148873</v>
      </c>
      <c r="I379" s="253">
        <f>$F$321</f>
        <v>148837682</v>
      </c>
      <c r="J379" s="251"/>
      <c r="K379" s="254"/>
      <c r="L379" s="255">
        <f>I379-H379</f>
        <v>688809</v>
      </c>
      <c r="N379"/>
    </row>
    <row r="380" spans="2:14" ht="15" customHeight="1" x14ac:dyDescent="0.25">
      <c r="B380" s="248" t="s">
        <v>93</v>
      </c>
      <c r="C380" s="249"/>
      <c r="D380" s="250"/>
      <c r="E380" s="251">
        <f>E327</f>
        <v>910</v>
      </c>
      <c r="F380" s="251">
        <f>$F$327</f>
        <v>949.25</v>
      </c>
      <c r="G380" s="252">
        <f t="shared" si="63"/>
        <v>39.25</v>
      </c>
      <c r="H380" s="253">
        <f>E328</f>
        <v>31781016</v>
      </c>
      <c r="I380" s="253">
        <f>$F$328</f>
        <v>31038184</v>
      </c>
      <c r="J380" s="251"/>
      <c r="K380" s="254"/>
      <c r="L380" s="255">
        <f>I380-H380</f>
        <v>-742832</v>
      </c>
    </row>
    <row r="381" spans="2:14" ht="15" customHeight="1" x14ac:dyDescent="0.25">
      <c r="B381" s="248" t="s">
        <v>162</v>
      </c>
      <c r="C381" s="249"/>
      <c r="D381" s="250"/>
      <c r="E381" s="251">
        <f>E334</f>
        <v>66</v>
      </c>
      <c r="F381" s="251">
        <f>$F$334</f>
        <v>67</v>
      </c>
      <c r="G381" s="252">
        <f t="shared" si="63"/>
        <v>1</v>
      </c>
      <c r="H381" s="253">
        <f>E335</f>
        <v>51329341</v>
      </c>
      <c r="I381" s="253">
        <f>$F$335</f>
        <v>50921722</v>
      </c>
      <c r="J381" s="251">
        <f>E336</f>
        <v>147666</v>
      </c>
      <c r="K381" s="251">
        <f>$F$336</f>
        <v>130935</v>
      </c>
      <c r="L381" s="255">
        <f>K381-J381</f>
        <v>-16731</v>
      </c>
    </row>
    <row r="382" spans="2:14" ht="15" customHeight="1" x14ac:dyDescent="0.25">
      <c r="B382" s="248" t="s">
        <v>96</v>
      </c>
      <c r="C382" s="249"/>
      <c r="D382" s="250"/>
      <c r="E382" s="251">
        <f>E343</f>
        <v>237</v>
      </c>
      <c r="F382" s="251">
        <f>$F$343</f>
        <v>168</v>
      </c>
      <c r="G382" s="252">
        <f t="shared" si="63"/>
        <v>-69</v>
      </c>
      <c r="H382" s="253">
        <f>E344</f>
        <v>104942</v>
      </c>
      <c r="I382" s="253">
        <f>$F$344</f>
        <v>101843.93410009757</v>
      </c>
      <c r="J382" s="251">
        <f>E345</f>
        <v>292</v>
      </c>
      <c r="K382" s="251">
        <f>$F$345</f>
        <v>283</v>
      </c>
      <c r="L382" s="255">
        <f>K382-J382</f>
        <v>-9</v>
      </c>
    </row>
    <row r="383" spans="2:14" ht="15" customHeight="1" x14ac:dyDescent="0.25">
      <c r="B383" s="248" t="s">
        <v>95</v>
      </c>
      <c r="C383" s="249"/>
      <c r="D383" s="250"/>
      <c r="E383" s="251">
        <f>E352</f>
        <v>2889</v>
      </c>
      <c r="F383" s="251">
        <f>$F$352</f>
        <v>2843.3333333333335</v>
      </c>
      <c r="G383" s="252">
        <f t="shared" si="63"/>
        <v>-45.666666666666515</v>
      </c>
      <c r="H383" s="253">
        <f>E353</f>
        <v>1516831</v>
      </c>
      <c r="I383" s="253">
        <f>$F$353</f>
        <v>1472134.2629375483</v>
      </c>
      <c r="J383" s="251">
        <f>E354</f>
        <v>4432</v>
      </c>
      <c r="K383" s="251">
        <f>$F$354</f>
        <v>4149</v>
      </c>
      <c r="L383" s="255">
        <f>K383-J383</f>
        <v>-283</v>
      </c>
    </row>
    <row r="384" spans="2:14" ht="15" customHeight="1" x14ac:dyDescent="0.25">
      <c r="B384" s="248" t="s">
        <v>97</v>
      </c>
      <c r="C384" s="249"/>
      <c r="D384" s="250"/>
      <c r="E384" s="251">
        <f>E361</f>
        <v>78</v>
      </c>
      <c r="F384" s="251">
        <f>$F$361</f>
        <v>77.583333333333329</v>
      </c>
      <c r="G384" s="252">
        <f t="shared" si="63"/>
        <v>-0.4166666666666714</v>
      </c>
      <c r="H384" s="253">
        <f>E362</f>
        <v>474652</v>
      </c>
      <c r="I384" s="253">
        <f>$F$362</f>
        <v>474344</v>
      </c>
      <c r="J384" s="251"/>
      <c r="K384" s="251"/>
      <c r="L384" s="255">
        <f>I384-H384</f>
        <v>-308</v>
      </c>
    </row>
    <row r="385" spans="2:12" ht="15" customHeight="1" x14ac:dyDescent="0.25">
      <c r="B385" s="248" t="s">
        <v>198</v>
      </c>
      <c r="C385" s="249"/>
      <c r="D385" s="250"/>
      <c r="E385" s="251">
        <f t="shared" ref="E385:L385" si="64">SUM(E379:E384)</f>
        <v>18369</v>
      </c>
      <c r="F385" s="251">
        <f t="shared" si="64"/>
        <v>18286.166666666664</v>
      </c>
      <c r="G385" s="251">
        <f t="shared" si="64"/>
        <v>-82.833333333333186</v>
      </c>
      <c r="H385" s="251">
        <f t="shared" si="64"/>
        <v>233355655</v>
      </c>
      <c r="I385" s="251">
        <f t="shared" si="64"/>
        <v>232845910.19703764</v>
      </c>
      <c r="J385" s="251">
        <f t="shared" si="64"/>
        <v>152390</v>
      </c>
      <c r="K385" s="251">
        <f t="shared" si="64"/>
        <v>135367</v>
      </c>
      <c r="L385" s="251">
        <f t="shared" si="64"/>
        <v>-71354</v>
      </c>
    </row>
    <row r="387" spans="2:12" ht="15" customHeight="1" x14ac:dyDescent="0.25">
      <c r="B387" s="394" t="s">
        <v>254</v>
      </c>
      <c r="C387" s="394"/>
      <c r="D387" s="394"/>
      <c r="E387" s="394"/>
      <c r="F387" s="394"/>
      <c r="G387" s="394"/>
      <c r="H387" s="394"/>
      <c r="I387" s="394"/>
      <c r="J387" s="394"/>
      <c r="K387" s="394"/>
      <c r="L387" s="394"/>
    </row>
    <row r="388" spans="2:12" ht="15" customHeight="1" x14ac:dyDescent="0.25">
      <c r="B388" s="395"/>
      <c r="C388" s="396"/>
      <c r="D388" s="397"/>
      <c r="E388" s="395" t="s">
        <v>194</v>
      </c>
      <c r="F388" s="396"/>
      <c r="G388" s="397"/>
      <c r="H388" s="398" t="s">
        <v>90</v>
      </c>
      <c r="I388" s="398"/>
      <c r="J388" s="398" t="s">
        <v>195</v>
      </c>
      <c r="K388" s="398"/>
      <c r="L388" s="309"/>
    </row>
    <row r="389" spans="2:12" ht="21" x14ac:dyDescent="0.25">
      <c r="B389" s="391" t="s">
        <v>196</v>
      </c>
      <c r="C389" s="392"/>
      <c r="D389" s="393"/>
      <c r="E389" s="311" t="str">
        <f>F378</f>
        <v xml:space="preserve">2013 Actual </v>
      </c>
      <c r="F389" s="311" t="s">
        <v>161</v>
      </c>
      <c r="G389" s="311" t="s">
        <v>39</v>
      </c>
      <c r="H389" s="310" t="str">
        <f>E389</f>
        <v xml:space="preserve">2013 Actual </v>
      </c>
      <c r="I389" s="311" t="str">
        <f>F389</f>
        <v xml:space="preserve">2014 Actual </v>
      </c>
      <c r="J389" s="310" t="str">
        <f>E389</f>
        <v xml:space="preserve">2013 Actual </v>
      </c>
      <c r="K389" s="311" t="str">
        <f>F389</f>
        <v xml:space="preserve">2014 Actual </v>
      </c>
      <c r="L389" s="310" t="s">
        <v>197</v>
      </c>
    </row>
    <row r="390" spans="2:12" ht="15" customHeight="1" x14ac:dyDescent="0.25">
      <c r="B390" s="248" t="str">
        <f t="shared" ref="B390:B395" si="65">B379</f>
        <v>Residential</v>
      </c>
      <c r="C390" s="249"/>
      <c r="D390" s="250"/>
      <c r="E390" s="251">
        <f>F379</f>
        <v>14181</v>
      </c>
      <c r="F390" s="251">
        <f>$G$320</f>
        <v>14509.166666666666</v>
      </c>
      <c r="G390" s="252">
        <f t="shared" ref="G390:G395" si="66">F390-E390</f>
        <v>328.16666666666606</v>
      </c>
      <c r="H390" s="253">
        <f>I379</f>
        <v>148837682</v>
      </c>
      <c r="I390" s="253">
        <f>$G$321</f>
        <v>153331484.31999999</v>
      </c>
      <c r="J390" s="251"/>
      <c r="K390" s="254"/>
      <c r="L390" s="255">
        <f>I390-H390</f>
        <v>4493802.3199999928</v>
      </c>
    </row>
    <row r="391" spans="2:12" ht="15" customHeight="1" x14ac:dyDescent="0.25">
      <c r="B391" s="248" t="str">
        <f t="shared" si="65"/>
        <v>General Service &lt; 50 kW</v>
      </c>
      <c r="C391" s="249"/>
      <c r="D391" s="250"/>
      <c r="E391" s="251">
        <f t="shared" ref="E391:E395" si="67">F380</f>
        <v>949.25</v>
      </c>
      <c r="F391" s="251">
        <f>$G$327</f>
        <v>991.25</v>
      </c>
      <c r="G391" s="252">
        <f t="shared" si="66"/>
        <v>42</v>
      </c>
      <c r="H391" s="253">
        <f t="shared" ref="H391:H395" si="68">I380</f>
        <v>31038184</v>
      </c>
      <c r="I391" s="253">
        <f>$G$328</f>
        <v>32222518.180000003</v>
      </c>
      <c r="J391" s="251"/>
      <c r="K391" s="254"/>
      <c r="L391" s="255">
        <f>I391-H391</f>
        <v>1184334.1800000034</v>
      </c>
    </row>
    <row r="392" spans="2:12" ht="15" customHeight="1" x14ac:dyDescent="0.25">
      <c r="B392" s="248" t="str">
        <f t="shared" si="65"/>
        <v>General Service 50 to 4,999 kW</v>
      </c>
      <c r="C392" s="249"/>
      <c r="D392" s="250"/>
      <c r="E392" s="251">
        <f t="shared" si="67"/>
        <v>67</v>
      </c>
      <c r="F392" s="251">
        <f>$G$334</f>
        <v>67.166666666666671</v>
      </c>
      <c r="G392" s="252">
        <f t="shared" si="66"/>
        <v>0.1666666666666714</v>
      </c>
      <c r="H392" s="253">
        <f t="shared" si="68"/>
        <v>50921722</v>
      </c>
      <c r="I392" s="253">
        <f>$G$335</f>
        <v>50592266.850000001</v>
      </c>
      <c r="J392" s="251">
        <f>K381</f>
        <v>130935</v>
      </c>
      <c r="K392" s="251">
        <f>$G$336</f>
        <v>135393.63999999998</v>
      </c>
      <c r="L392" s="255">
        <f>K392-J392</f>
        <v>4458.6399999999849</v>
      </c>
    </row>
    <row r="393" spans="2:12" ht="15" customHeight="1" x14ac:dyDescent="0.25">
      <c r="B393" s="248" t="str">
        <f t="shared" si="65"/>
        <v>Sentinel Lighting</v>
      </c>
      <c r="C393" s="249"/>
      <c r="D393" s="250"/>
      <c r="E393" s="251">
        <f t="shared" si="67"/>
        <v>168</v>
      </c>
      <c r="F393" s="251">
        <f>$G$343</f>
        <v>169.41666666666666</v>
      </c>
      <c r="G393" s="252">
        <f t="shared" si="66"/>
        <v>1.4166666666666572</v>
      </c>
      <c r="H393" s="253">
        <f t="shared" si="68"/>
        <v>101843.93410009757</v>
      </c>
      <c r="I393" s="253">
        <f>$G$344</f>
        <v>107980</v>
      </c>
      <c r="J393" s="251">
        <f t="shared" ref="J393:J394" si="69">K382</f>
        <v>283</v>
      </c>
      <c r="K393" s="251">
        <f>$G$345</f>
        <v>299.94344444444442</v>
      </c>
      <c r="L393" s="255">
        <f>K393-J393</f>
        <v>16.943444444444424</v>
      </c>
    </row>
    <row r="394" spans="2:12" ht="15" customHeight="1" x14ac:dyDescent="0.25">
      <c r="B394" s="248" t="str">
        <f t="shared" si="65"/>
        <v>Street Lighting</v>
      </c>
      <c r="C394" s="249"/>
      <c r="D394" s="250"/>
      <c r="E394" s="251">
        <f t="shared" si="67"/>
        <v>2843.3333333333335</v>
      </c>
      <c r="F394" s="251">
        <f>$G$352</f>
        <v>2923.3333333333335</v>
      </c>
      <c r="G394" s="252">
        <f t="shared" si="66"/>
        <v>80</v>
      </c>
      <c r="H394" s="253">
        <f t="shared" si="68"/>
        <v>1472134.2629375483</v>
      </c>
      <c r="I394" s="253">
        <f>$G$353</f>
        <v>1625553.4323642934</v>
      </c>
      <c r="J394" s="251">
        <f t="shared" si="69"/>
        <v>4149</v>
      </c>
      <c r="K394" s="251">
        <f>$G$354</f>
        <v>4581.3899999999994</v>
      </c>
      <c r="L394" s="255">
        <f>K394-J394</f>
        <v>432.38999999999942</v>
      </c>
    </row>
    <row r="395" spans="2:12" ht="15" customHeight="1" x14ac:dyDescent="0.25">
      <c r="B395" s="248" t="str">
        <f t="shared" si="65"/>
        <v>Unmetered Scattered Load</v>
      </c>
      <c r="C395" s="249"/>
      <c r="D395" s="250"/>
      <c r="E395" s="251">
        <f t="shared" si="67"/>
        <v>77.583333333333329</v>
      </c>
      <c r="F395" s="251">
        <f>$G$361</f>
        <v>75.583333333333329</v>
      </c>
      <c r="G395" s="252">
        <f t="shared" si="66"/>
        <v>-2</v>
      </c>
      <c r="H395" s="253">
        <f t="shared" si="68"/>
        <v>474344</v>
      </c>
      <c r="I395" s="253">
        <f>$G$362</f>
        <v>467561.7</v>
      </c>
      <c r="J395" s="251"/>
      <c r="K395" s="251"/>
      <c r="L395" s="255">
        <f>I395-H395</f>
        <v>-6782.2999999999884</v>
      </c>
    </row>
    <row r="396" spans="2:12" ht="15" customHeight="1" x14ac:dyDescent="0.25">
      <c r="B396" s="248" t="s">
        <v>198</v>
      </c>
      <c r="C396" s="249"/>
      <c r="D396" s="250"/>
      <c r="E396" s="251">
        <f>SUM(E390:E395)</f>
        <v>18286.166666666664</v>
      </c>
      <c r="F396" s="251">
        <f t="shared" ref="F396:L396" si="70">SUM(F390:F395)</f>
        <v>18735.916666666664</v>
      </c>
      <c r="G396" s="251">
        <f t="shared" si="70"/>
        <v>449.74999999999943</v>
      </c>
      <c r="H396" s="251">
        <f t="shared" si="70"/>
        <v>232845910.19703764</v>
      </c>
      <c r="I396" s="251">
        <f t="shared" si="70"/>
        <v>238347364.48236427</v>
      </c>
      <c r="J396" s="251">
        <f t="shared" si="70"/>
        <v>135367</v>
      </c>
      <c r="K396" s="251">
        <f t="shared" si="70"/>
        <v>140274.97344444442</v>
      </c>
      <c r="L396" s="251">
        <f t="shared" si="70"/>
        <v>5676262.1734444406</v>
      </c>
    </row>
    <row r="398" spans="2:12" ht="15" customHeight="1" x14ac:dyDescent="0.25">
      <c r="B398" s="394" t="s">
        <v>255</v>
      </c>
      <c r="C398" s="394"/>
      <c r="D398" s="394"/>
      <c r="E398" s="394"/>
      <c r="F398" s="394"/>
      <c r="G398" s="394"/>
      <c r="H398" s="394"/>
      <c r="I398" s="394"/>
      <c r="J398" s="394"/>
      <c r="K398" s="394"/>
      <c r="L398" s="394"/>
    </row>
    <row r="399" spans="2:12" ht="15" customHeight="1" x14ac:dyDescent="0.25">
      <c r="B399" s="395"/>
      <c r="C399" s="396"/>
      <c r="D399" s="397"/>
      <c r="E399" s="395" t="s">
        <v>194</v>
      </c>
      <c r="F399" s="396"/>
      <c r="G399" s="397"/>
      <c r="H399" s="398" t="s">
        <v>90</v>
      </c>
      <c r="I399" s="398"/>
      <c r="J399" s="398" t="s">
        <v>195</v>
      </c>
      <c r="K399" s="398"/>
      <c r="L399" s="309"/>
    </row>
    <row r="400" spans="2:12" ht="21" x14ac:dyDescent="0.25">
      <c r="B400" s="391" t="s">
        <v>196</v>
      </c>
      <c r="C400" s="392"/>
      <c r="D400" s="393"/>
      <c r="E400" s="311" t="str">
        <f>F389</f>
        <v xml:space="preserve">2014 Actual </v>
      </c>
      <c r="F400" s="311" t="s">
        <v>126</v>
      </c>
      <c r="G400" s="311" t="s">
        <v>39</v>
      </c>
      <c r="H400" s="310" t="str">
        <f>E400</f>
        <v xml:space="preserve">2014 Actual </v>
      </c>
      <c r="I400" s="311" t="str">
        <f>F400</f>
        <v>2015 Actual</v>
      </c>
      <c r="J400" s="310" t="str">
        <f>E400</f>
        <v xml:space="preserve">2014 Actual </v>
      </c>
      <c r="K400" s="311" t="str">
        <f>F400</f>
        <v>2015 Actual</v>
      </c>
      <c r="L400" s="310" t="s">
        <v>197</v>
      </c>
    </row>
    <row r="401" spans="2:12" ht="15" customHeight="1" x14ac:dyDescent="0.25">
      <c r="B401" s="248" t="str">
        <f t="shared" ref="B401:B406" si="71">B390</f>
        <v>Residential</v>
      </c>
      <c r="C401" s="249"/>
      <c r="D401" s="250"/>
      <c r="E401" s="251">
        <f>F390</f>
        <v>14509.166666666666</v>
      </c>
      <c r="F401" s="251">
        <f>$H$320</f>
        <v>14861.583333333334</v>
      </c>
      <c r="G401" s="252">
        <f t="shared" ref="G401:G406" si="72">F401-E401</f>
        <v>352.41666666666788</v>
      </c>
      <c r="H401" s="253">
        <f>I390</f>
        <v>153331484.31999999</v>
      </c>
      <c r="I401" s="253">
        <f>$H$321</f>
        <v>151892216</v>
      </c>
      <c r="J401" s="251"/>
      <c r="K401" s="254"/>
      <c r="L401" s="255">
        <f>I401-H401</f>
        <v>-1439268.3199999928</v>
      </c>
    </row>
    <row r="402" spans="2:12" ht="15" customHeight="1" x14ac:dyDescent="0.25">
      <c r="B402" s="248" t="str">
        <f t="shared" si="71"/>
        <v>General Service &lt; 50 kW</v>
      </c>
      <c r="C402" s="249"/>
      <c r="D402" s="250"/>
      <c r="E402" s="251">
        <f t="shared" ref="E402:E406" si="73">F391</f>
        <v>991.25</v>
      </c>
      <c r="F402" s="251">
        <f>$H$327</f>
        <v>1000.5833333333334</v>
      </c>
      <c r="G402" s="252">
        <f t="shared" si="72"/>
        <v>9.3333333333333712</v>
      </c>
      <c r="H402" s="253">
        <f t="shared" ref="H402:H406" si="74">I391</f>
        <v>32222518.180000003</v>
      </c>
      <c r="I402" s="253">
        <f>$H$328</f>
        <v>34381050</v>
      </c>
      <c r="J402" s="251"/>
      <c r="K402" s="254"/>
      <c r="L402" s="255">
        <f>I402-H402</f>
        <v>2158531.8199999966</v>
      </c>
    </row>
    <row r="403" spans="2:12" ht="15" customHeight="1" x14ac:dyDescent="0.25">
      <c r="B403" s="248" t="str">
        <f t="shared" si="71"/>
        <v>General Service 50 to 4,999 kW</v>
      </c>
      <c r="C403" s="249"/>
      <c r="D403" s="250"/>
      <c r="E403" s="251">
        <f t="shared" si="73"/>
        <v>67.166666666666671</v>
      </c>
      <c r="F403" s="251">
        <f>$H$334</f>
        <v>71.5</v>
      </c>
      <c r="G403" s="252">
        <f t="shared" si="72"/>
        <v>4.3333333333333286</v>
      </c>
      <c r="H403" s="253">
        <f t="shared" si="74"/>
        <v>50592266.850000001</v>
      </c>
      <c r="I403" s="253">
        <f>$H$335</f>
        <v>54636276</v>
      </c>
      <c r="J403" s="251">
        <f>K392</f>
        <v>135393.63999999998</v>
      </c>
      <c r="K403" s="251">
        <f>$H$336</f>
        <v>141986.79999999999</v>
      </c>
      <c r="L403" s="255">
        <f>K403-J403</f>
        <v>6593.1600000000035</v>
      </c>
    </row>
    <row r="404" spans="2:12" ht="15" customHeight="1" x14ac:dyDescent="0.25">
      <c r="B404" s="248" t="str">
        <f t="shared" si="71"/>
        <v>Sentinel Lighting</v>
      </c>
      <c r="C404" s="249"/>
      <c r="D404" s="250"/>
      <c r="E404" s="251">
        <f t="shared" si="73"/>
        <v>169.41666666666666</v>
      </c>
      <c r="F404" s="251">
        <f>$H$343</f>
        <v>165.75</v>
      </c>
      <c r="G404" s="252">
        <f t="shared" si="72"/>
        <v>-3.6666666666666572</v>
      </c>
      <c r="H404" s="253">
        <f t="shared" si="74"/>
        <v>107980</v>
      </c>
      <c r="I404" s="253">
        <f>$H$344</f>
        <v>103536</v>
      </c>
      <c r="J404" s="251">
        <f t="shared" ref="J404:J405" si="75">K393</f>
        <v>299.94344444444442</v>
      </c>
      <c r="K404" s="251">
        <f>$H$345</f>
        <v>287.601</v>
      </c>
      <c r="L404" s="255">
        <f>K404-J404</f>
        <v>-12.342444444444425</v>
      </c>
    </row>
    <row r="405" spans="2:12" ht="15" customHeight="1" x14ac:dyDescent="0.25">
      <c r="B405" s="248" t="str">
        <f t="shared" si="71"/>
        <v>Street Lighting</v>
      </c>
      <c r="C405" s="249"/>
      <c r="D405" s="250"/>
      <c r="E405" s="251">
        <f t="shared" si="73"/>
        <v>2923.3333333333335</v>
      </c>
      <c r="F405" s="251">
        <f>$H$352</f>
        <v>2897.6666666666665</v>
      </c>
      <c r="G405" s="252">
        <f t="shared" si="72"/>
        <v>-25.66666666666697</v>
      </c>
      <c r="H405" s="253">
        <f t="shared" si="74"/>
        <v>1625553.4323642934</v>
      </c>
      <c r="I405" s="253">
        <f>$H$353</f>
        <v>1106444</v>
      </c>
      <c r="J405" s="251">
        <f t="shared" si="75"/>
        <v>4581.3899999999994</v>
      </c>
      <c r="K405" s="251">
        <f>$H$354</f>
        <v>3139.7699999999995</v>
      </c>
      <c r="L405" s="255">
        <f>K405-J405</f>
        <v>-1441.62</v>
      </c>
    </row>
    <row r="406" spans="2:12" ht="15" customHeight="1" x14ac:dyDescent="0.25">
      <c r="B406" s="248" t="str">
        <f t="shared" si="71"/>
        <v>Unmetered Scattered Load</v>
      </c>
      <c r="C406" s="249"/>
      <c r="D406" s="250"/>
      <c r="E406" s="251">
        <f t="shared" si="73"/>
        <v>75.583333333333329</v>
      </c>
      <c r="F406" s="251">
        <f>$H$361</f>
        <v>76</v>
      </c>
      <c r="G406" s="252">
        <f t="shared" si="72"/>
        <v>0.4166666666666714</v>
      </c>
      <c r="H406" s="253">
        <f t="shared" si="74"/>
        <v>467561.7</v>
      </c>
      <c r="I406" s="253">
        <f>$H$362</f>
        <v>467455</v>
      </c>
      <c r="J406" s="251"/>
      <c r="K406" s="251"/>
      <c r="L406" s="255">
        <f>I406-H406</f>
        <v>-106.70000000001164</v>
      </c>
    </row>
    <row r="407" spans="2:12" ht="15" customHeight="1" x14ac:dyDescent="0.25">
      <c r="B407" s="248" t="s">
        <v>198</v>
      </c>
      <c r="C407" s="249"/>
      <c r="D407" s="250"/>
      <c r="E407" s="251">
        <f>SUM(E401:E406)</f>
        <v>18735.916666666664</v>
      </c>
      <c r="F407" s="251">
        <f t="shared" ref="F407:L407" si="76">SUM(F401:F406)</f>
        <v>19073.083333333336</v>
      </c>
      <c r="G407" s="251">
        <f t="shared" si="76"/>
        <v>337.1666666666676</v>
      </c>
      <c r="H407" s="251">
        <f t="shared" si="76"/>
        <v>238347364.48236427</v>
      </c>
      <c r="I407" s="251">
        <f t="shared" si="76"/>
        <v>242586977</v>
      </c>
      <c r="J407" s="251">
        <f t="shared" si="76"/>
        <v>140274.97344444442</v>
      </c>
      <c r="K407" s="251">
        <f t="shared" si="76"/>
        <v>145414.17099999997</v>
      </c>
      <c r="L407" s="251">
        <f t="shared" si="76"/>
        <v>724295.99755555927</v>
      </c>
    </row>
    <row r="410" spans="2:12" ht="15" customHeight="1" x14ac:dyDescent="0.25">
      <c r="B410" s="394" t="s">
        <v>287</v>
      </c>
      <c r="C410" s="394"/>
      <c r="D410" s="394"/>
      <c r="E410" s="394"/>
      <c r="F410" s="394"/>
      <c r="G410" s="394"/>
      <c r="H410" s="394"/>
      <c r="I410" s="394"/>
      <c r="J410" s="394"/>
      <c r="K410" s="394"/>
      <c r="L410" s="394"/>
    </row>
    <row r="411" spans="2:12" ht="15" customHeight="1" x14ac:dyDescent="0.25">
      <c r="B411" s="395"/>
      <c r="C411" s="396"/>
      <c r="D411" s="397"/>
      <c r="E411" s="395" t="s">
        <v>194</v>
      </c>
      <c r="F411" s="396"/>
      <c r="G411" s="397"/>
      <c r="H411" s="398" t="s">
        <v>90</v>
      </c>
      <c r="I411" s="398"/>
      <c r="J411" s="398" t="s">
        <v>195</v>
      </c>
      <c r="K411" s="398"/>
      <c r="L411" s="309"/>
    </row>
    <row r="412" spans="2:12" ht="21" x14ac:dyDescent="0.25">
      <c r="B412" s="391" t="s">
        <v>196</v>
      </c>
      <c r="C412" s="392"/>
      <c r="D412" s="393"/>
      <c r="E412" s="311" t="str">
        <f>F400</f>
        <v>2015 Actual</v>
      </c>
      <c r="F412" s="311" t="s">
        <v>265</v>
      </c>
      <c r="G412" s="311" t="s">
        <v>39</v>
      </c>
      <c r="H412" s="310" t="str">
        <f>E412</f>
        <v>2015 Actual</v>
      </c>
      <c r="I412" s="311" t="str">
        <f>F412</f>
        <v>2016 Actual</v>
      </c>
      <c r="J412" s="310" t="str">
        <f>E412</f>
        <v>2015 Actual</v>
      </c>
      <c r="K412" s="311" t="str">
        <f>F412</f>
        <v>2016 Actual</v>
      </c>
      <c r="L412" s="310" t="s">
        <v>197</v>
      </c>
    </row>
    <row r="413" spans="2:12" ht="15" customHeight="1" x14ac:dyDescent="0.25">
      <c r="B413" s="248" t="str">
        <f t="shared" ref="B413:B418" si="77">B401</f>
        <v>Residential</v>
      </c>
      <c r="C413" s="249"/>
      <c r="D413" s="250"/>
      <c r="E413" s="251">
        <f>F401</f>
        <v>14861.583333333334</v>
      </c>
      <c r="F413" s="251">
        <f>$I$320</f>
        <v>15201.583333333334</v>
      </c>
      <c r="G413" s="252">
        <f t="shared" ref="G413:G418" si="78">F413-E413</f>
        <v>340</v>
      </c>
      <c r="H413" s="253">
        <f t="shared" ref="H413:H418" si="79">I401</f>
        <v>151892216</v>
      </c>
      <c r="I413" s="253">
        <f>$I$321</f>
        <v>149508941.91</v>
      </c>
      <c r="J413" s="251"/>
      <c r="K413" s="254"/>
      <c r="L413" s="255">
        <f>I413-H413</f>
        <v>-2383274.0900000036</v>
      </c>
    </row>
    <row r="414" spans="2:12" ht="15" customHeight="1" x14ac:dyDescent="0.25">
      <c r="B414" s="248" t="str">
        <f t="shared" si="77"/>
        <v>General Service &lt; 50 kW</v>
      </c>
      <c r="C414" s="249"/>
      <c r="D414" s="250"/>
      <c r="E414" s="251">
        <f>F402</f>
        <v>1000.5833333333334</v>
      </c>
      <c r="F414" s="251">
        <f>$I$327</f>
        <v>1016.25</v>
      </c>
      <c r="G414" s="252">
        <f t="shared" si="78"/>
        <v>15.666666666666629</v>
      </c>
      <c r="H414" s="253">
        <f t="shared" si="79"/>
        <v>34381050</v>
      </c>
      <c r="I414" s="253">
        <f>$I$328</f>
        <v>33411508.120000005</v>
      </c>
      <c r="J414" s="251"/>
      <c r="K414" s="254"/>
      <c r="L414" s="255">
        <f>I414-H414</f>
        <v>-969541.87999999523</v>
      </c>
    </row>
    <row r="415" spans="2:12" ht="15" customHeight="1" x14ac:dyDescent="0.25">
      <c r="B415" s="248" t="str">
        <f t="shared" si="77"/>
        <v>General Service 50 to 4,999 kW</v>
      </c>
      <c r="C415" s="249"/>
      <c r="D415" s="250"/>
      <c r="E415" s="251">
        <f>F403</f>
        <v>71.5</v>
      </c>
      <c r="F415" s="251">
        <f>$I$334</f>
        <v>75.583333333333329</v>
      </c>
      <c r="G415" s="252">
        <f t="shared" si="78"/>
        <v>4.0833333333333286</v>
      </c>
      <c r="H415" s="253">
        <f t="shared" si="79"/>
        <v>54636276</v>
      </c>
      <c r="I415" s="253">
        <f>$I$335</f>
        <v>57980607.439999998</v>
      </c>
      <c r="J415" s="251">
        <f>K403</f>
        <v>141986.79999999999</v>
      </c>
      <c r="K415" s="251">
        <f>$I$336</f>
        <v>141986.79999999999</v>
      </c>
      <c r="L415" s="255">
        <f>K415-J415</f>
        <v>0</v>
      </c>
    </row>
    <row r="416" spans="2:12" ht="15" customHeight="1" x14ac:dyDescent="0.25">
      <c r="B416" s="248" t="str">
        <f t="shared" si="77"/>
        <v>Sentinel Lighting</v>
      </c>
      <c r="C416" s="249"/>
      <c r="D416" s="250"/>
      <c r="E416" s="251">
        <f>I343</f>
        <v>166.08333333333334</v>
      </c>
      <c r="F416" s="251">
        <f>$I$343</f>
        <v>166.08333333333334</v>
      </c>
      <c r="G416" s="252">
        <f t="shared" si="78"/>
        <v>0</v>
      </c>
      <c r="H416" s="253">
        <f t="shared" si="79"/>
        <v>103536</v>
      </c>
      <c r="I416" s="253">
        <f>$I$344</f>
        <v>106305.36</v>
      </c>
      <c r="J416" s="251">
        <f>I345</f>
        <v>295.29266666666666</v>
      </c>
      <c r="K416" s="251">
        <f>$I$345</f>
        <v>295.29266666666666</v>
      </c>
      <c r="L416" s="255">
        <f>K416-J416</f>
        <v>0</v>
      </c>
    </row>
    <row r="417" spans="2:24" ht="15" customHeight="1" x14ac:dyDescent="0.25">
      <c r="B417" s="248" t="str">
        <f t="shared" si="77"/>
        <v>Street Lighting</v>
      </c>
      <c r="C417" s="249"/>
      <c r="D417" s="250"/>
      <c r="E417" s="251">
        <f>F405</f>
        <v>2897.6666666666665</v>
      </c>
      <c r="F417" s="251">
        <f>$I$352</f>
        <v>2863.1666666666665</v>
      </c>
      <c r="G417" s="252">
        <f t="shared" si="78"/>
        <v>-34.5</v>
      </c>
      <c r="H417" s="253">
        <f t="shared" si="79"/>
        <v>1106444</v>
      </c>
      <c r="I417" s="253">
        <f>$I$353</f>
        <v>536549.52</v>
      </c>
      <c r="J417" s="251">
        <f>K405</f>
        <v>3139.7699999999995</v>
      </c>
      <c r="K417" s="251">
        <f>$I$354</f>
        <v>1641.29</v>
      </c>
      <c r="L417" s="255">
        <f>K417-J417</f>
        <v>-1498.4799999999996</v>
      </c>
    </row>
    <row r="418" spans="2:24" ht="15" customHeight="1" x14ac:dyDescent="0.25">
      <c r="B418" s="248" t="str">
        <f t="shared" si="77"/>
        <v>Unmetered Scattered Load</v>
      </c>
      <c r="C418" s="249"/>
      <c r="D418" s="250"/>
      <c r="E418" s="251">
        <f>F406</f>
        <v>76</v>
      </c>
      <c r="F418" s="251">
        <f>$I$361</f>
        <v>75.333333333333329</v>
      </c>
      <c r="G418" s="252">
        <f t="shared" si="78"/>
        <v>-0.6666666666666714</v>
      </c>
      <c r="H418" s="253">
        <f t="shared" si="79"/>
        <v>467455</v>
      </c>
      <c r="I418" s="253">
        <f>$I$362</f>
        <v>472405.55</v>
      </c>
      <c r="J418" s="251"/>
      <c r="K418" s="251"/>
      <c r="L418" s="255">
        <f>I418-H418</f>
        <v>4950.5499999999884</v>
      </c>
    </row>
    <row r="419" spans="2:24" ht="15" customHeight="1" x14ac:dyDescent="0.25">
      <c r="B419" s="248" t="s">
        <v>198</v>
      </c>
      <c r="C419" s="249"/>
      <c r="D419" s="250"/>
      <c r="E419" s="251">
        <f>SUM(E413:E418)</f>
        <v>19073.416666666668</v>
      </c>
      <c r="F419" s="251">
        <f t="shared" ref="F419:L419" si="80">SUM(F413:F418)</f>
        <v>19398</v>
      </c>
      <c r="G419" s="251">
        <f t="shared" si="80"/>
        <v>324.58333333333326</v>
      </c>
      <c r="H419" s="251">
        <f t="shared" si="80"/>
        <v>242586977</v>
      </c>
      <c r="I419" s="251">
        <f t="shared" si="80"/>
        <v>242016317.90000004</v>
      </c>
      <c r="J419" s="251">
        <f t="shared" si="80"/>
        <v>145421.86266666665</v>
      </c>
      <c r="K419" s="251">
        <f t="shared" si="80"/>
        <v>143923.38266666667</v>
      </c>
      <c r="L419" s="251">
        <f t="shared" si="80"/>
        <v>-3349363.899999999</v>
      </c>
    </row>
    <row r="421" spans="2:24" ht="15" customHeight="1" x14ac:dyDescent="0.25">
      <c r="B421" s="394" t="s">
        <v>286</v>
      </c>
      <c r="C421" s="394"/>
      <c r="D421" s="394"/>
      <c r="E421" s="394"/>
      <c r="F421" s="394"/>
      <c r="G421" s="394"/>
      <c r="H421" s="394"/>
      <c r="I421" s="394"/>
      <c r="J421" s="394"/>
      <c r="K421" s="394"/>
      <c r="L421" s="394"/>
    </row>
    <row r="422" spans="2:24" s="256" customFormat="1" ht="15" customHeight="1" x14ac:dyDescent="0.25">
      <c r="B422" s="395"/>
      <c r="C422" s="396"/>
      <c r="D422" s="397"/>
      <c r="E422" s="395" t="s">
        <v>194</v>
      </c>
      <c r="F422" s="396"/>
      <c r="G422" s="397"/>
      <c r="H422" s="398" t="s">
        <v>90</v>
      </c>
      <c r="I422" s="398"/>
      <c r="J422" s="398" t="s">
        <v>195</v>
      </c>
      <c r="K422" s="398"/>
      <c r="L422" s="309"/>
      <c r="R422"/>
      <c r="S422"/>
      <c r="T422"/>
      <c r="U422"/>
      <c r="V422"/>
      <c r="W422"/>
      <c r="X422"/>
    </row>
    <row r="423" spans="2:24" ht="21" x14ac:dyDescent="0.25">
      <c r="B423" s="391" t="s">
        <v>196</v>
      </c>
      <c r="C423" s="392"/>
      <c r="D423" s="393"/>
      <c r="E423" s="311" t="str">
        <f>F412</f>
        <v>2016 Actual</v>
      </c>
      <c r="F423" s="311" t="s">
        <v>256</v>
      </c>
      <c r="G423" s="311" t="s">
        <v>39</v>
      </c>
      <c r="H423" s="310" t="str">
        <f>E423</f>
        <v>2016 Actual</v>
      </c>
      <c r="I423" s="311" t="str">
        <f>F423</f>
        <v>2017 Test</v>
      </c>
      <c r="J423" s="310" t="str">
        <f>E423</f>
        <v>2016 Actual</v>
      </c>
      <c r="K423" s="311" t="str">
        <f>F423</f>
        <v>2017 Test</v>
      </c>
      <c r="L423" s="310" t="s">
        <v>197</v>
      </c>
    </row>
    <row r="424" spans="2:24" ht="15" customHeight="1" x14ac:dyDescent="0.25">
      <c r="B424" s="248" t="str">
        <f t="shared" ref="B424:B429" si="81">B413</f>
        <v>Residential</v>
      </c>
      <c r="C424" s="249"/>
      <c r="D424" s="250"/>
      <c r="E424" s="251">
        <f>F413</f>
        <v>15201.583333333334</v>
      </c>
      <c r="F424" s="251">
        <f>$J$320</f>
        <v>15459.364493237083</v>
      </c>
      <c r="G424" s="252">
        <f t="shared" ref="G424:G429" si="82">F424-E424</f>
        <v>257.78115990374863</v>
      </c>
      <c r="H424" s="251">
        <f>I413</f>
        <v>149508941.91</v>
      </c>
      <c r="I424" s="253">
        <f>$J$321</f>
        <v>149174008.31039718</v>
      </c>
      <c r="J424" s="251"/>
      <c r="K424" s="254"/>
      <c r="L424" s="255">
        <f>I424-H424</f>
        <v>-334933.59960281849</v>
      </c>
    </row>
    <row r="425" spans="2:24" ht="15" customHeight="1" x14ac:dyDescent="0.25">
      <c r="B425" s="248" t="str">
        <f t="shared" si="81"/>
        <v>General Service &lt; 50 kW</v>
      </c>
      <c r="C425" s="249"/>
      <c r="D425" s="250"/>
      <c r="E425" s="251">
        <f t="shared" ref="E425:E429" si="83">F414</f>
        <v>1016.25</v>
      </c>
      <c r="F425" s="251">
        <f>$J$327</f>
        <v>1042.0096211924233</v>
      </c>
      <c r="G425" s="252">
        <f t="shared" si="82"/>
        <v>25.75962119242331</v>
      </c>
      <c r="H425" s="251">
        <f t="shared" ref="H425:J429" si="84">I414</f>
        <v>33411508.120000005</v>
      </c>
      <c r="I425" s="253">
        <f>$J$328</f>
        <v>32869504.377750032</v>
      </c>
      <c r="J425" s="251"/>
      <c r="K425" s="254"/>
      <c r="L425" s="255">
        <f>I425-H425</f>
        <v>-542003.74224997312</v>
      </c>
    </row>
    <row r="426" spans="2:24" ht="15" customHeight="1" x14ac:dyDescent="0.25">
      <c r="B426" s="248" t="str">
        <f t="shared" si="81"/>
        <v>General Service 50 to 4,999 kW</v>
      </c>
      <c r="C426" s="249"/>
      <c r="D426" s="250"/>
      <c r="E426" s="251">
        <f t="shared" si="83"/>
        <v>75.583333333333329</v>
      </c>
      <c r="F426" s="251">
        <f>$J$334</f>
        <v>75.649663863218251</v>
      </c>
      <c r="G426" s="252">
        <f t="shared" si="82"/>
        <v>6.6330529884922385E-2</v>
      </c>
      <c r="H426" s="251">
        <f t="shared" si="84"/>
        <v>57980607.439999998</v>
      </c>
      <c r="I426" s="253">
        <f>$J$335</f>
        <v>56130544.059063353</v>
      </c>
      <c r="J426" s="251">
        <f t="shared" si="84"/>
        <v>141986.79999999999</v>
      </c>
      <c r="K426" s="251">
        <f>$J$336</f>
        <v>155585.42387524614</v>
      </c>
      <c r="L426" s="255">
        <f>K426-J426</f>
        <v>13598.62387524615</v>
      </c>
    </row>
    <row r="427" spans="2:24" ht="15" customHeight="1" x14ac:dyDescent="0.25">
      <c r="B427" s="248" t="str">
        <f t="shared" si="81"/>
        <v>Sentinel Lighting</v>
      </c>
      <c r="C427" s="249"/>
      <c r="D427" s="250"/>
      <c r="E427" s="251">
        <f t="shared" si="83"/>
        <v>166.08333333333334</v>
      </c>
      <c r="F427" s="251">
        <f>$J$343</f>
        <v>163.70751899008945</v>
      </c>
      <c r="G427" s="252">
        <f t="shared" si="82"/>
        <v>-2.3758143432438885</v>
      </c>
      <c r="H427" s="251">
        <f t="shared" si="84"/>
        <v>106305.36</v>
      </c>
      <c r="I427" s="253">
        <f>$J$344</f>
        <v>104784.66677941773</v>
      </c>
      <c r="J427" s="251">
        <f t="shared" si="84"/>
        <v>295.29266666666666</v>
      </c>
      <c r="K427" s="251">
        <f>$J$345</f>
        <v>291.09558155888243</v>
      </c>
      <c r="L427" s="255">
        <f>K427-J427</f>
        <v>-4.1970851077842326</v>
      </c>
    </row>
    <row r="428" spans="2:24" ht="15" customHeight="1" x14ac:dyDescent="0.25">
      <c r="B428" s="248" t="str">
        <f t="shared" si="81"/>
        <v>Street Lighting</v>
      </c>
      <c r="C428" s="249"/>
      <c r="D428" s="250"/>
      <c r="E428" s="251">
        <f t="shared" si="83"/>
        <v>2863.1666666666665</v>
      </c>
      <c r="F428" s="251">
        <f>$J$352</f>
        <v>2918.0959667809479</v>
      </c>
      <c r="G428" s="252">
        <f t="shared" si="82"/>
        <v>54.929300114281432</v>
      </c>
      <c r="H428" s="251">
        <f t="shared" si="84"/>
        <v>536549.52</v>
      </c>
      <c r="I428" s="253">
        <f>$J$353</f>
        <v>546843.11902564298</v>
      </c>
      <c r="J428" s="251">
        <f t="shared" si="84"/>
        <v>1641.29</v>
      </c>
      <c r="K428" s="251">
        <f>$J$354</f>
        <v>1557.684754891854</v>
      </c>
      <c r="L428" s="255">
        <f>K428-J428</f>
        <v>-83.605245108145937</v>
      </c>
    </row>
    <row r="429" spans="2:24" ht="15" customHeight="1" x14ac:dyDescent="0.25">
      <c r="B429" s="248" t="str">
        <f t="shared" si="81"/>
        <v>Unmetered Scattered Load</v>
      </c>
      <c r="C429" s="249"/>
      <c r="D429" s="250"/>
      <c r="E429" s="251">
        <f t="shared" si="83"/>
        <v>75.333333333333329</v>
      </c>
      <c r="F429" s="251">
        <f>$J$361</f>
        <v>73.860991392432041</v>
      </c>
      <c r="G429" s="252">
        <f t="shared" si="82"/>
        <v>-1.4723419409012877</v>
      </c>
      <c r="H429" s="251">
        <f t="shared" si="84"/>
        <v>472405.55</v>
      </c>
      <c r="I429" s="253">
        <f>$J$362</f>
        <v>463257.85922741913</v>
      </c>
      <c r="J429" s="251"/>
      <c r="K429" s="251"/>
      <c r="L429" s="255">
        <f>I429-H429</f>
        <v>-9147.690772580856</v>
      </c>
    </row>
    <row r="430" spans="2:24" ht="15" customHeight="1" x14ac:dyDescent="0.25">
      <c r="B430" s="248" t="s">
        <v>198</v>
      </c>
      <c r="C430" s="249"/>
      <c r="D430" s="250"/>
      <c r="E430" s="251">
        <f>SUM(E424:E429)</f>
        <v>19398</v>
      </c>
      <c r="F430" s="251">
        <f t="shared" ref="F430:L430" si="85">SUM(F424:F429)</f>
        <v>19732.688255456196</v>
      </c>
      <c r="G430" s="251">
        <f t="shared" si="85"/>
        <v>334.68825545619313</v>
      </c>
      <c r="H430" s="251">
        <f t="shared" si="85"/>
        <v>242016317.90000004</v>
      </c>
      <c r="I430" s="251">
        <f t="shared" si="85"/>
        <v>239288942.39224306</v>
      </c>
      <c r="J430" s="251">
        <f t="shared" si="85"/>
        <v>143923.38266666667</v>
      </c>
      <c r="K430" s="251">
        <f t="shared" si="85"/>
        <v>157434.20421169687</v>
      </c>
      <c r="L430" s="251">
        <f t="shared" si="85"/>
        <v>-872574.2110803423</v>
      </c>
    </row>
  </sheetData>
  <mergeCells count="96">
    <mergeCell ref="B423:D423"/>
    <mergeCell ref="B412:D412"/>
    <mergeCell ref="B421:L421"/>
    <mergeCell ref="B422:D422"/>
    <mergeCell ref="E422:G422"/>
    <mergeCell ref="H422:I422"/>
    <mergeCell ref="J422:K422"/>
    <mergeCell ref="B400:D400"/>
    <mergeCell ref="B410:L410"/>
    <mergeCell ref="B411:D411"/>
    <mergeCell ref="E411:G411"/>
    <mergeCell ref="H411:I411"/>
    <mergeCell ref="J411:K411"/>
    <mergeCell ref="B376:L376"/>
    <mergeCell ref="B377:D377"/>
    <mergeCell ref="E377:G377"/>
    <mergeCell ref="H377:I377"/>
    <mergeCell ref="J377:K377"/>
    <mergeCell ref="B389:D389"/>
    <mergeCell ref="B398:L398"/>
    <mergeCell ref="B399:D399"/>
    <mergeCell ref="E399:G399"/>
    <mergeCell ref="H399:I399"/>
    <mergeCell ref="J399:K399"/>
    <mergeCell ref="B378:D378"/>
    <mergeCell ref="B387:L387"/>
    <mergeCell ref="B388:D388"/>
    <mergeCell ref="E388:G388"/>
    <mergeCell ref="H388:I388"/>
    <mergeCell ref="J388:K388"/>
    <mergeCell ref="O216:Q216"/>
    <mergeCell ref="O226:Q226"/>
    <mergeCell ref="O233:Q233"/>
    <mergeCell ref="O240:Q240"/>
    <mergeCell ref="B312:E312"/>
    <mergeCell ref="B272:H272"/>
    <mergeCell ref="B286:G286"/>
    <mergeCell ref="B266:K266"/>
    <mergeCell ref="B267:D267"/>
    <mergeCell ref="B265:D265"/>
    <mergeCell ref="B313:E313"/>
    <mergeCell ref="B314:E314"/>
    <mergeCell ref="B301:H301"/>
    <mergeCell ref="B305:E305"/>
    <mergeCell ref="B306:E306"/>
    <mergeCell ref="B307:E307"/>
    <mergeCell ref="B308:E308"/>
    <mergeCell ref="B168:J168"/>
    <mergeCell ref="B183:J183"/>
    <mergeCell ref="B184:D184"/>
    <mergeCell ref="B120:K120"/>
    <mergeCell ref="B134:J134"/>
    <mergeCell ref="B148:D148"/>
    <mergeCell ref="B150:D150"/>
    <mergeCell ref="B154:J154"/>
    <mergeCell ref="B112:E112"/>
    <mergeCell ref="B95:D95"/>
    <mergeCell ref="B96:D96"/>
    <mergeCell ref="B111:E111"/>
    <mergeCell ref="B67:J67"/>
    <mergeCell ref="B91:D91"/>
    <mergeCell ref="B92:D92"/>
    <mergeCell ref="B93:D93"/>
    <mergeCell ref="B94:D94"/>
    <mergeCell ref="A3:E3"/>
    <mergeCell ref="A4:E4"/>
    <mergeCell ref="A5:E5"/>
    <mergeCell ref="A6:E6"/>
    <mergeCell ref="A7:E7"/>
    <mergeCell ref="B26:D26"/>
    <mergeCell ref="B16:D16"/>
    <mergeCell ref="B17:D17"/>
    <mergeCell ref="B188:K188"/>
    <mergeCell ref="E193:J193"/>
    <mergeCell ref="B49:K49"/>
    <mergeCell ref="B44:D44"/>
    <mergeCell ref="B45:D45"/>
    <mergeCell ref="B18:D18"/>
    <mergeCell ref="B19:D19"/>
    <mergeCell ref="B20:D20"/>
    <mergeCell ref="B21:D21"/>
    <mergeCell ref="B22:D22"/>
    <mergeCell ref="B23:D23"/>
    <mergeCell ref="B24:D24"/>
    <mergeCell ref="B25:D25"/>
    <mergeCell ref="B212:H212"/>
    <mergeCell ref="A250:D250"/>
    <mergeCell ref="B262:K262"/>
    <mergeCell ref="B263:D263"/>
    <mergeCell ref="B264:K264"/>
    <mergeCell ref="A249:D249"/>
    <mergeCell ref="B261:D261"/>
    <mergeCell ref="B258:K258"/>
    <mergeCell ref="B260:K260"/>
    <mergeCell ref="A251:D251"/>
    <mergeCell ref="A252:D252"/>
  </mergeCells>
  <pageMargins left="0.7" right="0.7" top="0.75" bottom="0.75" header="0.3" footer="0.3"/>
  <pageSetup orientation="portrait" r:id="rId1"/>
  <ignoredErrors>
    <ignoredError sqref="E177:J177" evalError="1"/>
    <ignoredError sqref="I102:I111" numberStoredAsText="1"/>
    <ignoredError sqref="I392:I394 I403:I405 E416 I415 I417 J416 I426:I42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0"/>
  <sheetViews>
    <sheetView tabSelected="1" topLeftCell="B20" zoomScaleNormal="100" workbookViewId="0">
      <selection activeCell="N31" sqref="N31"/>
    </sheetView>
  </sheetViews>
  <sheetFormatPr defaultRowHeight="13.2" x14ac:dyDescent="0.25"/>
  <cols>
    <col min="1" max="1" width="38" customWidth="1"/>
    <col min="2" max="2" width="13" style="1" customWidth="1"/>
    <col min="3" max="3" width="13.44140625" style="1" bestFit="1" customWidth="1"/>
    <col min="4" max="10" width="12.88671875" style="1" customWidth="1"/>
    <col min="11" max="11" width="13.109375" style="24" customWidth="1"/>
    <col min="12" max="12" width="13.109375" style="1" customWidth="1"/>
    <col min="13" max="16" width="13.109375" customWidth="1"/>
    <col min="18" max="18" width="14.88671875" customWidth="1"/>
    <col min="19" max="19" width="11.33203125" bestFit="1" customWidth="1"/>
    <col min="20" max="20" width="21.33203125" customWidth="1"/>
    <col min="21" max="34" width="15.6640625" customWidth="1"/>
  </cols>
  <sheetData>
    <row r="1" spans="1:27" ht="15.6" x14ac:dyDescent="0.3">
      <c r="A1" s="399" t="s">
        <v>259</v>
      </c>
      <c r="B1" s="399"/>
    </row>
    <row r="3" spans="1:27" ht="26.4" x14ac:dyDescent="0.25">
      <c r="B3" s="43" t="s">
        <v>49</v>
      </c>
      <c r="C3" s="43" t="s">
        <v>56</v>
      </c>
      <c r="D3" s="43" t="s">
        <v>63</v>
      </c>
      <c r="E3" s="43" t="s">
        <v>69</v>
      </c>
      <c r="F3" s="43" t="s">
        <v>70</v>
      </c>
      <c r="G3" s="43" t="s">
        <v>123</v>
      </c>
      <c r="H3" s="43" t="s">
        <v>124</v>
      </c>
      <c r="I3" s="43" t="s">
        <v>125</v>
      </c>
      <c r="J3" s="43" t="s">
        <v>126</v>
      </c>
      <c r="K3" s="43" t="s">
        <v>265</v>
      </c>
      <c r="L3" s="43" t="s">
        <v>127</v>
      </c>
      <c r="M3" s="57"/>
      <c r="N3" s="43"/>
      <c r="O3" s="57"/>
      <c r="P3" s="43"/>
      <c r="R3" s="43"/>
    </row>
    <row r="4" spans="1:27" x14ac:dyDescent="0.25">
      <c r="A4" s="20" t="s">
        <v>52</v>
      </c>
      <c r="B4" s="160">
        <f>'Purchased Power Model '!B140</f>
        <v>241154636.09999999</v>
      </c>
      <c r="C4" s="160">
        <f>'Purchased Power Model '!B141</f>
        <v>245623027.80000001</v>
      </c>
      <c r="D4" s="160">
        <f>'Purchased Power Model '!B142</f>
        <v>247239189.20000002</v>
      </c>
      <c r="E4" s="160">
        <f>'Purchased Power Model '!B143</f>
        <v>250239378.79999998</v>
      </c>
      <c r="F4" s="160">
        <f>'Purchased Power Model '!B144</f>
        <v>246758167.20000002</v>
      </c>
      <c r="G4" s="160">
        <f>'Purchased Power Model '!B145</f>
        <v>245129838.40000004</v>
      </c>
      <c r="H4" s="160">
        <f>'Purchased Power Model '!B146</f>
        <v>251758061.40000001</v>
      </c>
      <c r="I4" s="160">
        <f>'Purchased Power Model '!B147</f>
        <v>253254986.30000001</v>
      </c>
      <c r="J4" s="160">
        <f>'Purchased Power Model '!B148</f>
        <v>255774983.09999999</v>
      </c>
      <c r="K4" s="160">
        <f>'Purchased Power Model '!B149</f>
        <v>259382036</v>
      </c>
    </row>
    <row r="5" spans="1:27" x14ac:dyDescent="0.25">
      <c r="A5" s="20" t="s">
        <v>141</v>
      </c>
      <c r="B5" s="160">
        <f>'Purchased Power Model '!H140</f>
        <v>245109642.8152931</v>
      </c>
      <c r="C5" s="160">
        <f>'Purchased Power Model '!H141</f>
        <v>243752147.78149053</v>
      </c>
      <c r="D5" s="160">
        <f>'Purchased Power Model '!H142</f>
        <v>243433414.80982959</v>
      </c>
      <c r="E5" s="160">
        <f>'Purchased Power Model '!H143</f>
        <v>246677801.33027512</v>
      </c>
      <c r="F5" s="160">
        <f>'Purchased Power Model '!H144</f>
        <v>249085614.88396004</v>
      </c>
      <c r="G5" s="160">
        <f>'Purchased Power Model '!H145</f>
        <v>246975036.63319921</v>
      </c>
      <c r="H5" s="160">
        <f>'Purchased Power Model '!H146</f>
        <v>250054816.72654173</v>
      </c>
      <c r="I5" s="160">
        <f>'Purchased Power Model '!H147</f>
        <v>254540889.88211167</v>
      </c>
      <c r="J5" s="160">
        <f>'Purchased Power Model '!H148</f>
        <v>255309254.72807688</v>
      </c>
      <c r="K5" s="160">
        <f>'Purchased Power Model '!H149</f>
        <v>261375684.70922133</v>
      </c>
      <c r="L5" s="160">
        <f>'Purchased Power Model '!H150</f>
        <v>259085635.78272414</v>
      </c>
      <c r="M5" s="181"/>
      <c r="N5" s="181"/>
      <c r="O5" s="181"/>
      <c r="P5" s="181"/>
    </row>
    <row r="6" spans="1:27" x14ac:dyDescent="0.25">
      <c r="A6" s="20" t="s">
        <v>8</v>
      </c>
      <c r="B6" s="42">
        <f t="shared" ref="B6:K6" si="0">(B5-B4)/B4</f>
        <v>1.6400293103438743E-2</v>
      </c>
      <c r="C6" s="42">
        <f t="shared" si="0"/>
        <v>-7.6168754829976787E-3</v>
      </c>
      <c r="D6" s="42">
        <f t="shared" si="0"/>
        <v>-1.5393087165853013E-2</v>
      </c>
      <c r="E6" s="42">
        <f t="shared" si="0"/>
        <v>-1.423268186967248E-2</v>
      </c>
      <c r="F6" s="42">
        <f t="shared" si="0"/>
        <v>9.4320998991437657E-3</v>
      </c>
      <c r="G6" s="42">
        <f t="shared" si="0"/>
        <v>7.5274321773435267E-3</v>
      </c>
      <c r="H6" s="42">
        <f t="shared" si="0"/>
        <v>-6.7654027203209082E-3</v>
      </c>
      <c r="I6" s="42">
        <f t="shared" si="0"/>
        <v>5.0775054852756386E-3</v>
      </c>
      <c r="J6" s="42">
        <f t="shared" si="0"/>
        <v>-1.8208519311719929E-3</v>
      </c>
      <c r="K6" s="42">
        <f t="shared" si="0"/>
        <v>7.6861479690957983E-3</v>
      </c>
      <c r="L6" s="58"/>
      <c r="M6" s="58"/>
      <c r="N6" s="58"/>
      <c r="O6" s="58"/>
      <c r="P6" s="58"/>
      <c r="Q6" s="257"/>
      <c r="Z6" s="258"/>
      <c r="AA6" s="258"/>
    </row>
    <row r="7" spans="1:27" x14ac:dyDescent="0.25">
      <c r="A7" s="20" t="s">
        <v>143</v>
      </c>
      <c r="B7" s="42"/>
      <c r="C7" s="42"/>
      <c r="D7" s="42"/>
      <c r="E7" s="42"/>
      <c r="F7" s="42"/>
      <c r="G7" s="42"/>
      <c r="H7" s="42"/>
      <c r="I7" s="42"/>
      <c r="J7" s="42"/>
      <c r="K7" s="109"/>
      <c r="L7" s="109">
        <f>'Rate Class Energy Model'!G67*'Rate Class Energy Model'!F21</f>
        <v>-2298430.6418600753</v>
      </c>
      <c r="M7" s="109"/>
      <c r="N7" s="109"/>
      <c r="O7" s="109"/>
      <c r="P7" s="109"/>
      <c r="Z7" s="258"/>
      <c r="AA7" s="258"/>
    </row>
    <row r="8" spans="1:27" x14ac:dyDescent="0.25">
      <c r="A8" s="20" t="s">
        <v>142</v>
      </c>
      <c r="B8" s="42"/>
      <c r="C8" s="42"/>
      <c r="D8" s="42"/>
      <c r="E8" s="42"/>
      <c r="F8" s="42"/>
      <c r="G8" s="42"/>
      <c r="H8" s="42"/>
      <c r="I8" s="42"/>
      <c r="J8" s="42"/>
      <c r="K8" s="28"/>
      <c r="L8" s="28">
        <f>L5+L7</f>
        <v>256787205.14086407</v>
      </c>
      <c r="M8" s="28"/>
      <c r="N8" s="28"/>
      <c r="O8" s="28"/>
      <c r="P8" s="28"/>
      <c r="Z8" s="258"/>
      <c r="AA8" s="258"/>
    </row>
    <row r="9" spans="1:27" x14ac:dyDescent="0.25">
      <c r="A9" s="20"/>
      <c r="B9" s="39"/>
      <c r="C9" s="39"/>
      <c r="D9" s="39"/>
      <c r="E9" s="39"/>
      <c r="F9" s="39"/>
      <c r="G9" s="39"/>
      <c r="H9" s="39"/>
      <c r="I9" s="39"/>
      <c r="J9" s="39"/>
      <c r="K9" s="167"/>
      <c r="L9" s="167"/>
      <c r="M9" s="167"/>
      <c r="N9" s="167"/>
      <c r="O9" s="167"/>
      <c r="P9" s="167"/>
      <c r="Z9" s="258"/>
      <c r="AA9" s="258"/>
    </row>
    <row r="10" spans="1:27" x14ac:dyDescent="0.25">
      <c r="A10" s="20" t="s">
        <v>54</v>
      </c>
      <c r="B10" s="160">
        <f>'Rate Class Energy Model'!G8</f>
        <v>219644846.84999999</v>
      </c>
      <c r="C10" s="160">
        <f>'Rate Class Energy Model'!G9</f>
        <v>226847622.39000002</v>
      </c>
      <c r="D10" s="160">
        <f>'Rate Class Energy Model'!G10</f>
        <v>229106454.31</v>
      </c>
      <c r="E10" s="160">
        <f>'Rate Class Energy Model'!G11</f>
        <v>231874950.46999997</v>
      </c>
      <c r="F10" s="160">
        <f>'Rate Class Energy Model'!G12</f>
        <v>233601582.96999997</v>
      </c>
      <c r="G10" s="160">
        <f>'Rate Class Energy Model'!G13</f>
        <v>229950204.59647745</v>
      </c>
      <c r="H10" s="160">
        <f>'Rate Class Energy Model'!G14</f>
        <v>232845910.19703764</v>
      </c>
      <c r="I10" s="160">
        <f>'Rate Class Energy Model'!G15</f>
        <v>238347364.48236424</v>
      </c>
      <c r="J10" s="160">
        <f>'Rate Class Energy Model'!G16</f>
        <v>242586977</v>
      </c>
      <c r="K10" s="160">
        <f>'Rate Class Energy Model'!G17</f>
        <v>242016317.90000004</v>
      </c>
      <c r="L10" s="160">
        <f>L8/'Rate Class Energy Model'!F21</f>
        <v>239288942.39224306</v>
      </c>
      <c r="M10" s="160"/>
      <c r="N10" s="160"/>
      <c r="O10" s="160"/>
      <c r="P10" s="160"/>
    </row>
    <row r="11" spans="1:27" x14ac:dyDescent="0.25">
      <c r="A11" s="20"/>
      <c r="B11" s="39"/>
      <c r="D11" s="24"/>
      <c r="E11" s="24"/>
      <c r="F11" s="24"/>
      <c r="G11" s="24"/>
      <c r="H11" s="24"/>
      <c r="I11" s="24"/>
      <c r="L11" s="24"/>
      <c r="M11" s="24"/>
      <c r="N11" s="24"/>
      <c r="O11" s="24"/>
      <c r="P11" s="24"/>
    </row>
    <row r="12" spans="1:27" ht="15.6" x14ac:dyDescent="0.3">
      <c r="A12" s="41" t="s">
        <v>53</v>
      </c>
    </row>
    <row r="13" spans="1:27" x14ac:dyDescent="0.25">
      <c r="A13" s="40" t="str">
        <f>'Rate Class Energy Model'!H3</f>
        <v>Residential</v>
      </c>
    </row>
    <row r="14" spans="1:27" x14ac:dyDescent="0.25">
      <c r="A14" t="s">
        <v>46</v>
      </c>
      <c r="B14" s="181">
        <f>'Rate Class Customer Model'!B3</f>
        <v>12991</v>
      </c>
      <c r="C14" s="181">
        <f>'Rate Class Customer Model'!B4</f>
        <v>13277</v>
      </c>
      <c r="D14" s="181">
        <f>'Rate Class Customer Model'!B5</f>
        <v>13533</v>
      </c>
      <c r="E14" s="181">
        <f>'Rate Class Customer Model'!B6</f>
        <v>13651</v>
      </c>
      <c r="F14" s="181">
        <f>'Rate Class Customer Model'!B7</f>
        <v>13779</v>
      </c>
      <c r="G14" s="181">
        <f>'Rate Class Customer Model'!B8</f>
        <v>13942.916666666666</v>
      </c>
      <c r="H14" s="181">
        <f>'Rate Class Customer Model'!B9</f>
        <v>14181</v>
      </c>
      <c r="I14" s="181">
        <f>'Rate Class Customer Model'!B10</f>
        <v>14509.166666666666</v>
      </c>
      <c r="J14" s="181">
        <f>'Rate Class Customer Model'!B11</f>
        <v>14861.583333333334</v>
      </c>
      <c r="K14" s="28">
        <f>'Rate Class Customer Model'!B12</f>
        <v>15201.583333333334</v>
      </c>
      <c r="L14" s="181">
        <f>'Rate Class Customer Model'!B13</f>
        <v>15459.364493237083</v>
      </c>
      <c r="M14" s="181"/>
      <c r="N14" s="181"/>
      <c r="O14" s="181"/>
      <c r="P14" s="181"/>
    </row>
    <row r="15" spans="1:27" x14ac:dyDescent="0.25">
      <c r="A15" t="s">
        <v>47</v>
      </c>
      <c r="B15" s="181">
        <f>'Rate Class Energy Model'!H8+B58</f>
        <v>149540287.97127354</v>
      </c>
      <c r="C15" s="181">
        <f>'Rate Class Energy Model'!H9+C58</f>
        <v>150829547.73240873</v>
      </c>
      <c r="D15" s="181">
        <f>'Rate Class Energy Model'!H10+D58</f>
        <v>151161548</v>
      </c>
      <c r="E15" s="181">
        <f>'Rate Class Energy Model'!H11+E58</f>
        <v>149152068.22999996</v>
      </c>
      <c r="F15" s="181">
        <f>'Rate Class Energy Model'!H12+F58</f>
        <v>150859304.56999999</v>
      </c>
      <c r="G15" s="181">
        <f>'Rate Class Energy Model'!H13+G58</f>
        <v>145720738</v>
      </c>
      <c r="H15" s="181">
        <f>'Rate Class Energy Model'!H14+H58</f>
        <v>148837682</v>
      </c>
      <c r="I15" s="181">
        <f>'Rate Class Energy Model'!H15+I58</f>
        <v>153331484.31999999</v>
      </c>
      <c r="J15" s="181">
        <f>'Rate Class Energy Model'!H16+J58</f>
        <v>151892216</v>
      </c>
      <c r="K15" s="181">
        <f>'Rate Class Energy Model'!H17+K58</f>
        <v>149508941.91</v>
      </c>
      <c r="L15" s="28">
        <f>'Rate Class Energy Model'!H56+L58</f>
        <v>149174008.31039718</v>
      </c>
      <c r="M15" s="28"/>
      <c r="N15" s="28"/>
      <c r="O15" s="28"/>
      <c r="P15" s="28"/>
      <c r="S15" s="258"/>
      <c r="U15" s="258"/>
      <c r="V15" s="258"/>
      <c r="W15" s="258"/>
    </row>
    <row r="16" spans="1:27" x14ac:dyDescent="0.25">
      <c r="C16" s="49"/>
      <c r="D16" s="24"/>
      <c r="E16" s="24"/>
      <c r="F16" s="24"/>
      <c r="G16" s="24"/>
      <c r="H16" s="24"/>
      <c r="I16" s="24"/>
      <c r="S16" s="258"/>
      <c r="U16" s="258"/>
      <c r="V16" s="258"/>
      <c r="W16" s="258"/>
    </row>
    <row r="17" spans="1:23" x14ac:dyDescent="0.25">
      <c r="A17" s="40" t="str">
        <f>'Rate Class Energy Model'!I3</f>
        <v>GS&lt;50</v>
      </c>
      <c r="S17" s="258"/>
      <c r="U17" s="258"/>
      <c r="V17" s="258"/>
      <c r="W17" s="258"/>
    </row>
    <row r="18" spans="1:23" x14ac:dyDescent="0.25">
      <c r="A18" t="s">
        <v>46</v>
      </c>
      <c r="B18" s="181">
        <f>'Rate Class Customer Model'!C3</f>
        <v>819</v>
      </c>
      <c r="C18" s="181">
        <f>'Rate Class Customer Model'!C4</f>
        <v>836</v>
      </c>
      <c r="D18" s="181">
        <f>'Rate Class Customer Model'!C5</f>
        <v>855</v>
      </c>
      <c r="E18" s="181">
        <f>'Rate Class Customer Model'!C6</f>
        <v>865</v>
      </c>
      <c r="F18" s="181">
        <f>'Rate Class Customer Model'!C7</f>
        <v>896</v>
      </c>
      <c r="G18" s="181">
        <f>'Rate Class Customer Model'!C8</f>
        <v>913.75</v>
      </c>
      <c r="H18" s="181">
        <f>'Rate Class Customer Model'!C9</f>
        <v>949.25</v>
      </c>
      <c r="I18" s="181">
        <f>'Rate Class Customer Model'!C10</f>
        <v>991.25</v>
      </c>
      <c r="J18" s="181">
        <f>'Rate Class Customer Model'!C11</f>
        <v>1000.5833333333334</v>
      </c>
      <c r="K18" s="181">
        <f>'Rate Class Customer Model'!C12</f>
        <v>1016.25</v>
      </c>
      <c r="L18" s="181">
        <f>'Rate Class Customer Model'!C13</f>
        <v>1042.0096211924233</v>
      </c>
      <c r="M18" s="181"/>
      <c r="N18" s="181"/>
      <c r="O18" s="181"/>
      <c r="P18" s="181"/>
      <c r="S18" s="258"/>
      <c r="U18" s="258"/>
      <c r="V18" s="258"/>
      <c r="W18" s="258"/>
    </row>
    <row r="19" spans="1:23" x14ac:dyDescent="0.25">
      <c r="A19" t="s">
        <v>47</v>
      </c>
      <c r="B19" s="181">
        <f>'Rate Class Energy Model'!I8+B59</f>
        <v>28638157.412327427</v>
      </c>
      <c r="C19" s="181">
        <f>'Rate Class Energy Model'!I9+C59</f>
        <v>28578436.331503898</v>
      </c>
      <c r="D19" s="181">
        <f>'Rate Class Energy Model'!I10+D59</f>
        <v>28275493</v>
      </c>
      <c r="E19" s="181">
        <f>'Rate Class Energy Model'!I11++E59</f>
        <v>29400128</v>
      </c>
      <c r="F19" s="181">
        <f>'Rate Class Energy Model'!I12+F59</f>
        <v>30760128.32</v>
      </c>
      <c r="G19" s="181">
        <f>'Rate Class Energy Model'!I13+G59</f>
        <v>30926417</v>
      </c>
      <c r="H19" s="181">
        <f>'Rate Class Energy Model'!I14+H59</f>
        <v>31038184</v>
      </c>
      <c r="I19" s="181">
        <f>'Rate Class Energy Model'!I15+I59</f>
        <v>32222518.180000003</v>
      </c>
      <c r="J19" s="181">
        <f>'Rate Class Energy Model'!I16+J59</f>
        <v>34381050</v>
      </c>
      <c r="K19" s="181">
        <f>'Rate Class Energy Model'!I17+K59</f>
        <v>33411508.120000005</v>
      </c>
      <c r="L19" s="181">
        <f>'Rate Class Energy Model'!I56+L59</f>
        <v>32869504.377750032</v>
      </c>
      <c r="M19" s="181"/>
      <c r="N19" s="181"/>
      <c r="O19" s="181"/>
      <c r="P19" s="181"/>
      <c r="S19" s="258"/>
      <c r="U19" s="258"/>
      <c r="V19" s="258"/>
      <c r="W19" s="258"/>
    </row>
    <row r="20" spans="1:23" x14ac:dyDescent="0.25">
      <c r="C20" s="49"/>
      <c r="D20" s="24"/>
      <c r="E20" s="24"/>
      <c r="F20" s="24"/>
      <c r="G20" s="24"/>
      <c r="H20" s="24"/>
      <c r="I20" s="24"/>
      <c r="O20" s="1"/>
      <c r="S20" s="258"/>
      <c r="U20" s="258"/>
      <c r="V20" s="258"/>
      <c r="W20" s="258"/>
    </row>
    <row r="21" spans="1:23" x14ac:dyDescent="0.25">
      <c r="A21" s="40" t="str">
        <f>'Rate Class Energy Model'!J3</f>
        <v>GS&gt;50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162"/>
      <c r="N21" s="162"/>
      <c r="O21" s="162"/>
      <c r="P21" s="162"/>
      <c r="S21" s="258"/>
      <c r="U21" s="258"/>
      <c r="V21" s="258"/>
      <c r="W21" s="258"/>
    </row>
    <row r="22" spans="1:23" x14ac:dyDescent="0.25">
      <c r="A22" t="s">
        <v>46</v>
      </c>
      <c r="B22" s="181">
        <f>'Rate Class Customer Model'!D3</f>
        <v>71</v>
      </c>
      <c r="C22" s="181">
        <f>'Rate Class Customer Model'!D4</f>
        <v>73</v>
      </c>
      <c r="D22" s="181">
        <f>'Rate Class Customer Model'!D5</f>
        <v>72</v>
      </c>
      <c r="E22" s="181">
        <f>'Rate Class Customer Model'!D6</f>
        <v>68</v>
      </c>
      <c r="F22" s="28">
        <f>'Rate Class Customer Model'!D7</f>
        <v>67</v>
      </c>
      <c r="G22" s="28">
        <f>'Rate Class Customer Model'!D8</f>
        <v>67.916666666666671</v>
      </c>
      <c r="H22" s="28">
        <f>'Rate Class Customer Model'!D9</f>
        <v>67</v>
      </c>
      <c r="I22" s="28">
        <f>'Rate Class Customer Model'!D10</f>
        <v>67.166666666666671</v>
      </c>
      <c r="J22" s="28">
        <f>'Rate Class Customer Model'!D11</f>
        <v>71.5</v>
      </c>
      <c r="K22" s="181">
        <f>'Rate Class Customer Model'!D12</f>
        <v>75.583333333333329</v>
      </c>
      <c r="L22" s="181">
        <f>'Rate Class Customer Model'!D13</f>
        <v>75.649663863218251</v>
      </c>
      <c r="M22" s="181"/>
      <c r="N22" s="181"/>
      <c r="O22" s="181"/>
      <c r="P22" s="181"/>
      <c r="S22" s="258"/>
      <c r="U22" s="258"/>
      <c r="V22" s="258"/>
      <c r="W22" s="258"/>
    </row>
    <row r="23" spans="1:23" x14ac:dyDescent="0.25">
      <c r="A23" t="s">
        <v>47</v>
      </c>
      <c r="B23" s="181">
        <f>'Rate Class Energy Model'!J8</f>
        <v>39320570</v>
      </c>
      <c r="C23" s="181">
        <f>'Rate Class Energy Model'!J9</f>
        <v>45269405.57</v>
      </c>
      <c r="D23" s="181">
        <f>'Rate Class Energy Model'!J10</f>
        <v>47473258.210000001</v>
      </c>
      <c r="E23" s="181">
        <f>'Rate Class Energy Model'!J11</f>
        <v>51128771.11999999</v>
      </c>
      <c r="F23" s="181">
        <f>'Rate Class Energy Model'!J12</f>
        <v>49921685.450000003</v>
      </c>
      <c r="G23" s="181">
        <f>'Rate Class Energy Model'!J13</f>
        <v>51138110</v>
      </c>
      <c r="H23" s="181">
        <f>'Rate Class Energy Model'!J14</f>
        <v>50921722</v>
      </c>
      <c r="I23" s="181">
        <f>'Rate Class Energy Model'!J15</f>
        <v>50592266.850000001</v>
      </c>
      <c r="J23" s="181">
        <f>'Rate Class Energy Model'!J16</f>
        <v>54636276</v>
      </c>
      <c r="K23" s="181">
        <f>'Rate Class Energy Model'!J17</f>
        <v>57980607.439999998</v>
      </c>
      <c r="L23" s="181">
        <f>'Rate Class Energy Model'!J56</f>
        <v>56130544.059063353</v>
      </c>
      <c r="M23" s="181"/>
      <c r="N23" s="181"/>
      <c r="O23" s="181"/>
      <c r="P23" s="181"/>
      <c r="S23" s="258"/>
      <c r="U23" s="258"/>
      <c r="V23" s="258"/>
      <c r="W23" s="258"/>
    </row>
    <row r="24" spans="1:23" x14ac:dyDescent="0.25">
      <c r="A24" t="s">
        <v>48</v>
      </c>
      <c r="B24" s="181">
        <f>'Rate Class Load Model'!B2</f>
        <v>116956</v>
      </c>
      <c r="C24" s="181">
        <f>'Rate Class Load Model'!B3</f>
        <v>134692.85</v>
      </c>
      <c r="D24" s="181">
        <f>'Rate Class Load Model'!B4</f>
        <v>136122.29</v>
      </c>
      <c r="E24" s="28">
        <f>'Rate Class Load Model'!B5</f>
        <v>144502.21</v>
      </c>
      <c r="F24" s="28">
        <f>'Rate Class Load Model'!B6</f>
        <v>139425.35999999999</v>
      </c>
      <c r="G24" s="28">
        <f>'Rate Class Load Model'!B7</f>
        <v>144982</v>
      </c>
      <c r="H24" s="28">
        <f>'Rate Class Load Model'!B8</f>
        <v>130935</v>
      </c>
      <c r="I24" s="28">
        <f>'Rate Class Load Model'!B9</f>
        <v>135393.63999999998</v>
      </c>
      <c r="J24" s="28">
        <f>'Rate Class Load Model'!B10</f>
        <v>141986.79999999999</v>
      </c>
      <c r="K24" s="181">
        <f>'Rate Class Load Model'!B11</f>
        <v>150801.71</v>
      </c>
      <c r="L24" s="181">
        <f>'Rate Class Load Model'!B12</f>
        <v>155585.42387524614</v>
      </c>
      <c r="M24" s="181"/>
      <c r="N24" s="181"/>
      <c r="O24" s="181"/>
      <c r="P24" s="181"/>
      <c r="S24" s="258"/>
      <c r="U24" s="258"/>
      <c r="V24" s="258"/>
      <c r="W24" s="258"/>
    </row>
    <row r="25" spans="1:23" x14ac:dyDescent="0.25">
      <c r="C25" s="49"/>
      <c r="D25" s="24"/>
      <c r="E25" s="24"/>
      <c r="F25" s="24"/>
      <c r="G25" s="24"/>
      <c r="H25" s="24"/>
      <c r="I25" s="24"/>
      <c r="J25" s="24"/>
      <c r="S25" s="258"/>
      <c r="U25" s="258"/>
      <c r="V25" s="258"/>
      <c r="W25" s="258"/>
    </row>
    <row r="26" spans="1:23" x14ac:dyDescent="0.25">
      <c r="A26" s="40" t="str">
        <f>'Rate Class Energy Model'!K3</f>
        <v>Sentinels</v>
      </c>
      <c r="L26" s="181"/>
      <c r="S26" s="258"/>
      <c r="U26" s="258"/>
      <c r="V26" s="258"/>
      <c r="W26" s="258"/>
    </row>
    <row r="27" spans="1:23" x14ac:dyDescent="0.25">
      <c r="A27" t="s">
        <v>64</v>
      </c>
      <c r="B27" s="181">
        <f>'Rate Class Customer Model'!E3</f>
        <v>186</v>
      </c>
      <c r="C27" s="181">
        <f>'Rate Class Customer Model'!E4</f>
        <v>186</v>
      </c>
      <c r="D27" s="181">
        <f>'Rate Class Customer Model'!E5</f>
        <v>193</v>
      </c>
      <c r="E27" s="28">
        <f>'Rate Class Customer Model'!E6</f>
        <v>201</v>
      </c>
      <c r="F27" s="28">
        <f>'Rate Class Customer Model'!E7</f>
        <v>225</v>
      </c>
      <c r="G27" s="28">
        <f>'Rate Class Customer Model'!E8</f>
        <v>172.08333333333334</v>
      </c>
      <c r="H27" s="28">
        <f>'Rate Class Customer Model'!E9</f>
        <v>168</v>
      </c>
      <c r="I27" s="28">
        <f>'Rate Class Customer Model'!E10</f>
        <v>169.41666666666666</v>
      </c>
      <c r="J27" s="28">
        <f>'Rate Class Customer Model'!E11</f>
        <v>165.75</v>
      </c>
      <c r="K27" s="181">
        <f>'Rate Class Customer Model'!E12</f>
        <v>166.08333333333334</v>
      </c>
      <c r="L27" s="181">
        <f>'Rate Class Customer Model'!E13</f>
        <v>163.70751899008945</v>
      </c>
      <c r="M27" s="181"/>
      <c r="N27" s="181"/>
      <c r="O27" s="181"/>
      <c r="P27" s="181"/>
      <c r="S27" s="258"/>
      <c r="U27" s="258"/>
      <c r="V27" s="258"/>
      <c r="W27" s="258"/>
    </row>
    <row r="28" spans="1:23" x14ac:dyDescent="0.25">
      <c r="A28" t="s">
        <v>47</v>
      </c>
      <c r="B28" s="181">
        <f>'Rate Class Energy Model'!K8</f>
        <v>126371</v>
      </c>
      <c r="C28" s="181">
        <f>'Rate Class Energy Model'!K9</f>
        <v>124211.62</v>
      </c>
      <c r="D28" s="181">
        <f>'Rate Class Energy Model'!K10</f>
        <v>122021.1</v>
      </c>
      <c r="E28" s="181">
        <f>'Rate Class Energy Model'!K11</f>
        <v>116702.72</v>
      </c>
      <c r="F28" s="181">
        <f>'Rate Class Energy Model'!K12</f>
        <v>110240.82</v>
      </c>
      <c r="G28" s="181">
        <f>'Rate Class Energy Model'!K13</f>
        <v>113359.85597714041</v>
      </c>
      <c r="H28" s="181">
        <f>'Rate Class Energy Model'!K14</f>
        <v>101843.93410009757</v>
      </c>
      <c r="I28" s="181">
        <f>'Rate Class Energy Model'!K15</f>
        <v>107980</v>
      </c>
      <c r="J28" s="181">
        <f>'Rate Class Energy Model'!K16</f>
        <v>103536</v>
      </c>
      <c r="K28" s="181">
        <f>'Rate Class Energy Model'!K17</f>
        <v>106305.36</v>
      </c>
      <c r="L28" s="181">
        <f>'Rate Class Energy Model'!K56</f>
        <v>104784.66677941773</v>
      </c>
      <c r="M28" s="181"/>
      <c r="N28" s="181"/>
      <c r="O28" s="181"/>
      <c r="P28" s="181"/>
      <c r="R28" s="115"/>
      <c r="S28" s="258"/>
      <c r="U28" s="258"/>
      <c r="V28" s="258"/>
      <c r="W28" s="258"/>
    </row>
    <row r="29" spans="1:23" x14ac:dyDescent="0.25">
      <c r="A29" t="s">
        <v>48</v>
      </c>
      <c r="B29" s="181">
        <f>'Rate Class Load Model'!C2</f>
        <v>351</v>
      </c>
      <c r="C29" s="181">
        <f>'Rate Class Load Model'!C3</f>
        <v>345.03227777777778</v>
      </c>
      <c r="D29" s="181">
        <f>'Rate Class Load Model'!C4</f>
        <v>338.94749999999999</v>
      </c>
      <c r="E29" s="28">
        <f>'Rate Class Load Model'!C5</f>
        <v>324.17422222222223</v>
      </c>
      <c r="F29" s="28">
        <f>'Rate Class Load Model'!C6</f>
        <v>306.31894444444447</v>
      </c>
      <c r="G29" s="28">
        <f>'Rate Class Load Model'!C7</f>
        <v>315</v>
      </c>
      <c r="H29" s="28">
        <f>'Rate Class Load Model'!C8</f>
        <v>283</v>
      </c>
      <c r="I29" s="28">
        <f>'Rate Class Load Model'!C9</f>
        <v>299.94344444444442</v>
      </c>
      <c r="J29" s="28">
        <f>'Rate Class Load Model'!C10</f>
        <v>287.601</v>
      </c>
      <c r="K29" s="181">
        <f>'Rate Class Load Model'!C11</f>
        <v>295.29266666666666</v>
      </c>
      <c r="L29" s="181">
        <f>'Rate Class Load Model'!C12</f>
        <v>291.09558155888243</v>
      </c>
      <c r="M29" s="181"/>
      <c r="N29" s="181"/>
      <c r="O29" s="181"/>
      <c r="P29" s="181"/>
      <c r="R29" s="115"/>
      <c r="S29" s="258"/>
      <c r="U29" s="258"/>
      <c r="V29" s="258"/>
      <c r="W29" s="258"/>
    </row>
    <row r="30" spans="1:23" x14ac:dyDescent="0.25">
      <c r="B30" s="181"/>
      <c r="C30" s="181"/>
      <c r="D30" s="181"/>
      <c r="E30" s="181"/>
      <c r="F30" s="181"/>
      <c r="G30" s="181"/>
      <c r="H30" s="181"/>
      <c r="I30" s="181"/>
      <c r="J30" s="181"/>
      <c r="K30" s="28"/>
      <c r="R30" s="115"/>
      <c r="S30" s="258"/>
      <c r="U30" s="258"/>
      <c r="V30" s="258"/>
      <c r="W30" s="258"/>
    </row>
    <row r="31" spans="1:23" x14ac:dyDescent="0.25">
      <c r="A31" s="40" t="str">
        <f>'Rate Class Energy Model'!L3</f>
        <v>Streetlights</v>
      </c>
      <c r="L31" s="181"/>
      <c r="S31" s="258"/>
      <c r="U31" s="258"/>
      <c r="V31" s="258"/>
      <c r="W31" s="258"/>
    </row>
    <row r="32" spans="1:23" x14ac:dyDescent="0.25">
      <c r="A32" t="s">
        <v>64</v>
      </c>
      <c r="B32" s="181">
        <f>'Rate Class Customer Model'!F3</f>
        <v>2489</v>
      </c>
      <c r="C32" s="181">
        <f>'Rate Class Customer Model'!F4</f>
        <v>2588</v>
      </c>
      <c r="D32" s="181">
        <f>'Rate Class Customer Model'!F5</f>
        <v>2625</v>
      </c>
      <c r="E32" s="28">
        <f>'Rate Class Customer Model'!F6</f>
        <v>2685</v>
      </c>
      <c r="F32" s="28">
        <f>'Rate Class Customer Model'!F7</f>
        <v>2728</v>
      </c>
      <c r="G32" s="28">
        <f>'Rate Class Customer Model'!F8</f>
        <v>2728</v>
      </c>
      <c r="H32" s="28">
        <f>'Rate Class Customer Model'!F9</f>
        <v>2843.3333333333335</v>
      </c>
      <c r="I32" s="28">
        <f>'Rate Class Customer Model'!F10</f>
        <v>2923.3333333333335</v>
      </c>
      <c r="J32" s="28">
        <f>'Rate Class Customer Model'!F11</f>
        <v>2897.6666666666665</v>
      </c>
      <c r="K32" s="181">
        <f>'Rate Class Customer Model'!F12</f>
        <v>2863.1666666666665</v>
      </c>
      <c r="L32" s="181">
        <f>'Rate Class Customer Model'!F13</f>
        <v>2918.0959667809479</v>
      </c>
      <c r="M32" s="181"/>
      <c r="N32" s="181"/>
      <c r="O32" s="181"/>
      <c r="P32" s="181"/>
      <c r="S32" s="258"/>
      <c r="U32" s="258"/>
      <c r="V32" s="258"/>
      <c r="W32" s="258"/>
    </row>
    <row r="33" spans="1:23" x14ac:dyDescent="0.25">
      <c r="A33" t="s">
        <v>47</v>
      </c>
      <c r="B33" s="181">
        <f>'Rate Class Energy Model'!L8</f>
        <v>1495947</v>
      </c>
      <c r="C33" s="181">
        <f>'Rate Class Energy Model'!L9</f>
        <v>1533898.8</v>
      </c>
      <c r="D33" s="181">
        <f>'Rate Class Energy Model'!L10</f>
        <v>1576911.6</v>
      </c>
      <c r="E33" s="181">
        <f>'Rate Class Energy Model'!L11</f>
        <v>1580058</v>
      </c>
      <c r="F33" s="181">
        <f>'Rate Class Energy Model'!L12</f>
        <v>1457369.41</v>
      </c>
      <c r="G33" s="181">
        <f>'Rate Class Energy Model'!L13</f>
        <v>1569708.8405002926</v>
      </c>
      <c r="H33" s="181">
        <f>'Rate Class Energy Model'!L14</f>
        <v>1472134.2629375483</v>
      </c>
      <c r="I33" s="181">
        <f>'Rate Class Energy Model'!L15</f>
        <v>1625553.4323642934</v>
      </c>
      <c r="J33" s="181">
        <f>'Rate Class Energy Model'!L16</f>
        <v>1106444</v>
      </c>
      <c r="K33" s="181">
        <f>'Rate Class Energy Model'!L17</f>
        <v>536549.52</v>
      </c>
      <c r="L33" s="65">
        <f>'Rate Class Energy Model'!L56</f>
        <v>546843.11902564298</v>
      </c>
      <c r="M33" s="65"/>
      <c r="N33" s="65"/>
      <c r="O33" s="65"/>
      <c r="P33" s="65"/>
      <c r="S33" s="258"/>
      <c r="U33" s="258"/>
      <c r="V33" s="258"/>
      <c r="W33" s="258"/>
    </row>
    <row r="34" spans="1:23" x14ac:dyDescent="0.25">
      <c r="A34" t="s">
        <v>48</v>
      </c>
      <c r="B34" s="181">
        <f>'Rate Class Load Model'!D2</f>
        <v>4153</v>
      </c>
      <c r="C34" s="181">
        <f>'Rate Class Load Model'!D3</f>
        <v>4260.83</v>
      </c>
      <c r="D34" s="181">
        <f>'Rate Class Load Model'!D4</f>
        <v>4370.32</v>
      </c>
      <c r="E34" s="28">
        <f>'Rate Class Load Model'!D5</f>
        <v>4389.05</v>
      </c>
      <c r="F34" s="28">
        <f>'Rate Class Load Model'!D6</f>
        <v>4416</v>
      </c>
      <c r="G34" s="28">
        <f>'Rate Class Load Model'!D7</f>
        <v>4424</v>
      </c>
      <c r="H34" s="28">
        <f>'Rate Class Load Model'!D8</f>
        <v>4149</v>
      </c>
      <c r="I34" s="28">
        <f>'Rate Class Load Model'!D9</f>
        <v>4581.3899999999994</v>
      </c>
      <c r="J34" s="28">
        <f>'Rate Class Load Model'!D10</f>
        <v>3139.7699999999995</v>
      </c>
      <c r="K34" s="181">
        <f>'Rate Class Load Model'!D11</f>
        <v>1641.29</v>
      </c>
      <c r="L34" s="181">
        <f>'Rate Class Load Model'!D12</f>
        <v>1557.684754891854</v>
      </c>
      <c r="M34" s="181"/>
      <c r="N34" s="181"/>
      <c r="O34" s="181"/>
      <c r="P34" s="181"/>
      <c r="S34" s="258"/>
      <c r="U34" s="258"/>
      <c r="V34" s="258"/>
      <c r="W34" s="258"/>
    </row>
    <row r="35" spans="1:23" x14ac:dyDescent="0.25">
      <c r="S35" s="258"/>
      <c r="U35" s="258"/>
      <c r="V35" s="258"/>
      <c r="W35" s="258"/>
    </row>
    <row r="36" spans="1:23" x14ac:dyDescent="0.25">
      <c r="A36" s="40" t="str">
        <f>'Rate Class Energy Model'!M3</f>
        <v>USL</v>
      </c>
      <c r="S36" s="258"/>
      <c r="U36" s="258"/>
      <c r="V36" s="258"/>
      <c r="W36" s="258"/>
    </row>
    <row r="37" spans="1:23" x14ac:dyDescent="0.25">
      <c r="A37" t="s">
        <v>64</v>
      </c>
      <c r="B37" s="181">
        <f>'Rate Class Customer Model'!G3</f>
        <v>89</v>
      </c>
      <c r="C37" s="181">
        <f>'Rate Class Customer Model'!G4</f>
        <v>84</v>
      </c>
      <c r="D37" s="181">
        <f>'Rate Class Customer Model'!G5</f>
        <v>83</v>
      </c>
      <c r="E37" s="28">
        <f>'Rate Class Customer Model'!G6</f>
        <v>82</v>
      </c>
      <c r="F37" s="28">
        <f>'Rate Class Customer Model'!G7</f>
        <v>81</v>
      </c>
      <c r="G37" s="28">
        <f>'Rate Class Customer Model'!G8</f>
        <v>78.666666666666671</v>
      </c>
      <c r="H37" s="28">
        <f>'Rate Class Customer Model'!G9</f>
        <v>77.583333333333329</v>
      </c>
      <c r="I37" s="28">
        <f>'Rate Class Customer Model'!G10</f>
        <v>75.583333333333329</v>
      </c>
      <c r="J37" s="28">
        <f>'Rate Class Customer Model'!G11</f>
        <v>76</v>
      </c>
      <c r="K37" s="181">
        <f>'Rate Class Customer Model'!G12</f>
        <v>75.333333333333329</v>
      </c>
      <c r="L37" s="181">
        <f>'Rate Class Customer Model'!G13</f>
        <v>73.860991392432041</v>
      </c>
      <c r="M37" s="181"/>
      <c r="N37" s="181"/>
      <c r="O37" s="181"/>
      <c r="P37" s="181"/>
      <c r="S37" s="258"/>
      <c r="U37" s="258"/>
      <c r="V37" s="258"/>
      <c r="W37" s="258"/>
    </row>
    <row r="38" spans="1:23" x14ac:dyDescent="0.25">
      <c r="A38" t="s">
        <v>47</v>
      </c>
      <c r="B38" s="181">
        <f>'Rate Class Energy Model'!M8+B60</f>
        <v>523513.46639904153</v>
      </c>
      <c r="C38" s="181">
        <f>'Rate Class Energy Model'!M9+C60</f>
        <v>512122.33608737146</v>
      </c>
      <c r="D38" s="181">
        <f>'Rate Class Energy Model'!M10+D60</f>
        <v>497222.40000000002</v>
      </c>
      <c r="E38" s="181">
        <f>'Rate Class Energy Model'!M11+E60</f>
        <v>497222.40000000002</v>
      </c>
      <c r="F38" s="181">
        <f>'Rate Class Energy Model'!M12+F60</f>
        <v>492854.4</v>
      </c>
      <c r="G38" s="181">
        <f>'Rate Class Energy Model'!M13+G60</f>
        <v>481870.9</v>
      </c>
      <c r="H38" s="181">
        <f>'Rate Class Energy Model'!M14+H60</f>
        <v>474344</v>
      </c>
      <c r="I38" s="181">
        <f>'Rate Class Energy Model'!M15+I60</f>
        <v>467561.7</v>
      </c>
      <c r="J38" s="181">
        <f>'Rate Class Energy Model'!M16+J60</f>
        <v>467455</v>
      </c>
      <c r="K38" s="181">
        <f>'Rate Class Energy Model'!M17+K60</f>
        <v>472405.55</v>
      </c>
      <c r="L38" s="181">
        <f>'Rate Class Energy Model'!M56+L60</f>
        <v>463257.85922741913</v>
      </c>
      <c r="M38" s="181"/>
      <c r="N38" s="181"/>
      <c r="O38" s="181"/>
      <c r="P38" s="181"/>
      <c r="S38" s="258"/>
      <c r="U38" s="258"/>
      <c r="V38" s="258"/>
      <c r="W38" s="258"/>
    </row>
    <row r="39" spans="1:23" x14ac:dyDescent="0.25">
      <c r="B39" s="181"/>
      <c r="C39" s="181"/>
      <c r="D39" s="181"/>
      <c r="E39" s="181"/>
      <c r="F39" s="181"/>
      <c r="G39" s="181"/>
      <c r="H39" s="181"/>
      <c r="I39" s="181"/>
      <c r="K39" s="181"/>
      <c r="L39" s="181"/>
      <c r="M39" s="162"/>
      <c r="N39" s="162"/>
      <c r="O39" s="162"/>
      <c r="P39" s="162"/>
      <c r="S39" s="258"/>
      <c r="U39" s="258"/>
      <c r="V39" s="258"/>
      <c r="W39" s="258"/>
    </row>
    <row r="40" spans="1:23" x14ac:dyDescent="0.25">
      <c r="A40" s="40" t="s">
        <v>65</v>
      </c>
      <c r="C40" s="181"/>
      <c r="D40" s="181"/>
      <c r="E40" s="181"/>
      <c r="F40" s="181"/>
      <c r="G40" s="181"/>
      <c r="H40" s="181"/>
      <c r="I40" s="181"/>
      <c r="J40" s="181"/>
      <c r="K40" s="181"/>
      <c r="S40" s="258" t="s">
        <v>258</v>
      </c>
      <c r="U40" s="258"/>
      <c r="V40" s="258"/>
      <c r="W40" s="258"/>
    </row>
    <row r="41" spans="1:23" x14ac:dyDescent="0.25">
      <c r="A41" s="177" t="s">
        <v>51</v>
      </c>
      <c r="B41" s="181">
        <f t="shared" ref="B41:L41" si="1">B37+B32+B14+B18+B22+B27</f>
        <v>16645</v>
      </c>
      <c r="C41" s="181">
        <f t="shared" si="1"/>
        <v>17044</v>
      </c>
      <c r="D41" s="181">
        <f t="shared" si="1"/>
        <v>17361</v>
      </c>
      <c r="E41" s="181">
        <f t="shared" si="1"/>
        <v>17552</v>
      </c>
      <c r="F41" s="181">
        <f t="shared" si="1"/>
        <v>17776</v>
      </c>
      <c r="G41" s="181">
        <f t="shared" si="1"/>
        <v>17903.333333333332</v>
      </c>
      <c r="H41" s="181">
        <f t="shared" si="1"/>
        <v>18286.166666666668</v>
      </c>
      <c r="I41" s="181">
        <f t="shared" si="1"/>
        <v>18735.916666666668</v>
      </c>
      <c r="J41" s="181">
        <f t="shared" si="1"/>
        <v>19073.083333333332</v>
      </c>
      <c r="K41" s="181">
        <f t="shared" si="1"/>
        <v>19398</v>
      </c>
      <c r="L41" s="284">
        <f t="shared" si="1"/>
        <v>19732.688255456196</v>
      </c>
      <c r="M41" s="284"/>
      <c r="N41" s="284"/>
      <c r="O41" s="284"/>
      <c r="P41" s="284"/>
      <c r="S41" t="s">
        <v>90</v>
      </c>
    </row>
    <row r="42" spans="1:23" x14ac:dyDescent="0.25">
      <c r="A42" s="177" t="s">
        <v>47</v>
      </c>
      <c r="B42" s="181">
        <f t="shared" ref="B42:L42" si="2">B15+B19+B23+B28+B33+B38</f>
        <v>219644846.85000002</v>
      </c>
      <c r="C42" s="181">
        <f t="shared" si="2"/>
        <v>226847622.39000002</v>
      </c>
      <c r="D42" s="181">
        <f t="shared" si="2"/>
        <v>229106454.31</v>
      </c>
      <c r="E42" s="181">
        <f t="shared" si="2"/>
        <v>231874950.46999997</v>
      </c>
      <c r="F42" s="181">
        <f t="shared" si="2"/>
        <v>233601582.96999997</v>
      </c>
      <c r="G42" s="181">
        <f t="shared" si="2"/>
        <v>229950204.59647745</v>
      </c>
      <c r="H42" s="181">
        <f t="shared" si="2"/>
        <v>232845910.19703764</v>
      </c>
      <c r="I42" s="181">
        <f t="shared" si="2"/>
        <v>238347364.48236427</v>
      </c>
      <c r="J42" s="181">
        <f t="shared" si="2"/>
        <v>242586977</v>
      </c>
      <c r="K42" s="181">
        <f t="shared" si="2"/>
        <v>242016317.90000004</v>
      </c>
      <c r="L42" s="181">
        <f t="shared" si="2"/>
        <v>239288942.39224306</v>
      </c>
      <c r="M42" s="162"/>
      <c r="N42" s="162"/>
      <c r="O42" s="162"/>
      <c r="P42" s="162"/>
      <c r="S42" t="s">
        <v>90</v>
      </c>
    </row>
    <row r="43" spans="1:23" x14ac:dyDescent="0.25">
      <c r="A43" t="s">
        <v>50</v>
      </c>
      <c r="B43" s="181">
        <f t="shared" ref="B43:L43" si="3">B34+B29+B24</f>
        <v>121460</v>
      </c>
      <c r="C43" s="181">
        <f t="shared" si="3"/>
        <v>139298.71227777778</v>
      </c>
      <c r="D43" s="181">
        <f t="shared" si="3"/>
        <v>140831.5575</v>
      </c>
      <c r="E43" s="181">
        <f t="shared" si="3"/>
        <v>149215.43422222222</v>
      </c>
      <c r="F43" s="181">
        <f t="shared" si="3"/>
        <v>144147.67894444443</v>
      </c>
      <c r="G43" s="181">
        <f t="shared" si="3"/>
        <v>149721</v>
      </c>
      <c r="H43" s="181">
        <f t="shared" si="3"/>
        <v>135367</v>
      </c>
      <c r="I43" s="181">
        <f t="shared" si="3"/>
        <v>140274.97344444442</v>
      </c>
      <c r="J43" s="181">
        <f t="shared" si="3"/>
        <v>145414.171</v>
      </c>
      <c r="K43" s="28">
        <f t="shared" si="3"/>
        <v>152738.29266666665</v>
      </c>
      <c r="L43" s="181">
        <f t="shared" si="3"/>
        <v>157434.20421169687</v>
      </c>
      <c r="M43" s="162"/>
      <c r="N43" s="162"/>
      <c r="O43" s="162"/>
      <c r="P43" s="162"/>
    </row>
    <row r="44" spans="1:23" x14ac:dyDescent="0.25">
      <c r="A44" s="20"/>
    </row>
    <row r="45" spans="1:23" x14ac:dyDescent="0.25">
      <c r="A45" s="162" t="s">
        <v>66</v>
      </c>
      <c r="K45" s="1"/>
      <c r="L45" s="181"/>
      <c r="M45" s="1"/>
      <c r="N45" s="1"/>
      <c r="O45" s="1"/>
      <c r="P45" s="1"/>
    </row>
    <row r="46" spans="1:23" x14ac:dyDescent="0.25">
      <c r="A46" t="s">
        <v>51</v>
      </c>
      <c r="B46" s="181">
        <f>'Rate Class Customer Model'!H3</f>
        <v>16645</v>
      </c>
      <c r="C46" s="181">
        <f>'Rate Class Customer Model'!H4</f>
        <v>17044</v>
      </c>
      <c r="D46" s="181">
        <f>'Rate Class Customer Model'!H5</f>
        <v>17361</v>
      </c>
      <c r="E46" s="181">
        <f>'Rate Class Customer Model'!H6</f>
        <v>17552</v>
      </c>
      <c r="F46" s="181">
        <f>'Rate Class Customer Model'!H7</f>
        <v>17776</v>
      </c>
      <c r="G46" s="181">
        <f>'Rate Class Customer Model'!H8</f>
        <v>17903.333333333332</v>
      </c>
      <c r="H46" s="181">
        <f>'Rate Class Customer Model'!H9</f>
        <v>18286.166666666664</v>
      </c>
      <c r="I46" s="181">
        <f>'Rate Class Customer Model'!H10</f>
        <v>18735.916666666664</v>
      </c>
      <c r="J46" s="181">
        <f>'Rate Class Customer Model'!H11</f>
        <v>19073.083333333336</v>
      </c>
      <c r="K46" s="181">
        <f>'Rate Class Customer Model'!H12</f>
        <v>19398</v>
      </c>
      <c r="L46" s="181">
        <f>'Rate Class Customer Model'!H13</f>
        <v>19732.688255456196</v>
      </c>
      <c r="M46" s="181"/>
      <c r="N46" s="181"/>
      <c r="O46" s="181"/>
      <c r="P46" s="181"/>
    </row>
    <row r="47" spans="1:23" x14ac:dyDescent="0.25">
      <c r="A47" t="s">
        <v>47</v>
      </c>
      <c r="B47" s="181">
        <f>'Rate Class Energy Model'!G8</f>
        <v>219644846.84999999</v>
      </c>
      <c r="C47" s="181">
        <f>'Rate Class Energy Model'!G9</f>
        <v>226847622.39000002</v>
      </c>
      <c r="D47" s="181">
        <f>'Rate Class Energy Model'!G10</f>
        <v>229106454.31</v>
      </c>
      <c r="E47" s="181">
        <f>'Rate Class Energy Model'!G11</f>
        <v>231874950.46999997</v>
      </c>
      <c r="F47" s="181">
        <f>'Rate Class Energy Model'!G12</f>
        <v>233601582.96999997</v>
      </c>
      <c r="G47" s="181">
        <f>'Rate Class Energy Model'!G13</f>
        <v>229950204.59647745</v>
      </c>
      <c r="H47" s="181">
        <f>'Rate Class Energy Model'!G14</f>
        <v>232845910.19703764</v>
      </c>
      <c r="I47" s="181">
        <f>'Rate Class Energy Model'!G15</f>
        <v>238347364.48236424</v>
      </c>
      <c r="J47" s="181">
        <f>'Rate Class Energy Model'!G16</f>
        <v>242586977</v>
      </c>
      <c r="K47" s="181">
        <f>'Rate Class Energy Model'!G17</f>
        <v>242016317.90000004</v>
      </c>
      <c r="L47" s="181">
        <f>'Rate Class Energy Model'!O56</f>
        <v>239288942.39224306</v>
      </c>
      <c r="M47" s="181"/>
      <c r="N47" s="181"/>
      <c r="O47" s="181"/>
      <c r="P47" s="181"/>
    </row>
    <row r="48" spans="1:23" x14ac:dyDescent="0.25">
      <c r="A48" t="s">
        <v>50</v>
      </c>
      <c r="B48" s="181">
        <f>'Rate Class Load Model'!E2</f>
        <v>121460</v>
      </c>
      <c r="C48" s="181">
        <f>'Rate Class Load Model'!E3</f>
        <v>139298.71227777778</v>
      </c>
      <c r="D48" s="181">
        <f>'Rate Class Load Model'!E4</f>
        <v>140831.55750000002</v>
      </c>
      <c r="E48" s="181">
        <f>'Rate Class Load Model'!E5</f>
        <v>149215.43422222219</v>
      </c>
      <c r="F48" s="181">
        <f>'Rate Class Load Model'!E6</f>
        <v>144147.67894444443</v>
      </c>
      <c r="G48" s="181">
        <f>'Rate Class Load Model'!E7</f>
        <v>149721</v>
      </c>
      <c r="H48" s="181">
        <f>'Rate Class Load Model'!E8</f>
        <v>135367</v>
      </c>
      <c r="I48" s="181">
        <f>'Rate Class Load Model'!E9</f>
        <v>140274.97344444442</v>
      </c>
      <c r="J48" s="181">
        <f>'Rate Class Load Model'!E10</f>
        <v>145414.17099999997</v>
      </c>
      <c r="K48" s="28">
        <f>'Rate Class Load Model'!E11</f>
        <v>152738.29266666668</v>
      </c>
      <c r="L48" s="181">
        <f>'Rate Class Load Model'!E12</f>
        <v>157434.20421169687</v>
      </c>
      <c r="M48" s="162"/>
      <c r="N48" s="162"/>
      <c r="O48" s="162"/>
      <c r="P48" s="162"/>
    </row>
    <row r="49" spans="1:16" x14ac:dyDescent="0.25">
      <c r="A49" s="20"/>
    </row>
    <row r="50" spans="1:16" x14ac:dyDescent="0.25">
      <c r="A50" s="162" t="s">
        <v>67</v>
      </c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"/>
      <c r="N50" s="1"/>
      <c r="O50" s="1"/>
      <c r="P50" s="1"/>
    </row>
    <row r="51" spans="1:16" x14ac:dyDescent="0.25">
      <c r="A51" t="s">
        <v>51</v>
      </c>
      <c r="B51" s="181">
        <f t="shared" ref="B51:L51" si="4">B41-B46</f>
        <v>0</v>
      </c>
      <c r="C51" s="181">
        <f t="shared" si="4"/>
        <v>0</v>
      </c>
      <c r="D51" s="181">
        <f t="shared" si="4"/>
        <v>0</v>
      </c>
      <c r="E51" s="181">
        <f t="shared" si="4"/>
        <v>0</v>
      </c>
      <c r="F51" s="181">
        <f t="shared" si="4"/>
        <v>0</v>
      </c>
      <c r="G51" s="181">
        <f t="shared" si="4"/>
        <v>0</v>
      </c>
      <c r="H51" s="181">
        <f t="shared" si="4"/>
        <v>0</v>
      </c>
      <c r="I51" s="181">
        <f t="shared" si="4"/>
        <v>0</v>
      </c>
      <c r="J51" s="181">
        <f t="shared" si="4"/>
        <v>0</v>
      </c>
      <c r="K51" s="181">
        <f t="shared" si="4"/>
        <v>0</v>
      </c>
      <c r="L51" s="181">
        <f t="shared" si="4"/>
        <v>0</v>
      </c>
      <c r="M51" s="181"/>
      <c r="N51" s="181"/>
      <c r="O51" s="181"/>
      <c r="P51" s="181"/>
    </row>
    <row r="52" spans="1:16" x14ac:dyDescent="0.25">
      <c r="A52" t="s">
        <v>47</v>
      </c>
      <c r="B52" s="181">
        <f t="shared" ref="B52:L52" si="5">B42-B47</f>
        <v>0</v>
      </c>
      <c r="C52" s="181">
        <f t="shared" si="5"/>
        <v>0</v>
      </c>
      <c r="D52" s="181">
        <f t="shared" si="5"/>
        <v>0</v>
      </c>
      <c r="E52" s="28">
        <f t="shared" si="5"/>
        <v>0</v>
      </c>
      <c r="F52" s="28">
        <f t="shared" si="5"/>
        <v>0</v>
      </c>
      <c r="G52" s="28">
        <f t="shared" si="5"/>
        <v>0</v>
      </c>
      <c r="H52" s="28">
        <f t="shared" si="5"/>
        <v>0</v>
      </c>
      <c r="I52" s="28">
        <f t="shared" si="5"/>
        <v>0</v>
      </c>
      <c r="J52" s="28">
        <f t="shared" si="5"/>
        <v>0</v>
      </c>
      <c r="K52" s="28">
        <f t="shared" si="5"/>
        <v>0</v>
      </c>
      <c r="L52" s="28">
        <f t="shared" si="5"/>
        <v>0</v>
      </c>
      <c r="M52" s="181"/>
      <c r="N52" s="181"/>
      <c r="O52" s="181"/>
      <c r="P52" s="181"/>
    </row>
    <row r="53" spans="1:16" x14ac:dyDescent="0.25">
      <c r="A53" t="s">
        <v>50</v>
      </c>
      <c r="B53" s="181">
        <f t="shared" ref="B53:L53" si="6">B43-B48</f>
        <v>0</v>
      </c>
      <c r="C53" s="181">
        <f t="shared" si="6"/>
        <v>0</v>
      </c>
      <c r="D53" s="181">
        <f t="shared" si="6"/>
        <v>0</v>
      </c>
      <c r="E53" s="181">
        <f t="shared" si="6"/>
        <v>0</v>
      </c>
      <c r="F53" s="181">
        <f t="shared" si="6"/>
        <v>0</v>
      </c>
      <c r="G53" s="181">
        <f t="shared" si="6"/>
        <v>0</v>
      </c>
      <c r="H53" s="181">
        <f t="shared" si="6"/>
        <v>0</v>
      </c>
      <c r="I53" s="181">
        <f t="shared" si="6"/>
        <v>0</v>
      </c>
      <c r="J53" s="181">
        <f t="shared" si="6"/>
        <v>0</v>
      </c>
      <c r="K53" s="181">
        <f t="shared" si="6"/>
        <v>0</v>
      </c>
      <c r="L53" s="181">
        <f t="shared" si="6"/>
        <v>0</v>
      </c>
      <c r="M53" s="162"/>
      <c r="N53" s="162"/>
      <c r="O53" s="162"/>
      <c r="P53" s="162"/>
    </row>
    <row r="54" spans="1:16" x14ac:dyDescent="0.25">
      <c r="A54" s="20"/>
      <c r="K54" s="1"/>
    </row>
    <row r="55" spans="1:16" x14ac:dyDescent="0.25">
      <c r="A55" s="162" t="str">
        <f>'Rate Class Energy Model'!N3</f>
        <v>Hydro One Load Transfers</v>
      </c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"/>
      <c r="N55" s="1"/>
      <c r="O55" s="1"/>
      <c r="P55" s="1"/>
    </row>
    <row r="56" spans="1:16" x14ac:dyDescent="0.25">
      <c r="A56" t="s">
        <v>47</v>
      </c>
      <c r="B56" s="181">
        <f>'Rate Class Energy Model'!N8</f>
        <v>1027940.85</v>
      </c>
      <c r="C56" s="181">
        <f>'Rate Class Energy Model'!N9</f>
        <v>1051589.3999999999</v>
      </c>
      <c r="D56" s="181">
        <f>'Rate Class Energy Model'!N10</f>
        <v>953373.4</v>
      </c>
      <c r="E56" s="181">
        <f>'Rate Class Energy Model'!N11</f>
        <v>1026508.4</v>
      </c>
      <c r="F56" s="181">
        <f>'Rate Class Energy Model'!N12</f>
        <v>976170.4</v>
      </c>
      <c r="G56" s="181">
        <f>'Rate Class Energy Model'!N13</f>
        <v>984206.4</v>
      </c>
      <c r="H56" s="181">
        <f>'Rate Class Energy Model'!N14</f>
        <v>1072122.3999999999</v>
      </c>
      <c r="I56" s="181">
        <f>'Rate Class Energy Model'!N15</f>
        <v>1158298.98</v>
      </c>
      <c r="J56" s="181">
        <f>'Rate Class Energy Model'!N16</f>
        <v>1016031</v>
      </c>
      <c r="K56" s="181">
        <f>'Rate Class Energy Model'!N17</f>
        <v>957045</v>
      </c>
      <c r="L56" s="181">
        <f>'Rate Class Energy Model'!N56</f>
        <v>957045</v>
      </c>
      <c r="M56" s="181"/>
      <c r="N56" s="181"/>
      <c r="O56" s="181"/>
      <c r="P56" s="181"/>
    </row>
    <row r="57" spans="1:16" x14ac:dyDescent="0.25">
      <c r="K57" s="1"/>
      <c r="M57" s="1"/>
      <c r="N57" s="1"/>
      <c r="O57" s="1"/>
      <c r="P57" s="1"/>
    </row>
    <row r="58" spans="1:16" x14ac:dyDescent="0.25">
      <c r="A58" t="s">
        <v>92</v>
      </c>
      <c r="B58" s="181">
        <f>D58/$D$61*$B$61</f>
        <v>849385.97127353249</v>
      </c>
      <c r="C58" s="181">
        <f>D58/$D$61*$C$61</f>
        <v>868926.7324087288</v>
      </c>
      <c r="D58" s="181">
        <f>[4]LTLT!$J$22</f>
        <v>787771</v>
      </c>
      <c r="E58" s="181">
        <f>[4]LTLT!$I$22</f>
        <v>811712</v>
      </c>
      <c r="F58" s="181">
        <f>[4]LTLT!$H$22</f>
        <v>761195</v>
      </c>
      <c r="G58" s="181">
        <f>[4]LTLT!$G$22</f>
        <v>777643</v>
      </c>
      <c r="H58" s="181">
        <f>[4]LTLT!$F$22</f>
        <v>873386</v>
      </c>
      <c r="I58" s="181">
        <f>[4]LTLT!$E$22</f>
        <v>953526</v>
      </c>
      <c r="J58" s="181">
        <f>[4]LTLT!$D$22</f>
        <v>849293</v>
      </c>
      <c r="K58" s="181">
        <f>[4]LTLT!$C$22</f>
        <v>784220</v>
      </c>
      <c r="L58" s="181">
        <f t="shared" ref="L58" si="7">K58</f>
        <v>784220</v>
      </c>
      <c r="M58" s="259"/>
      <c r="N58" s="259"/>
      <c r="O58" s="259"/>
      <c r="P58" s="259"/>
    </row>
    <row r="59" spans="1:16" x14ac:dyDescent="0.25">
      <c r="A59" t="s">
        <v>288</v>
      </c>
      <c r="B59" s="181">
        <f t="shared" ref="B59:B60" si="8">D59/$D$61*$B$61</f>
        <v>174735.41232742596</v>
      </c>
      <c r="C59" s="181">
        <f t="shared" ref="C59:C60" si="9">D59/$D$61*$C$61</f>
        <v>178755.33150389971</v>
      </c>
      <c r="D59" s="181">
        <f>[4]LTLT!$J$23</f>
        <v>162060</v>
      </c>
      <c r="E59" s="181">
        <f>[4]LTLT!$I$23</f>
        <v>211254</v>
      </c>
      <c r="F59" s="181">
        <f>[4]LTLT!$H$23</f>
        <v>211433</v>
      </c>
      <c r="G59" s="181">
        <f>[4]LTLT!$G$23</f>
        <v>203019</v>
      </c>
      <c r="H59" s="181">
        <f>[4]LTLT!$F$23</f>
        <v>195189</v>
      </c>
      <c r="I59" s="181">
        <f>[4]LTLT!$E$23</f>
        <v>200477.98</v>
      </c>
      <c r="J59" s="181">
        <f>[4]LTLT!$D$23</f>
        <v>162375</v>
      </c>
      <c r="K59" s="181">
        <f>[4]LTLT!$C$23</f>
        <v>168467</v>
      </c>
      <c r="L59" s="181">
        <f t="shared" ref="L59:L60" si="10">K59</f>
        <v>168467</v>
      </c>
      <c r="M59" s="259"/>
      <c r="N59" s="259"/>
      <c r="O59" s="259"/>
      <c r="P59" s="259"/>
    </row>
    <row r="60" spans="1:16" x14ac:dyDescent="0.25">
      <c r="A60" t="s">
        <v>60</v>
      </c>
      <c r="B60" s="181">
        <f t="shared" si="8"/>
        <v>3819.4663990415506</v>
      </c>
      <c r="C60" s="181">
        <f t="shared" si="9"/>
        <v>3907.3360873714328</v>
      </c>
      <c r="D60" s="181">
        <f>[4]LTLT!$J$24</f>
        <v>3542.4</v>
      </c>
      <c r="E60" s="181">
        <f>[4]LTLT!$I$24</f>
        <v>3542.4</v>
      </c>
      <c r="F60" s="181">
        <f>[4]LTLT!$H$24</f>
        <v>3542.4</v>
      </c>
      <c r="G60" s="181">
        <f>[4]LTLT!$G$24+[4]LTLT!$G$25</f>
        <v>3544.4</v>
      </c>
      <c r="H60" s="181">
        <f>[4]LTLT!$F$24+[4]LTLT!$F$25</f>
        <v>3547.4</v>
      </c>
      <c r="I60" s="181">
        <f>[4]LTLT!$E$24+[4]LTLT!$E$25</f>
        <v>4295</v>
      </c>
      <c r="J60" s="181">
        <f>[4]LTLT!$D$24+[4]LTLT!$D$25</f>
        <v>4363</v>
      </c>
      <c r="K60" s="181">
        <f>[4]LTLT!$C$24</f>
        <v>4358</v>
      </c>
      <c r="L60" s="181">
        <f t="shared" si="10"/>
        <v>4358</v>
      </c>
      <c r="M60" s="259"/>
      <c r="N60" s="259"/>
      <c r="O60" s="259"/>
      <c r="P60" s="259"/>
    </row>
    <row r="61" spans="1:16" x14ac:dyDescent="0.25">
      <c r="A61" t="s">
        <v>198</v>
      </c>
      <c r="B61" s="181">
        <f>'Rate Class Energy Model'!N8</f>
        <v>1027940.85</v>
      </c>
      <c r="C61" s="181">
        <f>'Rate Class Energy Model'!N9</f>
        <v>1051589.3999999999</v>
      </c>
      <c r="D61" s="181">
        <f t="shared" ref="D61:L61" si="11">SUM(D58:D60)</f>
        <v>953373.4</v>
      </c>
      <c r="E61" s="181">
        <f t="shared" si="11"/>
        <v>1026508.4</v>
      </c>
      <c r="F61" s="181">
        <f t="shared" si="11"/>
        <v>976170.4</v>
      </c>
      <c r="G61" s="181">
        <f t="shared" si="11"/>
        <v>984206.4</v>
      </c>
      <c r="H61" s="181">
        <f t="shared" si="11"/>
        <v>1072122.3999999999</v>
      </c>
      <c r="I61" s="181">
        <f t="shared" si="11"/>
        <v>1158298.98</v>
      </c>
      <c r="J61" s="181">
        <f t="shared" si="11"/>
        <v>1016031</v>
      </c>
      <c r="K61" s="181">
        <f t="shared" si="11"/>
        <v>957045</v>
      </c>
      <c r="L61" s="181">
        <f t="shared" si="11"/>
        <v>957045</v>
      </c>
      <c r="M61" s="259"/>
      <c r="N61" s="259"/>
      <c r="O61" s="259"/>
      <c r="P61" s="259"/>
    </row>
    <row r="62" spans="1:16" x14ac:dyDescent="0.25">
      <c r="B62" s="181">
        <f>B56-B61</f>
        <v>0</v>
      </c>
      <c r="C62" s="181">
        <f t="shared" ref="C62:L62" si="12">C56-C61</f>
        <v>0</v>
      </c>
      <c r="D62" s="181">
        <f t="shared" si="12"/>
        <v>0</v>
      </c>
      <c r="E62" s="181">
        <f t="shared" si="12"/>
        <v>0</v>
      </c>
      <c r="F62" s="181">
        <f t="shared" si="12"/>
        <v>0</v>
      </c>
      <c r="G62" s="181">
        <f t="shared" si="12"/>
        <v>0</v>
      </c>
      <c r="H62" s="181">
        <f t="shared" si="12"/>
        <v>0</v>
      </c>
      <c r="I62" s="181">
        <f t="shared" si="12"/>
        <v>0</v>
      </c>
      <c r="J62" s="181">
        <f t="shared" si="12"/>
        <v>0</v>
      </c>
      <c r="K62" s="181">
        <f t="shared" si="12"/>
        <v>0</v>
      </c>
      <c r="L62" s="181">
        <f t="shared" si="12"/>
        <v>0</v>
      </c>
      <c r="M62" s="181"/>
      <c r="N62" s="181"/>
    </row>
    <row r="63" spans="1:16" x14ac:dyDescent="0.25">
      <c r="B63"/>
      <c r="C63"/>
      <c r="D63"/>
      <c r="E63"/>
      <c r="F63"/>
      <c r="G63"/>
      <c r="H63"/>
      <c r="I63"/>
      <c r="J63"/>
      <c r="K63"/>
      <c r="L63"/>
    </row>
    <row r="64" spans="1:16" x14ac:dyDescent="0.25">
      <c r="B64"/>
      <c r="C64"/>
      <c r="D64"/>
      <c r="E64"/>
      <c r="F64"/>
      <c r="G64"/>
      <c r="H64"/>
      <c r="I64"/>
      <c r="J64"/>
      <c r="K64"/>
      <c r="L64"/>
    </row>
    <row r="65" spans="2:12" x14ac:dyDescent="0.25">
      <c r="B65"/>
      <c r="C65"/>
      <c r="D65"/>
      <c r="E65"/>
      <c r="F65"/>
      <c r="G65"/>
      <c r="H65"/>
      <c r="I65"/>
      <c r="J65"/>
      <c r="K65"/>
      <c r="L65"/>
    </row>
    <row r="66" spans="2:12" x14ac:dyDescent="0.25">
      <c r="B66"/>
      <c r="C66"/>
      <c r="D66"/>
      <c r="E66"/>
      <c r="F66"/>
      <c r="G66"/>
      <c r="H66"/>
      <c r="I66"/>
      <c r="J66"/>
      <c r="K66"/>
      <c r="L66"/>
    </row>
    <row r="67" spans="2:12" x14ac:dyDescent="0.25">
      <c r="B67"/>
      <c r="C67"/>
      <c r="D67"/>
      <c r="E67"/>
      <c r="F67"/>
      <c r="G67"/>
      <c r="H67"/>
      <c r="I67"/>
      <c r="J67"/>
      <c r="K67"/>
      <c r="L67"/>
    </row>
    <row r="68" spans="2:12" x14ac:dyDescent="0.25">
      <c r="B68"/>
      <c r="C68"/>
      <c r="D68"/>
      <c r="E68"/>
      <c r="F68"/>
      <c r="G68"/>
      <c r="H68"/>
      <c r="I68"/>
      <c r="J68"/>
      <c r="K68"/>
      <c r="L68"/>
    </row>
    <row r="69" spans="2:12" x14ac:dyDescent="0.25">
      <c r="B69"/>
      <c r="C69"/>
      <c r="D69"/>
      <c r="E69"/>
      <c r="F69"/>
      <c r="G69"/>
      <c r="H69"/>
      <c r="I69"/>
      <c r="J69"/>
      <c r="K69"/>
      <c r="L69"/>
    </row>
    <row r="70" spans="2:12" x14ac:dyDescent="0.25">
      <c r="B70"/>
      <c r="C70"/>
      <c r="D70"/>
      <c r="E70"/>
      <c r="F70"/>
      <c r="G70"/>
      <c r="H70"/>
      <c r="I70"/>
      <c r="J70"/>
      <c r="K70"/>
      <c r="L70"/>
    </row>
  </sheetData>
  <mergeCells count="1">
    <mergeCell ref="A1:B1"/>
  </mergeCells>
  <phoneticPr fontId="0" type="noConversion"/>
  <printOptions horizontalCentered="1"/>
  <pageMargins left="0.11811023622047245" right="0.15748031496062992" top="0.19685039370078741" bottom="0.31496062992125984" header="0.51181102362204722" footer="0.51181102362204722"/>
  <pageSetup paperSize="5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71"/>
  <sheetViews>
    <sheetView zoomScaleNormal="100" workbookViewId="0">
      <selection activeCell="L151" sqref="L151"/>
    </sheetView>
  </sheetViews>
  <sheetFormatPr defaultRowHeight="13.2" x14ac:dyDescent="0.25"/>
  <cols>
    <col min="1" max="1" width="11.88671875" customWidth="1"/>
    <col min="2" max="2" width="18" style="28" customWidth="1"/>
    <col min="3" max="3" width="11.6640625" style="105" customWidth="1"/>
    <col min="4" max="4" width="13.44140625" style="105" customWidth="1"/>
    <col min="5" max="5" width="10.109375" style="1" customWidth="1"/>
    <col min="6" max="6" width="12.44140625" style="1" customWidth="1"/>
    <col min="7" max="7" width="14.44140625" style="24" customWidth="1"/>
    <col min="8" max="8" width="15.44140625" style="1" bestFit="1" customWidth="1"/>
    <col min="9" max="9" width="16.33203125" style="1" customWidth="1"/>
    <col min="10" max="10" width="12.44140625" style="1" customWidth="1"/>
    <col min="11" max="11" width="34.109375" customWidth="1"/>
    <col min="12" max="14" width="18" customWidth="1"/>
    <col min="15" max="15" width="17.109375" customWidth="1"/>
    <col min="16" max="18" width="15.6640625" customWidth="1"/>
    <col min="19" max="20" width="19.33203125" bestFit="1" customWidth="1"/>
    <col min="21" max="21" width="19.109375" bestFit="1" customWidth="1"/>
    <col min="22" max="22" width="23" bestFit="1" customWidth="1"/>
    <col min="23" max="23" width="14.6640625" bestFit="1" customWidth="1"/>
    <col min="24" max="24" width="35.109375" bestFit="1" customWidth="1"/>
    <col min="25" max="25" width="9.33203125" customWidth="1"/>
    <col min="27" max="27" width="11.6640625" bestFit="1" customWidth="1"/>
    <col min="28" max="28" width="10.6640625" bestFit="1" customWidth="1"/>
  </cols>
  <sheetData>
    <row r="1" spans="1:36" ht="15.6" x14ac:dyDescent="0.3">
      <c r="A1" s="41" t="str">
        <f>Summary!A1</f>
        <v>InnPower Forecast for 2017 EB-2016-0086  Rate Application</v>
      </c>
      <c r="G1" s="1"/>
    </row>
    <row r="2" spans="1:36" ht="42" customHeight="1" x14ac:dyDescent="0.25">
      <c r="A2" s="271"/>
      <c r="B2" s="336" t="s">
        <v>0</v>
      </c>
      <c r="C2" s="337" t="s">
        <v>3</v>
      </c>
      <c r="D2" s="337" t="s">
        <v>4</v>
      </c>
      <c r="E2" s="338" t="s">
        <v>5</v>
      </c>
      <c r="F2" s="338" t="s">
        <v>17</v>
      </c>
      <c r="G2" s="339" t="s">
        <v>71</v>
      </c>
      <c r="H2" s="338" t="s">
        <v>10</v>
      </c>
      <c r="I2" s="12" t="s">
        <v>11</v>
      </c>
      <c r="J2" s="12" t="s">
        <v>267</v>
      </c>
      <c r="K2" t="s">
        <v>18</v>
      </c>
    </row>
    <row r="3" spans="1:36" s="15" customFormat="1" ht="13.8" thickBot="1" x14ac:dyDescent="0.3">
      <c r="A3" s="340">
        <v>39083</v>
      </c>
      <c r="B3" s="341">
        <f>'[5]Consumption Data '!B66</f>
        <v>24279309.5</v>
      </c>
      <c r="C3" s="342">
        <v>647.1</v>
      </c>
      <c r="D3" s="342">
        <v>0</v>
      </c>
      <c r="E3" s="343">
        <v>31</v>
      </c>
      <c r="F3" s="343">
        <v>0</v>
      </c>
      <c r="G3" s="344">
        <f>'[5]Consumption Data '!AG66</f>
        <v>13849</v>
      </c>
      <c r="H3" s="343">
        <f t="shared" ref="H3:H55" si="0">$L$18+C3*$L$19+D3*$L$20+E3*$L$21+F3*$L$22+G3*$L$23</f>
        <v>24401062.01372911</v>
      </c>
      <c r="I3" s="10">
        <f t="shared" ref="I3:I38" si="1">H3-B3</f>
        <v>121752.51372911036</v>
      </c>
      <c r="J3" s="163">
        <f t="shared" ref="J3:J38" si="2">ABS(I3/B3)</f>
        <v>5.0146612995361486E-3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x14ac:dyDescent="0.25">
      <c r="A4" s="340">
        <v>39114</v>
      </c>
      <c r="B4" s="341">
        <f>'[5]Consumption Data '!B67</f>
        <v>23881688.099999998</v>
      </c>
      <c r="C4" s="342">
        <v>740.1</v>
      </c>
      <c r="D4" s="342">
        <v>0</v>
      </c>
      <c r="E4" s="343">
        <v>28</v>
      </c>
      <c r="F4" s="343">
        <v>0</v>
      </c>
      <c r="G4" s="344">
        <f>'[5]Consumption Data '!AG67</f>
        <v>13861</v>
      </c>
      <c r="H4" s="343">
        <f t="shared" si="0"/>
        <v>23671088.092772663</v>
      </c>
      <c r="I4" s="10">
        <f t="shared" si="1"/>
        <v>-210600.00722733513</v>
      </c>
      <c r="J4" s="163">
        <f t="shared" si="2"/>
        <v>8.8184723938059956E-3</v>
      </c>
      <c r="K4" s="54" t="s">
        <v>19</v>
      </c>
      <c r="L4" s="54"/>
    </row>
    <row r="5" spans="1:36" x14ac:dyDescent="0.25">
      <c r="A5" s="340">
        <v>39142</v>
      </c>
      <c r="B5" s="341">
        <f>'[5]Consumption Data '!B68</f>
        <v>22297189.800000001</v>
      </c>
      <c r="C5" s="342">
        <v>546.70000000000005</v>
      </c>
      <c r="D5" s="342">
        <v>0</v>
      </c>
      <c r="E5" s="343">
        <v>31</v>
      </c>
      <c r="F5" s="343">
        <v>1</v>
      </c>
      <c r="G5" s="344">
        <f>'[5]Consumption Data '!AG68</f>
        <v>13865</v>
      </c>
      <c r="H5" s="343">
        <f t="shared" si="0"/>
        <v>22164329.161118805</v>
      </c>
      <c r="I5" s="10">
        <f t="shared" si="1"/>
        <v>-132860.63888119534</v>
      </c>
      <c r="J5" s="163">
        <f t="shared" si="2"/>
        <v>5.958627076906137E-3</v>
      </c>
      <c r="K5" s="33" t="s">
        <v>20</v>
      </c>
      <c r="L5" s="64">
        <v>0.98043980382057505</v>
      </c>
    </row>
    <row r="6" spans="1:36" x14ac:dyDescent="0.25">
      <c r="A6" s="340">
        <v>39173</v>
      </c>
      <c r="B6" s="341">
        <f>'[5]Consumption Data '!B69</f>
        <v>18569417.100000001</v>
      </c>
      <c r="C6" s="342">
        <v>356.4</v>
      </c>
      <c r="D6" s="342">
        <v>0</v>
      </c>
      <c r="E6" s="343">
        <v>30</v>
      </c>
      <c r="F6" s="343">
        <v>1</v>
      </c>
      <c r="G6" s="344">
        <f>'[5]Consumption Data '!AG69</f>
        <v>13869</v>
      </c>
      <c r="H6" s="343">
        <f t="shared" si="0"/>
        <v>19056596.833728176</v>
      </c>
      <c r="I6" s="10">
        <f t="shared" si="1"/>
        <v>487179.73372817412</v>
      </c>
      <c r="J6" s="163">
        <f t="shared" si="2"/>
        <v>2.623559647050925E-2</v>
      </c>
      <c r="K6" s="33" t="s">
        <v>21</v>
      </c>
      <c r="L6" s="64">
        <v>0.96126220891572767</v>
      </c>
    </row>
    <row r="7" spans="1:36" x14ac:dyDescent="0.25">
      <c r="A7" s="340">
        <v>39203</v>
      </c>
      <c r="B7" s="341">
        <f>'[5]Consumption Data '!B70</f>
        <v>16382762.399999999</v>
      </c>
      <c r="C7" s="342">
        <v>136.4</v>
      </c>
      <c r="D7" s="342">
        <v>22.4</v>
      </c>
      <c r="E7" s="343">
        <v>31</v>
      </c>
      <c r="F7" s="343">
        <v>1</v>
      </c>
      <c r="G7" s="344">
        <f>'[5]Consumption Data '!AG70</f>
        <v>13873</v>
      </c>
      <c r="H7" s="343">
        <f t="shared" si="0"/>
        <v>17599888.857372724</v>
      </c>
      <c r="I7" s="10">
        <f t="shared" si="1"/>
        <v>1217126.457372725</v>
      </c>
      <c r="J7" s="163">
        <f t="shared" si="2"/>
        <v>7.4293115388936182E-2</v>
      </c>
      <c r="K7" s="33" t="s">
        <v>22</v>
      </c>
      <c r="L7" s="64">
        <v>0.95956318299097898</v>
      </c>
    </row>
    <row r="8" spans="1:36" x14ac:dyDescent="0.25">
      <c r="A8" s="340">
        <v>39234</v>
      </c>
      <c r="B8" s="341">
        <f>'[5]Consumption Data '!B71</f>
        <v>17880105.399999999</v>
      </c>
      <c r="C8" s="342">
        <v>16.5</v>
      </c>
      <c r="D8" s="342">
        <v>99.2</v>
      </c>
      <c r="E8" s="343">
        <v>30</v>
      </c>
      <c r="F8" s="343">
        <v>0</v>
      </c>
      <c r="G8" s="344">
        <f>'[5]Consumption Data '!AG71</f>
        <v>13881</v>
      </c>
      <c r="H8" s="343">
        <f t="shared" si="0"/>
        <v>18895510.596235603</v>
      </c>
      <c r="I8" s="10">
        <f t="shared" si="1"/>
        <v>1015405.1962356046</v>
      </c>
      <c r="J8" s="163">
        <f t="shared" si="2"/>
        <v>5.6789665022646048E-2</v>
      </c>
      <c r="K8" s="33" t="s">
        <v>23</v>
      </c>
      <c r="L8" s="62">
        <v>573027.89631918247</v>
      </c>
    </row>
    <row r="9" spans="1:36" ht="13.8" thickBot="1" x14ac:dyDescent="0.3">
      <c r="A9" s="340">
        <v>39264</v>
      </c>
      <c r="B9" s="341">
        <f>'[5]Consumption Data '!B72</f>
        <v>18476519.899999999</v>
      </c>
      <c r="C9" s="342">
        <v>3.2</v>
      </c>
      <c r="D9" s="342">
        <v>106.1</v>
      </c>
      <c r="E9" s="343">
        <v>31</v>
      </c>
      <c r="F9" s="343">
        <v>0</v>
      </c>
      <c r="G9" s="344">
        <f>'[5]Consumption Data '!AG72</f>
        <v>13905</v>
      </c>
      <c r="H9" s="343">
        <f t="shared" si="0"/>
        <v>19610918.241143968</v>
      </c>
      <c r="I9" s="10">
        <f t="shared" si="1"/>
        <v>1134398.3411439694</v>
      </c>
      <c r="J9" s="163">
        <f t="shared" si="2"/>
        <v>6.1396753678920321E-2</v>
      </c>
      <c r="K9" s="52" t="s">
        <v>24</v>
      </c>
      <c r="L9" s="52">
        <v>120</v>
      </c>
    </row>
    <row r="10" spans="1:36" x14ac:dyDescent="0.25">
      <c r="A10" s="340">
        <v>39295</v>
      </c>
      <c r="B10" s="341">
        <f>'[5]Consumption Data '!B73</f>
        <v>19239333.699999999</v>
      </c>
      <c r="C10" s="342">
        <v>5.2</v>
      </c>
      <c r="D10" s="342">
        <v>141</v>
      </c>
      <c r="E10" s="343">
        <v>31</v>
      </c>
      <c r="F10" s="343">
        <v>0</v>
      </c>
      <c r="G10" s="344">
        <f>'[5]Consumption Data '!AG73</f>
        <v>13925</v>
      </c>
      <c r="H10" s="343">
        <f t="shared" si="0"/>
        <v>20803429.471577667</v>
      </c>
      <c r="I10" s="10">
        <f t="shared" si="1"/>
        <v>1564095.7715776674</v>
      </c>
      <c r="J10" s="163">
        <f t="shared" si="2"/>
        <v>8.1296774408443656E-2</v>
      </c>
    </row>
    <row r="11" spans="1:36" ht="13.8" thickBot="1" x14ac:dyDescent="0.3">
      <c r="A11" s="340">
        <v>39326</v>
      </c>
      <c r="B11" s="341">
        <f>'[5]Consumption Data '!B74</f>
        <v>16489843.199999999</v>
      </c>
      <c r="C11" s="342">
        <v>36.9</v>
      </c>
      <c r="D11" s="342">
        <v>47.5</v>
      </c>
      <c r="E11" s="343">
        <v>30</v>
      </c>
      <c r="F11" s="343">
        <v>1</v>
      </c>
      <c r="G11" s="344">
        <f>'[5]Consumption Data '!AG74</f>
        <v>13949</v>
      </c>
      <c r="H11" s="343">
        <f t="shared" si="0"/>
        <v>16536011.816801559</v>
      </c>
      <c r="I11" s="10">
        <f t="shared" si="1"/>
        <v>46168.616801559925</v>
      </c>
      <c r="J11" s="163">
        <f t="shared" si="2"/>
        <v>2.7998214562501072E-3</v>
      </c>
      <c r="K11" t="s">
        <v>25</v>
      </c>
    </row>
    <row r="12" spans="1:36" x14ac:dyDescent="0.25">
      <c r="A12" s="340">
        <v>39356</v>
      </c>
      <c r="B12" s="341">
        <f>'[5]Consumption Data '!B75</f>
        <v>17241374.899999999</v>
      </c>
      <c r="C12" s="342">
        <v>137.69999999999999</v>
      </c>
      <c r="D12" s="342">
        <v>19.8</v>
      </c>
      <c r="E12" s="343">
        <v>31</v>
      </c>
      <c r="F12" s="343">
        <v>1</v>
      </c>
      <c r="G12" s="344">
        <f>'[5]Consumption Data '!AG75</f>
        <v>13987</v>
      </c>
      <c r="H12" s="343">
        <f t="shared" si="0"/>
        <v>17589030.930825803</v>
      </c>
      <c r="I12" s="10">
        <f t="shared" si="1"/>
        <v>347656.03082580492</v>
      </c>
      <c r="J12" s="163">
        <f t="shared" si="2"/>
        <v>2.0164054945861942E-2</v>
      </c>
      <c r="K12" s="53"/>
      <c r="L12" s="53" t="s">
        <v>29</v>
      </c>
      <c r="M12" s="53" t="s">
        <v>30</v>
      </c>
      <c r="N12" s="53" t="s">
        <v>31</v>
      </c>
      <c r="O12" s="53" t="s">
        <v>32</v>
      </c>
      <c r="P12" s="53" t="s">
        <v>33</v>
      </c>
    </row>
    <row r="13" spans="1:36" x14ac:dyDescent="0.25">
      <c r="A13" s="340">
        <v>39387</v>
      </c>
      <c r="B13" s="341">
        <f>'[5]Consumption Data '!B76</f>
        <v>20822608.399999999</v>
      </c>
      <c r="C13" s="342">
        <v>462.5</v>
      </c>
      <c r="D13" s="342">
        <v>0</v>
      </c>
      <c r="E13" s="343">
        <v>30</v>
      </c>
      <c r="F13" s="343">
        <v>1</v>
      </c>
      <c r="G13" s="344">
        <f>'[5]Consumption Data '!AG76</f>
        <v>14001</v>
      </c>
      <c r="H13" s="343">
        <f t="shared" si="0"/>
        <v>20497601.725979764</v>
      </c>
      <c r="I13" s="10">
        <f t="shared" si="1"/>
        <v>-325006.6740202345</v>
      </c>
      <c r="J13" s="163">
        <f t="shared" si="2"/>
        <v>1.5608355484427903E-2</v>
      </c>
      <c r="K13" s="33" t="s">
        <v>26</v>
      </c>
      <c r="L13" s="33">
        <v>5</v>
      </c>
      <c r="M13" s="33">
        <v>928888096136964.5</v>
      </c>
      <c r="N13" s="33">
        <v>185777619227392.91</v>
      </c>
      <c r="O13" s="33">
        <v>565.77253761319662</v>
      </c>
      <c r="P13" s="33">
        <v>1.0536579416405935E-78</v>
      </c>
    </row>
    <row r="14" spans="1:36" s="32" customFormat="1" x14ac:dyDescent="0.25">
      <c r="A14" s="340">
        <v>39417</v>
      </c>
      <c r="B14" s="341">
        <f>'[5]Consumption Data '!B77</f>
        <v>25594483.699999999</v>
      </c>
      <c r="C14" s="342">
        <v>630.70000000000005</v>
      </c>
      <c r="D14" s="342">
        <v>0</v>
      </c>
      <c r="E14" s="343">
        <v>31</v>
      </c>
      <c r="F14" s="343">
        <v>0</v>
      </c>
      <c r="G14" s="344">
        <f>'[5]Consumption Data '!AG77</f>
        <v>14035</v>
      </c>
      <c r="H14" s="343">
        <f t="shared" si="0"/>
        <v>24284175.074007247</v>
      </c>
      <c r="I14" s="10">
        <f t="shared" si="1"/>
        <v>-1310308.6259927526</v>
      </c>
      <c r="J14" s="163">
        <f t="shared" si="2"/>
        <v>5.1194962217298121E-2</v>
      </c>
      <c r="K14" s="33" t="s">
        <v>27</v>
      </c>
      <c r="L14" s="33">
        <v>114</v>
      </c>
      <c r="M14" s="33">
        <v>37433150575438.609</v>
      </c>
      <c r="N14" s="33">
        <v>328360969959.98779</v>
      </c>
      <c r="O14" s="33"/>
      <c r="P14" s="33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ht="13.8" thickBot="1" x14ac:dyDescent="0.3">
      <c r="A15" s="340">
        <v>39448</v>
      </c>
      <c r="B15" s="341">
        <f>'[5]Consumption Data '!B78</f>
        <v>25337707.800000001</v>
      </c>
      <c r="C15" s="342">
        <f>'Weather Analysis'!M8</f>
        <v>623.5</v>
      </c>
      <c r="D15" s="342">
        <f>'Weather Analysis'!M28</f>
        <v>0</v>
      </c>
      <c r="E15" s="343">
        <v>31</v>
      </c>
      <c r="F15" s="343">
        <v>0</v>
      </c>
      <c r="G15" s="344">
        <f>'[5]Consumption Data '!AG78</f>
        <v>14052</v>
      </c>
      <c r="H15" s="343">
        <f t="shared" si="0"/>
        <v>24199699.704434037</v>
      </c>
      <c r="I15" s="10">
        <f t="shared" si="1"/>
        <v>-1138008.0955659635</v>
      </c>
      <c r="J15" s="163">
        <f t="shared" si="2"/>
        <v>4.4913616675536984E-2</v>
      </c>
      <c r="K15" s="52" t="s">
        <v>9</v>
      </c>
      <c r="L15" s="52">
        <v>119</v>
      </c>
      <c r="M15" s="52">
        <v>966321246712403.13</v>
      </c>
      <c r="N15" s="52"/>
      <c r="O15" s="52"/>
      <c r="P15" s="52"/>
    </row>
    <row r="16" spans="1:36" ht="13.8" thickBot="1" x14ac:dyDescent="0.3">
      <c r="A16" s="340">
        <v>39479</v>
      </c>
      <c r="B16" s="341">
        <f>'[5]Consumption Data '!B79</f>
        <v>23919251.399999999</v>
      </c>
      <c r="C16" s="342">
        <f>'Weather Analysis'!M9</f>
        <v>674.7</v>
      </c>
      <c r="D16" s="342">
        <f>'Weather Analysis'!M29</f>
        <v>0</v>
      </c>
      <c r="E16" s="343">
        <v>29</v>
      </c>
      <c r="F16" s="343">
        <v>0</v>
      </c>
      <c r="G16" s="344">
        <f>'[5]Consumption Data '!AG79</f>
        <v>14069</v>
      </c>
      <c r="H16" s="343">
        <f t="shared" si="0"/>
        <v>23577875.594099402</v>
      </c>
      <c r="I16" s="10">
        <f t="shared" si="1"/>
        <v>-341375.80590059608</v>
      </c>
      <c r="J16" s="163">
        <f t="shared" si="2"/>
        <v>1.4272010448479007E-2</v>
      </c>
    </row>
    <row r="17" spans="1:17" x14ac:dyDescent="0.25">
      <c r="A17" s="340">
        <v>39508</v>
      </c>
      <c r="B17" s="341">
        <f>'[5]Consumption Data '!B80</f>
        <v>23324392.199999999</v>
      </c>
      <c r="C17" s="342">
        <f>'Weather Analysis'!M10</f>
        <v>610.20000000000005</v>
      </c>
      <c r="D17" s="342">
        <f>'Weather Analysis'!M30</f>
        <v>0</v>
      </c>
      <c r="E17" s="343">
        <v>31</v>
      </c>
      <c r="F17" s="343">
        <v>1</v>
      </c>
      <c r="G17" s="344">
        <f>'[5]Consumption Data '!AG80</f>
        <v>14091</v>
      </c>
      <c r="H17" s="343">
        <f t="shared" si="0"/>
        <v>23102145.287175171</v>
      </c>
      <c r="I17" s="10">
        <f t="shared" si="1"/>
        <v>-222246.91282482818</v>
      </c>
      <c r="J17" s="163">
        <f t="shared" si="2"/>
        <v>9.5285189392771488E-3</v>
      </c>
      <c r="K17" s="53"/>
      <c r="L17" s="53" t="s">
        <v>34</v>
      </c>
      <c r="M17" s="53" t="s">
        <v>23</v>
      </c>
      <c r="N17" s="53" t="s">
        <v>35</v>
      </c>
      <c r="O17" s="53" t="s">
        <v>36</v>
      </c>
      <c r="P17" s="53" t="s">
        <v>37</v>
      </c>
      <c r="Q17" s="53" t="s">
        <v>38</v>
      </c>
    </row>
    <row r="18" spans="1:17" x14ac:dyDescent="0.25">
      <c r="A18" s="340">
        <v>39539</v>
      </c>
      <c r="B18" s="341">
        <f>'[5]Consumption Data '!B81</f>
        <v>17845472.600000001</v>
      </c>
      <c r="C18" s="342">
        <f>'Weather Analysis'!M11</f>
        <v>253.9</v>
      </c>
      <c r="D18" s="342">
        <f>'Weather Analysis'!M31</f>
        <v>0</v>
      </c>
      <c r="E18" s="343">
        <v>30</v>
      </c>
      <c r="F18" s="343">
        <v>1</v>
      </c>
      <c r="G18" s="344">
        <f>'[5]Consumption Data '!AG81</f>
        <v>14109</v>
      </c>
      <c r="H18" s="343">
        <f t="shared" si="0"/>
        <v>17852963.293887429</v>
      </c>
      <c r="I18" s="10">
        <f t="shared" si="1"/>
        <v>7490.6938874274492</v>
      </c>
      <c r="J18" s="163">
        <f t="shared" si="2"/>
        <v>4.197531808391249E-4</v>
      </c>
      <c r="K18" s="33" t="s">
        <v>28</v>
      </c>
      <c r="L18" s="62">
        <v>-11122366.738297148</v>
      </c>
      <c r="M18" s="62">
        <v>2305922.316478496</v>
      </c>
      <c r="N18" s="60">
        <v>-4.8233917763902561</v>
      </c>
      <c r="O18" s="33">
        <v>4.4041599447260424E-6</v>
      </c>
      <c r="P18" s="62">
        <v>-15690381.0869717</v>
      </c>
      <c r="Q18" s="62">
        <v>-6554352.3896225942</v>
      </c>
    </row>
    <row r="19" spans="1:17" x14ac:dyDescent="0.25">
      <c r="A19" s="340">
        <v>39569</v>
      </c>
      <c r="B19" s="341">
        <f>'[5]Consumption Data '!B82</f>
        <v>17203594.699999999</v>
      </c>
      <c r="C19" s="342">
        <f>'Weather Analysis'!M12</f>
        <v>193.5</v>
      </c>
      <c r="D19" s="342">
        <f>'Weather Analysis'!M32</f>
        <v>2.5</v>
      </c>
      <c r="E19" s="343">
        <v>31</v>
      </c>
      <c r="F19" s="343">
        <v>1</v>
      </c>
      <c r="G19" s="344">
        <f>'[5]Consumption Data '!AG82</f>
        <v>14151</v>
      </c>
      <c r="H19" s="343">
        <f t="shared" si="0"/>
        <v>17822172.301897161</v>
      </c>
      <c r="I19" s="10">
        <f t="shared" si="1"/>
        <v>618577.60189716145</v>
      </c>
      <c r="J19" s="163">
        <f t="shared" si="2"/>
        <v>3.59562994062608E-2</v>
      </c>
      <c r="K19" s="33" t="s">
        <v>3</v>
      </c>
      <c r="L19" s="62">
        <v>12943.550325674709</v>
      </c>
      <c r="M19" s="62">
        <v>334.74226224540638</v>
      </c>
      <c r="N19" s="60">
        <v>38.667212914351182</v>
      </c>
      <c r="O19" s="33">
        <v>2.2684479983169594E-67</v>
      </c>
      <c r="P19" s="62">
        <v>12280.428482359543</v>
      </c>
      <c r="Q19" s="62">
        <v>13606.672168989875</v>
      </c>
    </row>
    <row r="20" spans="1:17" x14ac:dyDescent="0.25">
      <c r="A20" s="340">
        <v>39600</v>
      </c>
      <c r="B20" s="341">
        <f>'[5]Consumption Data '!B83</f>
        <v>17657148.199999999</v>
      </c>
      <c r="C20" s="342">
        <f>'Weather Analysis'!M13</f>
        <v>22.7</v>
      </c>
      <c r="D20" s="342">
        <f>'Weather Analysis'!M33</f>
        <v>71.5</v>
      </c>
      <c r="E20" s="343">
        <v>30</v>
      </c>
      <c r="F20" s="343">
        <v>0</v>
      </c>
      <c r="G20" s="344">
        <f>'[5]Consumption Data '!AG83</f>
        <v>14186</v>
      </c>
      <c r="H20" s="343">
        <f t="shared" si="0"/>
        <v>18214370.719562363</v>
      </c>
      <c r="I20" s="10">
        <f t="shared" si="1"/>
        <v>557222.51956236362</v>
      </c>
      <c r="J20" s="163">
        <f t="shared" si="2"/>
        <v>3.1557900134879295E-2</v>
      </c>
      <c r="K20" s="33" t="s">
        <v>4</v>
      </c>
      <c r="L20" s="62">
        <v>33133.73731816456</v>
      </c>
      <c r="M20" s="62">
        <v>1978.2119725463795</v>
      </c>
      <c r="N20" s="60">
        <v>16.749336157092607</v>
      </c>
      <c r="O20" s="33">
        <v>1.6272174463933595E-32</v>
      </c>
      <c r="P20" s="62">
        <v>29214.914636786551</v>
      </c>
      <c r="Q20" s="62">
        <v>37052.559999542573</v>
      </c>
    </row>
    <row r="21" spans="1:17" x14ac:dyDescent="0.25">
      <c r="A21" s="340">
        <v>39630</v>
      </c>
      <c r="B21" s="341">
        <f>'[5]Consumption Data '!B84</f>
        <v>19399005.699999999</v>
      </c>
      <c r="C21" s="342">
        <f>'Weather Analysis'!M14</f>
        <v>1</v>
      </c>
      <c r="D21" s="342">
        <f>'Weather Analysis'!M34</f>
        <v>111</v>
      </c>
      <c r="E21" s="343">
        <v>31</v>
      </c>
      <c r="F21" s="343">
        <v>0</v>
      </c>
      <c r="G21" s="344">
        <f>'[5]Consumption Data '!AG84</f>
        <v>14218</v>
      </c>
      <c r="H21" s="343">
        <f t="shared" si="0"/>
        <v>19905315.057258591</v>
      </c>
      <c r="I21" s="10">
        <f t="shared" si="1"/>
        <v>506309.3572585918</v>
      </c>
      <c r="J21" s="163">
        <f t="shared" si="2"/>
        <v>2.609975815711997E-2</v>
      </c>
      <c r="K21" s="33" t="s">
        <v>5</v>
      </c>
      <c r="L21" s="62">
        <v>646626.03989041445</v>
      </c>
      <c r="M21" s="62">
        <v>67735.95935594826</v>
      </c>
      <c r="N21" s="60">
        <v>9.5462741804900819</v>
      </c>
      <c r="O21" s="33">
        <v>3.1761571713378099E-16</v>
      </c>
      <c r="P21" s="62">
        <v>512441.62611027504</v>
      </c>
      <c r="Q21" s="62">
        <v>780810.45367055386</v>
      </c>
    </row>
    <row r="22" spans="1:17" x14ac:dyDescent="0.25">
      <c r="A22" s="340">
        <v>39661</v>
      </c>
      <c r="B22" s="341">
        <f>'[5]Consumption Data '!B85</f>
        <v>18496934.800000001</v>
      </c>
      <c r="C22" s="342">
        <f>'Weather Analysis'!M15</f>
        <v>12.7</v>
      </c>
      <c r="D22" s="342">
        <f>'Weather Analysis'!M35</f>
        <v>64</v>
      </c>
      <c r="E22" s="343">
        <v>31</v>
      </c>
      <c r="F22" s="343">
        <v>0</v>
      </c>
      <c r="G22" s="344">
        <f>'[5]Consumption Data '!AG85</f>
        <v>14260</v>
      </c>
      <c r="H22" s="343">
        <f t="shared" si="0"/>
        <v>18521008.006609909</v>
      </c>
      <c r="I22" s="10">
        <f t="shared" si="1"/>
        <v>24073.206609908491</v>
      </c>
      <c r="J22" s="163">
        <f t="shared" si="2"/>
        <v>1.301470047345817E-3</v>
      </c>
      <c r="K22" s="33" t="s">
        <v>17</v>
      </c>
      <c r="L22" s="62">
        <v>-945405.75781528826</v>
      </c>
      <c r="M22" s="62">
        <v>141921.89713241661</v>
      </c>
      <c r="N22" s="60">
        <v>-6.6614509594189091</v>
      </c>
      <c r="O22" s="33">
        <v>1.0025707756324094E-9</v>
      </c>
      <c r="P22" s="62">
        <v>-1226551.9429487279</v>
      </c>
      <c r="Q22" s="62">
        <v>-664259.57268184866</v>
      </c>
    </row>
    <row r="23" spans="1:17" ht="12.75" customHeight="1" thickBot="1" x14ac:dyDescent="0.3">
      <c r="A23" s="340">
        <v>39692</v>
      </c>
      <c r="B23" s="341">
        <f>'[5]Consumption Data '!B86</f>
        <v>16944225</v>
      </c>
      <c r="C23" s="342">
        <f>'Weather Analysis'!M16</f>
        <v>59</v>
      </c>
      <c r="D23" s="342">
        <f>'Weather Analysis'!M36</f>
        <v>26.7</v>
      </c>
      <c r="E23" s="343">
        <v>30</v>
      </c>
      <c r="F23" s="343">
        <v>1</v>
      </c>
      <c r="G23" s="344">
        <f>'[5]Consumption Data '!AG86</f>
        <v>14297</v>
      </c>
      <c r="H23" s="343">
        <f t="shared" si="0"/>
        <v>16311349.077165466</v>
      </c>
      <c r="I23" s="10">
        <f t="shared" si="1"/>
        <v>-632875.9228345342</v>
      </c>
      <c r="J23" s="163">
        <f t="shared" si="2"/>
        <v>3.7350538182450613E-2</v>
      </c>
      <c r="K23" s="110" t="s">
        <v>71</v>
      </c>
      <c r="L23" s="63">
        <v>512.83486892044948</v>
      </c>
      <c r="M23" s="63">
        <v>72.950831285931883</v>
      </c>
      <c r="N23" s="61">
        <v>7.029870117728823</v>
      </c>
      <c r="O23" s="52">
        <v>1.6192294299005129E-10</v>
      </c>
      <c r="P23" s="63">
        <v>368.31983401208208</v>
      </c>
      <c r="Q23" s="63">
        <v>657.34990382881688</v>
      </c>
    </row>
    <row r="24" spans="1:17" x14ac:dyDescent="0.25">
      <c r="A24" s="340">
        <v>39722</v>
      </c>
      <c r="B24" s="341">
        <f>'[5]Consumption Data '!B87</f>
        <v>18736114.300000001</v>
      </c>
      <c r="C24" s="342">
        <f>'Weather Analysis'!M17</f>
        <v>278.60000000000002</v>
      </c>
      <c r="D24" s="342">
        <f>'Weather Analysis'!M37</f>
        <v>0</v>
      </c>
      <c r="E24" s="343">
        <v>31</v>
      </c>
      <c r="F24" s="343">
        <v>1</v>
      </c>
      <c r="G24" s="344">
        <f>'[5]Consumption Data '!AG87</f>
        <v>14337</v>
      </c>
      <c r="H24" s="343">
        <f t="shared" si="0"/>
        <v>18936221.376935869</v>
      </c>
      <c r="I24" s="10">
        <f t="shared" si="1"/>
        <v>200107.07693586871</v>
      </c>
      <c r="J24" s="163">
        <f t="shared" si="2"/>
        <v>1.0680286943801827E-2</v>
      </c>
    </row>
    <row r="25" spans="1:17" x14ac:dyDescent="0.25">
      <c r="A25" s="340">
        <v>39753</v>
      </c>
      <c r="B25" s="341">
        <f>'[5]Consumption Data '!B88</f>
        <v>20914295.899999999</v>
      </c>
      <c r="C25" s="342">
        <f>'Weather Analysis'!M18</f>
        <v>451.6</v>
      </c>
      <c r="D25" s="342">
        <f>'Weather Analysis'!M38</f>
        <v>0</v>
      </c>
      <c r="E25" s="343">
        <v>30</v>
      </c>
      <c r="F25" s="343">
        <v>1</v>
      </c>
      <c r="G25" s="344">
        <f>'[5]Consumption Data '!AG88</f>
        <v>14348</v>
      </c>
      <c r="H25" s="343">
        <f t="shared" si="0"/>
        <v>20534470.726945307</v>
      </c>
      <c r="I25" s="10">
        <f t="shared" si="1"/>
        <v>-379825.1730546914</v>
      </c>
      <c r="J25" s="163">
        <f t="shared" si="2"/>
        <v>1.816103085041899E-2</v>
      </c>
    </row>
    <row r="26" spans="1:17" x14ac:dyDescent="0.25">
      <c r="A26" s="340">
        <v>39783</v>
      </c>
      <c r="B26" s="341">
        <f>'[5]Consumption Data '!B89</f>
        <v>25844885.199999999</v>
      </c>
      <c r="C26" s="342">
        <f>'Weather Analysis'!M19</f>
        <v>654.6</v>
      </c>
      <c r="D26" s="342">
        <f>'Weather Analysis'!M39</f>
        <v>0</v>
      </c>
      <c r="E26" s="343">
        <v>31</v>
      </c>
      <c r="F26" s="343">
        <v>0</v>
      </c>
      <c r="G26" s="344">
        <f>'[5]Consumption Data '!AG89</f>
        <v>14388</v>
      </c>
      <c r="H26" s="343">
        <f t="shared" si="0"/>
        <v>24774556.635519791</v>
      </c>
      <c r="I26" s="10">
        <f t="shared" si="1"/>
        <v>-1070328.5644802079</v>
      </c>
      <c r="J26" s="163">
        <f t="shared" si="2"/>
        <v>4.1413554604615072E-2</v>
      </c>
    </row>
    <row r="27" spans="1:17" x14ac:dyDescent="0.25">
      <c r="A27" s="340">
        <v>39814</v>
      </c>
      <c r="B27" s="341">
        <f>'[5]Consumption Data '!B90</f>
        <v>27698757.900000002</v>
      </c>
      <c r="C27" s="342">
        <f>'Weather Analysis'!N8</f>
        <v>830.2</v>
      </c>
      <c r="D27" s="342">
        <f>'Weather Analysis'!N28</f>
        <v>0</v>
      </c>
      <c r="E27" s="343">
        <v>31</v>
      </c>
      <c r="F27" s="343">
        <v>0</v>
      </c>
      <c r="G27" s="344">
        <f>'[5]Consumption Data '!AG90</f>
        <v>14411</v>
      </c>
      <c r="H27" s="343">
        <f t="shared" si="0"/>
        <v>27059239.274693437</v>
      </c>
      <c r="I27" s="10">
        <f t="shared" si="1"/>
        <v>-639518.62530656531</v>
      </c>
      <c r="J27" s="163">
        <f t="shared" si="2"/>
        <v>2.3088350301316771E-2</v>
      </c>
    </row>
    <row r="28" spans="1:17" x14ac:dyDescent="0.25">
      <c r="A28" s="340">
        <v>39845</v>
      </c>
      <c r="B28" s="341">
        <f>'[5]Consumption Data '!B91</f>
        <v>22854686.900000002</v>
      </c>
      <c r="C28" s="342">
        <f>'Weather Analysis'!N9</f>
        <v>606.4</v>
      </c>
      <c r="D28" s="342">
        <f>'Weather Analysis'!N29</f>
        <v>0</v>
      </c>
      <c r="E28" s="343">
        <v>28</v>
      </c>
      <c r="F28" s="343">
        <v>0</v>
      </c>
      <c r="G28" s="344">
        <f>'[5]Consumption Data '!AG91</f>
        <v>14426</v>
      </c>
      <c r="H28" s="343">
        <f t="shared" si="0"/>
        <v>22230287.115170006</v>
      </c>
      <c r="I28" s="10">
        <f t="shared" si="1"/>
        <v>-624399.78482999653</v>
      </c>
      <c r="J28" s="163">
        <f t="shared" si="2"/>
        <v>2.7320426114872589E-2</v>
      </c>
    </row>
    <row r="29" spans="1:17" x14ac:dyDescent="0.25">
      <c r="A29" s="340">
        <v>39873</v>
      </c>
      <c r="B29" s="341">
        <f>'[5]Consumption Data '!B92</f>
        <v>22750703.800000001</v>
      </c>
      <c r="C29" s="342">
        <f>'Weather Analysis'!N10</f>
        <v>533.79999999999995</v>
      </c>
      <c r="D29" s="342">
        <f>'Weather Analysis'!N30</f>
        <v>0</v>
      </c>
      <c r="E29" s="343">
        <v>31</v>
      </c>
      <c r="F29" s="343">
        <v>1</v>
      </c>
      <c r="G29" s="344">
        <f>'[5]Consumption Data '!AG92</f>
        <v>14438</v>
      </c>
      <c r="H29" s="343">
        <f t="shared" si="0"/>
        <v>22291211.741809018</v>
      </c>
      <c r="I29" s="10">
        <f t="shared" si="1"/>
        <v>-459492.05819098279</v>
      </c>
      <c r="J29" s="163">
        <f t="shared" si="2"/>
        <v>2.0196828292889241E-2</v>
      </c>
    </row>
    <row r="30" spans="1:17" x14ac:dyDescent="0.25">
      <c r="A30" s="340">
        <v>39904</v>
      </c>
      <c r="B30" s="341">
        <f>'[5]Consumption Data '!B93</f>
        <v>18949041.899999999</v>
      </c>
      <c r="C30" s="342">
        <f>'Weather Analysis'!N11</f>
        <v>305.8</v>
      </c>
      <c r="D30" s="342">
        <f>'Weather Analysis'!N31</f>
        <v>1.2</v>
      </c>
      <c r="E30" s="343">
        <v>30</v>
      </c>
      <c r="F30" s="343">
        <v>1</v>
      </c>
      <c r="G30" s="344">
        <f>'[5]Consumption Data '!AG93</f>
        <v>14448</v>
      </c>
      <c r="H30" s="343">
        <f t="shared" si="0"/>
        <v>18738345.061135776</v>
      </c>
      <c r="I30" s="10">
        <f t="shared" si="1"/>
        <v>-210696.83886422217</v>
      </c>
      <c r="J30" s="163">
        <f t="shared" si="2"/>
        <v>1.1119128870796481E-2</v>
      </c>
    </row>
    <row r="31" spans="1:17" x14ac:dyDescent="0.25">
      <c r="A31" s="340">
        <v>39934</v>
      </c>
      <c r="B31" s="341">
        <f>'[5]Consumption Data '!B94</f>
        <v>17348781.300000001</v>
      </c>
      <c r="C31" s="342">
        <f>'Weather Analysis'!N12</f>
        <v>158.80000000000001</v>
      </c>
      <c r="D31" s="342">
        <f>'Weather Analysis'!N32</f>
        <v>6.9</v>
      </c>
      <c r="E31" s="343">
        <v>31</v>
      </c>
      <c r="F31" s="343">
        <v>1</v>
      </c>
      <c r="G31" s="344">
        <f>'[5]Consumption Data '!AG94</f>
        <v>14455</v>
      </c>
      <c r="H31" s="343">
        <f t="shared" si="0"/>
        <v>17674721.349947989</v>
      </c>
      <c r="I31" s="10">
        <f t="shared" si="1"/>
        <v>325940.04994798824</v>
      </c>
      <c r="J31" s="163">
        <f t="shared" si="2"/>
        <v>1.8787489698079727E-2</v>
      </c>
    </row>
    <row r="32" spans="1:17" x14ac:dyDescent="0.25">
      <c r="A32" s="340">
        <v>39965</v>
      </c>
      <c r="B32" s="341">
        <f>'[5]Consumption Data '!B95</f>
        <v>17392957.300000001</v>
      </c>
      <c r="C32" s="342">
        <f>'Weather Analysis'!N13</f>
        <v>49.3</v>
      </c>
      <c r="D32" s="342">
        <f>'Weather Analysis'!N33</f>
        <v>34.200000000000003</v>
      </c>
      <c r="E32" s="343">
        <v>30</v>
      </c>
      <c r="F32" s="343">
        <v>0</v>
      </c>
      <c r="G32" s="344">
        <f>'[5]Consumption Data '!AG95</f>
        <v>14460</v>
      </c>
      <c r="H32" s="343">
        <f t="shared" si="0"/>
        <v>17463297.510341976</v>
      </c>
      <c r="I32" s="10">
        <f t="shared" si="1"/>
        <v>70340.210341975093</v>
      </c>
      <c r="J32" s="163">
        <f t="shared" si="2"/>
        <v>4.0441777168035188E-3</v>
      </c>
    </row>
    <row r="33" spans="1:10" x14ac:dyDescent="0.25">
      <c r="A33" s="340">
        <v>39995</v>
      </c>
      <c r="B33" s="341">
        <f>'[5]Consumption Data '!B96</f>
        <v>18006297.300000001</v>
      </c>
      <c r="C33" s="342">
        <f>'Weather Analysis'!N14</f>
        <v>6.2</v>
      </c>
      <c r="D33" s="342">
        <f>'Weather Analysis'!N34</f>
        <v>43.7</v>
      </c>
      <c r="E33" s="343">
        <v>31</v>
      </c>
      <c r="F33" s="343">
        <v>0</v>
      </c>
      <c r="G33" s="344">
        <f>'[5]Consumption Data '!AG96</f>
        <v>14710</v>
      </c>
      <c r="H33" s="343">
        <f t="shared" si="0"/>
        <v>17995035.752948485</v>
      </c>
      <c r="I33" s="10">
        <f t="shared" si="1"/>
        <v>-11261.54705151543</v>
      </c>
      <c r="J33" s="163">
        <f t="shared" si="2"/>
        <v>6.2542269873081739E-4</v>
      </c>
    </row>
    <row r="34" spans="1:10" x14ac:dyDescent="0.25">
      <c r="A34" s="340">
        <v>40026</v>
      </c>
      <c r="B34" s="341">
        <f>'[5]Consumption Data '!B97</f>
        <v>20135392.300000001</v>
      </c>
      <c r="C34" s="342">
        <f>'Weather Analysis'!N15</f>
        <v>9.8000000000000007</v>
      </c>
      <c r="D34" s="342">
        <f>'Weather Analysis'!N35</f>
        <v>91</v>
      </c>
      <c r="E34" s="343">
        <v>31</v>
      </c>
      <c r="F34" s="343">
        <v>0</v>
      </c>
      <c r="G34" s="344">
        <f>'[5]Consumption Data '!AG97</f>
        <v>14976</v>
      </c>
      <c r="H34" s="343">
        <f t="shared" si="0"/>
        <v>19745272.384402938</v>
      </c>
      <c r="I34" s="10">
        <f t="shared" si="1"/>
        <v>-390119.91559706256</v>
      </c>
      <c r="J34" s="163">
        <f t="shared" si="2"/>
        <v>1.9374835602138357E-2</v>
      </c>
    </row>
    <row r="35" spans="1:10" x14ac:dyDescent="0.25">
      <c r="A35" s="340">
        <v>40057</v>
      </c>
      <c r="B35" s="341">
        <f>'[5]Consumption Data '!B98</f>
        <v>17368091.399999999</v>
      </c>
      <c r="C35" s="342">
        <f>'Weather Analysis'!N16</f>
        <v>55.2</v>
      </c>
      <c r="D35" s="342">
        <f>'Weather Analysis'!N36</f>
        <v>20.9</v>
      </c>
      <c r="E35" s="343">
        <v>30</v>
      </c>
      <c r="F35" s="343">
        <v>1</v>
      </c>
      <c r="G35" s="344">
        <f>'[5]Consumption Data '!AG98</f>
        <v>15073</v>
      </c>
      <c r="H35" s="343">
        <f t="shared" si="0"/>
        <v>16467947.767764816</v>
      </c>
      <c r="I35" s="10">
        <f t="shared" si="1"/>
        <v>-900143.63223518245</v>
      </c>
      <c r="J35" s="163">
        <f t="shared" si="2"/>
        <v>5.182743523765556E-2</v>
      </c>
    </row>
    <row r="36" spans="1:10" x14ac:dyDescent="0.25">
      <c r="A36" s="340">
        <v>40087</v>
      </c>
      <c r="B36" s="341">
        <f>'[5]Consumption Data '!B99</f>
        <v>19458169</v>
      </c>
      <c r="C36" s="342">
        <f>'Weather Analysis'!N17</f>
        <v>287.8</v>
      </c>
      <c r="D36" s="342">
        <f>'Weather Analysis'!N37</f>
        <v>0</v>
      </c>
      <c r="E36" s="343">
        <v>31</v>
      </c>
      <c r="F36" s="343">
        <v>1</v>
      </c>
      <c r="G36" s="344">
        <f>'[5]Consumption Data '!AG99</f>
        <v>15110</v>
      </c>
      <c r="H36" s="343">
        <f t="shared" si="0"/>
        <v>19451723.393607583</v>
      </c>
      <c r="I36" s="10">
        <f t="shared" si="1"/>
        <v>-6445.6063924171031</v>
      </c>
      <c r="J36" s="163">
        <f t="shared" si="2"/>
        <v>3.3125451795680793E-4</v>
      </c>
    </row>
    <row r="37" spans="1:10" x14ac:dyDescent="0.25">
      <c r="A37" s="340">
        <v>40118</v>
      </c>
      <c r="B37" s="341">
        <f>'[5]Consumption Data '!B100</f>
        <v>19998429.5</v>
      </c>
      <c r="C37" s="342">
        <f>'Weather Analysis'!N18</f>
        <v>361.2</v>
      </c>
      <c r="D37" s="342">
        <f>'Weather Analysis'!N38</f>
        <v>0</v>
      </c>
      <c r="E37" s="343">
        <v>30</v>
      </c>
      <c r="F37" s="343">
        <v>1</v>
      </c>
      <c r="G37" s="344">
        <f>'[5]Consumption Data '!AG100</f>
        <v>15107</v>
      </c>
      <c r="H37" s="343">
        <f t="shared" si="0"/>
        <v>19753615.443014935</v>
      </c>
      <c r="I37" s="10">
        <f t="shared" si="1"/>
        <v>-244814.05698506534</v>
      </c>
      <c r="J37" s="163">
        <f t="shared" si="2"/>
        <v>1.2241664125928756E-2</v>
      </c>
    </row>
    <row r="38" spans="1:10" x14ac:dyDescent="0.25">
      <c r="A38" s="340">
        <v>40148</v>
      </c>
      <c r="B38" s="341">
        <f>'[5]Consumption Data '!B101</f>
        <v>25277880.599999998</v>
      </c>
      <c r="C38" s="342">
        <f>'Weather Analysis'!N19</f>
        <v>631.29999999999995</v>
      </c>
      <c r="D38" s="342">
        <f>'Weather Analysis'!N39</f>
        <v>0</v>
      </c>
      <c r="E38" s="343">
        <v>31</v>
      </c>
      <c r="F38" s="343">
        <v>0</v>
      </c>
      <c r="G38" s="344">
        <f>'[5]Consumption Data '!AG101</f>
        <v>14563</v>
      </c>
      <c r="H38" s="343">
        <f t="shared" si="0"/>
        <v>24562718.014992647</v>
      </c>
      <c r="I38" s="10">
        <f t="shared" si="1"/>
        <v>-715162.58500735089</v>
      </c>
      <c r="J38" s="163">
        <f t="shared" si="2"/>
        <v>2.8292031136793603E-2</v>
      </c>
    </row>
    <row r="39" spans="1:10" x14ac:dyDescent="0.25">
      <c r="A39" s="340">
        <v>40179</v>
      </c>
      <c r="B39" s="341">
        <f>'[5]Consumption Data '!B102</f>
        <v>26451955.599999998</v>
      </c>
      <c r="C39" s="342">
        <f>'Weather Analysis'!O8</f>
        <v>720</v>
      </c>
      <c r="D39" s="342">
        <f>'Weather Analysis'!O28</f>
        <v>0</v>
      </c>
      <c r="E39" s="343">
        <v>31</v>
      </c>
      <c r="F39" s="343">
        <v>0</v>
      </c>
      <c r="G39" s="344">
        <f>'[5]Consumption Data '!AG102</f>
        <v>14554</v>
      </c>
      <c r="H39" s="343">
        <f t="shared" si="0"/>
        <v>25706195.415059712</v>
      </c>
      <c r="I39" s="10">
        <f t="shared" ref="I39:I70" si="3">H39-B39</f>
        <v>-745760.18494028598</v>
      </c>
      <c r="J39" s="163">
        <f t="shared" ref="J39:J70" si="4">ABS(I39/B39)</f>
        <v>2.819300758769934E-2</v>
      </c>
    </row>
    <row r="40" spans="1:10" x14ac:dyDescent="0.25">
      <c r="A40" s="340">
        <v>40210</v>
      </c>
      <c r="B40" s="341">
        <f>'[5]Consumption Data '!B103</f>
        <v>22355017.900000002</v>
      </c>
      <c r="C40" s="342">
        <f>'Weather Analysis'!O9</f>
        <v>598.29999999999995</v>
      </c>
      <c r="D40" s="342">
        <f>'Weather Analysis'!O29</f>
        <v>0</v>
      </c>
      <c r="E40" s="343">
        <v>28</v>
      </c>
      <c r="F40" s="343">
        <v>0</v>
      </c>
      <c r="G40" s="344">
        <f>'[5]Consumption Data '!AG103</f>
        <v>14553</v>
      </c>
      <c r="H40" s="343">
        <f t="shared" si="0"/>
        <v>22190574.385884937</v>
      </c>
      <c r="I40" s="10">
        <f t="shared" si="3"/>
        <v>-164443.51411506534</v>
      </c>
      <c r="J40" s="163">
        <f t="shared" si="4"/>
        <v>7.3560001092669814E-3</v>
      </c>
    </row>
    <row r="41" spans="1:10" x14ac:dyDescent="0.25">
      <c r="A41" s="340">
        <v>40238</v>
      </c>
      <c r="B41" s="341">
        <f>'[5]Consumption Data '!B104</f>
        <v>21335193</v>
      </c>
      <c r="C41" s="342">
        <f>'Weather Analysis'!O10</f>
        <v>422.8</v>
      </c>
      <c r="D41" s="342">
        <f>'Weather Analysis'!O30</f>
        <v>0</v>
      </c>
      <c r="E41" s="343">
        <v>31</v>
      </c>
      <c r="F41" s="343">
        <v>1</v>
      </c>
      <c r="G41" s="344">
        <f>'[5]Consumption Data '!AG104</f>
        <v>14566</v>
      </c>
      <c r="H41" s="343">
        <f t="shared" si="0"/>
        <v>20920120.518880945</v>
      </c>
      <c r="I41" s="10">
        <f t="shared" si="3"/>
        <v>-415072.4811190553</v>
      </c>
      <c r="J41" s="163">
        <f t="shared" si="4"/>
        <v>1.9454826638739819E-2</v>
      </c>
    </row>
    <row r="42" spans="1:10" x14ac:dyDescent="0.25">
      <c r="A42" s="340">
        <v>40269</v>
      </c>
      <c r="B42" s="341">
        <f>'[5]Consumption Data '!B105</f>
        <v>17366211</v>
      </c>
      <c r="C42" s="342">
        <f>'Weather Analysis'!O11</f>
        <v>225.1</v>
      </c>
      <c r="D42" s="342">
        <f>'Weather Analysis'!O31</f>
        <v>0</v>
      </c>
      <c r="E42" s="343">
        <v>30</v>
      </c>
      <c r="F42" s="343">
        <v>1</v>
      </c>
      <c r="G42" s="344">
        <f>'[5]Consumption Data '!AG105</f>
        <v>14576</v>
      </c>
      <c r="H42" s="343">
        <f t="shared" si="0"/>
        <v>17719682.928293847</v>
      </c>
      <c r="I42" s="10">
        <f t="shared" si="3"/>
        <v>353471.92829384655</v>
      </c>
      <c r="J42" s="163">
        <f t="shared" si="4"/>
        <v>2.0354004007773863E-2</v>
      </c>
    </row>
    <row r="43" spans="1:10" x14ac:dyDescent="0.25">
      <c r="A43" s="340">
        <v>40299</v>
      </c>
      <c r="B43" s="341">
        <f>'[5]Consumption Data '!B106</f>
        <v>18594842.100000001</v>
      </c>
      <c r="C43" s="342">
        <f>'Weather Analysis'!O12</f>
        <v>107.9</v>
      </c>
      <c r="D43" s="342">
        <f>'Weather Analysis'!O32</f>
        <v>45.7</v>
      </c>
      <c r="E43" s="343">
        <v>31</v>
      </c>
      <c r="F43" s="343">
        <v>1</v>
      </c>
      <c r="G43" s="344">
        <f>'[5]Consumption Data '!AG106</f>
        <v>14570</v>
      </c>
      <c r="H43" s="343">
        <f t="shared" si="0"/>
        <v>18360459.656241782</v>
      </c>
      <c r="I43" s="10">
        <f t="shared" si="3"/>
        <v>-234382.44375821948</v>
      </c>
      <c r="J43" s="163">
        <f t="shared" si="4"/>
        <v>1.26047020188582E-2</v>
      </c>
    </row>
    <row r="44" spans="1:10" x14ac:dyDescent="0.25">
      <c r="A44" s="340">
        <v>40330</v>
      </c>
      <c r="B44" s="341">
        <f>'[5]Consumption Data '!B107</f>
        <v>18232281.300000001</v>
      </c>
      <c r="C44" s="342">
        <f>'Weather Analysis'!O13</f>
        <v>21.7</v>
      </c>
      <c r="D44" s="342">
        <f>'Weather Analysis'!O33</f>
        <v>58.7</v>
      </c>
      <c r="E44" s="343">
        <v>30</v>
      </c>
      <c r="F44" s="343">
        <v>0</v>
      </c>
      <c r="G44" s="344">
        <f>'[5]Consumption Data '!AG107</f>
        <v>14584</v>
      </c>
      <c r="H44" s="343">
        <f t="shared" si="0"/>
        <v>17981423.609394521</v>
      </c>
      <c r="I44" s="10">
        <f t="shared" si="3"/>
        <v>-250857.69060548022</v>
      </c>
      <c r="J44" s="163">
        <f t="shared" si="4"/>
        <v>1.375898531169987E-2</v>
      </c>
    </row>
    <row r="45" spans="1:10" x14ac:dyDescent="0.25">
      <c r="A45" s="340">
        <v>40360</v>
      </c>
      <c r="B45" s="341">
        <f>'[5]Consumption Data '!B108</f>
        <v>22225961.800000001</v>
      </c>
      <c r="C45" s="342">
        <f>'Weather Analysis'!O14</f>
        <v>1.8</v>
      </c>
      <c r="D45" s="342">
        <f>'Weather Analysis'!O34</f>
        <v>164.9</v>
      </c>
      <c r="E45" s="343">
        <v>31</v>
      </c>
      <c r="F45" s="343">
        <v>0</v>
      </c>
      <c r="G45" s="344">
        <f>'[5]Consumption Data '!AG108</f>
        <v>14599</v>
      </c>
      <c r="H45" s="343">
        <f t="shared" si="0"/>
        <v>21896968.424026892</v>
      </c>
      <c r="I45" s="10">
        <f t="shared" si="3"/>
        <v>-328993.37597310916</v>
      </c>
      <c r="J45" s="163">
        <f t="shared" si="4"/>
        <v>1.4802210987922653E-2</v>
      </c>
    </row>
    <row r="46" spans="1:10" x14ac:dyDescent="0.25">
      <c r="A46" s="340">
        <v>40391</v>
      </c>
      <c r="B46" s="341">
        <f>'[5]Consumption Data '!B109</f>
        <v>21301864.899999999</v>
      </c>
      <c r="C46" s="342">
        <f>'Weather Analysis'!O15</f>
        <v>2.1</v>
      </c>
      <c r="D46" s="342">
        <f>'Weather Analysis'!O35</f>
        <v>138.80000000000001</v>
      </c>
      <c r="E46" s="343">
        <v>31</v>
      </c>
      <c r="F46" s="343">
        <v>0</v>
      </c>
      <c r="G46" s="344">
        <f>'[5]Consumption Data '!AG109</f>
        <v>14633</v>
      </c>
      <c r="H46" s="343">
        <f t="shared" si="0"/>
        <v>21053497.330663797</v>
      </c>
      <c r="I46" s="10">
        <f t="shared" si="3"/>
        <v>-248367.569336202</v>
      </c>
      <c r="J46" s="163">
        <f t="shared" si="4"/>
        <v>1.1659428435122693E-2</v>
      </c>
    </row>
    <row r="47" spans="1:10" x14ac:dyDescent="0.25">
      <c r="A47" s="340">
        <v>40422</v>
      </c>
      <c r="B47" s="341">
        <f>'[5]Consumption Data '!B110</f>
        <v>17785837.5</v>
      </c>
      <c r="C47" s="342">
        <f>'Weather Analysis'!O16</f>
        <v>78.099999999999994</v>
      </c>
      <c r="D47" s="342">
        <f>'Weather Analysis'!O36</f>
        <v>31.5</v>
      </c>
      <c r="E47" s="343">
        <v>30</v>
      </c>
      <c r="F47" s="343">
        <v>1</v>
      </c>
      <c r="G47" s="344">
        <f>'[5]Consumption Data '!AG110</f>
        <v>14646</v>
      </c>
      <c r="H47" s="343">
        <f t="shared" si="0"/>
        <v>16896592.19676628</v>
      </c>
      <c r="I47" s="10">
        <f t="shared" si="3"/>
        <v>-889245.30323372036</v>
      </c>
      <c r="J47" s="163">
        <f t="shared" si="4"/>
        <v>4.9997381525256845E-2</v>
      </c>
    </row>
    <row r="48" spans="1:10" x14ac:dyDescent="0.25">
      <c r="A48" s="340">
        <v>40452</v>
      </c>
      <c r="B48" s="341">
        <f>'[5]Consumption Data '!B111</f>
        <v>18734173.199999999</v>
      </c>
      <c r="C48" s="342">
        <f>'Weather Analysis'!O17</f>
        <v>241.6</v>
      </c>
      <c r="D48" s="342">
        <f>'Weather Analysis'!O37</f>
        <v>0</v>
      </c>
      <c r="E48" s="343">
        <v>31</v>
      </c>
      <c r="F48" s="343">
        <v>1</v>
      </c>
      <c r="G48" s="344">
        <f>'[5]Consumption Data '!AG111</f>
        <v>14664</v>
      </c>
      <c r="H48" s="343">
        <f t="shared" si="0"/>
        <v>18625007.017022893</v>
      </c>
      <c r="I48" s="10">
        <f t="shared" si="3"/>
        <v>-109166.18297710642</v>
      </c>
      <c r="J48" s="163">
        <f t="shared" si="4"/>
        <v>5.8271150699677754E-3</v>
      </c>
    </row>
    <row r="49" spans="1:10" x14ac:dyDescent="0.25">
      <c r="A49" s="340">
        <v>40483</v>
      </c>
      <c r="B49" s="341">
        <f>'[5]Consumption Data '!B112</f>
        <v>20451455.399999999</v>
      </c>
      <c r="C49" s="342">
        <f>'Weather Analysis'!O18</f>
        <v>405.3</v>
      </c>
      <c r="D49" s="342">
        <f>'Weather Analysis'!O38</f>
        <v>0</v>
      </c>
      <c r="E49" s="343">
        <v>30</v>
      </c>
      <c r="F49" s="343">
        <v>1</v>
      </c>
      <c r="G49" s="344">
        <f>'[5]Consumption Data '!AG112</f>
        <v>14688</v>
      </c>
      <c r="H49" s="343">
        <f t="shared" si="0"/>
        <v>20109548.20229952</v>
      </c>
      <c r="I49" s="10">
        <f t="shared" si="3"/>
        <v>-341907.19770047814</v>
      </c>
      <c r="J49" s="163">
        <f t="shared" si="4"/>
        <v>1.6717988574078604E-2</v>
      </c>
    </row>
    <row r="50" spans="1:10" x14ac:dyDescent="0.25">
      <c r="A50" s="340">
        <v>40513</v>
      </c>
      <c r="B50" s="341">
        <f>'[5]Consumption Data '!B113</f>
        <v>25404585.100000001</v>
      </c>
      <c r="C50" s="342">
        <f>'Weather Analysis'!O19</f>
        <v>676.2</v>
      </c>
      <c r="D50" s="342">
        <f>'Weather Analysis'!O39</f>
        <v>0</v>
      </c>
      <c r="E50" s="343">
        <v>31</v>
      </c>
      <c r="F50" s="343">
        <v>0</v>
      </c>
      <c r="G50" s="344">
        <f>'[5]Consumption Data '!AG113</f>
        <v>14707</v>
      </c>
      <c r="H50" s="343">
        <f t="shared" si="0"/>
        <v>25217731.645739987</v>
      </c>
      <c r="I50" s="10">
        <f t="shared" si="3"/>
        <v>-186853.454260014</v>
      </c>
      <c r="J50" s="163">
        <f t="shared" si="4"/>
        <v>7.355107494355969E-3</v>
      </c>
    </row>
    <row r="51" spans="1:10" x14ac:dyDescent="0.25">
      <c r="A51" s="340">
        <v>40544</v>
      </c>
      <c r="B51" s="341">
        <f>'[5]Consumption Data '!B114</f>
        <v>26274474</v>
      </c>
      <c r="C51" s="342">
        <f>'Weather Analysis'!P8</f>
        <v>775.3</v>
      </c>
      <c r="D51" s="342">
        <f>'Weather Analysis'!P28</f>
        <v>0</v>
      </c>
      <c r="E51" s="345">
        <v>31</v>
      </c>
      <c r="F51" s="343">
        <v>0</v>
      </c>
      <c r="G51" s="344">
        <f>'[5]Consumption Data '!AG114</f>
        <v>14713</v>
      </c>
      <c r="H51" s="343">
        <f t="shared" si="0"/>
        <v>26503514.492227875</v>
      </c>
      <c r="I51" s="10">
        <f t="shared" si="3"/>
        <v>229040.4922278747</v>
      </c>
      <c r="J51" s="163">
        <f t="shared" si="4"/>
        <v>8.7172246427416472E-3</v>
      </c>
    </row>
    <row r="52" spans="1:10" x14ac:dyDescent="0.25">
      <c r="A52" s="340">
        <v>40575</v>
      </c>
      <c r="B52" s="341">
        <f>'[5]Consumption Data '!B115</f>
        <v>22971970.300000001</v>
      </c>
      <c r="C52" s="342">
        <f>'Weather Analysis'!P9</f>
        <v>654.20000000000005</v>
      </c>
      <c r="D52" s="342">
        <f>'Weather Analysis'!P29</f>
        <v>0</v>
      </c>
      <c r="E52" s="345">
        <v>28</v>
      </c>
      <c r="F52" s="343">
        <v>0</v>
      </c>
      <c r="G52" s="344">
        <f>'[5]Consumption Data '!AG115</f>
        <v>14716</v>
      </c>
      <c r="H52" s="343">
        <f t="shared" si="0"/>
        <v>22997710.932724189</v>
      </c>
      <c r="I52" s="10">
        <f t="shared" si="3"/>
        <v>25740.632724188268</v>
      </c>
      <c r="J52" s="163">
        <f t="shared" si="4"/>
        <v>1.1205235070405896E-3</v>
      </c>
    </row>
    <row r="53" spans="1:10" x14ac:dyDescent="0.25">
      <c r="A53" s="340">
        <v>40603</v>
      </c>
      <c r="B53" s="341">
        <f>'[5]Consumption Data '!B116</f>
        <v>22951605.199999999</v>
      </c>
      <c r="C53" s="342">
        <f>'Weather Analysis'!P10</f>
        <v>572.79999999999995</v>
      </c>
      <c r="D53" s="342">
        <f>'Weather Analysis'!P30</f>
        <v>0</v>
      </c>
      <c r="E53" s="345">
        <v>31</v>
      </c>
      <c r="F53" s="343">
        <v>1</v>
      </c>
      <c r="G53" s="344">
        <f>'[5]Consumption Data '!AG116</f>
        <v>14728</v>
      </c>
      <c r="H53" s="343">
        <f t="shared" si="0"/>
        <v>22944732.316497263</v>
      </c>
      <c r="I53" s="10">
        <f t="shared" si="3"/>
        <v>-6872.8835027366877</v>
      </c>
      <c r="J53" s="163">
        <f t="shared" si="4"/>
        <v>2.9945110343466031E-4</v>
      </c>
    </row>
    <row r="54" spans="1:10" x14ac:dyDescent="0.25">
      <c r="A54" s="340">
        <v>40634</v>
      </c>
      <c r="B54" s="341">
        <f>'[5]Consumption Data '!B117</f>
        <v>18914566.699999999</v>
      </c>
      <c r="C54" s="342">
        <f>'Weather Analysis'!P11</f>
        <v>332.3</v>
      </c>
      <c r="D54" s="342">
        <f>'Weather Analysis'!P31</f>
        <v>0</v>
      </c>
      <c r="E54" s="345">
        <v>30</v>
      </c>
      <c r="F54" s="343">
        <v>1</v>
      </c>
      <c r="G54" s="344">
        <f>'[5]Consumption Data '!AG117</f>
        <v>14729</v>
      </c>
      <c r="H54" s="343">
        <f t="shared" si="0"/>
        <v>19185695.258151006</v>
      </c>
      <c r="I54" s="10">
        <f t="shared" si="3"/>
        <v>271128.5581510067</v>
      </c>
      <c r="J54" s="163">
        <f t="shared" si="4"/>
        <v>1.4334378495226471E-2</v>
      </c>
    </row>
    <row r="55" spans="1:10" x14ac:dyDescent="0.25">
      <c r="A55" s="340">
        <v>40664</v>
      </c>
      <c r="B55" s="341">
        <f>'[5]Consumption Data '!B118</f>
        <v>17615740</v>
      </c>
      <c r="C55" s="342">
        <f>'Weather Analysis'!P12</f>
        <v>134.1</v>
      </c>
      <c r="D55" s="342">
        <f>'Weather Analysis'!P32</f>
        <v>13</v>
      </c>
      <c r="E55" s="345">
        <v>31</v>
      </c>
      <c r="F55" s="343">
        <v>1</v>
      </c>
      <c r="G55" s="344">
        <f>'[5]Consumption Data '!AG118</f>
        <v>14733</v>
      </c>
      <c r="H55" s="343">
        <f t="shared" si="0"/>
        <v>17699699.54810451</v>
      </c>
      <c r="I55" s="10">
        <f t="shared" si="3"/>
        <v>83959.548104509711</v>
      </c>
      <c r="J55" s="163">
        <f t="shared" si="4"/>
        <v>4.7661664003050518E-3</v>
      </c>
    </row>
    <row r="56" spans="1:10" x14ac:dyDescent="0.25">
      <c r="A56" s="340">
        <v>40695</v>
      </c>
      <c r="B56" s="341">
        <f>'[5]Consumption Data '!B119</f>
        <v>17571916.300000001</v>
      </c>
      <c r="C56" s="342">
        <f>'Weather Analysis'!P13</f>
        <v>19</v>
      </c>
      <c r="D56" s="342">
        <f>'Weather Analysis'!P33</f>
        <v>52.2</v>
      </c>
      <c r="E56" s="345">
        <v>30</v>
      </c>
      <c r="F56" s="343">
        <v>0</v>
      </c>
      <c r="G56" s="344">
        <f>'[5]Consumption Data '!AG119</f>
        <v>14742</v>
      </c>
      <c r="H56" s="343">
        <f t="shared" ref="H56:H86" si="5">$L$18+C56*$L$19+D56*$L$20+E56*$L$21+F56*$L$22+G56*$L$23</f>
        <v>17812134.640236564</v>
      </c>
      <c r="I56" s="10">
        <f t="shared" si="3"/>
        <v>240218.34023656324</v>
      </c>
      <c r="J56" s="163">
        <f t="shared" si="4"/>
        <v>1.3670582999337598E-2</v>
      </c>
    </row>
    <row r="57" spans="1:10" x14ac:dyDescent="0.25">
      <c r="A57" s="340">
        <v>40725</v>
      </c>
      <c r="B57" s="341">
        <f>'[5]Consumption Data '!B120</f>
        <v>22292830.300000001</v>
      </c>
      <c r="C57" s="342">
        <f>'Weather Analysis'!P14</f>
        <v>0</v>
      </c>
      <c r="D57" s="342">
        <f>'Weather Analysis'!P34</f>
        <v>198.5</v>
      </c>
      <c r="E57" s="345">
        <v>31</v>
      </c>
      <c r="F57" s="343">
        <v>0</v>
      </c>
      <c r="G57" s="344">
        <f>'[5]Consumption Data '!AG120</f>
        <v>14759</v>
      </c>
      <c r="H57" s="343">
        <f t="shared" si="5"/>
        <v>23069017.186358277</v>
      </c>
      <c r="I57" s="10">
        <f t="shared" si="3"/>
        <v>776186.88635827601</v>
      </c>
      <c r="J57" s="163">
        <f t="shared" si="4"/>
        <v>3.4817781139179799E-2</v>
      </c>
    </row>
    <row r="58" spans="1:10" x14ac:dyDescent="0.25">
      <c r="A58" s="340">
        <v>40756</v>
      </c>
      <c r="B58" s="341">
        <f>'[5]Consumption Data '!B121</f>
        <v>19354570.300000001</v>
      </c>
      <c r="C58" s="342">
        <f>'Weather Analysis'!P15</f>
        <v>0</v>
      </c>
      <c r="D58" s="342">
        <f>'Weather Analysis'!P35</f>
        <v>122.2</v>
      </c>
      <c r="E58" s="345">
        <v>31</v>
      </c>
      <c r="F58" s="343">
        <v>0</v>
      </c>
      <c r="G58" s="344">
        <f>'[5]Consumption Data '!AG121</f>
        <v>14772</v>
      </c>
      <c r="H58" s="343">
        <f t="shared" si="5"/>
        <v>20547579.882278286</v>
      </c>
      <c r="I58" s="10">
        <f t="shared" si="3"/>
        <v>1193009.5822782852</v>
      </c>
      <c r="J58" s="163">
        <f t="shared" si="4"/>
        <v>6.1639683226565101E-2</v>
      </c>
    </row>
    <row r="59" spans="1:10" x14ac:dyDescent="0.25">
      <c r="A59" s="340">
        <v>40787</v>
      </c>
      <c r="B59" s="341">
        <f>'[5]Consumption Data '!B122</f>
        <v>17323768.100000001</v>
      </c>
      <c r="C59" s="342">
        <f>'Weather Analysis'!P16</f>
        <v>48.2</v>
      </c>
      <c r="D59" s="342">
        <f>'Weather Analysis'!P36</f>
        <v>39.700000000000003</v>
      </c>
      <c r="E59" s="345">
        <v>30</v>
      </c>
      <c r="F59" s="343">
        <v>1</v>
      </c>
      <c r="G59" s="344">
        <f>'[5]Consumption Data '!AG122</f>
        <v>14772</v>
      </c>
      <c r="H59" s="343">
        <f t="shared" si="5"/>
        <v>16845893.88152153</v>
      </c>
      <c r="I59" s="10">
        <f t="shared" si="3"/>
        <v>-477874.21847847104</v>
      </c>
      <c r="J59" s="163">
        <f t="shared" si="4"/>
        <v>2.7584888906384691E-2</v>
      </c>
    </row>
    <row r="60" spans="1:10" x14ac:dyDescent="0.25">
      <c r="A60" s="340">
        <v>40817</v>
      </c>
      <c r="B60" s="341">
        <f>'[5]Consumption Data '!B123</f>
        <v>18576164</v>
      </c>
      <c r="C60" s="342">
        <f>'Weather Analysis'!P17</f>
        <v>235.5</v>
      </c>
      <c r="D60" s="342">
        <f>'Weather Analysis'!P37</f>
        <v>2.4</v>
      </c>
      <c r="E60" s="345">
        <v>31</v>
      </c>
      <c r="F60" s="343">
        <v>1</v>
      </c>
      <c r="G60" s="344">
        <f>'[5]Consumption Data '!AG123</f>
        <v>14794</v>
      </c>
      <c r="H60" s="343">
        <f t="shared" si="5"/>
        <v>18692240.862559527</v>
      </c>
      <c r="I60" s="10">
        <f t="shared" si="3"/>
        <v>116076.86255952716</v>
      </c>
      <c r="J60" s="163">
        <f t="shared" si="4"/>
        <v>6.2486992771773097E-3</v>
      </c>
    </row>
    <row r="61" spans="1:10" x14ac:dyDescent="0.25">
      <c r="A61" s="340">
        <v>40848</v>
      </c>
      <c r="B61" s="341">
        <f>'[5]Consumption Data '!B124</f>
        <v>19598868</v>
      </c>
      <c r="C61" s="342">
        <f>'Weather Analysis'!P18</f>
        <v>342.1</v>
      </c>
      <c r="D61" s="342">
        <f>'Weather Analysis'!P38</f>
        <v>0</v>
      </c>
      <c r="E61" s="345">
        <v>30</v>
      </c>
      <c r="F61" s="343">
        <v>1</v>
      </c>
      <c r="G61" s="344">
        <f>'[5]Consumption Data '!AG124</f>
        <v>14809</v>
      </c>
      <c r="H61" s="343">
        <f t="shared" si="5"/>
        <v>19353568.840856254</v>
      </c>
      <c r="I61" s="10">
        <f t="shared" si="3"/>
        <v>-245299.1591437459</v>
      </c>
      <c r="J61" s="163">
        <f t="shared" si="4"/>
        <v>1.2515986083673093E-2</v>
      </c>
    </row>
    <row r="62" spans="1:10" x14ac:dyDescent="0.25">
      <c r="A62" s="340">
        <v>40878</v>
      </c>
      <c r="B62" s="341">
        <f>'[5]Consumption Data '!B125</f>
        <v>23311694</v>
      </c>
      <c r="C62" s="342">
        <f>'Weather Analysis'!P19</f>
        <v>534</v>
      </c>
      <c r="D62" s="342">
        <f>'Weather Analysis'!P39</f>
        <v>0</v>
      </c>
      <c r="E62" s="345">
        <v>31</v>
      </c>
      <c r="F62" s="343">
        <v>0</v>
      </c>
      <c r="G62" s="344">
        <f>(G61+G63)/2</f>
        <v>14817.5</v>
      </c>
      <c r="H62" s="343">
        <f t="shared" si="5"/>
        <v>23433827.042444754</v>
      </c>
      <c r="I62" s="10">
        <f t="shared" si="3"/>
        <v>122133.04244475439</v>
      </c>
      <c r="J62" s="163">
        <f t="shared" si="4"/>
        <v>5.2391320186664422E-3</v>
      </c>
    </row>
    <row r="63" spans="1:10" x14ac:dyDescent="0.25">
      <c r="A63" s="340">
        <v>40909</v>
      </c>
      <c r="B63" s="341">
        <f>'[6]Power Purchased'!B123</f>
        <v>24487281</v>
      </c>
      <c r="C63" s="346">
        <f>'Weather Analysis'!Q8</f>
        <v>611.1</v>
      </c>
      <c r="D63" s="346">
        <f>'Weather Analysis'!Q28</f>
        <v>0</v>
      </c>
      <c r="E63" s="343">
        <v>31</v>
      </c>
      <c r="F63" s="344">
        <v>0</v>
      </c>
      <c r="G63" s="344">
        <f>'[6]Customer Numbers'!$J6</f>
        <v>14826</v>
      </c>
      <c r="H63" s="343">
        <f t="shared" si="5"/>
        <v>24436133.8689401</v>
      </c>
      <c r="I63" s="10">
        <f t="shared" si="3"/>
        <v>-51147.131059899926</v>
      </c>
      <c r="J63" s="163">
        <f t="shared" si="4"/>
        <v>2.0887223477322747E-3</v>
      </c>
    </row>
    <row r="64" spans="1:10" x14ac:dyDescent="0.25">
      <c r="A64" s="340">
        <v>40940</v>
      </c>
      <c r="B64" s="341">
        <f>'[6]Power Purchased'!B124</f>
        <v>21711326.899999999</v>
      </c>
      <c r="C64" s="346">
        <f>'Weather Analysis'!Q9</f>
        <v>531.70000000000005</v>
      </c>
      <c r="D64" s="346">
        <f>'Weather Analysis'!Q29</f>
        <v>0</v>
      </c>
      <c r="E64" s="343">
        <v>29</v>
      </c>
      <c r="F64" s="344">
        <v>0</v>
      </c>
      <c r="G64" s="344">
        <f>'[6]Customer Numbers'!$J7</f>
        <v>14835</v>
      </c>
      <c r="H64" s="343">
        <f t="shared" si="5"/>
        <v>22119779.407120984</v>
      </c>
      <c r="I64" s="10">
        <f t="shared" si="3"/>
        <v>408452.50712098554</v>
      </c>
      <c r="J64" s="163">
        <f t="shared" si="4"/>
        <v>1.881287629274218E-2</v>
      </c>
    </row>
    <row r="65" spans="1:10" x14ac:dyDescent="0.25">
      <c r="A65" s="340">
        <v>40969</v>
      </c>
      <c r="B65" s="341">
        <f>'[6]Power Purchased'!B125</f>
        <v>20140443.699999999</v>
      </c>
      <c r="C65" s="346">
        <f>'Weather Analysis'!Q10</f>
        <v>349.40000000000009</v>
      </c>
      <c r="D65" s="346">
        <f>'Weather Analysis'!Q30</f>
        <v>0.2</v>
      </c>
      <c r="E65" s="343">
        <v>31</v>
      </c>
      <c r="F65" s="344">
        <v>1</v>
      </c>
      <c r="G65" s="344">
        <f>'[6]Customer Numbers'!$J8</f>
        <v>14856</v>
      </c>
      <c r="H65" s="343">
        <f t="shared" si="5"/>
        <v>20125412.784426987</v>
      </c>
      <c r="I65" s="10">
        <f t="shared" si="3"/>
        <v>-15030.915573012084</v>
      </c>
      <c r="J65" s="163">
        <f t="shared" si="4"/>
        <v>7.463050862683867E-4</v>
      </c>
    </row>
    <row r="66" spans="1:10" x14ac:dyDescent="0.25">
      <c r="A66" s="340">
        <v>41000</v>
      </c>
      <c r="B66" s="341">
        <f>'[6]Power Purchased'!B126</f>
        <v>18335838.899999999</v>
      </c>
      <c r="C66" s="346">
        <f>'Weather Analysis'!Q11</f>
        <v>321.70000000000005</v>
      </c>
      <c r="D66" s="346">
        <f>'Weather Analysis'!Q31</f>
        <v>0</v>
      </c>
      <c r="E66" s="343">
        <v>30</v>
      </c>
      <c r="F66" s="344">
        <v>1</v>
      </c>
      <c r="G66" s="344">
        <f>'[6]Customer Numbers'!$J9</f>
        <v>14867</v>
      </c>
      <c r="H66" s="343">
        <f t="shared" si="5"/>
        <v>19119264.836609874</v>
      </c>
      <c r="I66" s="10">
        <f t="shared" si="3"/>
        <v>783425.93660987541</v>
      </c>
      <c r="J66" s="163">
        <f t="shared" si="4"/>
        <v>4.2726484502973873E-2</v>
      </c>
    </row>
    <row r="67" spans="1:10" x14ac:dyDescent="0.25">
      <c r="A67" s="340">
        <v>41030</v>
      </c>
      <c r="B67" s="341">
        <f>'[6]Power Purchased'!B127</f>
        <v>17673429</v>
      </c>
      <c r="C67" s="346">
        <f>'Weather Analysis'!Q12</f>
        <v>80.7</v>
      </c>
      <c r="D67" s="346">
        <f>'Weather Analysis'!Q32</f>
        <v>36.700000000000003</v>
      </c>
      <c r="E67" s="343">
        <v>31</v>
      </c>
      <c r="F67" s="344">
        <v>1</v>
      </c>
      <c r="G67" s="344">
        <f>'[6]Customer Numbers'!$J10</f>
        <v>14877</v>
      </c>
      <c r="H67" s="343">
        <f t="shared" si="5"/>
        <v>17867631.756278526</v>
      </c>
      <c r="I67" s="10">
        <f t="shared" si="3"/>
        <v>194202.75627852604</v>
      </c>
      <c r="J67" s="163">
        <f t="shared" si="4"/>
        <v>1.0988402775631487E-2</v>
      </c>
    </row>
    <row r="68" spans="1:10" x14ac:dyDescent="0.25">
      <c r="A68" s="340">
        <v>41061</v>
      </c>
      <c r="B68" s="341">
        <f>'[6]Power Purchased'!B128</f>
        <v>19474755.100000001</v>
      </c>
      <c r="C68" s="346">
        <f>'Weather Analysis'!Q13</f>
        <v>23.2</v>
      </c>
      <c r="D68" s="346">
        <f>'Weather Analysis'!Q33</f>
        <v>101.60000000000001</v>
      </c>
      <c r="E68" s="343">
        <v>30</v>
      </c>
      <c r="F68" s="344">
        <v>0</v>
      </c>
      <c r="G68" s="344">
        <f>'[6]Customer Numbers'!$J11</f>
        <v>14882</v>
      </c>
      <c r="H68" s="343">
        <f t="shared" si="5"/>
        <v>19575101.056770589</v>
      </c>
      <c r="I68" s="10">
        <f t="shared" si="3"/>
        <v>100345.95677058771</v>
      </c>
      <c r="J68" s="163">
        <f t="shared" si="4"/>
        <v>5.1526171320422772E-3</v>
      </c>
    </row>
    <row r="69" spans="1:10" x14ac:dyDescent="0.25">
      <c r="A69" s="340">
        <v>41091</v>
      </c>
      <c r="B69" s="341">
        <f>'[6]Power Purchased'!B129</f>
        <v>22780193</v>
      </c>
      <c r="C69" s="346">
        <f>'Weather Analysis'!Q14</f>
        <v>0</v>
      </c>
      <c r="D69" s="346">
        <f>'Weather Analysis'!Q34</f>
        <v>195.39999999999998</v>
      </c>
      <c r="E69" s="343">
        <v>31</v>
      </c>
      <c r="F69" s="344">
        <v>0</v>
      </c>
      <c r="G69" s="344">
        <f>'[6]Customer Numbers'!$J12</f>
        <v>14921</v>
      </c>
      <c r="H69" s="343">
        <f t="shared" si="5"/>
        <v>23049381.84943708</v>
      </c>
      <c r="I69" s="10">
        <f t="shared" si="3"/>
        <v>269188.84943708032</v>
      </c>
      <c r="J69" s="163">
        <f t="shared" si="4"/>
        <v>1.1816794064786033E-2</v>
      </c>
    </row>
    <row r="70" spans="1:10" x14ac:dyDescent="0.25">
      <c r="A70" s="340">
        <v>41122</v>
      </c>
      <c r="B70" s="341">
        <f>'[6]Power Purchased'!B130</f>
        <v>20627757.200000003</v>
      </c>
      <c r="C70" s="346">
        <f>'Weather Analysis'!Q15</f>
        <v>2</v>
      </c>
      <c r="D70" s="346">
        <f>'Weather Analysis'!Q35</f>
        <v>112.10000000000001</v>
      </c>
      <c r="E70" s="343">
        <v>31</v>
      </c>
      <c r="F70" s="344">
        <v>0</v>
      </c>
      <c r="G70" s="344">
        <f>'[6]Customer Numbers'!$J13</f>
        <v>14953</v>
      </c>
      <c r="H70" s="343">
        <f t="shared" si="5"/>
        <v>20331639.347290777</v>
      </c>
      <c r="I70" s="10">
        <f t="shared" si="3"/>
        <v>-296117.85270922631</v>
      </c>
      <c r="J70" s="163">
        <f t="shared" si="4"/>
        <v>1.4355310169601291E-2</v>
      </c>
    </row>
    <row r="71" spans="1:10" x14ac:dyDescent="0.25">
      <c r="A71" s="340">
        <v>41153</v>
      </c>
      <c r="B71" s="341">
        <f>'[6]Power Purchased'!B131</f>
        <v>17795945.799999997</v>
      </c>
      <c r="C71" s="346">
        <f>'Weather Analysis'!Q16</f>
        <v>85</v>
      </c>
      <c r="D71" s="346">
        <f>'Weather Analysis'!Q36</f>
        <v>35.6</v>
      </c>
      <c r="E71" s="343">
        <v>30</v>
      </c>
      <c r="F71" s="344">
        <v>1</v>
      </c>
      <c r="G71" s="344">
        <f>'[6]Customer Numbers'!$J14</f>
        <v>14968</v>
      </c>
      <c r="H71" s="343">
        <f t="shared" si="5"/>
        <v>17286883.844810296</v>
      </c>
      <c r="I71" s="10">
        <f t="shared" ref="I71:I102" si="6">H71-B71</f>
        <v>-509061.95518970117</v>
      </c>
      <c r="J71" s="163">
        <f t="shared" ref="J71:J102" si="7">ABS(I71/B71)</f>
        <v>2.8605501551353413E-2</v>
      </c>
    </row>
    <row r="72" spans="1:10" x14ac:dyDescent="0.25">
      <c r="A72" s="340">
        <v>41183</v>
      </c>
      <c r="B72" s="341">
        <f>'[6]Power Purchased'!B132</f>
        <v>17475406.5</v>
      </c>
      <c r="C72" s="346">
        <f>'Weather Analysis'!Q17</f>
        <v>242.50000000000003</v>
      </c>
      <c r="D72" s="346">
        <f>'Weather Analysis'!Q37</f>
        <v>1.1000000000000001</v>
      </c>
      <c r="E72" s="343">
        <v>31</v>
      </c>
      <c r="F72" s="344">
        <v>1</v>
      </c>
      <c r="G72" s="344">
        <f>'[6]Customer Numbers'!$J15</f>
        <v>15012</v>
      </c>
      <c r="H72" s="343">
        <f t="shared" si="5"/>
        <v>18851569.857750297</v>
      </c>
      <c r="I72" s="10">
        <f t="shared" si="6"/>
        <v>1376163.3577502966</v>
      </c>
      <c r="J72" s="163">
        <f t="shared" si="7"/>
        <v>7.8748574904411894E-2</v>
      </c>
    </row>
    <row r="73" spans="1:10" x14ac:dyDescent="0.25">
      <c r="A73" s="340">
        <v>41214</v>
      </c>
      <c r="B73" s="341">
        <f>'[6]Power Purchased'!B133</f>
        <v>20981769.300000001</v>
      </c>
      <c r="C73" s="346">
        <f>'Weather Analysis'!Q18</f>
        <v>433.99999999999994</v>
      </c>
      <c r="D73" s="346">
        <f>'Weather Analysis'!Q38</f>
        <v>0</v>
      </c>
      <c r="E73" s="343">
        <v>30</v>
      </c>
      <c r="F73" s="344">
        <v>1</v>
      </c>
      <c r="G73" s="344">
        <f>'[6]Customer Numbers'!$J16</f>
        <v>15036</v>
      </c>
      <c r="H73" s="343">
        <f t="shared" si="5"/>
        <v>20659494.631030701</v>
      </c>
      <c r="I73" s="10">
        <f t="shared" si="6"/>
        <v>-322274.66896929964</v>
      </c>
      <c r="J73" s="163">
        <f t="shared" si="7"/>
        <v>1.535974704332011E-2</v>
      </c>
    </row>
    <row r="74" spans="1:10" x14ac:dyDescent="0.25">
      <c r="A74" s="340">
        <v>41244</v>
      </c>
      <c r="B74" s="341">
        <f>'[6]Power Purchased'!B134</f>
        <v>23645692</v>
      </c>
      <c r="C74" s="346">
        <f>'Weather Analysis'!Q19</f>
        <v>533.50000000000011</v>
      </c>
      <c r="D74" s="346">
        <f>'Weather Analysis'!Q39</f>
        <v>0</v>
      </c>
      <c r="E74" s="343">
        <v>31</v>
      </c>
      <c r="F74" s="344">
        <v>0</v>
      </c>
      <c r="G74" s="344">
        <f>'[6]Customer Numbers'!$J17</f>
        <v>15062</v>
      </c>
      <c r="H74" s="343">
        <f t="shared" si="5"/>
        <v>23552743.392732967</v>
      </c>
      <c r="I74" s="10">
        <f t="shared" si="6"/>
        <v>-92948.607267033309</v>
      </c>
      <c r="J74" s="163">
        <f t="shared" si="7"/>
        <v>3.9308897057034027E-3</v>
      </c>
    </row>
    <row r="75" spans="1:10" x14ac:dyDescent="0.25">
      <c r="A75" s="340">
        <v>41275</v>
      </c>
      <c r="B75" s="341">
        <v>24666681.099999998</v>
      </c>
      <c r="C75" s="346">
        <f>'Weather Analysis'!R8</f>
        <v>624.40000000000009</v>
      </c>
      <c r="D75" s="342">
        <f>'Weather Analysis'!R28</f>
        <v>0</v>
      </c>
      <c r="E75" s="343">
        <v>31</v>
      </c>
      <c r="F75" s="344">
        <v>0</v>
      </c>
      <c r="G75" s="344">
        <f>'[6]Customer Numbers'!J23</f>
        <v>15076</v>
      </c>
      <c r="H75" s="343">
        <f t="shared" si="5"/>
        <v>24736491.805501685</v>
      </c>
      <c r="I75" s="10">
        <f t="shared" si="6"/>
        <v>69810.705501686782</v>
      </c>
      <c r="J75" s="163">
        <f t="shared" si="7"/>
        <v>2.8301620805275983E-3</v>
      </c>
    </row>
    <row r="76" spans="1:10" x14ac:dyDescent="0.25">
      <c r="A76" s="340">
        <v>41306</v>
      </c>
      <c r="B76" s="341">
        <v>22513099.599999998</v>
      </c>
      <c r="C76" s="346">
        <f>'Weather Analysis'!R9</f>
        <v>631.49999999999989</v>
      </c>
      <c r="D76" s="342">
        <f>'Weather Analysis'!R29</f>
        <v>0</v>
      </c>
      <c r="E76" s="343">
        <v>28</v>
      </c>
      <c r="F76" s="344">
        <v>0</v>
      </c>
      <c r="G76" s="344">
        <f>'[6]Customer Numbers'!J24</f>
        <v>15088</v>
      </c>
      <c r="H76" s="343">
        <f t="shared" si="5"/>
        <v>22894666.911569778</v>
      </c>
      <c r="I76" s="10">
        <f t="shared" si="6"/>
        <v>381567.31156978011</v>
      </c>
      <c r="J76" s="163">
        <f t="shared" si="7"/>
        <v>1.6948679584297674E-2</v>
      </c>
    </row>
    <row r="77" spans="1:10" x14ac:dyDescent="0.25">
      <c r="A77" s="340">
        <v>41334</v>
      </c>
      <c r="B77" s="341">
        <v>22356782.100000001</v>
      </c>
      <c r="C77" s="346">
        <f>'Weather Analysis'!R10</f>
        <v>554.79999999999995</v>
      </c>
      <c r="D77" s="342">
        <f>'Weather Analysis'!R30</f>
        <v>0</v>
      </c>
      <c r="E77" s="343">
        <v>31</v>
      </c>
      <c r="F77" s="344">
        <v>1</v>
      </c>
      <c r="G77" s="344">
        <f>'[6]Customer Numbers'!J25</f>
        <v>15100</v>
      </c>
      <c r="H77" s="343">
        <f t="shared" si="5"/>
        <v>22902522.981873527</v>
      </c>
      <c r="I77" s="10">
        <f t="shared" si="6"/>
        <v>545740.88187352568</v>
      </c>
      <c r="J77" s="163">
        <f t="shared" si="7"/>
        <v>2.4410529182262129E-2</v>
      </c>
    </row>
    <row r="78" spans="1:10" x14ac:dyDescent="0.25">
      <c r="A78" s="340">
        <v>41365</v>
      </c>
      <c r="B78" s="341">
        <v>19424576.5</v>
      </c>
      <c r="C78" s="346">
        <f>'Weather Analysis'!R11</f>
        <v>358.6</v>
      </c>
      <c r="D78" s="342">
        <f>'Weather Analysis'!R31</f>
        <v>0</v>
      </c>
      <c r="E78" s="343">
        <v>30</v>
      </c>
      <c r="F78" s="344">
        <v>1</v>
      </c>
      <c r="G78" s="344">
        <f>'[6]Customer Numbers'!J26</f>
        <v>15107</v>
      </c>
      <c r="H78" s="343">
        <f t="shared" si="5"/>
        <v>19719962.212168179</v>
      </c>
      <c r="I78" s="10">
        <f t="shared" si="6"/>
        <v>295385.71216817945</v>
      </c>
      <c r="J78" s="163">
        <f t="shared" si="7"/>
        <v>1.5206803204599053E-2</v>
      </c>
    </row>
    <row r="79" spans="1:10" x14ac:dyDescent="0.25">
      <c r="A79" s="340">
        <v>41395</v>
      </c>
      <c r="B79" s="341">
        <v>17840112.599999998</v>
      </c>
      <c r="C79" s="346">
        <f>'Weather Analysis'!R12</f>
        <v>109.10000000000001</v>
      </c>
      <c r="D79" s="342">
        <f>'Weather Analysis'!R32</f>
        <v>23.1</v>
      </c>
      <c r="E79" s="343">
        <v>31</v>
      </c>
      <c r="F79" s="344">
        <v>1</v>
      </c>
      <c r="G79" s="344">
        <f>'[6]Customer Numbers'!J27</f>
        <v>15139</v>
      </c>
      <c r="H79" s="343">
        <f t="shared" si="5"/>
        <v>17918972.493657805</v>
      </c>
      <c r="I79" s="10">
        <f t="shared" si="6"/>
        <v>78859.893657807261</v>
      </c>
      <c r="J79" s="163">
        <f t="shared" si="7"/>
        <v>4.4203697266914825E-3</v>
      </c>
    </row>
    <row r="80" spans="1:10" x14ac:dyDescent="0.25">
      <c r="A80" s="340">
        <v>41426</v>
      </c>
      <c r="B80" s="341">
        <v>18666406.800000001</v>
      </c>
      <c r="C80" s="346">
        <f>'Weather Analysis'!R13</f>
        <v>32.999999999999993</v>
      </c>
      <c r="D80" s="342">
        <f>'Weather Analysis'!R33</f>
        <v>59.6</v>
      </c>
      <c r="E80" s="343">
        <v>30</v>
      </c>
      <c r="F80" s="344">
        <v>0</v>
      </c>
      <c r="G80" s="344">
        <f>'[6]Customer Numbers'!J28</f>
        <v>15172</v>
      </c>
      <c r="H80" s="343">
        <f t="shared" si="5"/>
        <v>18459052.994586218</v>
      </c>
      <c r="I80" s="10">
        <f t="shared" si="6"/>
        <v>-207353.8054137826</v>
      </c>
      <c r="J80" s="163">
        <f t="shared" si="7"/>
        <v>1.1108394220455037E-2</v>
      </c>
    </row>
    <row r="81" spans="1:10" x14ac:dyDescent="0.25">
      <c r="A81" s="340">
        <v>41456</v>
      </c>
      <c r="B81" s="341">
        <v>22033173.100000001</v>
      </c>
      <c r="C81" s="346">
        <f>'Weather Analysis'!R14</f>
        <v>1.2999999999999998</v>
      </c>
      <c r="D81" s="342">
        <f>'Weather Analysis'!R34</f>
        <v>120.80000000000003</v>
      </c>
      <c r="E81" s="343">
        <v>31</v>
      </c>
      <c r="F81" s="344">
        <v>0</v>
      </c>
      <c r="G81" s="344">
        <f>'[6]Customer Numbers'!J29</f>
        <v>15207</v>
      </c>
      <c r="H81" s="343">
        <f t="shared" si="5"/>
        <v>20741102.433436632</v>
      </c>
      <c r="I81" s="10">
        <f t="shared" si="6"/>
        <v>-1292070.6665633693</v>
      </c>
      <c r="J81" s="163">
        <f t="shared" si="7"/>
        <v>5.8642060346876197E-2</v>
      </c>
    </row>
    <row r="82" spans="1:10" x14ac:dyDescent="0.25">
      <c r="A82" s="340">
        <v>41487</v>
      </c>
      <c r="B82" s="341">
        <v>20162331.399999999</v>
      </c>
      <c r="C82" s="346">
        <f>'Weather Analysis'!R15</f>
        <v>4.4000000000000004</v>
      </c>
      <c r="D82" s="342">
        <f>'Weather Analysis'!R35</f>
        <v>93.799999999999983</v>
      </c>
      <c r="E82" s="343">
        <v>31</v>
      </c>
      <c r="F82" s="344">
        <v>0</v>
      </c>
      <c r="G82" s="344">
        <f>'[6]Customer Numbers'!J30</f>
        <v>15244</v>
      </c>
      <c r="H82" s="343">
        <f t="shared" si="5"/>
        <v>19905591.422005836</v>
      </c>
      <c r="I82" s="10">
        <f t="shared" si="6"/>
        <v>-256739.97799416259</v>
      </c>
      <c r="J82" s="163">
        <f t="shared" si="7"/>
        <v>1.2733645375661398E-2</v>
      </c>
    </row>
    <row r="83" spans="1:10" x14ac:dyDescent="0.25">
      <c r="A83" s="340">
        <v>41518</v>
      </c>
      <c r="B83" s="341">
        <v>17834215.399999999</v>
      </c>
      <c r="C83" s="346">
        <f>'Weather Analysis'!R16</f>
        <v>82.999999999999986</v>
      </c>
      <c r="D83" s="342">
        <f>'Weather Analysis'!R36</f>
        <v>28.099999999999998</v>
      </c>
      <c r="E83" s="343">
        <v>30</v>
      </c>
      <c r="F83" s="344">
        <v>1</v>
      </c>
      <c r="G83" s="344">
        <f>'[6]Customer Numbers'!J31</f>
        <v>15260</v>
      </c>
      <c r="H83" s="343">
        <f t="shared" si="5"/>
        <v>17162241.495997481</v>
      </c>
      <c r="I83" s="10">
        <f t="shared" si="6"/>
        <v>-671973.90400251746</v>
      </c>
      <c r="J83" s="163">
        <f t="shared" si="7"/>
        <v>3.7678916001122061E-2</v>
      </c>
    </row>
    <row r="84" spans="1:10" x14ac:dyDescent="0.25">
      <c r="A84" s="340">
        <v>41548</v>
      </c>
      <c r="B84" s="341">
        <v>19036509.300000001</v>
      </c>
      <c r="C84" s="346">
        <f>'Weather Analysis'!R17</f>
        <v>208.5</v>
      </c>
      <c r="D84" s="342">
        <f>'Weather Analysis'!R37</f>
        <v>0.4</v>
      </c>
      <c r="E84" s="343">
        <v>31</v>
      </c>
      <c r="F84" s="344">
        <v>1</v>
      </c>
      <c r="G84" s="344">
        <f>'[6]Customer Numbers'!J32</f>
        <v>15288</v>
      </c>
      <c r="H84" s="343">
        <f t="shared" si="5"/>
        <v>18529837.954376686</v>
      </c>
      <c r="I84" s="10">
        <f t="shared" si="6"/>
        <v>-506671.34562331438</v>
      </c>
      <c r="J84" s="163">
        <f t="shared" si="7"/>
        <v>2.6615769605581752E-2</v>
      </c>
    </row>
    <row r="85" spans="1:10" x14ac:dyDescent="0.25">
      <c r="A85" s="340">
        <v>41579</v>
      </c>
      <c r="B85" s="341">
        <v>21552244.500000004</v>
      </c>
      <c r="C85" s="346">
        <f>'Weather Analysis'!R18</f>
        <v>478.20000000000005</v>
      </c>
      <c r="D85" s="342">
        <f>'Weather Analysis'!R38</f>
        <v>0</v>
      </c>
      <c r="E85" s="343">
        <v>30</v>
      </c>
      <c r="F85" s="344">
        <v>1</v>
      </c>
      <c r="G85" s="344">
        <f>'[6]Customer Numbers'!J33</f>
        <v>15334</v>
      </c>
      <c r="H85" s="343">
        <f t="shared" si="5"/>
        <v>21384424.346363816</v>
      </c>
      <c r="I85" s="10">
        <f t="shared" si="6"/>
        <v>-167820.15363618731</v>
      </c>
      <c r="J85" s="163">
        <f t="shared" si="7"/>
        <v>7.7866671211987825E-3</v>
      </c>
    </row>
    <row r="86" spans="1:10" x14ac:dyDescent="0.25">
      <c r="A86" s="340">
        <v>41609</v>
      </c>
      <c r="B86" s="341">
        <v>25671928.999999996</v>
      </c>
      <c r="C86" s="346">
        <f>'Weather Analysis'!R19</f>
        <v>687.9</v>
      </c>
      <c r="D86" s="342">
        <f>'Weather Analysis'!R39</f>
        <v>0</v>
      </c>
      <c r="E86" s="343">
        <v>31</v>
      </c>
      <c r="F86" s="344">
        <v>0</v>
      </c>
      <c r="G86" s="344">
        <f>'[6]Customer Numbers'!J34</f>
        <v>15352</v>
      </c>
      <c r="H86" s="343">
        <f t="shared" si="5"/>
        <v>25699949.675004069</v>
      </c>
      <c r="I86" s="10">
        <f t="shared" si="6"/>
        <v>28020.675004072487</v>
      </c>
      <c r="J86" s="163">
        <f t="shared" si="7"/>
        <v>1.0914908265784193E-3</v>
      </c>
    </row>
    <row r="87" spans="1:10" x14ac:dyDescent="0.25">
      <c r="A87" s="340">
        <v>41640</v>
      </c>
      <c r="B87" s="341">
        <v>27344318.300000001</v>
      </c>
      <c r="C87" s="346">
        <f>'Weather Analysis'!S8</f>
        <v>825.90000000000009</v>
      </c>
      <c r="D87" s="342">
        <f>'Weather Analysis'!S28</f>
        <v>0</v>
      </c>
      <c r="E87" s="343">
        <v>31</v>
      </c>
      <c r="F87" s="344">
        <v>0</v>
      </c>
      <c r="G87" s="344">
        <f>'[6]Customer Numbers'!J41</f>
        <v>15406</v>
      </c>
      <c r="H87" s="343">
        <f>$L$18+C87*$L$19+D87*$L$20+E87*$L$21+F87*$L$22+G87*$L$23</f>
        <v>27513852.70286889</v>
      </c>
      <c r="I87" s="10">
        <f t="shared" si="6"/>
        <v>169534.40286888927</v>
      </c>
      <c r="J87" s="163">
        <f t="shared" si="7"/>
        <v>6.1999864472353393E-3</v>
      </c>
    </row>
    <row r="88" spans="1:10" x14ac:dyDescent="0.25">
      <c r="A88" s="340">
        <v>41671</v>
      </c>
      <c r="B88" s="341">
        <v>23698938.399999999</v>
      </c>
      <c r="C88" s="346">
        <f>'Weather Analysis'!S9</f>
        <v>737.09999999999991</v>
      </c>
      <c r="D88" s="342">
        <f>'Weather Analysis'!S29</f>
        <v>0</v>
      </c>
      <c r="E88" s="343">
        <v>28</v>
      </c>
      <c r="F88" s="344">
        <v>0</v>
      </c>
      <c r="G88" s="344">
        <f>'[6]Customer Numbers'!J42</f>
        <v>15425</v>
      </c>
      <c r="H88" s="343">
        <f t="shared" ref="H88:H134" si="8">$L$18+C88*$L$19+D88*$L$20+E88*$L$21+F88*$L$22+G88*$L$23</f>
        <v>24434331.17678722</v>
      </c>
      <c r="I88" s="10">
        <f t="shared" si="6"/>
        <v>735392.77678722143</v>
      </c>
      <c r="J88" s="163">
        <f t="shared" si="7"/>
        <v>3.1030621050402048E-2</v>
      </c>
    </row>
    <row r="89" spans="1:10" x14ac:dyDescent="0.25">
      <c r="A89" s="340">
        <v>41699</v>
      </c>
      <c r="B89" s="341">
        <v>24427814.699999999</v>
      </c>
      <c r="C89" s="346">
        <f>'Weather Analysis'!S10</f>
        <v>690.6</v>
      </c>
      <c r="D89" s="342">
        <f>'Weather Analysis'!S30</f>
        <v>0</v>
      </c>
      <c r="E89" s="343">
        <v>31</v>
      </c>
      <c r="F89" s="344">
        <v>1</v>
      </c>
      <c r="G89" s="344">
        <f>'[6]Customer Numbers'!J43</f>
        <v>15444</v>
      </c>
      <c r="H89" s="343">
        <f t="shared" si="8"/>
        <v>24836672.311008789</v>
      </c>
      <c r="I89" s="10">
        <f t="shared" si="6"/>
        <v>408857.61100878939</v>
      </c>
      <c r="J89" s="163">
        <f t="shared" si="7"/>
        <v>1.6737379746408074E-2</v>
      </c>
    </row>
    <row r="90" spans="1:10" x14ac:dyDescent="0.25">
      <c r="A90" s="340">
        <v>41730</v>
      </c>
      <c r="B90" s="341">
        <v>19352180.899999999</v>
      </c>
      <c r="C90" s="346">
        <f>'Weather Analysis'!S11</f>
        <v>356.90000000000003</v>
      </c>
      <c r="D90" s="342">
        <f>'Weather Analysis'!S31</f>
        <v>0</v>
      </c>
      <c r="E90" s="343">
        <v>30</v>
      </c>
      <c r="F90" s="344">
        <v>1</v>
      </c>
      <c r="G90" s="344">
        <f>'[6]Customer Numbers'!J44</f>
        <v>15478</v>
      </c>
      <c r="H90" s="343">
        <f t="shared" si="8"/>
        <v>19888219.912984017</v>
      </c>
      <c r="I90" s="10">
        <f t="shared" si="6"/>
        <v>536039.01298401877</v>
      </c>
      <c r="J90" s="163">
        <f t="shared" si="7"/>
        <v>2.7699152656433614E-2</v>
      </c>
    </row>
    <row r="91" spans="1:10" x14ac:dyDescent="0.25">
      <c r="A91" s="340">
        <v>41760</v>
      </c>
      <c r="B91" s="341">
        <v>17549445.199999999</v>
      </c>
      <c r="C91" s="346">
        <f>'Weather Analysis'!S12</f>
        <v>132.10000000000005</v>
      </c>
      <c r="D91" s="342">
        <f>'Weather Analysis'!S32</f>
        <v>11.9</v>
      </c>
      <c r="E91" s="343">
        <v>31</v>
      </c>
      <c r="F91" s="344">
        <v>1</v>
      </c>
      <c r="G91" s="344">
        <f>'[6]Customer Numbers'!J45</f>
        <v>15497</v>
      </c>
      <c r="H91" s="343">
        <f t="shared" si="8"/>
        <v>18029171.176258404</v>
      </c>
      <c r="I91" s="10">
        <f t="shared" si="6"/>
        <v>479725.97625840455</v>
      </c>
      <c r="J91" s="163">
        <f t="shared" si="7"/>
        <v>2.733567761209936E-2</v>
      </c>
    </row>
    <row r="92" spans="1:10" x14ac:dyDescent="0.25">
      <c r="A92" s="340">
        <v>41791</v>
      </c>
      <c r="B92" s="341">
        <v>18258424.300000001</v>
      </c>
      <c r="C92" s="346">
        <f>'Weather Analysis'!S13</f>
        <v>14.1</v>
      </c>
      <c r="D92" s="342">
        <f>'Weather Analysis'!S33</f>
        <v>68.099999999999994</v>
      </c>
      <c r="E92" s="343">
        <v>30</v>
      </c>
      <c r="F92" s="344">
        <v>0</v>
      </c>
      <c r="G92" s="344">
        <f>'[6]Customer Numbers'!J46</f>
        <v>15515</v>
      </c>
      <c r="H92" s="343">
        <f t="shared" si="8"/>
        <v>18671959.020675082</v>
      </c>
      <c r="I92" s="10">
        <f t="shared" si="6"/>
        <v>413534.72067508101</v>
      </c>
      <c r="J92" s="163">
        <f t="shared" si="7"/>
        <v>2.2648981855191139E-2</v>
      </c>
    </row>
    <row r="93" spans="1:10" x14ac:dyDescent="0.25">
      <c r="A93" s="340">
        <v>41821</v>
      </c>
      <c r="B93" s="341">
        <v>19452973.100000001</v>
      </c>
      <c r="C93" s="346">
        <f>'Weather Analysis'!S14</f>
        <v>4</v>
      </c>
      <c r="D93" s="342">
        <f>'Weather Analysis'!S34</f>
        <v>71</v>
      </c>
      <c r="E93" s="343">
        <v>31</v>
      </c>
      <c r="F93" s="344">
        <v>0</v>
      </c>
      <c r="G93" s="344">
        <f>'[6]Customer Numbers'!J47</f>
        <v>15587</v>
      </c>
      <c r="H93" s="343">
        <f t="shared" si="8"/>
        <v>19320867.151061129</v>
      </c>
      <c r="I93" s="10">
        <f t="shared" si="6"/>
        <v>-132105.94893887267</v>
      </c>
      <c r="J93" s="163">
        <f t="shared" si="7"/>
        <v>6.7910415677731369E-3</v>
      </c>
    </row>
    <row r="94" spans="1:10" x14ac:dyDescent="0.25">
      <c r="A94" s="340">
        <v>41852</v>
      </c>
      <c r="B94" s="341">
        <v>19828414.199999999</v>
      </c>
      <c r="C94" s="346">
        <f>'Weather Analysis'!S15</f>
        <v>8.7999999999999989</v>
      </c>
      <c r="D94" s="342">
        <f>'Weather Analysis'!S35</f>
        <v>81.799999999999983</v>
      </c>
      <c r="E94" s="343">
        <v>31</v>
      </c>
      <c r="F94" s="344">
        <v>0</v>
      </c>
      <c r="G94" s="344">
        <f>'[6]Customer Numbers'!J48</f>
        <v>15628</v>
      </c>
      <c r="H94" s="343">
        <f t="shared" si="8"/>
        <v>19761866.785286281</v>
      </c>
      <c r="I94" s="10">
        <f t="shared" si="6"/>
        <v>-66547.414713717997</v>
      </c>
      <c r="J94" s="163">
        <f t="shared" si="7"/>
        <v>3.3561642420056972E-3</v>
      </c>
    </row>
    <row r="95" spans="1:10" x14ac:dyDescent="0.25">
      <c r="A95" s="340">
        <v>41883</v>
      </c>
      <c r="B95" s="341">
        <v>17976813.599999998</v>
      </c>
      <c r="C95" s="346">
        <f>'Weather Analysis'!S16</f>
        <v>69.700000000000017</v>
      </c>
      <c r="D95" s="342">
        <f>'Weather Analysis'!S36</f>
        <v>30.099999999999998</v>
      </c>
      <c r="E95" s="343">
        <v>30</v>
      </c>
      <c r="F95" s="344">
        <v>1</v>
      </c>
      <c r="G95" s="344">
        <f>'[6]Customer Numbers'!J49</f>
        <v>15648</v>
      </c>
      <c r="H95" s="343">
        <f t="shared" si="8"/>
        <v>17255339.680443473</v>
      </c>
      <c r="I95" s="10">
        <f t="shared" si="6"/>
        <v>-721473.9195565246</v>
      </c>
      <c r="J95" s="163">
        <f t="shared" si="7"/>
        <v>4.0133581824340923E-2</v>
      </c>
    </row>
    <row r="96" spans="1:10" x14ac:dyDescent="0.25">
      <c r="A96" s="340">
        <v>41913</v>
      </c>
      <c r="B96" s="341">
        <v>19058731</v>
      </c>
      <c r="C96" s="346">
        <f>'Weather Analysis'!S17</f>
        <v>224.30000000000004</v>
      </c>
      <c r="D96" s="342">
        <f>'Weather Analysis'!S37</f>
        <v>1.3</v>
      </c>
      <c r="E96" s="343">
        <v>31</v>
      </c>
      <c r="F96" s="344">
        <v>1</v>
      </c>
      <c r="G96" s="344">
        <f>'[6]Customer Numbers'!J50</f>
        <v>15688</v>
      </c>
      <c r="H96" s="343">
        <f t="shared" si="8"/>
        <v>18969300.360676873</v>
      </c>
      <c r="I96" s="10">
        <f t="shared" si="6"/>
        <v>-89430.639323126525</v>
      </c>
      <c r="J96" s="163">
        <f t="shared" si="7"/>
        <v>4.692371140718998E-3</v>
      </c>
    </row>
    <row r="97" spans="1:12" x14ac:dyDescent="0.25">
      <c r="A97" s="340">
        <v>41944</v>
      </c>
      <c r="B97" s="341">
        <v>22053998.800000001</v>
      </c>
      <c r="C97" s="346">
        <f>'Weather Analysis'!S18</f>
        <v>482.1</v>
      </c>
      <c r="D97" s="342">
        <f>'Weather Analysis'!S38</f>
        <v>0</v>
      </c>
      <c r="E97" s="343">
        <v>30</v>
      </c>
      <c r="F97" s="344">
        <v>1</v>
      </c>
      <c r="G97" s="344">
        <f>'[6]Customer Numbers'!J51</f>
        <v>15720</v>
      </c>
      <c r="H97" s="343">
        <f t="shared" si="8"/>
        <v>21632858.452037241</v>
      </c>
      <c r="I97" s="10">
        <f t="shared" si="6"/>
        <v>-421140.34796275944</v>
      </c>
      <c r="J97" s="163">
        <f t="shared" si="7"/>
        <v>1.909587244390162E-2</v>
      </c>
    </row>
    <row r="98" spans="1:12" x14ac:dyDescent="0.25">
      <c r="A98" s="340">
        <v>41974</v>
      </c>
      <c r="B98" s="341">
        <v>24252933.800000001</v>
      </c>
      <c r="C98" s="346">
        <f>'Weather Analysis'!S19</f>
        <v>557.29999999999995</v>
      </c>
      <c r="D98" s="342">
        <f>'Weather Analysis'!S39</f>
        <v>0</v>
      </c>
      <c r="E98" s="343">
        <v>31</v>
      </c>
      <c r="F98" s="344">
        <v>0</v>
      </c>
      <c r="G98" s="344">
        <f>'[6]Customer Numbers'!J52</f>
        <v>15775</v>
      </c>
      <c r="H98" s="343">
        <f t="shared" si="8"/>
        <v>24226451.152024303</v>
      </c>
      <c r="I98" s="10">
        <f t="shared" si="6"/>
        <v>-26482.647975698113</v>
      </c>
      <c r="J98" s="163">
        <f t="shared" si="7"/>
        <v>1.0919358537851661E-3</v>
      </c>
    </row>
    <row r="99" spans="1:12" x14ac:dyDescent="0.25">
      <c r="A99" s="340">
        <v>42005</v>
      </c>
      <c r="B99" s="341">
        <v>26957597.760000002</v>
      </c>
      <c r="C99" s="346">
        <f>'Weather Analysis'!T8</f>
        <v>792.39999999999975</v>
      </c>
      <c r="D99" s="342">
        <f>'Weather Analysis'!T28</f>
        <v>0</v>
      </c>
      <c r="E99" s="345">
        <v>31</v>
      </c>
      <c r="F99" s="344">
        <v>0</v>
      </c>
      <c r="G99" s="347">
        <f>'[6]Customer Numbers'!J60</f>
        <v>15793</v>
      </c>
      <c r="H99" s="343">
        <f t="shared" si="8"/>
        <v>27278710.861230992</v>
      </c>
      <c r="I99" s="10">
        <f t="shared" si="6"/>
        <v>321113.10123099014</v>
      </c>
      <c r="J99" s="163">
        <f t="shared" si="7"/>
        <v>1.1911784725397955E-2</v>
      </c>
    </row>
    <row r="100" spans="1:12" x14ac:dyDescent="0.25">
      <c r="A100" s="340">
        <v>42036</v>
      </c>
      <c r="B100" s="341">
        <v>25654360.289999999</v>
      </c>
      <c r="C100" s="346">
        <f>'Weather Analysis'!T9</f>
        <v>856.8</v>
      </c>
      <c r="D100" s="342">
        <f>'Weather Analysis'!T29</f>
        <v>0</v>
      </c>
      <c r="E100" s="345">
        <v>28</v>
      </c>
      <c r="F100" s="344">
        <v>0</v>
      </c>
      <c r="G100" s="347">
        <f>'[6]Customer Numbers'!J61</f>
        <v>15802</v>
      </c>
      <c r="H100" s="343">
        <f t="shared" si="8"/>
        <v>26177012.896353491</v>
      </c>
      <c r="I100" s="10">
        <f t="shared" si="6"/>
        <v>522652.60635349154</v>
      </c>
      <c r="J100" s="163">
        <f t="shared" si="7"/>
        <v>2.0372856716962071E-2</v>
      </c>
    </row>
    <row r="101" spans="1:12" x14ac:dyDescent="0.25">
      <c r="A101" s="340">
        <v>42064</v>
      </c>
      <c r="B101" s="341">
        <v>23473380.280000001</v>
      </c>
      <c r="C101" s="346">
        <f>'Weather Analysis'!T10</f>
        <v>615.49999999999989</v>
      </c>
      <c r="D101" s="342">
        <f>'Weather Analysis'!T30</f>
        <v>0</v>
      </c>
      <c r="E101" s="345">
        <v>31</v>
      </c>
      <c r="F101" s="344">
        <v>1</v>
      </c>
      <c r="G101" s="347">
        <f>'[6]Customer Numbers'!J62</f>
        <v>15826</v>
      </c>
      <c r="H101" s="343">
        <f t="shared" si="8"/>
        <v>24060514.601478226</v>
      </c>
      <c r="I101" s="10">
        <f t="shared" si="6"/>
        <v>587134.32147822529</v>
      </c>
      <c r="J101" s="163">
        <f t="shared" si="7"/>
        <v>2.5012772531039371E-2</v>
      </c>
    </row>
    <row r="102" spans="1:12" x14ac:dyDescent="0.25">
      <c r="A102" s="340">
        <v>42095</v>
      </c>
      <c r="B102" s="341">
        <v>18844476.52</v>
      </c>
      <c r="C102" s="346">
        <f>'Weather Analysis'!T11</f>
        <v>313.7</v>
      </c>
      <c r="D102" s="342">
        <f>'Weather Analysis'!T31</f>
        <v>0</v>
      </c>
      <c r="E102" s="345">
        <v>30</v>
      </c>
      <c r="F102" s="344">
        <v>1</v>
      </c>
      <c r="G102" s="347">
        <f>'[6]Customer Numbers'!J63</f>
        <v>15843</v>
      </c>
      <c r="H102" s="343">
        <f t="shared" si="8"/>
        <v>19516243.266070835</v>
      </c>
      <c r="I102" s="10">
        <f t="shared" si="6"/>
        <v>671766.74607083574</v>
      </c>
      <c r="J102" s="163">
        <f t="shared" si="7"/>
        <v>3.5647938819519713E-2</v>
      </c>
    </row>
    <row r="103" spans="1:12" x14ac:dyDescent="0.25">
      <c r="A103" s="340">
        <v>42125</v>
      </c>
      <c r="B103" s="341">
        <v>18113892.379999999</v>
      </c>
      <c r="C103" s="346">
        <f>'Weather Analysis'!T12</f>
        <v>89.3</v>
      </c>
      <c r="D103" s="342">
        <f>'Weather Analysis'!T32</f>
        <v>34.1</v>
      </c>
      <c r="E103" s="345">
        <v>31</v>
      </c>
      <c r="F103" s="344">
        <v>1</v>
      </c>
      <c r="G103" s="347">
        <f>'[6]Customer Numbers'!J64</f>
        <v>15856</v>
      </c>
      <c r="H103" s="343">
        <f t="shared" si="8"/>
        <v>18394863.908725221</v>
      </c>
      <c r="I103" s="10">
        <f t="shared" ref="I103:I122" si="9">H103-B103</f>
        <v>280971.52872522175</v>
      </c>
      <c r="J103" s="163">
        <f t="shared" ref="J103:J122" si="10">ABS(I103/B103)</f>
        <v>1.5511383353223929E-2</v>
      </c>
    </row>
    <row r="104" spans="1:12" x14ac:dyDescent="0.25">
      <c r="A104" s="340">
        <v>42156</v>
      </c>
      <c r="B104" s="341">
        <v>18210408.52</v>
      </c>
      <c r="C104" s="346">
        <f>'Weather Analysis'!T13</f>
        <v>33.800000000000004</v>
      </c>
      <c r="D104" s="342">
        <f>'Weather Analysis'!T33</f>
        <v>32.299999999999997</v>
      </c>
      <c r="E104" s="345">
        <v>30</v>
      </c>
      <c r="F104" s="344">
        <v>0</v>
      </c>
      <c r="G104" s="347">
        <f>'[6]Customer Numbers'!J65</f>
        <v>15883</v>
      </c>
      <c r="H104" s="343">
        <f t="shared" si="8"/>
        <v>17929482.397863306</v>
      </c>
      <c r="I104" s="10">
        <f t="shared" si="9"/>
        <v>-280926.12213669345</v>
      </c>
      <c r="J104" s="163">
        <f t="shared" si="10"/>
        <v>1.5426678749582135E-2</v>
      </c>
    </row>
    <row r="105" spans="1:12" x14ac:dyDescent="0.25">
      <c r="A105" s="340">
        <v>42186</v>
      </c>
      <c r="B105" s="341">
        <v>21783993.609999999</v>
      </c>
      <c r="C105" s="346">
        <f>'Weather Analysis'!T14</f>
        <v>4</v>
      </c>
      <c r="D105" s="342">
        <f>'Weather Analysis'!T34</f>
        <v>114.29999999999998</v>
      </c>
      <c r="E105" s="345">
        <v>31</v>
      </c>
      <c r="F105" s="344">
        <v>0</v>
      </c>
      <c r="G105" s="347">
        <f>'[6]Customer Numbers'!J66</f>
        <v>15881</v>
      </c>
      <c r="H105" s="343">
        <f t="shared" si="8"/>
        <v>20906331.428400263</v>
      </c>
      <c r="I105" s="10">
        <f t="shared" si="9"/>
        <v>-877662.18159973621</v>
      </c>
      <c r="J105" s="163">
        <f t="shared" si="10"/>
        <v>4.0289315049966003E-2</v>
      </c>
    </row>
    <row r="106" spans="1:12" x14ac:dyDescent="0.25">
      <c r="A106" s="340">
        <v>42217</v>
      </c>
      <c r="B106" s="341">
        <v>20815474.270000003</v>
      </c>
      <c r="C106" s="346">
        <f>'Weather Analysis'!T15</f>
        <v>4.4000000000000004</v>
      </c>
      <c r="D106" s="342">
        <f>'Weather Analysis'!T35</f>
        <v>88.6</v>
      </c>
      <c r="E106" s="345">
        <v>31</v>
      </c>
      <c r="F106" s="344">
        <v>0</v>
      </c>
      <c r="G106" s="347">
        <f>'[6]Customer Numbers'!J67</f>
        <v>15970</v>
      </c>
      <c r="H106" s="343">
        <f t="shared" si="8"/>
        <v>20105614.102787629</v>
      </c>
      <c r="I106" s="10">
        <f t="shared" si="9"/>
        <v>-709860.16721237451</v>
      </c>
      <c r="J106" s="163">
        <f t="shared" si="10"/>
        <v>3.4102521902921526E-2</v>
      </c>
    </row>
    <row r="107" spans="1:12" x14ac:dyDescent="0.25">
      <c r="A107" s="340">
        <v>42248</v>
      </c>
      <c r="B107" s="341">
        <v>19854447.340000004</v>
      </c>
      <c r="C107" s="346">
        <f>'Weather Analysis'!T16</f>
        <v>31.099999999999994</v>
      </c>
      <c r="D107" s="342">
        <f>'Weather Analysis'!T36</f>
        <v>81.900000000000006</v>
      </c>
      <c r="E107" s="345">
        <v>30</v>
      </c>
      <c r="F107" s="344">
        <v>1</v>
      </c>
      <c r="G107" s="347">
        <f>'[6]Customer Numbers'!J68</f>
        <v>16005</v>
      </c>
      <c r="H107" s="343">
        <f t="shared" si="8"/>
        <v>18655128.279157951</v>
      </c>
      <c r="I107" s="10">
        <f t="shared" si="9"/>
        <v>-1199319.0608420521</v>
      </c>
      <c r="J107" s="163">
        <f t="shared" si="10"/>
        <v>6.0405562557555019E-2</v>
      </c>
    </row>
    <row r="108" spans="1:12" x14ac:dyDescent="0.25">
      <c r="A108" s="340">
        <v>42278</v>
      </c>
      <c r="B108" s="341">
        <v>19438981.529999997</v>
      </c>
      <c r="C108" s="346">
        <f>'Weather Analysis'!T17</f>
        <v>249.8</v>
      </c>
      <c r="D108" s="342">
        <f>'Weather Analysis'!T37</f>
        <v>0</v>
      </c>
      <c r="E108" s="345">
        <v>31</v>
      </c>
      <c r="F108" s="344">
        <v>1</v>
      </c>
      <c r="G108" s="347">
        <f>'[6]Customer Numbers'!J69</f>
        <v>16050</v>
      </c>
      <c r="H108" s="343">
        <f t="shared" si="8"/>
        <v>19441933.258017167</v>
      </c>
      <c r="I108" s="10">
        <f t="shared" si="9"/>
        <v>2951.7280171699822</v>
      </c>
      <c r="J108" s="163">
        <f t="shared" si="10"/>
        <v>1.5184581623345895E-4</v>
      </c>
    </row>
    <row r="109" spans="1:12" x14ac:dyDescent="0.25">
      <c r="A109" s="340">
        <v>42309</v>
      </c>
      <c r="B109" s="341">
        <v>20136180.119999997</v>
      </c>
      <c r="C109" s="346">
        <f>'Weather Analysis'!T18</f>
        <v>345</v>
      </c>
      <c r="D109" s="342">
        <f>'Weather Analysis'!T38</f>
        <v>0</v>
      </c>
      <c r="E109" s="345">
        <v>30</v>
      </c>
      <c r="F109" s="344">
        <v>1</v>
      </c>
      <c r="G109" s="347">
        <f>'[6]Customer Numbers'!J70</f>
        <v>16127</v>
      </c>
      <c r="H109" s="343">
        <f t="shared" si="8"/>
        <v>20067021.494037863</v>
      </c>
      <c r="I109" s="10">
        <f t="shared" si="9"/>
        <v>-69158.625962134451</v>
      </c>
      <c r="J109" s="163">
        <f t="shared" si="10"/>
        <v>3.4345454574794725E-3</v>
      </c>
    </row>
    <row r="110" spans="1:12" x14ac:dyDescent="0.25">
      <c r="A110" s="340">
        <v>42339</v>
      </c>
      <c r="B110" s="341">
        <v>22491790.48</v>
      </c>
      <c r="C110" s="346">
        <f>'Weather Analysis'!T19</f>
        <v>429.70000000000005</v>
      </c>
      <c r="D110" s="342">
        <f>'Weather Analysis'!T39</f>
        <v>0</v>
      </c>
      <c r="E110" s="345">
        <v>31</v>
      </c>
      <c r="F110" s="344">
        <v>0</v>
      </c>
      <c r="G110" s="347">
        <f>'[6]Customer Numbers'!J71</f>
        <v>16168</v>
      </c>
      <c r="H110" s="343">
        <f t="shared" si="8"/>
        <v>22776398.233953949</v>
      </c>
      <c r="I110" s="10">
        <f t="shared" si="9"/>
        <v>284607.75395394862</v>
      </c>
      <c r="J110" s="163">
        <f t="shared" si="10"/>
        <v>1.2653850488560509E-2</v>
      </c>
      <c r="L110" s="48"/>
    </row>
    <row r="111" spans="1:12" x14ac:dyDescent="0.25">
      <c r="A111" s="340">
        <v>42370</v>
      </c>
      <c r="B111" s="341">
        <v>25159552</v>
      </c>
      <c r="C111" s="346">
        <v>670.4</v>
      </c>
      <c r="D111" s="342">
        <v>0</v>
      </c>
      <c r="E111" s="343">
        <v>31</v>
      </c>
      <c r="F111" s="344">
        <v>0</v>
      </c>
      <c r="G111" s="347">
        <f>'[7]Mthly Stats'!L55+'[7]Mthly Stats'!M55+'[7]Mthly Stats'!O55</f>
        <v>16197</v>
      </c>
      <c r="H111" s="343">
        <f t="shared" si="8"/>
        <v>25906783.008542545</v>
      </c>
      <c r="I111" s="10">
        <f t="shared" si="9"/>
        <v>747231.00854254514</v>
      </c>
      <c r="J111" s="163">
        <f t="shared" si="10"/>
        <v>2.9699694515329413E-2</v>
      </c>
    </row>
    <row r="112" spans="1:12" x14ac:dyDescent="0.25">
      <c r="A112" s="340">
        <v>42401</v>
      </c>
      <c r="B112" s="341">
        <v>23014941</v>
      </c>
      <c r="C112" s="346">
        <v>588.4</v>
      </c>
      <c r="D112" s="342">
        <v>0</v>
      </c>
      <c r="E112" s="343">
        <v>29</v>
      </c>
      <c r="F112" s="344">
        <v>0</v>
      </c>
      <c r="G112" s="347">
        <f>'[7]Mthly Stats'!L56+'[7]Mthly Stats'!M56+'[7]Mthly Stats'!O56</f>
        <v>16212</v>
      </c>
      <c r="H112" s="343">
        <f t="shared" si="8"/>
        <v>23559852.325090196</v>
      </c>
      <c r="I112" s="10">
        <f t="shared" si="9"/>
        <v>544911.32509019598</v>
      </c>
      <c r="J112" s="163">
        <f t="shared" si="10"/>
        <v>2.3676416337117527E-2</v>
      </c>
    </row>
    <row r="113" spans="1:11" x14ac:dyDescent="0.25">
      <c r="A113" s="340">
        <v>42430</v>
      </c>
      <c r="B113" s="341">
        <v>21970551</v>
      </c>
      <c r="C113" s="346">
        <v>476.0999999999998</v>
      </c>
      <c r="D113" s="342">
        <v>0</v>
      </c>
      <c r="E113" s="343">
        <v>31</v>
      </c>
      <c r="F113" s="344">
        <v>1</v>
      </c>
      <c r="G113" s="347">
        <f>'[7]Mthly Stats'!L57+'[7]Mthly Stats'!M57+'[7]Mthly Stats'!O57</f>
        <v>16243</v>
      </c>
      <c r="H113" s="343">
        <f t="shared" si="8"/>
        <v>22470035.826418996</v>
      </c>
      <c r="I113" s="10">
        <f t="shared" si="9"/>
        <v>499484.82641899586</v>
      </c>
      <c r="J113" s="163">
        <f t="shared" si="10"/>
        <v>2.2734287657100446E-2</v>
      </c>
    </row>
    <row r="114" spans="1:11" x14ac:dyDescent="0.25">
      <c r="A114" s="340">
        <v>42461</v>
      </c>
      <c r="B114" s="341">
        <v>19763963</v>
      </c>
      <c r="C114" s="346">
        <v>394.8</v>
      </c>
      <c r="D114" s="342">
        <v>0</v>
      </c>
      <c r="E114" s="343">
        <v>30</v>
      </c>
      <c r="F114" s="344">
        <v>1</v>
      </c>
      <c r="G114" s="347">
        <f>'[7]Mthly Stats'!L58+'[7]Mthly Stats'!M58+'[7]Mthly Stats'!O58</f>
        <v>16249</v>
      </c>
      <c r="H114" s="343">
        <f t="shared" si="8"/>
        <v>20774176.154264759</v>
      </c>
      <c r="I114" s="10">
        <f t="shared" si="9"/>
        <v>1010213.1542647593</v>
      </c>
      <c r="J114" s="163">
        <f t="shared" si="10"/>
        <v>5.1113896249692398E-2</v>
      </c>
    </row>
    <row r="115" spans="1:11" x14ac:dyDescent="0.25">
      <c r="A115" s="340">
        <v>42491</v>
      </c>
      <c r="B115" s="341">
        <v>18836973</v>
      </c>
      <c r="C115" s="346">
        <v>142.50000000000003</v>
      </c>
      <c r="D115" s="342">
        <v>36.9</v>
      </c>
      <c r="E115" s="343">
        <v>31</v>
      </c>
      <c r="F115" s="344">
        <v>1</v>
      </c>
      <c r="G115" s="347">
        <f>'[7]Mthly Stats'!L59+'[7]Mthly Stats'!M59+'[7]Mthly Stats'!O59</f>
        <v>16261</v>
      </c>
      <c r="H115" s="343">
        <f t="shared" si="8"/>
        <v>19383933.372454755</v>
      </c>
      <c r="I115" s="10">
        <f t="shared" si="9"/>
        <v>546960.37245475501</v>
      </c>
      <c r="J115" s="163">
        <f t="shared" si="10"/>
        <v>2.9036532167602248E-2</v>
      </c>
    </row>
    <row r="116" spans="1:11" x14ac:dyDescent="0.25">
      <c r="A116" s="340">
        <v>42522</v>
      </c>
      <c r="B116" s="341">
        <v>19211234</v>
      </c>
      <c r="C116" s="346">
        <v>24.200000000000003</v>
      </c>
      <c r="D116" s="342">
        <v>83.7</v>
      </c>
      <c r="E116" s="343">
        <v>30</v>
      </c>
      <c r="F116" s="344">
        <v>0</v>
      </c>
      <c r="G116" s="347">
        <f>'[7]Mthly Stats'!L60+'[7]Mthly Stats'!M60+'[7]Mthly Stats'!O60</f>
        <v>16269</v>
      </c>
      <c r="H116" s="343">
        <f t="shared" si="8"/>
        <v>19706252.672293782</v>
      </c>
      <c r="I116" s="10">
        <f t="shared" si="9"/>
        <v>495018.67229378223</v>
      </c>
      <c r="J116" s="163">
        <f t="shared" si="10"/>
        <v>2.5767146050783736E-2</v>
      </c>
      <c r="K116" s="48"/>
    </row>
    <row r="117" spans="1:11" x14ac:dyDescent="0.25">
      <c r="A117" s="340">
        <v>42552</v>
      </c>
      <c r="B117" s="341">
        <v>23404500</v>
      </c>
      <c r="C117" s="346">
        <v>0</v>
      </c>
      <c r="D117" s="342">
        <v>176.89999999999998</v>
      </c>
      <c r="E117" s="343">
        <v>31</v>
      </c>
      <c r="F117" s="344">
        <v>0</v>
      </c>
      <c r="G117" s="347">
        <f>'[7]Mthly Stats'!L61+'[7]Mthly Stats'!M61+'[7]Mthly Stats'!O61</f>
        <v>16281</v>
      </c>
      <c r="H117" s="343">
        <f t="shared" si="8"/>
        <v>23133863.130782846</v>
      </c>
      <c r="I117" s="10">
        <f t="shared" si="9"/>
        <v>-270636.86921715364</v>
      </c>
      <c r="J117" s="163">
        <f t="shared" si="10"/>
        <v>1.1563454430436611E-2</v>
      </c>
    </row>
    <row r="118" spans="1:11" x14ac:dyDescent="0.25">
      <c r="A118" s="340">
        <v>42583</v>
      </c>
      <c r="B118" s="341">
        <v>24564804</v>
      </c>
      <c r="C118" s="346">
        <v>0</v>
      </c>
      <c r="D118" s="342">
        <v>195.4</v>
      </c>
      <c r="E118" s="343">
        <v>31</v>
      </c>
      <c r="F118" s="344">
        <v>0</v>
      </c>
      <c r="G118" s="347">
        <f>'[7]Mthly Stats'!L62+'[7]Mthly Stats'!M62+'[7]Mthly Stats'!O62</f>
        <v>16292</v>
      </c>
      <c r="H118" s="343">
        <f t="shared" si="8"/>
        <v>23752478.454727016</v>
      </c>
      <c r="I118" s="10">
        <f t="shared" si="9"/>
        <v>-812325.54527298361</v>
      </c>
      <c r="J118" s="163">
        <f t="shared" si="10"/>
        <v>3.3068676032301486E-2</v>
      </c>
    </row>
    <row r="119" spans="1:11" x14ac:dyDescent="0.25">
      <c r="A119" s="340">
        <v>42614</v>
      </c>
      <c r="B119" s="341">
        <v>19239594</v>
      </c>
      <c r="C119" s="346">
        <v>25.900000000000006</v>
      </c>
      <c r="D119" s="342">
        <v>69.400000000000006</v>
      </c>
      <c r="E119" s="343">
        <v>30</v>
      </c>
      <c r="F119" s="344">
        <v>1</v>
      </c>
      <c r="G119" s="347">
        <f>'[7]Mthly Stats'!L63+'[7]Mthly Stats'!M63+'[7]Mthly Stats'!O63</f>
        <v>16323</v>
      </c>
      <c r="H119" s="343">
        <f t="shared" si="8"/>
        <v>18336731.58930409</v>
      </c>
      <c r="I119" s="10">
        <f t="shared" si="9"/>
        <v>-902862.41069591045</v>
      </c>
      <c r="J119" s="163">
        <f t="shared" si="10"/>
        <v>4.6927310976308048E-2</v>
      </c>
    </row>
    <row r="120" spans="1:11" x14ac:dyDescent="0.25">
      <c r="A120" s="340">
        <v>42644</v>
      </c>
      <c r="B120" s="341">
        <v>19360398</v>
      </c>
      <c r="C120" s="346">
        <v>194.20000000000002</v>
      </c>
      <c r="D120" s="342">
        <v>4.0999999999999996</v>
      </c>
      <c r="E120" s="343">
        <v>31</v>
      </c>
      <c r="F120" s="344">
        <v>1</v>
      </c>
      <c r="G120" s="347">
        <f>'[7]Mthly Stats'!L64+'[7]Mthly Stats'!M64+'[7]Mthly Stats'!O64</f>
        <v>16370</v>
      </c>
      <c r="H120" s="343">
        <f t="shared" si="8"/>
        <v>19022227.340968672</v>
      </c>
      <c r="I120" s="10">
        <f t="shared" si="9"/>
        <v>-338170.65903132781</v>
      </c>
      <c r="J120" s="163">
        <f t="shared" si="10"/>
        <v>1.7467133631825536E-2</v>
      </c>
    </row>
    <row r="121" spans="1:11" x14ac:dyDescent="0.25">
      <c r="A121" s="340">
        <v>42675</v>
      </c>
      <c r="B121" s="341">
        <v>20317470</v>
      </c>
      <c r="C121" s="346">
        <v>337.80000000000007</v>
      </c>
      <c r="D121" s="342">
        <v>0</v>
      </c>
      <c r="E121" s="343">
        <v>30</v>
      </c>
      <c r="F121" s="344">
        <v>1</v>
      </c>
      <c r="G121" s="347">
        <f>'[7]Mthly Stats'!L65+'[7]Mthly Stats'!M65+'[7]Mthly Stats'!O65</f>
        <v>16399</v>
      </c>
      <c r="H121" s="343">
        <f t="shared" si="8"/>
        <v>20113319.016039368</v>
      </c>
      <c r="I121" s="10">
        <f t="shared" si="9"/>
        <v>-204150.98396063223</v>
      </c>
      <c r="J121" s="163">
        <f t="shared" si="10"/>
        <v>1.0048051453287847E-2</v>
      </c>
    </row>
    <row r="122" spans="1:11" x14ac:dyDescent="0.25">
      <c r="A122" s="340">
        <v>42705</v>
      </c>
      <c r="B122" s="341">
        <v>24538056</v>
      </c>
      <c r="C122" s="346">
        <v>607.99999999999989</v>
      </c>
      <c r="D122" s="342">
        <v>0</v>
      </c>
      <c r="E122" s="343">
        <v>31</v>
      </c>
      <c r="F122" s="344">
        <v>0</v>
      </c>
      <c r="G122" s="347">
        <f>'[7]Mthly Stats'!L66+'[7]Mthly Stats'!M66+'[7]Mthly Stats'!O66</f>
        <v>16425</v>
      </c>
      <c r="H122" s="343">
        <f t="shared" si="8"/>
        <v>25216031.818334304</v>
      </c>
      <c r="I122" s="10">
        <f t="shared" si="9"/>
        <v>677975.8183343038</v>
      </c>
      <c r="J122" s="163">
        <f t="shared" si="10"/>
        <v>2.7629565208193502E-2</v>
      </c>
    </row>
    <row r="123" spans="1:11" x14ac:dyDescent="0.25">
      <c r="A123" s="340">
        <v>42736</v>
      </c>
      <c r="B123" s="341"/>
      <c r="C123" s="346">
        <f t="shared" ref="C123:D134" si="11">(C3+C15+C27+C39+C51+C63+C75+C87+C99+C111)/10</f>
        <v>712.03</v>
      </c>
      <c r="D123" s="346">
        <f t="shared" si="11"/>
        <v>0</v>
      </c>
      <c r="E123" s="343">
        <v>31</v>
      </c>
      <c r="F123" s="344">
        <v>0</v>
      </c>
      <c r="G123" s="347">
        <f>G122+'Rate Class Customer Model'!$L$13</f>
        <v>16448.384615384613</v>
      </c>
      <c r="H123" s="343">
        <f t="shared" si="8"/>
        <v>26574541.80487977</v>
      </c>
      <c r="I123"/>
      <c r="J123" s="5">
        <f>AVERAGE(J3:J122)</f>
        <v>2.1339846645501145E-2</v>
      </c>
    </row>
    <row r="124" spans="1:11" x14ac:dyDescent="0.25">
      <c r="A124" s="340">
        <v>42767</v>
      </c>
      <c r="B124" s="341"/>
      <c r="C124" s="346">
        <f t="shared" si="11"/>
        <v>661.92</v>
      </c>
      <c r="D124" s="346">
        <f t="shared" si="11"/>
        <v>0</v>
      </c>
      <c r="E124" s="343">
        <v>28</v>
      </c>
      <c r="F124" s="344">
        <v>0</v>
      </c>
      <c r="G124" s="347">
        <f>G123+'Rate Class Customer Model'!$L$13</f>
        <v>16471.769230769227</v>
      </c>
      <c r="H124" s="343">
        <f t="shared" si="8"/>
        <v>23998054.824554488</v>
      </c>
      <c r="I124"/>
      <c r="J124"/>
    </row>
    <row r="125" spans="1:11" x14ac:dyDescent="0.25">
      <c r="A125" s="340">
        <v>42795</v>
      </c>
      <c r="B125" s="341"/>
      <c r="C125" s="346">
        <f t="shared" si="11"/>
        <v>537.27</v>
      </c>
      <c r="D125" s="346">
        <f t="shared" si="11"/>
        <v>0.02</v>
      </c>
      <c r="E125" s="343">
        <v>31</v>
      </c>
      <c r="F125" s="344">
        <v>1</v>
      </c>
      <c r="G125" s="347">
        <f>G124+'Rate Class Customer Model'!$L$13</f>
        <v>16495.15384615384</v>
      </c>
      <c r="H125" s="343">
        <f t="shared" si="8"/>
        <v>23391768.759226978</v>
      </c>
      <c r="I125"/>
      <c r="J125"/>
    </row>
    <row r="126" spans="1:11" x14ac:dyDescent="0.25">
      <c r="A126" s="340">
        <v>42826</v>
      </c>
      <c r="B126" s="341"/>
      <c r="C126" s="346">
        <f t="shared" si="11"/>
        <v>321.91999999999996</v>
      </c>
      <c r="D126" s="346">
        <f t="shared" si="11"/>
        <v>0.12</v>
      </c>
      <c r="E126" s="343">
        <v>30</v>
      </c>
      <c r="F126" s="344">
        <v>1</v>
      </c>
      <c r="G126" s="347">
        <f>G125+'Rate Class Customer Model'!$L$13</f>
        <v>16518.538461538454</v>
      </c>
      <c r="H126" s="343">
        <f t="shared" si="8"/>
        <v>19973054.976599857</v>
      </c>
      <c r="I126"/>
      <c r="J126"/>
    </row>
    <row r="127" spans="1:11" x14ac:dyDescent="0.25">
      <c r="A127" s="340">
        <v>42856</v>
      </c>
      <c r="B127" s="341"/>
      <c r="C127" s="346">
        <f t="shared" si="11"/>
        <v>128.44</v>
      </c>
      <c r="D127" s="346">
        <f t="shared" si="11"/>
        <v>23.32</v>
      </c>
      <c r="E127" s="343">
        <v>31</v>
      </c>
      <c r="F127" s="344">
        <v>1</v>
      </c>
      <c r="G127" s="347">
        <f>G126+'Rate Class Customer Model'!$L$13</f>
        <v>16541.923076923067</v>
      </c>
      <c r="H127" s="343">
        <f t="shared" si="8"/>
        <v>18896058.051425666</v>
      </c>
      <c r="I127"/>
      <c r="J127"/>
    </row>
    <row r="128" spans="1:11" x14ac:dyDescent="0.25">
      <c r="A128" s="340">
        <v>42887</v>
      </c>
      <c r="B128" s="341"/>
      <c r="C128" s="346">
        <f t="shared" si="11"/>
        <v>25.75</v>
      </c>
      <c r="D128" s="346">
        <f t="shared" si="11"/>
        <v>66.11</v>
      </c>
      <c r="E128" s="343">
        <v>30</v>
      </c>
      <c r="F128" s="344">
        <v>0</v>
      </c>
      <c r="G128" s="347">
        <f>G127+'Rate Class Customer Model'!$L$13</f>
        <v>16565.307692307681</v>
      </c>
      <c r="H128" s="343">
        <f t="shared" si="8"/>
        <v>19295449.652416792</v>
      </c>
      <c r="I128"/>
      <c r="J128"/>
    </row>
    <row r="129" spans="1:10" x14ac:dyDescent="0.25">
      <c r="A129" s="340">
        <v>42917</v>
      </c>
      <c r="B129" s="341"/>
      <c r="C129" s="346">
        <f t="shared" si="11"/>
        <v>2.15</v>
      </c>
      <c r="D129" s="346">
        <f t="shared" si="11"/>
        <v>130.26</v>
      </c>
      <c r="E129" s="343">
        <v>31</v>
      </c>
      <c r="F129" s="344">
        <v>0</v>
      </c>
      <c r="G129" s="347">
        <f>G128+'Rate Class Customer Model'!$L$13</f>
        <v>16588.692307692294</v>
      </c>
      <c r="H129" s="343">
        <f t="shared" si="8"/>
        <v>21774129.599747062</v>
      </c>
      <c r="I129"/>
      <c r="J129"/>
    </row>
    <row r="130" spans="1:10" x14ac:dyDescent="0.25">
      <c r="A130" s="340">
        <v>42948</v>
      </c>
      <c r="B130" s="341"/>
      <c r="C130" s="346">
        <f t="shared" si="11"/>
        <v>4.9399999999999995</v>
      </c>
      <c r="D130" s="346">
        <f t="shared" si="11"/>
        <v>112.87</v>
      </c>
      <c r="E130" s="343">
        <v>31</v>
      </c>
      <c r="F130" s="344">
        <v>0</v>
      </c>
      <c r="G130" s="347">
        <f>G129+'Rate Class Customer Model'!$L$13</f>
        <v>16612.076923076907</v>
      </c>
      <c r="H130" s="343">
        <f t="shared" si="8"/>
        <v>21246038.859358337</v>
      </c>
      <c r="I130"/>
      <c r="J130"/>
    </row>
    <row r="131" spans="1:10" x14ac:dyDescent="0.25">
      <c r="A131" s="340">
        <v>42979</v>
      </c>
      <c r="B131" s="341"/>
      <c r="C131" s="346">
        <f t="shared" si="11"/>
        <v>57.21</v>
      </c>
      <c r="D131" s="346">
        <f t="shared" si="11"/>
        <v>41.14</v>
      </c>
      <c r="E131" s="343">
        <v>30</v>
      </c>
      <c r="F131" s="344">
        <v>1</v>
      </c>
      <c r="G131" s="347">
        <f>G130+'Rate Class Customer Model'!$L$13</f>
        <v>16635.461538461521</v>
      </c>
      <c r="H131" s="343">
        <f t="shared" si="8"/>
        <v>17965875.90550923</v>
      </c>
      <c r="I131"/>
      <c r="J131"/>
    </row>
    <row r="132" spans="1:10" x14ac:dyDescent="0.25">
      <c r="A132" s="340">
        <v>43009</v>
      </c>
      <c r="B132" s="341"/>
      <c r="C132" s="346">
        <f t="shared" si="11"/>
        <v>230.05</v>
      </c>
      <c r="D132" s="346">
        <f t="shared" si="11"/>
        <v>2.91</v>
      </c>
      <c r="E132" s="343">
        <v>31</v>
      </c>
      <c r="F132" s="344">
        <v>1</v>
      </c>
      <c r="G132" s="347">
        <f>G131+'Rate Class Customer Model'!$L$13</f>
        <v>16658.846153846134</v>
      </c>
      <c r="H132" s="343">
        <f t="shared" si="8"/>
        <v>19594954.852181353</v>
      </c>
      <c r="I132"/>
      <c r="J132"/>
    </row>
    <row r="133" spans="1:10" x14ac:dyDescent="0.25">
      <c r="A133" s="340">
        <v>43040</v>
      </c>
      <c r="B133" s="341"/>
      <c r="C133" s="346">
        <f t="shared" si="11"/>
        <v>409.9799999999999</v>
      </c>
      <c r="D133" s="346">
        <f t="shared" si="11"/>
        <v>0</v>
      </c>
      <c r="E133" s="343">
        <v>30</v>
      </c>
      <c r="F133" s="344">
        <v>1</v>
      </c>
      <c r="G133" s="347">
        <f>G132+'Rate Class Customer Model'!$L$13</f>
        <v>16682.230769230748</v>
      </c>
      <c r="H133" s="343">
        <f t="shared" si="8"/>
        <v>21192835.092959255</v>
      </c>
      <c r="I133"/>
      <c r="J133"/>
    </row>
    <row r="134" spans="1:10" x14ac:dyDescent="0.25">
      <c r="A134" s="340">
        <v>43070</v>
      </c>
      <c r="B134" s="341"/>
      <c r="C134" s="346">
        <f t="shared" si="11"/>
        <v>594.31999999999994</v>
      </c>
      <c r="D134" s="346">
        <f t="shared" si="11"/>
        <v>0</v>
      </c>
      <c r="E134" s="343">
        <v>31</v>
      </c>
      <c r="F134" s="344">
        <v>0</v>
      </c>
      <c r="G134" s="347">
        <f>G133+'Rate Class Customer Model'!$L$13</f>
        <v>16705.615384615361</v>
      </c>
      <c r="H134" s="343">
        <f t="shared" si="8"/>
        <v>25182873.403865352</v>
      </c>
      <c r="I134"/>
      <c r="J134"/>
    </row>
    <row r="135" spans="1:10" x14ac:dyDescent="0.25">
      <c r="A135" s="3"/>
      <c r="C135" s="114"/>
      <c r="E135" s="10"/>
      <c r="F135" s="18"/>
      <c r="G135" s="154"/>
      <c r="H135" s="10"/>
      <c r="I135"/>
      <c r="J135"/>
    </row>
    <row r="136" spans="1:10" x14ac:dyDescent="0.25">
      <c r="A136" s="3"/>
      <c r="C136" s="114"/>
      <c r="D136" s="400" t="s">
        <v>61</v>
      </c>
      <c r="E136" s="400"/>
      <c r="F136" s="18"/>
      <c r="G136" s="18"/>
      <c r="H136" s="48">
        <f>SUM(H3:H135)</f>
        <v>2755399940.0827222</v>
      </c>
      <c r="I136" s="112"/>
      <c r="J136" s="113"/>
    </row>
    <row r="137" spans="1:10" x14ac:dyDescent="0.25">
      <c r="A137" s="3"/>
      <c r="I137" s="112"/>
      <c r="J137" s="113"/>
    </row>
    <row r="138" spans="1:10" x14ac:dyDescent="0.25">
      <c r="A138" s="3"/>
      <c r="I138" s="112"/>
      <c r="J138" s="401" t="s">
        <v>263</v>
      </c>
    </row>
    <row r="139" spans="1:10" x14ac:dyDescent="0.25">
      <c r="A139" s="3"/>
      <c r="I139" s="112" t="s">
        <v>61</v>
      </c>
      <c r="J139" s="401"/>
    </row>
    <row r="140" spans="1:10" x14ac:dyDescent="0.25">
      <c r="A140" s="17">
        <v>2007</v>
      </c>
      <c r="B140" s="28">
        <f>SUM(B3:B14)</f>
        <v>241154636.09999999</v>
      </c>
      <c r="C140" s="28"/>
      <c r="H140" s="28">
        <f>SUM(H3:H14)</f>
        <v>245109642.8152931</v>
      </c>
      <c r="I140" s="28">
        <f>'Purchased Power Model WN'!H140</f>
        <v>242713895.42730781</v>
      </c>
      <c r="J140" s="325">
        <f t="shared" ref="J140:J150" si="12">I140/H140</f>
        <v>0.99022581339327131</v>
      </c>
    </row>
    <row r="141" spans="1:10" x14ac:dyDescent="0.25">
      <c r="A141">
        <v>2008</v>
      </c>
      <c r="B141" s="28">
        <f>SUM(B15:B26)</f>
        <v>245623027.80000001</v>
      </c>
      <c r="C141" s="28"/>
      <c r="H141" s="28">
        <f>SUM(H15:H26)</f>
        <v>243752147.78149053</v>
      </c>
      <c r="I141" s="28">
        <f>'Purchased Power Model WN'!H141</f>
        <v>245158520.51763326</v>
      </c>
      <c r="J141" s="325">
        <f t="shared" si="12"/>
        <v>1.0057696834630703</v>
      </c>
    </row>
    <row r="142" spans="1:10" x14ac:dyDescent="0.25">
      <c r="A142" s="17">
        <v>2009</v>
      </c>
      <c r="B142" s="28">
        <f>SUM(B27:B38)</f>
        <v>247239189.20000002</v>
      </c>
      <c r="C142" s="28"/>
      <c r="H142" s="28">
        <f>SUM(H27:H38)</f>
        <v>243433414.80982959</v>
      </c>
      <c r="I142" s="28">
        <f>'Purchased Power Model WN'!H142</f>
        <v>247420181.01939079</v>
      </c>
      <c r="J142" s="325">
        <f t="shared" si="12"/>
        <v>1.0163772348700595</v>
      </c>
    </row>
    <row r="143" spans="1:10" x14ac:dyDescent="0.25">
      <c r="A143">
        <v>2010</v>
      </c>
      <c r="B143" s="28">
        <f>SUM(B39:B50)</f>
        <v>250239378.79999998</v>
      </c>
      <c r="C143" s="28"/>
      <c r="H143" s="28">
        <f>SUM(H39:H50)</f>
        <v>246677801.33027512</v>
      </c>
      <c r="I143" s="28">
        <f>'Purchased Power Model WN'!H143</f>
        <v>246990938.23410431</v>
      </c>
      <c r="J143" s="325">
        <f t="shared" si="12"/>
        <v>1.0012694166323055</v>
      </c>
    </row>
    <row r="144" spans="1:10" x14ac:dyDescent="0.25">
      <c r="A144">
        <v>2011</v>
      </c>
      <c r="B144" s="28">
        <f>SUM(B51:B62)</f>
        <v>246758167.20000002</v>
      </c>
      <c r="C144" s="28"/>
      <c r="H144" s="28">
        <f>SUM(H51:H62)</f>
        <v>249085614.88396004</v>
      </c>
      <c r="I144" s="28">
        <f>'Purchased Power Model WN'!H144</f>
        <v>247885578.66293609</v>
      </c>
      <c r="J144" s="325">
        <f t="shared" si="12"/>
        <v>0.99518223394159877</v>
      </c>
    </row>
    <row r="145" spans="1:10" x14ac:dyDescent="0.25">
      <c r="A145">
        <v>2012</v>
      </c>
      <c r="B145" s="6">
        <f>SUM(B63:B74)</f>
        <v>245129838.40000004</v>
      </c>
      <c r="C145" s="181"/>
      <c r="H145" s="158">
        <f>SUM(H63:H74)</f>
        <v>246975036.63319921</v>
      </c>
      <c r="I145" s="28">
        <f>'Purchased Power Model WN'!H145</f>
        <v>249563259.20679107</v>
      </c>
      <c r="J145" s="325">
        <f t="shared" si="12"/>
        <v>1.0104796930445883</v>
      </c>
    </row>
    <row r="146" spans="1:10" x14ac:dyDescent="0.25">
      <c r="A146">
        <v>2013</v>
      </c>
      <c r="B146" s="6">
        <f>SUM(B75:B86)</f>
        <v>251758061.40000001</v>
      </c>
      <c r="C146" s="181"/>
      <c r="H146" s="158">
        <f>SUM(H75:H86)</f>
        <v>250054816.72654173</v>
      </c>
      <c r="I146" s="28">
        <f>'Purchased Power Model WN'!H146</f>
        <v>250594628.85800833</v>
      </c>
      <c r="J146" s="325">
        <f t="shared" si="12"/>
        <v>1.002158775177912</v>
      </c>
    </row>
    <row r="147" spans="1:10" x14ac:dyDescent="0.25">
      <c r="A147">
        <v>2014</v>
      </c>
      <c r="B147" s="28">
        <f>SUM(B87:B98)</f>
        <v>253254986.30000001</v>
      </c>
      <c r="C147" s="28"/>
      <c r="H147" s="28">
        <f>SUM(H87:H98)</f>
        <v>254540889.88211167</v>
      </c>
      <c r="I147" s="28">
        <f>'Purchased Power Model WN'!H147</f>
        <v>252873667.01549083</v>
      </c>
      <c r="J147" s="325">
        <f t="shared" si="12"/>
        <v>0.99345007842396948</v>
      </c>
    </row>
    <row r="148" spans="1:10" x14ac:dyDescent="0.25">
      <c r="A148" s="17">
        <v>2015</v>
      </c>
      <c r="B148" s="28">
        <f>SUM(B99:B110)</f>
        <v>255774983.09999999</v>
      </c>
      <c r="C148" s="28"/>
      <c r="H148" s="28">
        <f>SUM(H99:H110)</f>
        <v>255309254.72807688</v>
      </c>
      <c r="I148" s="28">
        <f>'Purchased Power Model WN'!H148</f>
        <v>255126550.59465837</v>
      </c>
      <c r="J148" s="325">
        <f t="shared" si="12"/>
        <v>0.99928438107888762</v>
      </c>
    </row>
    <row r="149" spans="1:10" x14ac:dyDescent="0.25">
      <c r="A149">
        <v>2016</v>
      </c>
      <c r="B149" s="181">
        <f>SUM(B111:B122)</f>
        <v>259382036</v>
      </c>
      <c r="C149" s="28"/>
      <c r="H149" s="6">
        <f>SUM(H111:H122)</f>
        <v>261375684.70922133</v>
      </c>
      <c r="I149" s="28">
        <f>'Purchased Power Model WN'!H149</f>
        <v>257987084.76367834</v>
      </c>
      <c r="J149" s="325">
        <f t="shared" si="12"/>
        <v>0.98703551958433777</v>
      </c>
    </row>
    <row r="150" spans="1:10" x14ac:dyDescent="0.25">
      <c r="A150">
        <v>2017</v>
      </c>
      <c r="H150" s="6">
        <f>SUM(H123:H134)</f>
        <v>259085635.78272414</v>
      </c>
      <c r="I150" s="28">
        <f>'Purchased Power Model WN'!H150</f>
        <v>259085635.78272414</v>
      </c>
      <c r="J150" s="325">
        <f t="shared" si="12"/>
        <v>1</v>
      </c>
    </row>
    <row r="151" spans="1:10" x14ac:dyDescent="0.25">
      <c r="A151" s="17"/>
      <c r="H151" s="6"/>
      <c r="I151" s="112"/>
      <c r="J151" s="113"/>
    </row>
    <row r="152" spans="1:10" x14ac:dyDescent="0.25">
      <c r="A152" s="115" t="s">
        <v>128</v>
      </c>
      <c r="B152" s="28">
        <f>SUM(B140:B149)</f>
        <v>2496314304.3000002</v>
      </c>
      <c r="H152" s="28">
        <f>SUM(H140:H149)</f>
        <v>2496314304.2999992</v>
      </c>
      <c r="I152" s="112">
        <f>B152-H152</f>
        <v>0</v>
      </c>
      <c r="J152" s="113"/>
    </row>
    <row r="153" spans="1:10" x14ac:dyDescent="0.25">
      <c r="I153" s="112"/>
      <c r="J153" s="113"/>
    </row>
    <row r="154" spans="1:10" x14ac:dyDescent="0.25">
      <c r="H154" s="48">
        <f>SUM(H140:H150)</f>
        <v>2755399940.0827236</v>
      </c>
      <c r="I154" s="112">
        <f>H136-H154</f>
        <v>0</v>
      </c>
      <c r="J154" s="113"/>
    </row>
    <row r="155" spans="1:10" x14ac:dyDescent="0.25">
      <c r="H155"/>
      <c r="I155" s="112"/>
      <c r="J155" s="113"/>
    </row>
    <row r="156" spans="1:10" x14ac:dyDescent="0.25">
      <c r="I156" s="112"/>
      <c r="J156" s="113"/>
    </row>
    <row r="157" spans="1:10" x14ac:dyDescent="0.25">
      <c r="I157" s="112"/>
      <c r="J157" s="113"/>
    </row>
    <row r="158" spans="1:10" x14ac:dyDescent="0.25">
      <c r="B158" s="28" t="s">
        <v>89</v>
      </c>
      <c r="I158" s="112"/>
      <c r="J158" s="113"/>
    </row>
    <row r="159" spans="1:10" x14ac:dyDescent="0.25">
      <c r="A159" s="3">
        <v>42736</v>
      </c>
      <c r="C159" s="107">
        <f>'Weather Analysis'!W8</f>
        <v>717.80526315789461</v>
      </c>
      <c r="D159" s="108">
        <f>'Weather Analysis'!W28</f>
        <v>0</v>
      </c>
      <c r="E159" s="81">
        <f t="shared" ref="E159:G170" si="13">E123</f>
        <v>31</v>
      </c>
      <c r="F159" s="81">
        <f t="shared" si="13"/>
        <v>0</v>
      </c>
      <c r="G159" s="81">
        <f t="shared" si="13"/>
        <v>16448.384615384613</v>
      </c>
      <c r="H159" s="10">
        <f t="shared" ref="H159:H170" si="14">$L$18+C159*$L$19+D159*$L$20+E159*$L$21+F159*$L$22+G159*$L$23</f>
        <v>26649294.214207992</v>
      </c>
      <c r="I159" s="112"/>
      <c r="J159" s="113"/>
    </row>
    <row r="160" spans="1:10" x14ac:dyDescent="0.25">
      <c r="A160" s="3">
        <v>42767</v>
      </c>
      <c r="C160" s="107">
        <f>'Weather Analysis'!W9</f>
        <v>697.2247368421049</v>
      </c>
      <c r="D160" s="108">
        <f>'Weather Analysis'!W29</f>
        <v>0</v>
      </c>
      <c r="E160" s="81">
        <f t="shared" si="13"/>
        <v>28</v>
      </c>
      <c r="F160" s="81">
        <f t="shared" si="13"/>
        <v>0</v>
      </c>
      <c r="G160" s="81">
        <f t="shared" si="13"/>
        <v>16471.769230769227</v>
      </c>
      <c r="H160" s="10">
        <f t="shared" si="14"/>
        <v>24455023.462604977</v>
      </c>
      <c r="I160" s="112"/>
      <c r="J160" s="113"/>
    </row>
    <row r="161" spans="1:10" x14ac:dyDescent="0.25">
      <c r="A161" s="3">
        <v>42795</v>
      </c>
      <c r="C161" s="107">
        <f>'Weather Analysis'!W10</f>
        <v>541.9405263157895</v>
      </c>
      <c r="D161" s="108">
        <f>'Weather Analysis'!W30</f>
        <v>2.7368421052631486E-2</v>
      </c>
      <c r="E161" s="81">
        <f t="shared" si="13"/>
        <v>31</v>
      </c>
      <c r="F161" s="81">
        <f t="shared" si="13"/>
        <v>1</v>
      </c>
      <c r="G161" s="81">
        <f t="shared" si="13"/>
        <v>16495.15384615384</v>
      </c>
      <c r="H161" s="10">
        <f t="shared" si="14"/>
        <v>23452466.094970394</v>
      </c>
      <c r="I161" s="112"/>
      <c r="J161" s="113"/>
    </row>
    <row r="162" spans="1:10" x14ac:dyDescent="0.25">
      <c r="A162" s="3">
        <v>42826</v>
      </c>
      <c r="C162" s="107">
        <f>'Weather Analysis'!W11</f>
        <v>331.84631578947392</v>
      </c>
      <c r="D162" s="108">
        <f>'Weather Analysis'!W31</f>
        <v>-0.13157894736841058</v>
      </c>
      <c r="E162" s="81">
        <f t="shared" si="13"/>
        <v>30</v>
      </c>
      <c r="F162" s="81">
        <f t="shared" si="13"/>
        <v>1</v>
      </c>
      <c r="G162" s="81">
        <f t="shared" si="13"/>
        <v>16518.538461538454</v>
      </c>
      <c r="H162" s="10">
        <f t="shared" si="14"/>
        <v>20093200.993812565</v>
      </c>
      <c r="I162" s="112"/>
      <c r="J162" s="113"/>
    </row>
    <row r="163" spans="1:10" x14ac:dyDescent="0.25">
      <c r="A163" s="3">
        <v>42856</v>
      </c>
      <c r="C163" s="107">
        <f>'Weather Analysis'!W12</f>
        <v>116.38736842105209</v>
      </c>
      <c r="D163" s="108">
        <f>'Weather Analysis'!W32</f>
        <v>28.305789473684399</v>
      </c>
      <c r="E163" s="81">
        <f t="shared" si="13"/>
        <v>31</v>
      </c>
      <c r="F163" s="81">
        <f t="shared" si="13"/>
        <v>1</v>
      </c>
      <c r="G163" s="81">
        <f t="shared" si="13"/>
        <v>16541.923076923067</v>
      </c>
      <c r="H163" s="10">
        <f t="shared" si="14"/>
        <v>18905252.046771467</v>
      </c>
      <c r="I163" s="112"/>
      <c r="J163" s="113"/>
    </row>
    <row r="164" spans="1:10" x14ac:dyDescent="0.25">
      <c r="A164" s="3">
        <v>42887</v>
      </c>
      <c r="C164" s="107">
        <f>'Weather Analysis'!W13</f>
        <v>22.515263157894651</v>
      </c>
      <c r="D164" s="108">
        <f>'Weather Analysis'!W33</f>
        <v>63.331578947368371</v>
      </c>
      <c r="E164" s="81">
        <f t="shared" si="13"/>
        <v>30</v>
      </c>
      <c r="F164" s="81">
        <f t="shared" si="13"/>
        <v>0</v>
      </c>
      <c r="G164" s="81">
        <f t="shared" si="13"/>
        <v>16565.307692307681</v>
      </c>
      <c r="H164" s="10">
        <f t="shared" si="14"/>
        <v>19161521.199993532</v>
      </c>
      <c r="I164" s="112"/>
      <c r="J164" s="113"/>
    </row>
    <row r="165" spans="1:10" x14ac:dyDescent="0.25">
      <c r="A165" s="3">
        <v>42917</v>
      </c>
      <c r="C165" s="107">
        <v>0</v>
      </c>
      <c r="D165" s="108">
        <f>'Weather Analysis'!W34</f>
        <v>141.66315789473697</v>
      </c>
      <c r="E165" s="81">
        <f t="shared" si="13"/>
        <v>31</v>
      </c>
      <c r="F165" s="81">
        <f t="shared" si="13"/>
        <v>0</v>
      </c>
      <c r="G165" s="81">
        <f t="shared" si="13"/>
        <v>16588.692307692294</v>
      </c>
      <c r="H165" s="10">
        <f t="shared" si="14"/>
        <v>22124130.204828631</v>
      </c>
      <c r="I165" s="112"/>
      <c r="J165" s="113"/>
    </row>
    <row r="166" spans="1:10" x14ac:dyDescent="0.25">
      <c r="A166" s="3">
        <v>42948</v>
      </c>
      <c r="C166" s="107">
        <v>0</v>
      </c>
      <c r="D166" s="108">
        <f>'Weather Analysis'!W35</f>
        <v>123.42210526315785</v>
      </c>
      <c r="E166" s="81">
        <f t="shared" si="13"/>
        <v>31</v>
      </c>
      <c r="F166" s="81">
        <f t="shared" si="13"/>
        <v>0</v>
      </c>
      <c r="G166" s="81">
        <f t="shared" si="13"/>
        <v>16612.076923076907</v>
      </c>
      <c r="H166" s="10">
        <f t="shared" si="14"/>
        <v>21531728.404692598</v>
      </c>
      <c r="I166" s="112"/>
      <c r="J166" s="113"/>
    </row>
    <row r="167" spans="1:10" x14ac:dyDescent="0.25">
      <c r="A167" s="3">
        <v>42979</v>
      </c>
      <c r="C167" s="107">
        <f>'Weather Analysis'!W16</f>
        <v>52.620526315789562</v>
      </c>
      <c r="D167" s="108">
        <f>'Weather Analysis'!W36</f>
        <v>46.809999999999945</v>
      </c>
      <c r="E167" s="81">
        <f t="shared" si="13"/>
        <v>30</v>
      </c>
      <c r="F167" s="81">
        <f t="shared" si="13"/>
        <v>1</v>
      </c>
      <c r="G167" s="81">
        <f t="shared" si="13"/>
        <v>16635.461538461521</v>
      </c>
      <c r="H167" s="10">
        <f t="shared" si="14"/>
        <v>18094340.112503283</v>
      </c>
      <c r="I167" s="112"/>
      <c r="J167" s="113"/>
    </row>
    <row r="168" spans="1:10" x14ac:dyDescent="0.25">
      <c r="A168" s="3">
        <v>43009</v>
      </c>
      <c r="C168" s="107">
        <f>'Weather Analysis'!W17</f>
        <v>224.9699999999998</v>
      </c>
      <c r="D168" s="108">
        <f>'Weather Analysis'!W37</f>
        <v>2.3221052631578942</v>
      </c>
      <c r="E168" s="81">
        <f t="shared" si="13"/>
        <v>31</v>
      </c>
      <c r="F168" s="81">
        <f t="shared" si="13"/>
        <v>1</v>
      </c>
      <c r="G168" s="81">
        <f t="shared" si="13"/>
        <v>16658.846153846134</v>
      </c>
      <c r="H168" s="10">
        <f t="shared" si="14"/>
        <v>19509722.466745667</v>
      </c>
      <c r="I168" s="112"/>
      <c r="J168" s="113"/>
    </row>
    <row r="169" spans="1:10" x14ac:dyDescent="0.25">
      <c r="A169" s="3">
        <v>43040</v>
      </c>
      <c r="C169" s="107">
        <f>'Weather Analysis'!W18</f>
        <v>400.37421052631578</v>
      </c>
      <c r="D169" s="108">
        <f>'Weather Analysis'!W38</f>
        <v>0</v>
      </c>
      <c r="E169" s="81">
        <f t="shared" si="13"/>
        <v>30</v>
      </c>
      <c r="F169" s="81">
        <f t="shared" si="13"/>
        <v>1</v>
      </c>
      <c r="G169" s="81">
        <f t="shared" si="13"/>
        <v>16682.230769230748</v>
      </c>
      <c r="H169" s="10">
        <f t="shared" si="14"/>
        <v>21068502.073488787</v>
      </c>
      <c r="I169" s="112"/>
      <c r="J169" s="113"/>
    </row>
    <row r="170" spans="1:10" x14ac:dyDescent="0.25">
      <c r="A170" s="3">
        <v>43070</v>
      </c>
      <c r="C170" s="107">
        <f>'Weather Analysis'!W19</f>
        <v>576.0384210526322</v>
      </c>
      <c r="D170" s="108">
        <f>'Weather Analysis'!W39</f>
        <v>0</v>
      </c>
      <c r="E170" s="81">
        <f t="shared" si="13"/>
        <v>31</v>
      </c>
      <c r="F170" s="81">
        <f t="shared" si="13"/>
        <v>0</v>
      </c>
      <c r="G170" s="81">
        <f t="shared" si="13"/>
        <v>16705.615384615361</v>
      </c>
      <c r="H170" s="10">
        <f t="shared" si="14"/>
        <v>24946244.866727307</v>
      </c>
      <c r="I170" s="112">
        <f>SUM(H159:H170)</f>
        <v>259991426.14134717</v>
      </c>
      <c r="J170" s="113"/>
    </row>
    <row r="171" spans="1:10" x14ac:dyDescent="0.25">
      <c r="I171" s="112"/>
      <c r="J171" s="113"/>
    </row>
  </sheetData>
  <mergeCells count="2">
    <mergeCell ref="D136:E136"/>
    <mergeCell ref="J138:J139"/>
  </mergeCells>
  <phoneticPr fontId="0" type="noConversion"/>
  <printOptions horizontalCentered="1"/>
  <pageMargins left="0.19685039370078741" right="0.19685039370078741" top="0.35433070866141736" bottom="0.35433070866141736" header="0.51181102362204722" footer="0.15748031496062992"/>
  <pageSetup paperSize="17" scale="61" fitToHeight="3" orientation="landscape" verticalDpi="300" r:id="rId1"/>
  <headerFooter alignWithMargins="0">
    <oddFooter>&amp;L&amp;A&amp;R&amp;P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71"/>
  <sheetViews>
    <sheetView topLeftCell="A7" zoomScaleNormal="100" workbookViewId="0">
      <selection activeCell="J147" sqref="J147"/>
    </sheetView>
  </sheetViews>
  <sheetFormatPr defaultRowHeight="13.2" x14ac:dyDescent="0.25"/>
  <cols>
    <col min="1" max="1" width="11.88671875" customWidth="1"/>
    <col min="2" max="2" width="18" style="28" customWidth="1"/>
    <col min="3" max="3" width="11.6640625" style="105" customWidth="1"/>
    <col min="4" max="4" width="13.44140625" style="105" customWidth="1"/>
    <col min="5" max="5" width="10.109375" style="1" customWidth="1"/>
    <col min="6" max="6" width="12.44140625" style="1" customWidth="1"/>
    <col min="7" max="7" width="14.44140625" style="24" customWidth="1"/>
    <col min="8" max="8" width="15.44140625" style="1" bestFit="1" customWidth="1"/>
    <col min="9" max="9" width="16.33203125" style="1" customWidth="1"/>
    <col min="10" max="10" width="12.44140625" style="1" customWidth="1"/>
    <col min="11" max="11" width="34.109375" customWidth="1"/>
    <col min="12" max="14" width="18" customWidth="1"/>
    <col min="15" max="15" width="17.109375" customWidth="1"/>
    <col min="16" max="18" width="15.6640625" customWidth="1"/>
    <col min="19" max="20" width="19.33203125" bestFit="1" customWidth="1"/>
    <col min="21" max="21" width="19.109375" bestFit="1" customWidth="1"/>
    <col min="22" max="22" width="23" bestFit="1" customWidth="1"/>
    <col min="23" max="23" width="14.6640625" bestFit="1" customWidth="1"/>
    <col min="24" max="24" width="35.109375" bestFit="1" customWidth="1"/>
    <col min="25" max="25" width="9.33203125" customWidth="1"/>
    <col min="27" max="27" width="11.6640625" bestFit="1" customWidth="1"/>
    <col min="28" max="28" width="10.6640625" bestFit="1" customWidth="1"/>
  </cols>
  <sheetData>
    <row r="1" spans="1:36" ht="15.6" x14ac:dyDescent="0.3">
      <c r="A1" s="41" t="str">
        <f>Summary!A1</f>
        <v>InnPower Forecast for 2017 EB-2016-0086  Rate Application</v>
      </c>
      <c r="G1" s="1"/>
    </row>
    <row r="2" spans="1:36" ht="42" customHeight="1" x14ac:dyDescent="0.25">
      <c r="B2" s="79" t="s">
        <v>0</v>
      </c>
      <c r="C2" s="106" t="s">
        <v>3</v>
      </c>
      <c r="D2" s="106" t="s">
        <v>4</v>
      </c>
      <c r="E2" s="12" t="s">
        <v>5</v>
      </c>
      <c r="F2" s="12" t="s">
        <v>17</v>
      </c>
      <c r="G2" s="80" t="s">
        <v>71</v>
      </c>
      <c r="H2" s="12" t="s">
        <v>10</v>
      </c>
      <c r="I2" s="12" t="s">
        <v>11</v>
      </c>
      <c r="J2" s="12" t="s">
        <v>12</v>
      </c>
      <c r="K2" t="s">
        <v>18</v>
      </c>
    </row>
    <row r="3" spans="1:36" s="15" customFormat="1" ht="13.8" thickBot="1" x14ac:dyDescent="0.3">
      <c r="A3" s="3">
        <v>39083</v>
      </c>
      <c r="B3" s="28">
        <f>'[5]Consumption Data '!B66</f>
        <v>24279309.5</v>
      </c>
      <c r="C3" s="105">
        <v>712.03</v>
      </c>
      <c r="D3" s="105">
        <v>0</v>
      </c>
      <c r="E3" s="10">
        <v>31</v>
      </c>
      <c r="F3" s="10">
        <v>0</v>
      </c>
      <c r="G3" s="18">
        <f>'[5]Consumption Data '!AG66</f>
        <v>13849</v>
      </c>
      <c r="H3" s="10">
        <f t="shared" ref="H3:H66" si="0">$L$18+C3*$L$19+D3*$L$20+E3*$L$21+F3*$L$22+G3*$L$23</f>
        <v>25241486.736375168</v>
      </c>
      <c r="I3" s="10"/>
      <c r="J3" s="14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x14ac:dyDescent="0.25">
      <c r="A4" s="3">
        <v>39114</v>
      </c>
      <c r="B4" s="28">
        <f>'[5]Consumption Data '!B67</f>
        <v>23881688.099999998</v>
      </c>
      <c r="C4" s="105">
        <v>661.92</v>
      </c>
      <c r="D4" s="105">
        <v>0</v>
      </c>
      <c r="E4" s="10">
        <v>28</v>
      </c>
      <c r="F4" s="10">
        <v>0</v>
      </c>
      <c r="G4" s="18">
        <f>'[5]Consumption Data '!AG67</f>
        <v>13861</v>
      </c>
      <c r="H4" s="10">
        <f t="shared" si="0"/>
        <v>22659161.328311414</v>
      </c>
      <c r="I4" s="10"/>
      <c r="J4" s="14"/>
      <c r="K4" s="54" t="s">
        <v>19</v>
      </c>
      <c r="L4" s="54"/>
    </row>
    <row r="5" spans="1:36" x14ac:dyDescent="0.25">
      <c r="A5" s="3">
        <v>39142</v>
      </c>
      <c r="B5" s="28">
        <f>'[5]Consumption Data '!B68</f>
        <v>22297189.800000001</v>
      </c>
      <c r="C5" s="105">
        <v>537.27</v>
      </c>
      <c r="D5" s="105">
        <v>0.02</v>
      </c>
      <c r="E5" s="10">
        <v>31</v>
      </c>
      <c r="F5" s="10">
        <v>1</v>
      </c>
      <c r="G5" s="18">
        <f>'[5]Consumption Data '!AG68</f>
        <v>13865</v>
      </c>
      <c r="H5" s="10">
        <f t="shared" si="0"/>
        <v>22042934.156294055</v>
      </c>
      <c r="I5" s="10"/>
      <c r="J5" s="14"/>
      <c r="K5" s="33" t="s">
        <v>20</v>
      </c>
      <c r="L5" s="64">
        <v>0.98043980382057505</v>
      </c>
    </row>
    <row r="6" spans="1:36" x14ac:dyDescent="0.25">
      <c r="A6" s="3">
        <v>39173</v>
      </c>
      <c r="B6" s="28">
        <f>'[5]Consumption Data '!B69</f>
        <v>18569417.100000001</v>
      </c>
      <c r="C6" s="105">
        <v>321.91999999999996</v>
      </c>
      <c r="D6" s="105">
        <v>0.12</v>
      </c>
      <c r="E6" s="10">
        <v>30</v>
      </c>
      <c r="F6" s="10">
        <v>1</v>
      </c>
      <c r="G6" s="18">
        <f>'[5]Consumption Data '!AG69</f>
        <v>13869</v>
      </c>
      <c r="H6" s="10">
        <f t="shared" si="0"/>
        <v>18614279.266977094</v>
      </c>
      <c r="I6" s="10"/>
      <c r="J6" s="14"/>
      <c r="K6" s="33" t="s">
        <v>21</v>
      </c>
      <c r="L6" s="64">
        <v>0.96126220891572767</v>
      </c>
    </row>
    <row r="7" spans="1:36" x14ac:dyDescent="0.25">
      <c r="A7" s="3">
        <v>39203</v>
      </c>
      <c r="B7" s="28">
        <f>'[5]Consumption Data '!B70</f>
        <v>16382762.399999999</v>
      </c>
      <c r="C7" s="105">
        <v>128.44</v>
      </c>
      <c r="D7" s="105">
        <v>23.32</v>
      </c>
      <c r="E7" s="10">
        <v>31</v>
      </c>
      <c r="F7" s="10">
        <v>1</v>
      </c>
      <c r="G7" s="18">
        <f>'[5]Consumption Data '!AG70</f>
        <v>13873</v>
      </c>
      <c r="H7" s="10">
        <f t="shared" si="0"/>
        <v>17527341.235113062</v>
      </c>
      <c r="I7" s="10"/>
      <c r="J7" s="14"/>
      <c r="K7" s="33" t="s">
        <v>22</v>
      </c>
      <c r="L7" s="64">
        <v>0.95956318299097898</v>
      </c>
    </row>
    <row r="8" spans="1:36" x14ac:dyDescent="0.25">
      <c r="A8" s="3">
        <v>39234</v>
      </c>
      <c r="B8" s="28">
        <f>'[5]Consumption Data '!B71</f>
        <v>17880105.399999999</v>
      </c>
      <c r="C8" s="105">
        <v>25.75</v>
      </c>
      <c r="D8" s="105">
        <v>66.11</v>
      </c>
      <c r="E8" s="10">
        <v>30</v>
      </c>
      <c r="F8" s="10">
        <v>0</v>
      </c>
      <c r="G8" s="18">
        <f>'[5]Consumption Data '!AG71</f>
        <v>13881</v>
      </c>
      <c r="H8" s="10">
        <f t="shared" si="0"/>
        <v>17918843.068890028</v>
      </c>
      <c r="I8" s="10"/>
      <c r="J8" s="14"/>
      <c r="K8" s="33" t="s">
        <v>23</v>
      </c>
      <c r="L8" s="62">
        <v>573027.89631918247</v>
      </c>
    </row>
    <row r="9" spans="1:36" ht="13.8" thickBot="1" x14ac:dyDescent="0.3">
      <c r="A9" s="3">
        <v>39264</v>
      </c>
      <c r="B9" s="28">
        <f>'[5]Consumption Data '!B72</f>
        <v>18476519.899999999</v>
      </c>
      <c r="C9" s="105">
        <v>2.15</v>
      </c>
      <c r="D9" s="105">
        <v>130.26</v>
      </c>
      <c r="E9" s="10">
        <v>31</v>
      </c>
      <c r="F9" s="10">
        <v>0</v>
      </c>
      <c r="G9" s="18">
        <f>'[5]Consumption Data '!AG72</f>
        <v>13905</v>
      </c>
      <c r="H9" s="10">
        <f t="shared" si="0"/>
        <v>20397838.606908865</v>
      </c>
      <c r="I9" s="10"/>
      <c r="J9" s="14"/>
      <c r="K9" s="52" t="s">
        <v>24</v>
      </c>
      <c r="L9" s="52">
        <v>120</v>
      </c>
    </row>
    <row r="10" spans="1:36" x14ac:dyDescent="0.25">
      <c r="A10" s="3">
        <v>39295</v>
      </c>
      <c r="B10" s="28">
        <f>'[5]Consumption Data '!B73</f>
        <v>19239333.699999999</v>
      </c>
      <c r="C10" s="105">
        <v>4.9399999999999995</v>
      </c>
      <c r="D10" s="105">
        <v>112.87</v>
      </c>
      <c r="E10" s="10">
        <v>31</v>
      </c>
      <c r="F10" s="10">
        <v>0</v>
      </c>
      <c r="G10" s="18">
        <f>'[5]Consumption Data '!AG73</f>
        <v>13925</v>
      </c>
      <c r="H10" s="10">
        <f t="shared" si="0"/>
        <v>19868012.117733024</v>
      </c>
      <c r="I10" s="10"/>
      <c r="J10" s="14"/>
    </row>
    <row r="11" spans="1:36" ht="13.8" thickBot="1" x14ac:dyDescent="0.3">
      <c r="A11" s="3">
        <v>39326</v>
      </c>
      <c r="B11" s="28">
        <f>'[5]Consumption Data '!B74</f>
        <v>16489843.199999999</v>
      </c>
      <c r="C11" s="105">
        <v>57.21</v>
      </c>
      <c r="D11" s="105">
        <v>41.14</v>
      </c>
      <c r="E11" s="10">
        <v>30</v>
      </c>
      <c r="F11" s="10">
        <v>1</v>
      </c>
      <c r="G11" s="18">
        <f>'[5]Consumption Data '!AG74</f>
        <v>13949</v>
      </c>
      <c r="H11" s="10">
        <f t="shared" si="0"/>
        <v>16588164.754572488</v>
      </c>
      <c r="I11" s="10"/>
      <c r="J11" s="14"/>
      <c r="K11" t="s">
        <v>25</v>
      </c>
    </row>
    <row r="12" spans="1:36" x14ac:dyDescent="0.25">
      <c r="A12" s="3">
        <v>39356</v>
      </c>
      <c r="B12" s="28">
        <f>'[5]Consumption Data '!B75</f>
        <v>17241374.899999999</v>
      </c>
      <c r="C12" s="105">
        <v>230.05</v>
      </c>
      <c r="D12" s="105">
        <v>2.91</v>
      </c>
      <c r="E12" s="10">
        <v>31</v>
      </c>
      <c r="F12" s="10">
        <v>1</v>
      </c>
      <c r="G12" s="18">
        <f>'[5]Consumption Data '!AG75</f>
        <v>13987</v>
      </c>
      <c r="H12" s="10">
        <f t="shared" si="0"/>
        <v>18224738.980098061</v>
      </c>
      <c r="I12" s="10"/>
      <c r="J12" s="14"/>
      <c r="K12" s="53"/>
      <c r="L12" s="53" t="s">
        <v>29</v>
      </c>
      <c r="M12" s="53" t="s">
        <v>30</v>
      </c>
      <c r="N12" s="53" t="s">
        <v>31</v>
      </c>
      <c r="O12" s="53" t="s">
        <v>32</v>
      </c>
      <c r="P12" s="53" t="s">
        <v>33</v>
      </c>
    </row>
    <row r="13" spans="1:36" x14ac:dyDescent="0.25">
      <c r="A13" s="3">
        <v>39387</v>
      </c>
      <c r="B13" s="28">
        <f>'[5]Consumption Data '!B76</f>
        <v>20822608.399999999</v>
      </c>
      <c r="C13" s="105">
        <v>409.9799999999999</v>
      </c>
      <c r="D13" s="105">
        <v>0</v>
      </c>
      <c r="E13" s="10">
        <v>30</v>
      </c>
      <c r="F13" s="10">
        <v>1</v>
      </c>
      <c r="G13" s="18">
        <f>'[5]Consumption Data '!AG76</f>
        <v>14001</v>
      </c>
      <c r="H13" s="10">
        <f t="shared" si="0"/>
        <v>19817806.462875329</v>
      </c>
      <c r="I13" s="10"/>
      <c r="J13" s="14"/>
      <c r="K13" s="33" t="s">
        <v>26</v>
      </c>
      <c r="L13" s="33">
        <v>5</v>
      </c>
      <c r="M13" s="33">
        <v>928888096136964.5</v>
      </c>
      <c r="N13" s="33">
        <v>185777619227392.91</v>
      </c>
      <c r="O13" s="33">
        <v>565.77253761319662</v>
      </c>
      <c r="P13" s="33">
        <v>1.0536579416405935E-78</v>
      </c>
    </row>
    <row r="14" spans="1:36" s="32" customFormat="1" x14ac:dyDescent="0.25">
      <c r="A14" s="3">
        <v>39417</v>
      </c>
      <c r="B14" s="28">
        <f>'[5]Consumption Data '!B77</f>
        <v>25594483.699999999</v>
      </c>
      <c r="C14" s="105">
        <v>594.31999999999994</v>
      </c>
      <c r="D14" s="105">
        <v>0</v>
      </c>
      <c r="E14" s="10">
        <v>31</v>
      </c>
      <c r="F14" s="10">
        <v>0</v>
      </c>
      <c r="G14" s="18">
        <f>'[5]Consumption Data '!AG77</f>
        <v>14035</v>
      </c>
      <c r="H14" s="10">
        <f t="shared" si="0"/>
        <v>23813288.7131592</v>
      </c>
      <c r="I14" s="10"/>
      <c r="J14" s="14"/>
      <c r="K14" s="33" t="s">
        <v>27</v>
      </c>
      <c r="L14" s="33">
        <v>114</v>
      </c>
      <c r="M14" s="33">
        <v>37433150575438.609</v>
      </c>
      <c r="N14" s="33">
        <v>328360969959.98779</v>
      </c>
      <c r="O14" s="33"/>
      <c r="P14" s="33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ht="13.8" thickBot="1" x14ac:dyDescent="0.3">
      <c r="A15" s="3">
        <v>39448</v>
      </c>
      <c r="B15" s="28">
        <f>'[5]Consumption Data '!B78</f>
        <v>25337707.800000001</v>
      </c>
      <c r="C15" s="114">
        <f t="shared" ref="C15:D34" si="1">C3</f>
        <v>712.03</v>
      </c>
      <c r="D15" s="114">
        <f t="shared" si="1"/>
        <v>0</v>
      </c>
      <c r="E15" s="10">
        <v>31</v>
      </c>
      <c r="F15" s="10">
        <v>0</v>
      </c>
      <c r="G15" s="18">
        <f>'[5]Consumption Data '!AG78</f>
        <v>14052</v>
      </c>
      <c r="H15" s="10">
        <f t="shared" si="0"/>
        <v>25345592.214766018</v>
      </c>
      <c r="I15" s="10"/>
      <c r="J15" s="14"/>
      <c r="K15" s="52" t="s">
        <v>9</v>
      </c>
      <c r="L15" s="52">
        <v>119</v>
      </c>
      <c r="M15" s="52">
        <v>966321246712403.13</v>
      </c>
      <c r="N15" s="52"/>
      <c r="O15" s="52"/>
      <c r="P15" s="52"/>
    </row>
    <row r="16" spans="1:36" ht="13.8" thickBot="1" x14ac:dyDescent="0.3">
      <c r="A16" s="3">
        <v>39479</v>
      </c>
      <c r="B16" s="28">
        <f>'[5]Consumption Data '!B79</f>
        <v>23919251.399999999</v>
      </c>
      <c r="C16" s="114">
        <f t="shared" si="1"/>
        <v>661.92</v>
      </c>
      <c r="D16" s="114">
        <f t="shared" si="1"/>
        <v>0</v>
      </c>
      <c r="E16" s="10">
        <v>29</v>
      </c>
      <c r="F16" s="10">
        <v>0</v>
      </c>
      <c r="G16" s="18">
        <f>'[5]Consumption Data '!AG79</f>
        <v>14069</v>
      </c>
      <c r="H16" s="10">
        <f t="shared" si="0"/>
        <v>23412457.020937279</v>
      </c>
      <c r="I16" s="10"/>
      <c r="J16" s="14"/>
    </row>
    <row r="17" spans="1:17" x14ac:dyDescent="0.25">
      <c r="A17" s="3">
        <v>39508</v>
      </c>
      <c r="B17" s="28">
        <f>'[5]Consumption Data '!B80</f>
        <v>23324392.199999999</v>
      </c>
      <c r="C17" s="114">
        <f t="shared" si="1"/>
        <v>537.27</v>
      </c>
      <c r="D17" s="114">
        <f t="shared" si="1"/>
        <v>0.02</v>
      </c>
      <c r="E17" s="10">
        <v>31</v>
      </c>
      <c r="F17" s="10">
        <v>1</v>
      </c>
      <c r="G17" s="18">
        <f>'[5]Consumption Data '!AG80</f>
        <v>14091</v>
      </c>
      <c r="H17" s="10">
        <f t="shared" si="0"/>
        <v>22158834.836670078</v>
      </c>
      <c r="I17" s="10"/>
      <c r="J17" s="14"/>
      <c r="K17" s="53"/>
      <c r="L17" s="53" t="s">
        <v>34</v>
      </c>
      <c r="M17" s="53" t="s">
        <v>23</v>
      </c>
      <c r="N17" s="53" t="s">
        <v>35</v>
      </c>
      <c r="O17" s="53" t="s">
        <v>36</v>
      </c>
      <c r="P17" s="53" t="s">
        <v>37</v>
      </c>
      <c r="Q17" s="53" t="s">
        <v>38</v>
      </c>
    </row>
    <row r="18" spans="1:17" x14ac:dyDescent="0.25">
      <c r="A18" s="3">
        <v>39539</v>
      </c>
      <c r="B18" s="28">
        <f>'[5]Consumption Data '!B81</f>
        <v>17845472.600000001</v>
      </c>
      <c r="C18" s="114">
        <f t="shared" si="1"/>
        <v>321.91999999999996</v>
      </c>
      <c r="D18" s="114">
        <f t="shared" si="1"/>
        <v>0.12</v>
      </c>
      <c r="E18" s="10">
        <v>30</v>
      </c>
      <c r="F18" s="10">
        <v>1</v>
      </c>
      <c r="G18" s="18">
        <f>'[5]Consumption Data '!AG81</f>
        <v>14109</v>
      </c>
      <c r="H18" s="10">
        <f t="shared" si="0"/>
        <v>18737359.635518</v>
      </c>
      <c r="I18" s="10"/>
      <c r="J18" s="14"/>
      <c r="K18" s="33" t="s">
        <v>28</v>
      </c>
      <c r="L18" s="62">
        <v>-11122366.738297148</v>
      </c>
      <c r="M18" s="62">
        <v>2305922.316478496</v>
      </c>
      <c r="N18" s="60">
        <v>-4.8233917763902561</v>
      </c>
      <c r="O18" s="33">
        <v>4.4041599447260424E-6</v>
      </c>
      <c r="P18" s="62">
        <v>-15690381.0869717</v>
      </c>
      <c r="Q18" s="62">
        <v>-6554352.3896225942</v>
      </c>
    </row>
    <row r="19" spans="1:17" x14ac:dyDescent="0.25">
      <c r="A19" s="3">
        <v>39569</v>
      </c>
      <c r="B19" s="28">
        <f>'[5]Consumption Data '!B82</f>
        <v>17203594.699999999</v>
      </c>
      <c r="C19" s="114">
        <f t="shared" si="1"/>
        <v>128.44</v>
      </c>
      <c r="D19" s="114">
        <f t="shared" si="1"/>
        <v>23.32</v>
      </c>
      <c r="E19" s="10">
        <v>31</v>
      </c>
      <c r="F19" s="10">
        <v>1</v>
      </c>
      <c r="G19" s="18">
        <f>'[5]Consumption Data '!AG82</f>
        <v>14151</v>
      </c>
      <c r="H19" s="10">
        <f t="shared" si="0"/>
        <v>17669909.328672949</v>
      </c>
      <c r="I19" s="10"/>
      <c r="J19" s="14"/>
      <c r="K19" s="33" t="s">
        <v>3</v>
      </c>
      <c r="L19" s="62">
        <v>12943.550325674709</v>
      </c>
      <c r="M19" s="62">
        <v>334.74226224540638</v>
      </c>
      <c r="N19" s="60">
        <v>38.667212914351182</v>
      </c>
      <c r="O19" s="33">
        <v>2.2684479983169594E-67</v>
      </c>
      <c r="P19" s="62">
        <v>12280.428482359543</v>
      </c>
      <c r="Q19" s="62">
        <v>13606.672168989875</v>
      </c>
    </row>
    <row r="20" spans="1:17" x14ac:dyDescent="0.25">
      <c r="A20" s="3">
        <v>39600</v>
      </c>
      <c r="B20" s="28">
        <f>'[5]Consumption Data '!B83</f>
        <v>17657148.199999999</v>
      </c>
      <c r="C20" s="114">
        <f t="shared" si="1"/>
        <v>25.75</v>
      </c>
      <c r="D20" s="114">
        <f t="shared" si="1"/>
        <v>66.11</v>
      </c>
      <c r="E20" s="10">
        <v>30</v>
      </c>
      <c r="F20" s="10">
        <v>0</v>
      </c>
      <c r="G20" s="18">
        <f>'[5]Consumption Data '!AG83</f>
        <v>14186</v>
      </c>
      <c r="H20" s="10">
        <f t="shared" si="0"/>
        <v>18075257.703910764</v>
      </c>
      <c r="I20" s="10"/>
      <c r="J20" s="14"/>
      <c r="K20" s="33" t="s">
        <v>4</v>
      </c>
      <c r="L20" s="62">
        <v>33133.73731816456</v>
      </c>
      <c r="M20" s="62">
        <v>1978.2119725463795</v>
      </c>
      <c r="N20" s="60">
        <v>16.749336157092607</v>
      </c>
      <c r="O20" s="33">
        <v>1.6272174463933595E-32</v>
      </c>
      <c r="P20" s="62">
        <v>29214.914636786551</v>
      </c>
      <c r="Q20" s="62">
        <v>37052.559999542573</v>
      </c>
    </row>
    <row r="21" spans="1:17" x14ac:dyDescent="0.25">
      <c r="A21" s="3">
        <v>39630</v>
      </c>
      <c r="B21" s="28">
        <f>'[5]Consumption Data '!B84</f>
        <v>19399005.699999999</v>
      </c>
      <c r="C21" s="114">
        <f t="shared" si="1"/>
        <v>2.15</v>
      </c>
      <c r="D21" s="114">
        <f t="shared" si="1"/>
        <v>130.26</v>
      </c>
      <c r="E21" s="10">
        <v>31</v>
      </c>
      <c r="F21" s="10">
        <v>0</v>
      </c>
      <c r="G21" s="18">
        <f>'[5]Consumption Data '!AG84</f>
        <v>14218</v>
      </c>
      <c r="H21" s="10">
        <f t="shared" si="0"/>
        <v>20558355.920880966</v>
      </c>
      <c r="I21" s="10"/>
      <c r="J21" s="14"/>
      <c r="K21" s="33" t="s">
        <v>5</v>
      </c>
      <c r="L21" s="62">
        <v>646626.03989041445</v>
      </c>
      <c r="M21" s="62">
        <v>67735.95935594826</v>
      </c>
      <c r="N21" s="60">
        <v>9.5462741804900819</v>
      </c>
      <c r="O21" s="33">
        <v>3.1761571713378099E-16</v>
      </c>
      <c r="P21" s="62">
        <v>512441.62611027504</v>
      </c>
      <c r="Q21" s="62">
        <v>780810.45367055386</v>
      </c>
    </row>
    <row r="22" spans="1:17" x14ac:dyDescent="0.25">
      <c r="A22" s="3">
        <v>39661</v>
      </c>
      <c r="B22" s="28">
        <f>'[5]Consumption Data '!B85</f>
        <v>18496934.800000001</v>
      </c>
      <c r="C22" s="114">
        <f t="shared" si="1"/>
        <v>4.9399999999999995</v>
      </c>
      <c r="D22" s="114">
        <f t="shared" si="1"/>
        <v>112.87</v>
      </c>
      <c r="E22" s="10">
        <v>31</v>
      </c>
      <c r="F22" s="10">
        <v>0</v>
      </c>
      <c r="G22" s="18">
        <f>'[5]Consumption Data '!AG85</f>
        <v>14260</v>
      </c>
      <c r="H22" s="10">
        <f t="shared" si="0"/>
        <v>20039811.798821375</v>
      </c>
      <c r="I22" s="10"/>
      <c r="J22" s="14"/>
      <c r="K22" s="33" t="s">
        <v>17</v>
      </c>
      <c r="L22" s="62">
        <v>-945405.75781528826</v>
      </c>
      <c r="M22" s="62">
        <v>141921.89713241661</v>
      </c>
      <c r="N22" s="60">
        <v>-6.6614509594189091</v>
      </c>
      <c r="O22" s="33">
        <v>1.0025707756324094E-9</v>
      </c>
      <c r="P22" s="62">
        <v>-1226551.9429487279</v>
      </c>
      <c r="Q22" s="62">
        <v>-664259.57268184866</v>
      </c>
    </row>
    <row r="23" spans="1:17" ht="12.75" customHeight="1" thickBot="1" x14ac:dyDescent="0.3">
      <c r="A23" s="3">
        <v>39692</v>
      </c>
      <c r="B23" s="28">
        <f>'[5]Consumption Data '!B86</f>
        <v>16944225</v>
      </c>
      <c r="C23" s="114">
        <f t="shared" si="1"/>
        <v>57.21</v>
      </c>
      <c r="D23" s="114">
        <f t="shared" si="1"/>
        <v>41.14</v>
      </c>
      <c r="E23" s="10">
        <v>30</v>
      </c>
      <c r="F23" s="10">
        <v>1</v>
      </c>
      <c r="G23" s="18">
        <f>'[5]Consumption Data '!AG86</f>
        <v>14297</v>
      </c>
      <c r="H23" s="10">
        <f t="shared" si="0"/>
        <v>16766631.288956804</v>
      </c>
      <c r="I23" s="10"/>
      <c r="J23" s="14"/>
      <c r="K23" s="110" t="s">
        <v>71</v>
      </c>
      <c r="L23" s="63">
        <v>512.83486892044948</v>
      </c>
      <c r="M23" s="63">
        <v>72.950831285931883</v>
      </c>
      <c r="N23" s="61">
        <v>7.029870117728823</v>
      </c>
      <c r="O23" s="52">
        <v>1.6192294299005129E-10</v>
      </c>
      <c r="P23" s="63">
        <v>368.31983401208208</v>
      </c>
      <c r="Q23" s="63">
        <v>657.34990382881688</v>
      </c>
    </row>
    <row r="24" spans="1:17" x14ac:dyDescent="0.25">
      <c r="A24" s="3">
        <v>39722</v>
      </c>
      <c r="B24" s="28">
        <f>'[5]Consumption Data '!B87</f>
        <v>18736114.300000001</v>
      </c>
      <c r="C24" s="114">
        <f t="shared" si="1"/>
        <v>230.05</v>
      </c>
      <c r="D24" s="114">
        <f t="shared" si="1"/>
        <v>2.91</v>
      </c>
      <c r="E24" s="10">
        <v>31</v>
      </c>
      <c r="F24" s="10">
        <v>1</v>
      </c>
      <c r="G24" s="18">
        <f>'[5]Consumption Data '!AG87</f>
        <v>14337</v>
      </c>
      <c r="H24" s="10">
        <f t="shared" si="0"/>
        <v>18404231.184220221</v>
      </c>
      <c r="I24" s="10"/>
      <c r="J24" s="14"/>
    </row>
    <row r="25" spans="1:17" x14ac:dyDescent="0.25">
      <c r="A25" s="3">
        <v>39753</v>
      </c>
      <c r="B25" s="28">
        <f>'[5]Consumption Data '!B88</f>
        <v>20914295.899999999</v>
      </c>
      <c r="C25" s="114">
        <f t="shared" si="1"/>
        <v>409.9799999999999</v>
      </c>
      <c r="D25" s="114">
        <f t="shared" si="1"/>
        <v>0</v>
      </c>
      <c r="E25" s="10">
        <v>30</v>
      </c>
      <c r="F25" s="10">
        <v>1</v>
      </c>
      <c r="G25" s="18">
        <f>'[5]Consumption Data '!AG88</f>
        <v>14348</v>
      </c>
      <c r="H25" s="10">
        <f t="shared" si="0"/>
        <v>19995760.162390724</v>
      </c>
      <c r="I25" s="10"/>
      <c r="J25" s="14"/>
    </row>
    <row r="26" spans="1:17" x14ac:dyDescent="0.25">
      <c r="A26" s="3">
        <v>39783</v>
      </c>
      <c r="B26" s="28">
        <f>'[5]Consumption Data '!B89</f>
        <v>25844885.199999999</v>
      </c>
      <c r="C26" s="114">
        <f t="shared" si="1"/>
        <v>594.31999999999994</v>
      </c>
      <c r="D26" s="114">
        <f t="shared" si="1"/>
        <v>0</v>
      </c>
      <c r="E26" s="10">
        <v>31</v>
      </c>
      <c r="F26" s="10">
        <v>0</v>
      </c>
      <c r="G26" s="18">
        <f>'[5]Consumption Data '!AG89</f>
        <v>14388</v>
      </c>
      <c r="H26" s="10">
        <f t="shared" si="0"/>
        <v>23994319.421888117</v>
      </c>
      <c r="I26" s="10"/>
      <c r="J26" s="14"/>
    </row>
    <row r="27" spans="1:17" x14ac:dyDescent="0.25">
      <c r="A27" s="3">
        <v>39814</v>
      </c>
      <c r="B27" s="28">
        <f>'[5]Consumption Data '!B90</f>
        <v>27698757.900000002</v>
      </c>
      <c r="C27" s="114">
        <f t="shared" si="1"/>
        <v>712.03</v>
      </c>
      <c r="D27" s="114">
        <f t="shared" si="1"/>
        <v>0</v>
      </c>
      <c r="E27" s="10">
        <v>31</v>
      </c>
      <c r="F27" s="10">
        <v>0</v>
      </c>
      <c r="G27" s="18">
        <f>'[5]Consumption Data '!AG90</f>
        <v>14411</v>
      </c>
      <c r="H27" s="10">
        <f t="shared" si="0"/>
        <v>25529699.932708457</v>
      </c>
      <c r="I27" s="10"/>
      <c r="J27" s="14"/>
    </row>
    <row r="28" spans="1:17" x14ac:dyDescent="0.25">
      <c r="A28" s="3">
        <v>39845</v>
      </c>
      <c r="B28" s="28">
        <f>'[5]Consumption Data '!B91</f>
        <v>22854686.900000002</v>
      </c>
      <c r="C28" s="114">
        <f t="shared" si="1"/>
        <v>661.92</v>
      </c>
      <c r="D28" s="114">
        <f t="shared" si="1"/>
        <v>0</v>
      </c>
      <c r="E28" s="10">
        <v>28</v>
      </c>
      <c r="F28" s="10">
        <v>0</v>
      </c>
      <c r="G28" s="18">
        <f>'[5]Consumption Data '!AG91</f>
        <v>14426</v>
      </c>
      <c r="H28" s="10">
        <f t="shared" si="0"/>
        <v>22948913.029251464</v>
      </c>
      <c r="I28" s="10"/>
      <c r="J28" s="14"/>
    </row>
    <row r="29" spans="1:17" x14ac:dyDescent="0.25">
      <c r="A29" s="3">
        <v>39873</v>
      </c>
      <c r="B29" s="28">
        <f>'[5]Consumption Data '!B92</f>
        <v>22750703.800000001</v>
      </c>
      <c r="C29" s="114">
        <f t="shared" si="1"/>
        <v>537.27</v>
      </c>
      <c r="D29" s="114">
        <f t="shared" si="1"/>
        <v>0.02</v>
      </c>
      <c r="E29" s="10">
        <v>31</v>
      </c>
      <c r="F29" s="10">
        <v>1</v>
      </c>
      <c r="G29" s="18">
        <f>'[5]Consumption Data '!AG92</f>
        <v>14438</v>
      </c>
      <c r="H29" s="10">
        <f t="shared" si="0"/>
        <v>22336788.536185473</v>
      </c>
      <c r="I29" s="10"/>
      <c r="J29" s="14"/>
    </row>
    <row r="30" spans="1:17" x14ac:dyDescent="0.25">
      <c r="A30" s="3">
        <v>39904</v>
      </c>
      <c r="B30" s="28">
        <f>'[5]Consumption Data '!B93</f>
        <v>18949041.899999999</v>
      </c>
      <c r="C30" s="114">
        <f t="shared" si="1"/>
        <v>321.91999999999996</v>
      </c>
      <c r="D30" s="114">
        <f t="shared" si="1"/>
        <v>0.12</v>
      </c>
      <c r="E30" s="10">
        <v>30</v>
      </c>
      <c r="F30" s="10">
        <v>1</v>
      </c>
      <c r="G30" s="18">
        <f>'[5]Consumption Data '!AG93</f>
        <v>14448</v>
      </c>
      <c r="H30" s="10">
        <f t="shared" si="0"/>
        <v>18911210.656082034</v>
      </c>
      <c r="I30" s="10"/>
      <c r="J30" s="14"/>
    </row>
    <row r="31" spans="1:17" x14ac:dyDescent="0.25">
      <c r="A31" s="3">
        <v>39934</v>
      </c>
      <c r="B31" s="28">
        <f>'[5]Consumption Data '!B94</f>
        <v>17348781.300000001</v>
      </c>
      <c r="C31" s="114">
        <f t="shared" si="1"/>
        <v>128.44</v>
      </c>
      <c r="D31" s="114">
        <f t="shared" si="1"/>
        <v>23.32</v>
      </c>
      <c r="E31" s="10">
        <v>31</v>
      </c>
      <c r="F31" s="10">
        <v>1</v>
      </c>
      <c r="G31" s="18">
        <f>'[5]Consumption Data '!AG94</f>
        <v>14455</v>
      </c>
      <c r="H31" s="10">
        <f t="shared" si="0"/>
        <v>17825811.128824763</v>
      </c>
      <c r="I31" s="10"/>
      <c r="J31" s="14"/>
    </row>
    <row r="32" spans="1:17" x14ac:dyDescent="0.25">
      <c r="A32" s="3">
        <v>39965</v>
      </c>
      <c r="B32" s="28">
        <f>'[5]Consumption Data '!B95</f>
        <v>17392957.300000001</v>
      </c>
      <c r="C32" s="114">
        <f t="shared" si="1"/>
        <v>25.75</v>
      </c>
      <c r="D32" s="114">
        <f t="shared" si="1"/>
        <v>66.11</v>
      </c>
      <c r="E32" s="10">
        <v>30</v>
      </c>
      <c r="F32" s="10">
        <v>0</v>
      </c>
      <c r="G32" s="18">
        <f>'[5]Consumption Data '!AG95</f>
        <v>14460</v>
      </c>
      <c r="H32" s="10">
        <f t="shared" si="0"/>
        <v>18215774.457994968</v>
      </c>
      <c r="I32" s="10"/>
      <c r="J32" s="14"/>
    </row>
    <row r="33" spans="1:10" x14ac:dyDescent="0.25">
      <c r="A33" s="3">
        <v>39995</v>
      </c>
      <c r="B33" s="28">
        <f>'[5]Consumption Data '!B96</f>
        <v>18006297.300000001</v>
      </c>
      <c r="C33" s="114">
        <f t="shared" si="1"/>
        <v>2.15</v>
      </c>
      <c r="D33" s="114">
        <f t="shared" si="1"/>
        <v>130.26</v>
      </c>
      <c r="E33" s="10">
        <v>31</v>
      </c>
      <c r="F33" s="10">
        <v>0</v>
      </c>
      <c r="G33" s="18">
        <f>'[5]Consumption Data '!AG96</f>
        <v>14710</v>
      </c>
      <c r="H33" s="10">
        <f t="shared" si="0"/>
        <v>20810670.676389828</v>
      </c>
      <c r="I33" s="10"/>
      <c r="J33" s="14"/>
    </row>
    <row r="34" spans="1:10" x14ac:dyDescent="0.25">
      <c r="A34" s="3">
        <v>40026</v>
      </c>
      <c r="B34" s="28">
        <f>'[5]Consumption Data '!B97</f>
        <v>20135392.300000001</v>
      </c>
      <c r="C34" s="114">
        <f t="shared" si="1"/>
        <v>4.9399999999999995</v>
      </c>
      <c r="D34" s="114">
        <f t="shared" si="1"/>
        <v>112.87</v>
      </c>
      <c r="E34" s="10">
        <v>31</v>
      </c>
      <c r="F34" s="10">
        <v>0</v>
      </c>
      <c r="G34" s="18">
        <f>'[5]Consumption Data '!AG97</f>
        <v>14976</v>
      </c>
      <c r="H34" s="10">
        <f t="shared" si="0"/>
        <v>20407001.564968418</v>
      </c>
      <c r="I34" s="10"/>
      <c r="J34" s="14"/>
    </row>
    <row r="35" spans="1:10" x14ac:dyDescent="0.25">
      <c r="A35" s="3">
        <v>40057</v>
      </c>
      <c r="B35" s="28">
        <f>'[5]Consumption Data '!B98</f>
        <v>17368091.399999999</v>
      </c>
      <c r="C35" s="114">
        <f t="shared" ref="C35:D54" si="2">C23</f>
        <v>57.21</v>
      </c>
      <c r="D35" s="114">
        <f t="shared" si="2"/>
        <v>41.14</v>
      </c>
      <c r="E35" s="10">
        <v>30</v>
      </c>
      <c r="F35" s="10">
        <v>1</v>
      </c>
      <c r="G35" s="18">
        <f>'[5]Consumption Data '!AG98</f>
        <v>15073</v>
      </c>
      <c r="H35" s="10">
        <f t="shared" si="0"/>
        <v>17164591.147239074</v>
      </c>
      <c r="I35" s="10"/>
      <c r="J35" s="14"/>
    </row>
    <row r="36" spans="1:10" x14ac:dyDescent="0.25">
      <c r="A36" s="3">
        <v>40087</v>
      </c>
      <c r="B36" s="28">
        <f>'[5]Consumption Data '!B99</f>
        <v>19458169</v>
      </c>
      <c r="C36" s="114">
        <f t="shared" si="2"/>
        <v>230.05</v>
      </c>
      <c r="D36" s="114">
        <f t="shared" si="2"/>
        <v>2.91</v>
      </c>
      <c r="E36" s="10">
        <v>31</v>
      </c>
      <c r="F36" s="10">
        <v>1</v>
      </c>
      <c r="G36" s="18">
        <f>'[5]Consumption Data '!AG99</f>
        <v>15110</v>
      </c>
      <c r="H36" s="10">
        <f t="shared" si="0"/>
        <v>18800652.537895728</v>
      </c>
      <c r="I36" s="10"/>
      <c r="J36" s="14"/>
    </row>
    <row r="37" spans="1:10" x14ac:dyDescent="0.25">
      <c r="A37" s="3">
        <v>40118</v>
      </c>
      <c r="B37" s="28">
        <f>'[5]Consumption Data '!B100</f>
        <v>19998429.5</v>
      </c>
      <c r="C37" s="114">
        <f t="shared" si="2"/>
        <v>409.9799999999999</v>
      </c>
      <c r="D37" s="114">
        <f t="shared" si="2"/>
        <v>0</v>
      </c>
      <c r="E37" s="10">
        <v>30</v>
      </c>
      <c r="F37" s="10">
        <v>1</v>
      </c>
      <c r="G37" s="18">
        <f>'[5]Consumption Data '!AG100</f>
        <v>15107</v>
      </c>
      <c r="H37" s="10">
        <f t="shared" si="0"/>
        <v>20385001.827901345</v>
      </c>
      <c r="I37" s="10"/>
      <c r="J37" s="14"/>
    </row>
    <row r="38" spans="1:10" x14ac:dyDescent="0.25">
      <c r="A38" s="3">
        <v>40148</v>
      </c>
      <c r="B38" s="28">
        <f>'[5]Consumption Data '!B101</f>
        <v>25277880.599999998</v>
      </c>
      <c r="C38" s="114">
        <f t="shared" si="2"/>
        <v>594.31999999999994</v>
      </c>
      <c r="D38" s="114">
        <f t="shared" si="2"/>
        <v>0</v>
      </c>
      <c r="E38" s="10">
        <v>31</v>
      </c>
      <c r="F38" s="10">
        <v>0</v>
      </c>
      <c r="G38" s="18">
        <f>'[5]Consumption Data '!AG101</f>
        <v>14563</v>
      </c>
      <c r="H38" s="10">
        <f t="shared" si="0"/>
        <v>24084065.523949198</v>
      </c>
      <c r="I38" s="10"/>
      <c r="J38" s="14"/>
    </row>
    <row r="39" spans="1:10" x14ac:dyDescent="0.25">
      <c r="A39" s="3">
        <v>40179</v>
      </c>
      <c r="B39" s="28">
        <f>'[5]Consumption Data '!B102</f>
        <v>26451955.599999998</v>
      </c>
      <c r="C39" s="114">
        <f t="shared" si="2"/>
        <v>712.03</v>
      </c>
      <c r="D39" s="114">
        <f t="shared" si="2"/>
        <v>0</v>
      </c>
      <c r="E39" s="10">
        <v>31</v>
      </c>
      <c r="F39" s="10">
        <v>0</v>
      </c>
      <c r="G39" s="18">
        <f>'[5]Consumption Data '!AG102</f>
        <v>14554</v>
      </c>
      <c r="H39" s="10">
        <f t="shared" si="0"/>
        <v>25603035.318964083</v>
      </c>
      <c r="I39" s="10"/>
      <c r="J39" s="14"/>
    </row>
    <row r="40" spans="1:10" x14ac:dyDescent="0.25">
      <c r="A40" s="3">
        <v>40210</v>
      </c>
      <c r="B40" s="28">
        <f>'[5]Consumption Data '!B103</f>
        <v>22355017.900000002</v>
      </c>
      <c r="C40" s="114">
        <f t="shared" si="2"/>
        <v>661.92</v>
      </c>
      <c r="D40" s="114">
        <f t="shared" si="2"/>
        <v>0</v>
      </c>
      <c r="E40" s="10">
        <v>28</v>
      </c>
      <c r="F40" s="10">
        <v>0</v>
      </c>
      <c r="G40" s="18">
        <f>'[5]Consumption Data '!AG103</f>
        <v>14553</v>
      </c>
      <c r="H40" s="10">
        <f t="shared" si="0"/>
        <v>23014043.057604361</v>
      </c>
      <c r="I40" s="10"/>
      <c r="J40" s="14"/>
    </row>
    <row r="41" spans="1:10" x14ac:dyDescent="0.25">
      <c r="A41" s="3">
        <v>40238</v>
      </c>
      <c r="B41" s="28">
        <f>'[5]Consumption Data '!B104</f>
        <v>21335193</v>
      </c>
      <c r="C41" s="114">
        <f t="shared" si="2"/>
        <v>537.27</v>
      </c>
      <c r="D41" s="114">
        <f t="shared" si="2"/>
        <v>0.02</v>
      </c>
      <c r="E41" s="10">
        <v>31</v>
      </c>
      <c r="F41" s="10">
        <v>1</v>
      </c>
      <c r="G41" s="18">
        <f>'[5]Consumption Data '!AG104</f>
        <v>14566</v>
      </c>
      <c r="H41" s="10">
        <f t="shared" si="0"/>
        <v>22402431.39940729</v>
      </c>
      <c r="I41" s="10"/>
      <c r="J41" s="14"/>
    </row>
    <row r="42" spans="1:10" x14ac:dyDescent="0.25">
      <c r="A42" s="3">
        <v>40269</v>
      </c>
      <c r="B42" s="28">
        <f>'[5]Consumption Data '!B105</f>
        <v>17366211</v>
      </c>
      <c r="C42" s="114">
        <f t="shared" si="2"/>
        <v>321.91999999999996</v>
      </c>
      <c r="D42" s="114">
        <f t="shared" si="2"/>
        <v>0.12</v>
      </c>
      <c r="E42" s="10">
        <v>30</v>
      </c>
      <c r="F42" s="10">
        <v>1</v>
      </c>
      <c r="G42" s="18">
        <f>'[5]Consumption Data '!AG105</f>
        <v>14576</v>
      </c>
      <c r="H42" s="10">
        <f t="shared" si="0"/>
        <v>18976853.519303851</v>
      </c>
      <c r="I42" s="10"/>
      <c r="J42" s="14"/>
    </row>
    <row r="43" spans="1:10" x14ac:dyDescent="0.25">
      <c r="A43" s="3">
        <v>40299</v>
      </c>
      <c r="B43" s="28">
        <f>'[5]Consumption Data '!B106</f>
        <v>18594842.100000001</v>
      </c>
      <c r="C43" s="114">
        <f t="shared" si="2"/>
        <v>128.44</v>
      </c>
      <c r="D43" s="114">
        <f t="shared" si="2"/>
        <v>23.32</v>
      </c>
      <c r="E43" s="10">
        <v>31</v>
      </c>
      <c r="F43" s="10">
        <v>1</v>
      </c>
      <c r="G43" s="18">
        <f>'[5]Consumption Data '!AG106</f>
        <v>14570</v>
      </c>
      <c r="H43" s="10">
        <f t="shared" si="0"/>
        <v>17884787.138750616</v>
      </c>
      <c r="I43" s="10"/>
      <c r="J43" s="14"/>
    </row>
    <row r="44" spans="1:10" x14ac:dyDescent="0.25">
      <c r="A44" s="3">
        <v>40330</v>
      </c>
      <c r="B44" s="28">
        <f>'[5]Consumption Data '!B107</f>
        <v>18232281.300000001</v>
      </c>
      <c r="C44" s="114">
        <f t="shared" si="2"/>
        <v>25.75</v>
      </c>
      <c r="D44" s="114">
        <f t="shared" si="2"/>
        <v>66.11</v>
      </c>
      <c r="E44" s="10">
        <v>30</v>
      </c>
      <c r="F44" s="10">
        <v>0</v>
      </c>
      <c r="G44" s="18">
        <f>'[5]Consumption Data '!AG107</f>
        <v>14584</v>
      </c>
      <c r="H44" s="10">
        <f t="shared" si="0"/>
        <v>18279365.981741104</v>
      </c>
      <c r="I44" s="10"/>
      <c r="J44" s="14"/>
    </row>
    <row r="45" spans="1:10" x14ac:dyDescent="0.25">
      <c r="A45" s="3">
        <v>40360</v>
      </c>
      <c r="B45" s="28">
        <f>'[5]Consumption Data '!B108</f>
        <v>22225961.800000001</v>
      </c>
      <c r="C45" s="114">
        <f t="shared" si="2"/>
        <v>2.15</v>
      </c>
      <c r="D45" s="114">
        <f t="shared" si="2"/>
        <v>130.26</v>
      </c>
      <c r="E45" s="10">
        <v>31</v>
      </c>
      <c r="F45" s="10">
        <v>0</v>
      </c>
      <c r="G45" s="18">
        <f>'[5]Consumption Data '!AG108</f>
        <v>14599</v>
      </c>
      <c r="H45" s="10">
        <f t="shared" si="0"/>
        <v>20753746.005939655</v>
      </c>
      <c r="I45" s="10"/>
      <c r="J45" s="14"/>
    </row>
    <row r="46" spans="1:10" x14ac:dyDescent="0.25">
      <c r="A46" s="3">
        <v>40391</v>
      </c>
      <c r="B46" s="28">
        <f>'[5]Consumption Data '!B109</f>
        <v>21301864.899999999</v>
      </c>
      <c r="C46" s="114">
        <f t="shared" si="2"/>
        <v>4.9399999999999995</v>
      </c>
      <c r="D46" s="114">
        <f t="shared" si="2"/>
        <v>112.87</v>
      </c>
      <c r="E46" s="10">
        <v>31</v>
      </c>
      <c r="F46" s="10">
        <v>0</v>
      </c>
      <c r="G46" s="18">
        <f>'[5]Consumption Data '!AG109</f>
        <v>14633</v>
      </c>
      <c r="H46" s="10">
        <f t="shared" si="0"/>
        <v>20231099.204928704</v>
      </c>
      <c r="I46" s="10"/>
      <c r="J46" s="14"/>
    </row>
    <row r="47" spans="1:10" x14ac:dyDescent="0.25">
      <c r="A47" s="3">
        <v>40422</v>
      </c>
      <c r="B47" s="28">
        <f>'[5]Consumption Data '!B110</f>
        <v>17785837.5</v>
      </c>
      <c r="C47" s="114">
        <f t="shared" si="2"/>
        <v>57.21</v>
      </c>
      <c r="D47" s="114">
        <f t="shared" si="2"/>
        <v>41.14</v>
      </c>
      <c r="E47" s="10">
        <v>30</v>
      </c>
      <c r="F47" s="10">
        <v>1</v>
      </c>
      <c r="G47" s="18">
        <f>'[5]Consumption Data '!AG110</f>
        <v>14646</v>
      </c>
      <c r="H47" s="10">
        <f t="shared" si="0"/>
        <v>16945610.658210039</v>
      </c>
      <c r="I47" s="10"/>
      <c r="J47" s="14"/>
    </row>
    <row r="48" spans="1:10" x14ac:dyDescent="0.25">
      <c r="A48" s="3">
        <v>40452</v>
      </c>
      <c r="B48" s="28">
        <f>'[5]Consumption Data '!B111</f>
        <v>18734173.199999999</v>
      </c>
      <c r="C48" s="114">
        <f t="shared" si="2"/>
        <v>230.05</v>
      </c>
      <c r="D48" s="114">
        <f t="shared" si="2"/>
        <v>2.91</v>
      </c>
      <c r="E48" s="10">
        <v>31</v>
      </c>
      <c r="F48" s="10">
        <v>1</v>
      </c>
      <c r="G48" s="18">
        <f>'[5]Consumption Data '!AG111</f>
        <v>14664</v>
      </c>
      <c r="H48" s="10">
        <f t="shared" si="0"/>
        <v>18571928.186357208</v>
      </c>
      <c r="I48" s="10"/>
      <c r="J48" s="14"/>
    </row>
    <row r="49" spans="1:10" x14ac:dyDescent="0.25">
      <c r="A49" s="3">
        <v>40483</v>
      </c>
      <c r="B49" s="28">
        <f>'[5]Consumption Data '!B112</f>
        <v>20451455.399999999</v>
      </c>
      <c r="C49" s="114">
        <f t="shared" si="2"/>
        <v>409.9799999999999</v>
      </c>
      <c r="D49" s="114">
        <f t="shared" si="2"/>
        <v>0</v>
      </c>
      <c r="E49" s="10">
        <v>30</v>
      </c>
      <c r="F49" s="10">
        <v>1</v>
      </c>
      <c r="G49" s="18">
        <f>'[5]Consumption Data '!AG112</f>
        <v>14688</v>
      </c>
      <c r="H49" s="10">
        <f t="shared" si="0"/>
        <v>20170124.017823674</v>
      </c>
      <c r="I49" s="10"/>
      <c r="J49" s="14"/>
    </row>
    <row r="50" spans="1:10" x14ac:dyDescent="0.25">
      <c r="A50" s="3">
        <v>40513</v>
      </c>
      <c r="B50" s="28">
        <f>'[5]Consumption Data '!B113</f>
        <v>25404585.100000001</v>
      </c>
      <c r="C50" s="114">
        <f t="shared" si="2"/>
        <v>594.31999999999994</v>
      </c>
      <c r="D50" s="114">
        <f t="shared" si="2"/>
        <v>0</v>
      </c>
      <c r="E50" s="10">
        <v>31</v>
      </c>
      <c r="F50" s="10">
        <v>0</v>
      </c>
      <c r="G50" s="18">
        <f>'[5]Consumption Data '!AG113</f>
        <v>14707</v>
      </c>
      <c r="H50" s="10">
        <f t="shared" si="0"/>
        <v>24157913.745073743</v>
      </c>
      <c r="I50" s="10"/>
      <c r="J50" s="14"/>
    </row>
    <row r="51" spans="1:10" x14ac:dyDescent="0.25">
      <c r="A51" s="3">
        <v>40544</v>
      </c>
      <c r="B51" s="28">
        <f>'[5]Consumption Data '!B114</f>
        <v>26274474</v>
      </c>
      <c r="C51" s="114">
        <f t="shared" si="2"/>
        <v>712.03</v>
      </c>
      <c r="D51" s="114">
        <f t="shared" si="2"/>
        <v>0</v>
      </c>
      <c r="E51" s="48">
        <v>31</v>
      </c>
      <c r="F51" s="10">
        <v>0</v>
      </c>
      <c r="G51" s="18">
        <f>'[5]Consumption Data '!AG114</f>
        <v>14713</v>
      </c>
      <c r="H51" s="10">
        <f t="shared" si="0"/>
        <v>25684576.063122436</v>
      </c>
      <c r="I51" s="10"/>
      <c r="J51" s="14"/>
    </row>
    <row r="52" spans="1:10" x14ac:dyDescent="0.25">
      <c r="A52" s="3">
        <v>40575</v>
      </c>
      <c r="B52" s="28">
        <f>'[5]Consumption Data '!B115</f>
        <v>22971970.300000001</v>
      </c>
      <c r="C52" s="114">
        <f t="shared" si="2"/>
        <v>661.92</v>
      </c>
      <c r="D52" s="114">
        <f t="shared" si="2"/>
        <v>0</v>
      </c>
      <c r="E52" s="48">
        <v>28</v>
      </c>
      <c r="F52" s="10">
        <v>0</v>
      </c>
      <c r="G52" s="18">
        <f>'[5]Consumption Data '!AG115</f>
        <v>14716</v>
      </c>
      <c r="H52" s="10">
        <f t="shared" si="0"/>
        <v>23097635.141238395</v>
      </c>
      <c r="I52" s="10"/>
      <c r="J52" s="14"/>
    </row>
    <row r="53" spans="1:10" x14ac:dyDescent="0.25">
      <c r="A53" s="3">
        <v>40603</v>
      </c>
      <c r="B53" s="28">
        <f>'[5]Consumption Data '!B116</f>
        <v>22951605.199999999</v>
      </c>
      <c r="C53" s="114">
        <f t="shared" si="2"/>
        <v>537.27</v>
      </c>
      <c r="D53" s="114">
        <f t="shared" si="2"/>
        <v>0.02</v>
      </c>
      <c r="E53" s="48">
        <v>31</v>
      </c>
      <c r="F53" s="10">
        <v>1</v>
      </c>
      <c r="G53" s="18">
        <f>'[5]Consumption Data '!AG116</f>
        <v>14728</v>
      </c>
      <c r="H53" s="10">
        <f t="shared" si="0"/>
        <v>22485510.648172405</v>
      </c>
      <c r="I53" s="10"/>
      <c r="J53" s="14"/>
    </row>
    <row r="54" spans="1:10" x14ac:dyDescent="0.25">
      <c r="A54" s="3">
        <v>40634</v>
      </c>
      <c r="B54" s="28">
        <f>'[5]Consumption Data '!B117</f>
        <v>18914566.699999999</v>
      </c>
      <c r="C54" s="114">
        <f t="shared" si="2"/>
        <v>321.91999999999996</v>
      </c>
      <c r="D54" s="114">
        <f t="shared" si="2"/>
        <v>0.12</v>
      </c>
      <c r="E54" s="48">
        <v>30</v>
      </c>
      <c r="F54" s="10">
        <v>1</v>
      </c>
      <c r="G54" s="18">
        <f>'[5]Consumption Data '!AG117</f>
        <v>14729</v>
      </c>
      <c r="H54" s="10">
        <f t="shared" si="0"/>
        <v>19055317.254248679</v>
      </c>
      <c r="I54" s="10"/>
      <c r="J54" s="14"/>
    </row>
    <row r="55" spans="1:10" x14ac:dyDescent="0.25">
      <c r="A55" s="3">
        <v>40664</v>
      </c>
      <c r="B55" s="28">
        <f>'[5]Consumption Data '!B118</f>
        <v>17615740</v>
      </c>
      <c r="C55" s="114">
        <f t="shared" ref="C55:D74" si="3">C43</f>
        <v>128.44</v>
      </c>
      <c r="D55" s="114">
        <f t="shared" si="3"/>
        <v>23.32</v>
      </c>
      <c r="E55" s="48">
        <v>31</v>
      </c>
      <c r="F55" s="10">
        <v>1</v>
      </c>
      <c r="G55" s="18">
        <f>'[5]Consumption Data '!AG118</f>
        <v>14733</v>
      </c>
      <c r="H55" s="10">
        <f t="shared" si="0"/>
        <v>17968379.22238465</v>
      </c>
      <c r="I55" s="10"/>
      <c r="J55" s="14"/>
    </row>
    <row r="56" spans="1:10" x14ac:dyDescent="0.25">
      <c r="A56" s="3">
        <v>40695</v>
      </c>
      <c r="B56" s="28">
        <f>'[5]Consumption Data '!B119</f>
        <v>17571916.300000001</v>
      </c>
      <c r="C56" s="114">
        <f t="shared" si="3"/>
        <v>25.75</v>
      </c>
      <c r="D56" s="114">
        <f t="shared" si="3"/>
        <v>66.11</v>
      </c>
      <c r="E56" s="48">
        <v>30</v>
      </c>
      <c r="F56" s="10">
        <v>0</v>
      </c>
      <c r="G56" s="18">
        <f>'[5]Consumption Data '!AG119</f>
        <v>14742</v>
      </c>
      <c r="H56" s="10">
        <f t="shared" si="0"/>
        <v>18360393.891030535</v>
      </c>
      <c r="I56" s="10"/>
      <c r="J56" s="14"/>
    </row>
    <row r="57" spans="1:10" x14ac:dyDescent="0.25">
      <c r="A57" s="3">
        <v>40725</v>
      </c>
      <c r="B57" s="28">
        <f>'[5]Consumption Data '!B120</f>
        <v>22292830.300000001</v>
      </c>
      <c r="C57" s="114">
        <f t="shared" si="3"/>
        <v>2.15</v>
      </c>
      <c r="D57" s="114">
        <f t="shared" si="3"/>
        <v>130.26</v>
      </c>
      <c r="E57" s="48">
        <v>31</v>
      </c>
      <c r="F57" s="10">
        <v>0</v>
      </c>
      <c r="G57" s="18">
        <f>'[5]Consumption Data '!AG120</f>
        <v>14759</v>
      </c>
      <c r="H57" s="10">
        <f t="shared" si="0"/>
        <v>20835799.584966928</v>
      </c>
      <c r="I57" s="10"/>
      <c r="J57" s="14"/>
    </row>
    <row r="58" spans="1:10" x14ac:dyDescent="0.25">
      <c r="A58" s="3">
        <v>40756</v>
      </c>
      <c r="B58" s="28">
        <f>'[5]Consumption Data '!B121</f>
        <v>19354570.300000001</v>
      </c>
      <c r="C58" s="114">
        <f t="shared" si="3"/>
        <v>4.9399999999999995</v>
      </c>
      <c r="D58" s="114">
        <f t="shared" si="3"/>
        <v>112.87</v>
      </c>
      <c r="E58" s="48">
        <v>31</v>
      </c>
      <c r="F58" s="10">
        <v>0</v>
      </c>
      <c r="G58" s="18">
        <f>'[5]Consumption Data '!AG121</f>
        <v>14772</v>
      </c>
      <c r="H58" s="10">
        <f t="shared" si="0"/>
        <v>20302383.251708649</v>
      </c>
      <c r="I58" s="10"/>
      <c r="J58" s="14"/>
    </row>
    <row r="59" spans="1:10" x14ac:dyDescent="0.25">
      <c r="A59" s="3">
        <v>40787</v>
      </c>
      <c r="B59" s="28">
        <f>'[5]Consumption Data '!B122</f>
        <v>17323768.100000001</v>
      </c>
      <c r="C59" s="114">
        <f t="shared" si="3"/>
        <v>57.21</v>
      </c>
      <c r="D59" s="114">
        <f t="shared" si="3"/>
        <v>41.14</v>
      </c>
      <c r="E59" s="48">
        <v>30</v>
      </c>
      <c r="F59" s="10">
        <v>1</v>
      </c>
      <c r="G59" s="18">
        <f>'[5]Consumption Data '!AG122</f>
        <v>14772</v>
      </c>
      <c r="H59" s="10">
        <f t="shared" si="0"/>
        <v>17010227.851694018</v>
      </c>
      <c r="I59" s="10"/>
      <c r="J59" s="14"/>
    </row>
    <row r="60" spans="1:10" x14ac:dyDescent="0.25">
      <c r="A60" s="3">
        <v>40817</v>
      </c>
      <c r="B60" s="28">
        <f>'[5]Consumption Data '!B123</f>
        <v>18576164</v>
      </c>
      <c r="C60" s="114">
        <f t="shared" si="3"/>
        <v>230.05</v>
      </c>
      <c r="D60" s="114">
        <f t="shared" si="3"/>
        <v>2.91</v>
      </c>
      <c r="E60" s="48">
        <v>31</v>
      </c>
      <c r="F60" s="10">
        <v>1</v>
      </c>
      <c r="G60" s="18">
        <f>'[5]Consumption Data '!AG123</f>
        <v>14794</v>
      </c>
      <c r="H60" s="10">
        <f t="shared" si="0"/>
        <v>18638596.719316866</v>
      </c>
      <c r="I60" s="10"/>
      <c r="J60" s="14"/>
    </row>
    <row r="61" spans="1:10" x14ac:dyDescent="0.25">
      <c r="A61" s="3">
        <v>40848</v>
      </c>
      <c r="B61" s="28">
        <f>'[5]Consumption Data '!B124</f>
        <v>19598868</v>
      </c>
      <c r="C61" s="114">
        <f t="shared" si="3"/>
        <v>409.9799999999999</v>
      </c>
      <c r="D61" s="114">
        <f t="shared" si="3"/>
        <v>0</v>
      </c>
      <c r="E61" s="48">
        <v>30</v>
      </c>
      <c r="F61" s="10">
        <v>1</v>
      </c>
      <c r="G61" s="18">
        <f>'[5]Consumption Data '!AG124</f>
        <v>14809</v>
      </c>
      <c r="H61" s="10">
        <f t="shared" si="0"/>
        <v>20232177.036963049</v>
      </c>
      <c r="I61" s="10"/>
      <c r="J61" s="14"/>
    </row>
    <row r="62" spans="1:10" x14ac:dyDescent="0.25">
      <c r="A62" s="3">
        <v>40878</v>
      </c>
      <c r="B62" s="28">
        <f>'[5]Consumption Data '!B125</f>
        <v>23311694</v>
      </c>
      <c r="C62" s="114">
        <f t="shared" si="3"/>
        <v>594.31999999999994</v>
      </c>
      <c r="D62" s="114">
        <f t="shared" si="3"/>
        <v>0</v>
      </c>
      <c r="E62" s="48">
        <v>31</v>
      </c>
      <c r="F62" s="10">
        <v>0</v>
      </c>
      <c r="G62" s="18">
        <f>(G61+G63)/2</f>
        <v>14817.5</v>
      </c>
      <c r="H62" s="10">
        <f t="shared" si="0"/>
        <v>24214581.998089451</v>
      </c>
      <c r="I62" s="10"/>
      <c r="J62" s="14"/>
    </row>
    <row r="63" spans="1:10" x14ac:dyDescent="0.25">
      <c r="A63" s="3">
        <v>40909</v>
      </c>
      <c r="B63" s="28">
        <f>'[6]Power Purchased'!B123</f>
        <v>24487281</v>
      </c>
      <c r="C63" s="114">
        <f t="shared" si="3"/>
        <v>712.03</v>
      </c>
      <c r="D63" s="114">
        <f t="shared" si="3"/>
        <v>0</v>
      </c>
      <c r="E63" s="10">
        <v>31</v>
      </c>
      <c r="F63" s="18">
        <v>0</v>
      </c>
      <c r="G63" s="18">
        <f>'[6]Customer Numbers'!$J6</f>
        <v>14826</v>
      </c>
      <c r="H63" s="10">
        <f t="shared" si="0"/>
        <v>25742526.403310448</v>
      </c>
    </row>
    <row r="64" spans="1:10" x14ac:dyDescent="0.25">
      <c r="A64" s="3">
        <v>40940</v>
      </c>
      <c r="B64" s="28">
        <f>'[6]Power Purchased'!B124</f>
        <v>21711326.899999999</v>
      </c>
      <c r="C64" s="114">
        <f t="shared" si="3"/>
        <v>661.92</v>
      </c>
      <c r="D64" s="114">
        <f t="shared" si="3"/>
        <v>0</v>
      </c>
      <c r="E64" s="10">
        <v>29</v>
      </c>
      <c r="F64" s="18">
        <v>0</v>
      </c>
      <c r="G64" s="18">
        <f>'[6]Customer Numbers'!$J7</f>
        <v>14835</v>
      </c>
      <c r="H64" s="10">
        <f t="shared" si="0"/>
        <v>23805288.530530341</v>
      </c>
    </row>
    <row r="65" spans="1:10" x14ac:dyDescent="0.25">
      <c r="A65" s="3">
        <v>40969</v>
      </c>
      <c r="B65" s="28">
        <f>'[6]Power Purchased'!B125</f>
        <v>20140443.699999999</v>
      </c>
      <c r="C65" s="114">
        <f t="shared" si="3"/>
        <v>537.27</v>
      </c>
      <c r="D65" s="114">
        <f t="shared" si="3"/>
        <v>0.02</v>
      </c>
      <c r="E65" s="10">
        <v>31</v>
      </c>
      <c r="F65" s="18">
        <v>1</v>
      </c>
      <c r="G65" s="18">
        <f>'[6]Customer Numbers'!$J8</f>
        <v>14856</v>
      </c>
      <c r="H65" s="10">
        <f t="shared" si="0"/>
        <v>22551153.511394221</v>
      </c>
    </row>
    <row r="66" spans="1:10" x14ac:dyDescent="0.25">
      <c r="A66" s="3">
        <v>41000</v>
      </c>
      <c r="B66" s="28">
        <f>'[6]Power Purchased'!B126</f>
        <v>18335838.899999999</v>
      </c>
      <c r="C66" s="114">
        <f t="shared" si="3"/>
        <v>321.91999999999996</v>
      </c>
      <c r="D66" s="114">
        <f t="shared" si="3"/>
        <v>0.12</v>
      </c>
      <c r="E66" s="10">
        <v>30</v>
      </c>
      <c r="F66" s="18">
        <v>1</v>
      </c>
      <c r="G66" s="18">
        <f>'[6]Customer Numbers'!$J9</f>
        <v>14867</v>
      </c>
      <c r="H66" s="10">
        <f t="shared" si="0"/>
        <v>19126088.466159701</v>
      </c>
    </row>
    <row r="67" spans="1:10" x14ac:dyDescent="0.25">
      <c r="A67" s="3">
        <v>41030</v>
      </c>
      <c r="B67" s="28">
        <f>'[6]Power Purchased'!B127</f>
        <v>17673429</v>
      </c>
      <c r="C67" s="114">
        <f t="shared" si="3"/>
        <v>128.44</v>
      </c>
      <c r="D67" s="114">
        <f t="shared" si="3"/>
        <v>23.32</v>
      </c>
      <c r="E67" s="10">
        <v>31</v>
      </c>
      <c r="F67" s="18">
        <v>1</v>
      </c>
      <c r="G67" s="18">
        <f>'[6]Customer Numbers'!$J10</f>
        <v>14877</v>
      </c>
      <c r="H67" s="10">
        <f t="shared" ref="H67:H86" si="4">$L$18+C67*$L$19+D67*$L$20+E67*$L$21+F67*$L$22+G67*$L$23</f>
        <v>18042227.443509195</v>
      </c>
    </row>
    <row r="68" spans="1:10" x14ac:dyDescent="0.25">
      <c r="A68" s="3">
        <v>41061</v>
      </c>
      <c r="B68" s="28">
        <f>'[6]Power Purchased'!B128</f>
        <v>19474755.100000001</v>
      </c>
      <c r="C68" s="114">
        <f t="shared" si="3"/>
        <v>25.75</v>
      </c>
      <c r="D68" s="114">
        <f t="shared" si="3"/>
        <v>66.11</v>
      </c>
      <c r="E68" s="10">
        <v>30</v>
      </c>
      <c r="F68" s="18">
        <v>0</v>
      </c>
      <c r="G68" s="18">
        <f>'[6]Customer Numbers'!$J11</f>
        <v>14882</v>
      </c>
      <c r="H68" s="10">
        <f t="shared" si="4"/>
        <v>18432190.7726794</v>
      </c>
    </row>
    <row r="69" spans="1:10" x14ac:dyDescent="0.25">
      <c r="A69" s="3">
        <v>41091</v>
      </c>
      <c r="B69" s="28">
        <f>'[6]Power Purchased'!B129</f>
        <v>22780193</v>
      </c>
      <c r="C69" s="114">
        <f t="shared" si="3"/>
        <v>2.15</v>
      </c>
      <c r="D69" s="114">
        <f t="shared" si="3"/>
        <v>130.26</v>
      </c>
      <c r="E69" s="10">
        <v>31</v>
      </c>
      <c r="F69" s="18">
        <v>0</v>
      </c>
      <c r="G69" s="18">
        <f>'[6]Customer Numbers'!$J12</f>
        <v>14921</v>
      </c>
      <c r="H69" s="10">
        <f t="shared" si="4"/>
        <v>20918878.833732042</v>
      </c>
    </row>
    <row r="70" spans="1:10" x14ac:dyDescent="0.25">
      <c r="A70" s="3">
        <v>41122</v>
      </c>
      <c r="B70" s="28">
        <f>'[6]Power Purchased'!B130</f>
        <v>20627757.200000003</v>
      </c>
      <c r="C70" s="114">
        <f t="shared" si="3"/>
        <v>4.9399999999999995</v>
      </c>
      <c r="D70" s="114">
        <f t="shared" si="3"/>
        <v>112.87</v>
      </c>
      <c r="E70" s="10">
        <v>31</v>
      </c>
      <c r="F70" s="18">
        <v>0</v>
      </c>
      <c r="G70" s="18">
        <f>'[6]Customer Numbers'!$J13</f>
        <v>14953</v>
      </c>
      <c r="H70" s="10">
        <f t="shared" si="4"/>
        <v>20395206.362983249</v>
      </c>
    </row>
    <row r="71" spans="1:10" x14ac:dyDescent="0.25">
      <c r="A71" s="3">
        <v>41153</v>
      </c>
      <c r="B71" s="28">
        <f>'[6]Power Purchased'!B131</f>
        <v>17795945.799999997</v>
      </c>
      <c r="C71" s="114">
        <f t="shared" si="3"/>
        <v>57.21</v>
      </c>
      <c r="D71" s="114">
        <f t="shared" si="3"/>
        <v>41.14</v>
      </c>
      <c r="E71" s="10">
        <v>30</v>
      </c>
      <c r="F71" s="18">
        <v>1</v>
      </c>
      <c r="G71" s="18">
        <f>'[6]Customer Numbers'!$J14</f>
        <v>14968</v>
      </c>
      <c r="H71" s="10">
        <f t="shared" si="4"/>
        <v>17110743.486002427</v>
      </c>
    </row>
    <row r="72" spans="1:10" x14ac:dyDescent="0.25">
      <c r="A72" s="3">
        <v>41183</v>
      </c>
      <c r="B72" s="28">
        <f>'[6]Power Purchased'!B132</f>
        <v>17475406.5</v>
      </c>
      <c r="C72" s="114">
        <f t="shared" si="3"/>
        <v>230.05</v>
      </c>
      <c r="D72" s="114">
        <f t="shared" si="3"/>
        <v>2.91</v>
      </c>
      <c r="E72" s="10">
        <v>31</v>
      </c>
      <c r="F72" s="18">
        <v>1</v>
      </c>
      <c r="G72" s="18">
        <f>'[6]Customer Numbers'!$J15</f>
        <v>15012</v>
      </c>
      <c r="H72" s="10">
        <f t="shared" si="4"/>
        <v>18750394.720741525</v>
      </c>
    </row>
    <row r="73" spans="1:10" x14ac:dyDescent="0.25">
      <c r="A73" s="3">
        <v>41214</v>
      </c>
      <c r="B73" s="28">
        <f>'[6]Power Purchased'!B133</f>
        <v>20981769.300000001</v>
      </c>
      <c r="C73" s="114">
        <f t="shared" si="3"/>
        <v>409.9799999999999</v>
      </c>
      <c r="D73" s="114">
        <f t="shared" si="3"/>
        <v>0</v>
      </c>
      <c r="E73" s="10">
        <v>30</v>
      </c>
      <c r="F73" s="18">
        <v>1</v>
      </c>
      <c r="G73" s="18">
        <f>'[6]Customer Numbers'!$J16</f>
        <v>15036</v>
      </c>
      <c r="H73" s="10">
        <f t="shared" si="4"/>
        <v>20348590.552207991</v>
      </c>
    </row>
    <row r="74" spans="1:10" x14ac:dyDescent="0.25">
      <c r="A74" s="3">
        <v>41244</v>
      </c>
      <c r="B74" s="28">
        <f>'[6]Power Purchased'!B134</f>
        <v>23645692</v>
      </c>
      <c r="C74" s="114">
        <f t="shared" si="3"/>
        <v>594.31999999999994</v>
      </c>
      <c r="D74" s="114">
        <f t="shared" si="3"/>
        <v>0</v>
      </c>
      <c r="E74" s="10">
        <v>31</v>
      </c>
      <c r="F74" s="18">
        <v>0</v>
      </c>
      <c r="G74" s="18">
        <f>'[6]Customer Numbers'!$J17</f>
        <v>15062</v>
      </c>
      <c r="H74" s="10">
        <f t="shared" si="4"/>
        <v>24339970.123540502</v>
      </c>
      <c r="I74" s="49"/>
      <c r="J74" s="24"/>
    </row>
    <row r="75" spans="1:10" x14ac:dyDescent="0.25">
      <c r="A75" s="3">
        <v>41275</v>
      </c>
      <c r="B75" s="28">
        <v>24666681.099999998</v>
      </c>
      <c r="C75" s="114">
        <f t="shared" ref="C75:D94" si="5">C63</f>
        <v>712.03</v>
      </c>
      <c r="D75" s="114">
        <f t="shared" si="5"/>
        <v>0</v>
      </c>
      <c r="E75" s="10">
        <v>31</v>
      </c>
      <c r="F75" s="18">
        <v>0</v>
      </c>
      <c r="G75" s="18">
        <f>'[6]Customer Numbers'!J23</f>
        <v>15076</v>
      </c>
      <c r="H75" s="10">
        <f t="shared" si="4"/>
        <v>25870735.120540559</v>
      </c>
      <c r="I75" s="48"/>
    </row>
    <row r="76" spans="1:10" x14ac:dyDescent="0.25">
      <c r="A76" s="3">
        <v>41306</v>
      </c>
      <c r="B76" s="28">
        <v>22513099.599999998</v>
      </c>
      <c r="C76" s="114">
        <f t="shared" si="5"/>
        <v>661.92</v>
      </c>
      <c r="D76" s="114">
        <f t="shared" si="5"/>
        <v>0</v>
      </c>
      <c r="E76" s="10">
        <v>28</v>
      </c>
      <c r="F76" s="18">
        <v>0</v>
      </c>
      <c r="G76" s="18">
        <f>'[6]Customer Numbers'!J24</f>
        <v>15088</v>
      </c>
      <c r="H76" s="10">
        <f t="shared" si="4"/>
        <v>23288409.712476805</v>
      </c>
      <c r="I76" s="48"/>
    </row>
    <row r="77" spans="1:10" x14ac:dyDescent="0.25">
      <c r="A77" s="3">
        <v>41334</v>
      </c>
      <c r="B77" s="28">
        <v>22356782.100000001</v>
      </c>
      <c r="C77" s="114">
        <f t="shared" si="5"/>
        <v>537.27</v>
      </c>
      <c r="D77" s="114">
        <f t="shared" si="5"/>
        <v>0.02</v>
      </c>
      <c r="E77" s="10">
        <v>31</v>
      </c>
      <c r="F77" s="18">
        <v>1</v>
      </c>
      <c r="G77" s="18">
        <f>'[6]Customer Numbers'!J25</f>
        <v>15100</v>
      </c>
      <c r="H77" s="10">
        <f t="shared" si="4"/>
        <v>22676285.219410811</v>
      </c>
      <c r="I77" s="48"/>
    </row>
    <row r="78" spans="1:10" x14ac:dyDescent="0.25">
      <c r="A78" s="3">
        <v>41365</v>
      </c>
      <c r="B78" s="28">
        <v>19424576.5</v>
      </c>
      <c r="C78" s="114">
        <f t="shared" si="5"/>
        <v>321.91999999999996</v>
      </c>
      <c r="D78" s="114">
        <f t="shared" si="5"/>
        <v>0.12</v>
      </c>
      <c r="E78" s="10">
        <v>30</v>
      </c>
      <c r="F78" s="18">
        <v>1</v>
      </c>
      <c r="G78" s="18">
        <f>'[6]Customer Numbers'!J26</f>
        <v>15107</v>
      </c>
      <c r="H78" s="10">
        <f t="shared" si="4"/>
        <v>19249168.83470061</v>
      </c>
      <c r="I78" s="48"/>
      <c r="J78" s="48"/>
    </row>
    <row r="79" spans="1:10" x14ac:dyDescent="0.25">
      <c r="A79" s="3">
        <v>41395</v>
      </c>
      <c r="B79" s="28">
        <v>17840112.599999998</v>
      </c>
      <c r="C79" s="114">
        <f t="shared" si="5"/>
        <v>128.44</v>
      </c>
      <c r="D79" s="114">
        <f t="shared" si="5"/>
        <v>23.32</v>
      </c>
      <c r="E79" s="10">
        <v>31</v>
      </c>
      <c r="F79" s="18">
        <v>1</v>
      </c>
      <c r="G79" s="18">
        <f>'[6]Customer Numbers'!J27</f>
        <v>15139</v>
      </c>
      <c r="H79" s="10">
        <f t="shared" si="4"/>
        <v>18176590.179166354</v>
      </c>
      <c r="I79" s="48"/>
    </row>
    <row r="80" spans="1:10" x14ac:dyDescent="0.25">
      <c r="A80" s="3">
        <v>41426</v>
      </c>
      <c r="B80" s="28">
        <v>18666406.800000001</v>
      </c>
      <c r="C80" s="114">
        <f t="shared" si="5"/>
        <v>25.75</v>
      </c>
      <c r="D80" s="114">
        <f t="shared" si="5"/>
        <v>66.11</v>
      </c>
      <c r="E80" s="10">
        <v>30</v>
      </c>
      <c r="F80" s="18">
        <v>0</v>
      </c>
      <c r="G80" s="18">
        <f>'[6]Customer Numbers'!J28</f>
        <v>15172</v>
      </c>
      <c r="H80" s="10">
        <f t="shared" si="4"/>
        <v>18580912.884666327</v>
      </c>
      <c r="I80" s="48"/>
    </row>
    <row r="81" spans="1:9" x14ac:dyDescent="0.25">
      <c r="A81" s="3">
        <v>41456</v>
      </c>
      <c r="B81" s="28">
        <v>22033173.100000001</v>
      </c>
      <c r="C81" s="114">
        <f t="shared" si="5"/>
        <v>2.15</v>
      </c>
      <c r="D81" s="114">
        <f t="shared" si="5"/>
        <v>130.26</v>
      </c>
      <c r="E81" s="10">
        <v>31</v>
      </c>
      <c r="F81" s="18">
        <v>0</v>
      </c>
      <c r="G81" s="18">
        <f>'[6]Customer Numbers'!J29</f>
        <v>15207</v>
      </c>
      <c r="H81" s="10">
        <f t="shared" si="4"/>
        <v>21065549.60624329</v>
      </c>
      <c r="I81" s="48"/>
    </row>
    <row r="82" spans="1:9" x14ac:dyDescent="0.25">
      <c r="A82" s="3">
        <v>41487</v>
      </c>
      <c r="B82" s="28">
        <v>20162331.399999999</v>
      </c>
      <c r="C82" s="114">
        <f t="shared" si="5"/>
        <v>4.9399999999999995</v>
      </c>
      <c r="D82" s="114">
        <f t="shared" si="5"/>
        <v>112.87</v>
      </c>
      <c r="E82" s="10">
        <v>31</v>
      </c>
      <c r="F82" s="18">
        <v>0</v>
      </c>
      <c r="G82" s="18">
        <f>'[6]Customer Numbers'!J30</f>
        <v>15244</v>
      </c>
      <c r="H82" s="10">
        <f t="shared" si="4"/>
        <v>20544441.3098391</v>
      </c>
      <c r="I82" s="48"/>
    </row>
    <row r="83" spans="1:9" x14ac:dyDescent="0.25">
      <c r="A83" s="3">
        <v>41518</v>
      </c>
      <c r="B83" s="28">
        <v>17834215.399999999</v>
      </c>
      <c r="C83" s="114">
        <f t="shared" si="5"/>
        <v>57.21</v>
      </c>
      <c r="D83" s="114">
        <f t="shared" si="5"/>
        <v>41.14</v>
      </c>
      <c r="E83" s="10">
        <v>30</v>
      </c>
      <c r="F83" s="18">
        <v>1</v>
      </c>
      <c r="G83" s="18">
        <f>'[6]Customer Numbers'!J31</f>
        <v>15260</v>
      </c>
      <c r="H83" s="10">
        <f t="shared" si="4"/>
        <v>17260491.267727196</v>
      </c>
      <c r="I83" s="48"/>
    </row>
    <row r="84" spans="1:9" x14ac:dyDescent="0.25">
      <c r="A84" s="3">
        <v>41548</v>
      </c>
      <c r="B84" s="28">
        <v>19036509.300000001</v>
      </c>
      <c r="C84" s="114">
        <f t="shared" si="5"/>
        <v>230.05</v>
      </c>
      <c r="D84" s="114">
        <f t="shared" si="5"/>
        <v>2.91</v>
      </c>
      <c r="E84" s="10">
        <v>31</v>
      </c>
      <c r="F84" s="18">
        <v>1</v>
      </c>
      <c r="G84" s="18">
        <f>'[6]Customer Numbers'!J32</f>
        <v>15288</v>
      </c>
      <c r="H84" s="10">
        <f t="shared" si="4"/>
        <v>18891937.144563567</v>
      </c>
      <c r="I84" s="48"/>
    </row>
    <row r="85" spans="1:9" x14ac:dyDescent="0.25">
      <c r="A85" s="3">
        <v>41579</v>
      </c>
      <c r="B85" s="28">
        <v>21552244.500000004</v>
      </c>
      <c r="C85" s="114">
        <f t="shared" si="5"/>
        <v>409.9799999999999</v>
      </c>
      <c r="D85" s="114">
        <f t="shared" si="5"/>
        <v>0</v>
      </c>
      <c r="E85" s="10">
        <v>30</v>
      </c>
      <c r="F85" s="18">
        <v>1</v>
      </c>
      <c r="G85" s="18">
        <f>'[6]Customer Numbers'!J33</f>
        <v>15334</v>
      </c>
      <c r="H85" s="10">
        <f t="shared" si="4"/>
        <v>20501415.343146287</v>
      </c>
      <c r="I85" s="48"/>
    </row>
    <row r="86" spans="1:9" x14ac:dyDescent="0.25">
      <c r="A86" s="3">
        <v>41609</v>
      </c>
      <c r="B86" s="28">
        <v>25671928.999999996</v>
      </c>
      <c r="C86" s="114">
        <f t="shared" si="5"/>
        <v>594.31999999999994</v>
      </c>
      <c r="D86" s="114">
        <f t="shared" si="5"/>
        <v>0</v>
      </c>
      <c r="E86" s="10">
        <v>31</v>
      </c>
      <c r="F86" s="18">
        <v>0</v>
      </c>
      <c r="G86" s="18">
        <f>'[6]Customer Numbers'!J34</f>
        <v>15352</v>
      </c>
      <c r="H86" s="10">
        <f t="shared" si="4"/>
        <v>24488692.23552743</v>
      </c>
      <c r="I86" s="48"/>
    </row>
    <row r="87" spans="1:9" x14ac:dyDescent="0.25">
      <c r="A87" s="3">
        <v>41640</v>
      </c>
      <c r="B87" s="28">
        <v>27344318.300000001</v>
      </c>
      <c r="C87" s="114">
        <f t="shared" si="5"/>
        <v>712.03</v>
      </c>
      <c r="D87" s="114">
        <f t="shared" si="5"/>
        <v>0</v>
      </c>
      <c r="E87" s="10">
        <v>31</v>
      </c>
      <c r="F87" s="18">
        <v>0</v>
      </c>
      <c r="G87" s="18">
        <f>'[6]Customer Numbers'!J41</f>
        <v>15406</v>
      </c>
      <c r="H87" s="10">
        <f>$L$18+C87*$L$19+D87*$L$20+E87*$L$21+F87*$L$22+G87*$L$23</f>
        <v>26039970.627284307</v>
      </c>
      <c r="I87" s="48"/>
    </row>
    <row r="88" spans="1:9" x14ac:dyDescent="0.25">
      <c r="A88" s="3">
        <v>41671</v>
      </c>
      <c r="B88" s="28">
        <v>23698938.399999999</v>
      </c>
      <c r="C88" s="114">
        <f t="shared" si="5"/>
        <v>661.92</v>
      </c>
      <c r="D88" s="114">
        <f t="shared" si="5"/>
        <v>0</v>
      </c>
      <c r="E88" s="10">
        <v>28</v>
      </c>
      <c r="F88" s="18">
        <v>0</v>
      </c>
      <c r="G88" s="18">
        <f>'[6]Customer Numbers'!J42</f>
        <v>15425</v>
      </c>
      <c r="H88" s="10">
        <f t="shared" ref="H88:H134" si="6">$L$18+C88*$L$19+D88*$L$20+E88*$L$21+F88*$L$22+G88*$L$23</f>
        <v>23461235.063302994</v>
      </c>
      <c r="I88" s="48"/>
    </row>
    <row r="89" spans="1:9" x14ac:dyDescent="0.25">
      <c r="A89" s="3">
        <v>41699</v>
      </c>
      <c r="B89" s="28">
        <v>24427814.699999999</v>
      </c>
      <c r="C89" s="114">
        <f t="shared" si="5"/>
        <v>537.27</v>
      </c>
      <c r="D89" s="114">
        <f t="shared" si="5"/>
        <v>0.02</v>
      </c>
      <c r="E89" s="10">
        <v>31</v>
      </c>
      <c r="F89" s="18">
        <v>1</v>
      </c>
      <c r="G89" s="18">
        <f>'[6]Customer Numbers'!J43</f>
        <v>15444</v>
      </c>
      <c r="H89" s="10">
        <f t="shared" si="6"/>
        <v>22852700.414319448</v>
      </c>
      <c r="I89" s="48"/>
    </row>
    <row r="90" spans="1:9" x14ac:dyDescent="0.25">
      <c r="A90" s="3">
        <v>41730</v>
      </c>
      <c r="B90" s="28">
        <v>19352180.899999999</v>
      </c>
      <c r="C90" s="114">
        <f t="shared" si="5"/>
        <v>321.91999999999996</v>
      </c>
      <c r="D90" s="114">
        <f t="shared" si="5"/>
        <v>0.12</v>
      </c>
      <c r="E90" s="10">
        <v>30</v>
      </c>
      <c r="F90" s="18">
        <v>1</v>
      </c>
      <c r="G90" s="18">
        <f>'[6]Customer Numbers'!J44</f>
        <v>15478</v>
      </c>
      <c r="H90" s="10">
        <f t="shared" si="6"/>
        <v>19439430.571070097</v>
      </c>
      <c r="I90" s="48"/>
    </row>
    <row r="91" spans="1:9" x14ac:dyDescent="0.25">
      <c r="A91" s="3">
        <v>41760</v>
      </c>
      <c r="B91" s="28">
        <v>17549445.199999999</v>
      </c>
      <c r="C91" s="114">
        <f t="shared" si="5"/>
        <v>128.44</v>
      </c>
      <c r="D91" s="114">
        <f t="shared" si="5"/>
        <v>23.32</v>
      </c>
      <c r="E91" s="10">
        <v>31</v>
      </c>
      <c r="F91" s="18">
        <v>1</v>
      </c>
      <c r="G91" s="18">
        <f>'[6]Customer Numbers'!J45</f>
        <v>15497</v>
      </c>
      <c r="H91" s="10">
        <f t="shared" si="6"/>
        <v>18360185.062239874</v>
      </c>
      <c r="I91" s="48"/>
    </row>
    <row r="92" spans="1:9" x14ac:dyDescent="0.25">
      <c r="A92" s="3">
        <v>41791</v>
      </c>
      <c r="B92" s="28">
        <v>18258424.300000001</v>
      </c>
      <c r="C92" s="114">
        <f t="shared" si="5"/>
        <v>25.75</v>
      </c>
      <c r="D92" s="114">
        <f t="shared" si="5"/>
        <v>66.11</v>
      </c>
      <c r="E92" s="10">
        <v>30</v>
      </c>
      <c r="F92" s="18">
        <v>0</v>
      </c>
      <c r="G92" s="18">
        <f>'[6]Customer Numbers'!J46</f>
        <v>15515</v>
      </c>
      <c r="H92" s="10">
        <f t="shared" si="6"/>
        <v>18756815.244706042</v>
      </c>
      <c r="I92" s="48"/>
    </row>
    <row r="93" spans="1:9" x14ac:dyDescent="0.25">
      <c r="A93" s="3">
        <v>41821</v>
      </c>
      <c r="B93" s="28">
        <v>19452973.100000001</v>
      </c>
      <c r="C93" s="114">
        <f t="shared" si="5"/>
        <v>2.15</v>
      </c>
      <c r="D93" s="114">
        <f t="shared" si="5"/>
        <v>130.26</v>
      </c>
      <c r="E93" s="10">
        <v>31</v>
      </c>
      <c r="F93" s="18">
        <v>0</v>
      </c>
      <c r="G93" s="18">
        <f>'[6]Customer Numbers'!J47</f>
        <v>15587</v>
      </c>
      <c r="H93" s="10">
        <f t="shared" si="6"/>
        <v>21260426.85643306</v>
      </c>
      <c r="I93" s="48"/>
    </row>
    <row r="94" spans="1:9" x14ac:dyDescent="0.25">
      <c r="A94" s="3">
        <v>41852</v>
      </c>
      <c r="B94" s="28">
        <v>19828414.199999999</v>
      </c>
      <c r="C94" s="114">
        <f t="shared" si="5"/>
        <v>4.9399999999999995</v>
      </c>
      <c r="D94" s="114">
        <f t="shared" si="5"/>
        <v>112.87</v>
      </c>
      <c r="E94" s="10">
        <v>31</v>
      </c>
      <c r="F94" s="18">
        <v>0</v>
      </c>
      <c r="G94" s="18">
        <f>'[6]Customer Numbers'!J48</f>
        <v>15628</v>
      </c>
      <c r="H94" s="10">
        <f t="shared" si="6"/>
        <v>20741369.89950455</v>
      </c>
      <c r="I94" s="48"/>
    </row>
    <row r="95" spans="1:9" x14ac:dyDescent="0.25">
      <c r="A95" s="3">
        <v>41883</v>
      </c>
      <c r="B95" s="28">
        <v>17976813.599999998</v>
      </c>
      <c r="C95" s="114">
        <f t="shared" ref="C95:D114" si="7">C83</f>
        <v>57.21</v>
      </c>
      <c r="D95" s="114">
        <f t="shared" si="7"/>
        <v>41.14</v>
      </c>
      <c r="E95" s="10">
        <v>30</v>
      </c>
      <c r="F95" s="18">
        <v>1</v>
      </c>
      <c r="G95" s="18">
        <f>'[6]Customer Numbers'!J49</f>
        <v>15648</v>
      </c>
      <c r="H95" s="10">
        <f t="shared" si="6"/>
        <v>17459471.19686833</v>
      </c>
      <c r="I95" s="48"/>
    </row>
    <row r="96" spans="1:9" x14ac:dyDescent="0.25">
      <c r="A96" s="3">
        <v>41913</v>
      </c>
      <c r="B96" s="28">
        <v>19058731</v>
      </c>
      <c r="C96" s="114">
        <f t="shared" si="7"/>
        <v>230.05</v>
      </c>
      <c r="D96" s="114">
        <f t="shared" si="7"/>
        <v>2.91</v>
      </c>
      <c r="E96" s="10">
        <v>31</v>
      </c>
      <c r="F96" s="18">
        <v>1</v>
      </c>
      <c r="G96" s="18">
        <f>'[6]Customer Numbers'!J50</f>
        <v>15688</v>
      </c>
      <c r="H96" s="10">
        <f t="shared" si="6"/>
        <v>19097071.092131749</v>
      </c>
      <c r="I96" s="48"/>
    </row>
    <row r="97" spans="1:12" x14ac:dyDescent="0.25">
      <c r="A97" s="3">
        <v>41944</v>
      </c>
      <c r="B97" s="28">
        <v>22053998.800000001</v>
      </c>
      <c r="C97" s="114">
        <f t="shared" si="7"/>
        <v>409.9799999999999</v>
      </c>
      <c r="D97" s="114">
        <f t="shared" si="7"/>
        <v>0</v>
      </c>
      <c r="E97" s="10">
        <v>30</v>
      </c>
      <c r="F97" s="18">
        <v>1</v>
      </c>
      <c r="G97" s="18">
        <f>'[6]Customer Numbers'!J51</f>
        <v>15720</v>
      </c>
      <c r="H97" s="10">
        <f t="shared" si="6"/>
        <v>20699369.602549579</v>
      </c>
      <c r="I97" s="48"/>
    </row>
    <row r="98" spans="1:12" x14ac:dyDescent="0.25">
      <c r="A98" s="3">
        <v>41974</v>
      </c>
      <c r="B98" s="28">
        <v>24252933.800000001</v>
      </c>
      <c r="C98" s="114">
        <f t="shared" si="7"/>
        <v>594.31999999999994</v>
      </c>
      <c r="D98" s="114">
        <f t="shared" si="7"/>
        <v>0</v>
      </c>
      <c r="E98" s="10">
        <v>31</v>
      </c>
      <c r="F98" s="18">
        <v>0</v>
      </c>
      <c r="G98" s="18">
        <f>'[6]Customer Numbers'!J52</f>
        <v>15775</v>
      </c>
      <c r="H98" s="10">
        <f t="shared" si="6"/>
        <v>24705621.385080781</v>
      </c>
      <c r="I98" s="48"/>
    </row>
    <row r="99" spans="1:12" x14ac:dyDescent="0.25">
      <c r="A99" s="3">
        <v>42005</v>
      </c>
      <c r="B99" s="28">
        <v>26957597.760000002</v>
      </c>
      <c r="C99" s="114">
        <f t="shared" si="7"/>
        <v>712.03</v>
      </c>
      <c r="D99" s="114">
        <f t="shared" si="7"/>
        <v>0</v>
      </c>
      <c r="E99" s="48">
        <v>31</v>
      </c>
      <c r="F99" s="18">
        <v>0</v>
      </c>
      <c r="G99" s="154">
        <f>'[6]Customer Numbers'!J60</f>
        <v>15793</v>
      </c>
      <c r="H99" s="10">
        <f t="shared" si="6"/>
        <v>26238437.721556522</v>
      </c>
    </row>
    <row r="100" spans="1:12" x14ac:dyDescent="0.25">
      <c r="A100" s="3">
        <v>42036</v>
      </c>
      <c r="B100" s="28">
        <v>25654360.289999999</v>
      </c>
      <c r="C100" s="114">
        <f t="shared" si="7"/>
        <v>661.92</v>
      </c>
      <c r="D100" s="114">
        <f t="shared" si="7"/>
        <v>0</v>
      </c>
      <c r="E100" s="48">
        <v>28</v>
      </c>
      <c r="F100" s="18">
        <v>0</v>
      </c>
      <c r="G100" s="154">
        <f>'[6]Customer Numbers'!J61</f>
        <v>15802</v>
      </c>
      <c r="H100" s="10">
        <f t="shared" si="6"/>
        <v>23654573.808886003</v>
      </c>
    </row>
    <row r="101" spans="1:12" x14ac:dyDescent="0.25">
      <c r="A101" s="3">
        <v>42064</v>
      </c>
      <c r="B101" s="28">
        <v>23473380.280000001</v>
      </c>
      <c r="C101" s="114">
        <f t="shared" si="7"/>
        <v>537.27</v>
      </c>
      <c r="D101" s="114">
        <f t="shared" si="7"/>
        <v>0.02</v>
      </c>
      <c r="E101" s="48">
        <v>31</v>
      </c>
      <c r="F101" s="18">
        <v>1</v>
      </c>
      <c r="G101" s="154">
        <f>'[6]Customer Numbers'!J62</f>
        <v>15826</v>
      </c>
      <c r="H101" s="10">
        <f t="shared" si="6"/>
        <v>23048603.33424706</v>
      </c>
    </row>
    <row r="102" spans="1:12" x14ac:dyDescent="0.25">
      <c r="A102" s="3">
        <v>42095</v>
      </c>
      <c r="B102" s="28">
        <v>18844476.52</v>
      </c>
      <c r="C102" s="114">
        <f t="shared" si="7"/>
        <v>321.91999999999996</v>
      </c>
      <c r="D102" s="114">
        <f t="shared" si="7"/>
        <v>0.12</v>
      </c>
      <c r="E102" s="48">
        <v>30</v>
      </c>
      <c r="F102" s="18">
        <v>1</v>
      </c>
      <c r="G102" s="154">
        <f>'[6]Customer Numbers'!J63</f>
        <v>15843</v>
      </c>
      <c r="H102" s="10">
        <f t="shared" si="6"/>
        <v>19626615.298226062</v>
      </c>
    </row>
    <row r="103" spans="1:12" x14ac:dyDescent="0.25">
      <c r="A103" s="3">
        <v>42125</v>
      </c>
      <c r="B103" s="28">
        <v>18113892.379999999</v>
      </c>
      <c r="C103" s="114">
        <f t="shared" si="7"/>
        <v>128.44</v>
      </c>
      <c r="D103" s="114">
        <f t="shared" si="7"/>
        <v>23.32</v>
      </c>
      <c r="E103" s="48">
        <v>31</v>
      </c>
      <c r="F103" s="18">
        <v>1</v>
      </c>
      <c r="G103" s="154">
        <f>'[6]Customer Numbers'!J64</f>
        <v>15856</v>
      </c>
      <c r="H103" s="10">
        <f t="shared" si="6"/>
        <v>18544292.780182313</v>
      </c>
    </row>
    <row r="104" spans="1:12" x14ac:dyDescent="0.25">
      <c r="A104" s="3">
        <v>42156</v>
      </c>
      <c r="B104" s="28">
        <v>18210408.52</v>
      </c>
      <c r="C104" s="114">
        <f t="shared" si="7"/>
        <v>25.75</v>
      </c>
      <c r="D104" s="114">
        <f t="shared" si="7"/>
        <v>66.11</v>
      </c>
      <c r="E104" s="48">
        <v>30</v>
      </c>
      <c r="F104" s="18">
        <v>0</v>
      </c>
      <c r="G104" s="154">
        <f>'[6]Customer Numbers'!J65</f>
        <v>15883</v>
      </c>
      <c r="H104" s="10">
        <f t="shared" si="6"/>
        <v>18945538.476468768</v>
      </c>
      <c r="I104" s="48"/>
      <c r="J104" s="181"/>
    </row>
    <row r="105" spans="1:12" x14ac:dyDescent="0.25">
      <c r="A105" s="3">
        <v>42186</v>
      </c>
      <c r="B105" s="28">
        <v>21783993.609999999</v>
      </c>
      <c r="C105" s="114">
        <f t="shared" si="7"/>
        <v>2.15</v>
      </c>
      <c r="D105" s="114">
        <f t="shared" si="7"/>
        <v>130.26</v>
      </c>
      <c r="E105" s="48">
        <v>31</v>
      </c>
      <c r="F105" s="18">
        <v>0</v>
      </c>
      <c r="G105" s="154">
        <f>'[6]Customer Numbers'!J66</f>
        <v>15881</v>
      </c>
      <c r="H105" s="10">
        <f t="shared" si="6"/>
        <v>21411200.307895672</v>
      </c>
    </row>
    <row r="106" spans="1:12" x14ac:dyDescent="0.25">
      <c r="A106" s="3">
        <v>42217</v>
      </c>
      <c r="B106" s="28">
        <v>20815474.270000003</v>
      </c>
      <c r="C106" s="114">
        <f t="shared" si="7"/>
        <v>4.9399999999999995</v>
      </c>
      <c r="D106" s="114">
        <f t="shared" si="7"/>
        <v>112.87</v>
      </c>
      <c r="E106" s="48">
        <v>31</v>
      </c>
      <c r="F106" s="18">
        <v>0</v>
      </c>
      <c r="G106" s="154">
        <f>'[6]Customer Numbers'!J67</f>
        <v>15970</v>
      </c>
      <c r="H106" s="10">
        <f t="shared" si="6"/>
        <v>20916759.424675345</v>
      </c>
    </row>
    <row r="107" spans="1:12" x14ac:dyDescent="0.25">
      <c r="A107" s="3">
        <v>42248</v>
      </c>
      <c r="B107" s="28">
        <v>19854447.340000004</v>
      </c>
      <c r="C107" s="114">
        <f t="shared" si="7"/>
        <v>57.21</v>
      </c>
      <c r="D107" s="114">
        <f t="shared" si="7"/>
        <v>41.14</v>
      </c>
      <c r="E107" s="48">
        <v>30</v>
      </c>
      <c r="F107" s="18">
        <v>1</v>
      </c>
      <c r="G107" s="154">
        <f>'[6]Customer Numbers'!J68</f>
        <v>16005</v>
      </c>
      <c r="H107" s="10">
        <f t="shared" si="6"/>
        <v>17642553.245072931</v>
      </c>
    </row>
    <row r="108" spans="1:12" x14ac:dyDescent="0.25">
      <c r="A108" s="3">
        <v>42278</v>
      </c>
      <c r="B108" s="28">
        <v>19438981.529999997</v>
      </c>
      <c r="C108" s="114">
        <f t="shared" si="7"/>
        <v>230.05</v>
      </c>
      <c r="D108" s="114">
        <f t="shared" si="7"/>
        <v>2.91</v>
      </c>
      <c r="E108" s="48">
        <v>31</v>
      </c>
      <c r="F108" s="18">
        <v>1</v>
      </c>
      <c r="G108" s="154">
        <f>'[6]Customer Numbers'!J69</f>
        <v>16050</v>
      </c>
      <c r="H108" s="10">
        <f t="shared" si="6"/>
        <v>19282717.314680949</v>
      </c>
    </row>
    <row r="109" spans="1:12" x14ac:dyDescent="0.25">
      <c r="A109" s="3">
        <v>42309</v>
      </c>
      <c r="B109" s="28">
        <v>20136180.119999997</v>
      </c>
      <c r="C109" s="114">
        <f t="shared" si="7"/>
        <v>409.9799999999999</v>
      </c>
      <c r="D109" s="114">
        <f t="shared" si="7"/>
        <v>0</v>
      </c>
      <c r="E109" s="48">
        <v>30</v>
      </c>
      <c r="F109" s="18">
        <v>1</v>
      </c>
      <c r="G109" s="154">
        <f>'[6]Customer Numbers'!J70</f>
        <v>16127</v>
      </c>
      <c r="H109" s="10">
        <f t="shared" si="6"/>
        <v>20908093.394200202</v>
      </c>
    </row>
    <row r="110" spans="1:12" x14ac:dyDescent="0.25">
      <c r="A110" s="3">
        <v>42339</v>
      </c>
      <c r="B110" s="28">
        <v>22491790.48</v>
      </c>
      <c r="C110" s="114">
        <f t="shared" si="7"/>
        <v>594.31999999999994</v>
      </c>
      <c r="D110" s="114">
        <f t="shared" si="7"/>
        <v>0</v>
      </c>
      <c r="E110" s="48">
        <v>31</v>
      </c>
      <c r="F110" s="18">
        <v>0</v>
      </c>
      <c r="G110" s="154">
        <f>'[6]Customer Numbers'!J71</f>
        <v>16168</v>
      </c>
      <c r="H110" s="10">
        <f t="shared" si="6"/>
        <v>24907165.488566518</v>
      </c>
      <c r="I110"/>
      <c r="J110"/>
      <c r="L110" s="48"/>
    </row>
    <row r="111" spans="1:12" x14ac:dyDescent="0.25">
      <c r="A111" s="3">
        <v>42370</v>
      </c>
      <c r="B111" s="28">
        <v>25159552</v>
      </c>
      <c r="C111" s="114">
        <f t="shared" si="7"/>
        <v>712.03</v>
      </c>
      <c r="D111" s="114">
        <f t="shared" si="7"/>
        <v>0</v>
      </c>
      <c r="E111" s="10">
        <v>31</v>
      </c>
      <c r="F111" s="18">
        <v>0</v>
      </c>
      <c r="G111" s="154">
        <f>'[7]Mthly Stats'!L55+'[7]Mthly Stats'!M55+'[7]Mthly Stats'!O55</f>
        <v>16197</v>
      </c>
      <c r="H111" s="10">
        <f t="shared" si="6"/>
        <v>26445623.008600384</v>
      </c>
      <c r="I111"/>
      <c r="J111"/>
    </row>
    <row r="112" spans="1:12" x14ac:dyDescent="0.25">
      <c r="A112" s="3">
        <v>42401</v>
      </c>
      <c r="B112" s="28">
        <v>23014941</v>
      </c>
      <c r="C112" s="114">
        <f t="shared" si="7"/>
        <v>661.92</v>
      </c>
      <c r="D112" s="114">
        <f t="shared" si="7"/>
        <v>0</v>
      </c>
      <c r="E112" s="10">
        <v>29</v>
      </c>
      <c r="F112" s="18">
        <v>0</v>
      </c>
      <c r="G112" s="154">
        <f>'[7]Mthly Stats'!L56+'[7]Mthly Stats'!M56+'[7]Mthly Stats'!O56</f>
        <v>16212</v>
      </c>
      <c r="H112" s="10">
        <f t="shared" si="6"/>
        <v>24511462.145033799</v>
      </c>
      <c r="I112"/>
      <c r="J112"/>
    </row>
    <row r="113" spans="1:11" x14ac:dyDescent="0.25">
      <c r="A113" s="3">
        <v>42430</v>
      </c>
      <c r="B113" s="28">
        <v>21970551</v>
      </c>
      <c r="C113" s="114">
        <f t="shared" si="7"/>
        <v>537.27</v>
      </c>
      <c r="D113" s="114">
        <f t="shared" si="7"/>
        <v>0.02</v>
      </c>
      <c r="E113" s="10">
        <v>31</v>
      </c>
      <c r="F113" s="18">
        <v>1</v>
      </c>
      <c r="G113" s="154">
        <f>'[7]Mthly Stats'!L57+'[7]Mthly Stats'!M57+'[7]Mthly Stats'!O57</f>
        <v>16243</v>
      </c>
      <c r="H113" s="10">
        <f t="shared" si="6"/>
        <v>23262455.474586885</v>
      </c>
      <c r="I113"/>
      <c r="J113"/>
    </row>
    <row r="114" spans="1:11" x14ac:dyDescent="0.25">
      <c r="A114" s="3">
        <v>42461</v>
      </c>
      <c r="B114" s="28">
        <v>19763963</v>
      </c>
      <c r="C114" s="114">
        <f t="shared" si="7"/>
        <v>321.91999999999996</v>
      </c>
      <c r="D114" s="114">
        <f t="shared" si="7"/>
        <v>0.12</v>
      </c>
      <c r="E114" s="10">
        <v>30</v>
      </c>
      <c r="F114" s="18">
        <v>1</v>
      </c>
      <c r="G114" s="154">
        <f>'[7]Mthly Stats'!L58+'[7]Mthly Stats'!M58+'[7]Mthly Stats'!O58</f>
        <v>16249</v>
      </c>
      <c r="H114" s="10">
        <f t="shared" si="6"/>
        <v>19834826.255007762</v>
      </c>
      <c r="I114"/>
      <c r="J114"/>
    </row>
    <row r="115" spans="1:11" x14ac:dyDescent="0.25">
      <c r="A115" s="3">
        <v>42491</v>
      </c>
      <c r="B115" s="28">
        <v>18836973</v>
      </c>
      <c r="C115" s="114">
        <f t="shared" ref="C115:D122" si="8">C103</f>
        <v>128.44</v>
      </c>
      <c r="D115" s="114">
        <f t="shared" si="8"/>
        <v>23.32</v>
      </c>
      <c r="E115" s="10">
        <v>31</v>
      </c>
      <c r="F115" s="18">
        <v>1</v>
      </c>
      <c r="G115" s="154">
        <f>'[7]Mthly Stats'!L59+'[7]Mthly Stats'!M59+'[7]Mthly Stats'!O59</f>
        <v>16261</v>
      </c>
      <c r="H115" s="10">
        <f t="shared" si="6"/>
        <v>18751990.902095094</v>
      </c>
      <c r="I115"/>
      <c r="J115"/>
    </row>
    <row r="116" spans="1:11" x14ac:dyDescent="0.25">
      <c r="A116" s="3">
        <v>42522</v>
      </c>
      <c r="B116" s="28">
        <v>19211234</v>
      </c>
      <c r="C116" s="114">
        <f t="shared" si="8"/>
        <v>25.75</v>
      </c>
      <c r="D116" s="114">
        <f t="shared" si="8"/>
        <v>66.11</v>
      </c>
      <c r="E116" s="10">
        <v>30</v>
      </c>
      <c r="F116" s="18">
        <v>0</v>
      </c>
      <c r="G116" s="154">
        <f>'[7]Mthly Stats'!L60+'[7]Mthly Stats'!M60+'[7]Mthly Stats'!O60</f>
        <v>16269</v>
      </c>
      <c r="H116" s="10">
        <f t="shared" si="6"/>
        <v>19143492.73587206</v>
      </c>
      <c r="I116"/>
      <c r="J116"/>
      <c r="K116" s="48"/>
    </row>
    <row r="117" spans="1:11" x14ac:dyDescent="0.25">
      <c r="A117" s="3">
        <v>42552</v>
      </c>
      <c r="B117" s="28">
        <v>23404500</v>
      </c>
      <c r="C117" s="114">
        <f t="shared" si="8"/>
        <v>2.15</v>
      </c>
      <c r="D117" s="114">
        <f t="shared" si="8"/>
        <v>130.26</v>
      </c>
      <c r="E117" s="10">
        <v>31</v>
      </c>
      <c r="F117" s="18">
        <v>0</v>
      </c>
      <c r="G117" s="154">
        <f>'[7]Mthly Stats'!L61+'[7]Mthly Stats'!M61+'[7]Mthly Stats'!O61</f>
        <v>16281</v>
      </c>
      <c r="H117" s="10">
        <f t="shared" si="6"/>
        <v>21616334.255463853</v>
      </c>
      <c r="I117"/>
      <c r="J117"/>
    </row>
    <row r="118" spans="1:11" x14ac:dyDescent="0.25">
      <c r="A118" s="3">
        <v>42583</v>
      </c>
      <c r="B118" s="28">
        <v>24564804</v>
      </c>
      <c r="C118" s="114">
        <f t="shared" si="8"/>
        <v>4.9399999999999995</v>
      </c>
      <c r="D118" s="114">
        <f t="shared" si="8"/>
        <v>112.87</v>
      </c>
      <c r="E118" s="10">
        <v>31</v>
      </c>
      <c r="F118" s="18">
        <v>0</v>
      </c>
      <c r="G118" s="154">
        <f>'[7]Mthly Stats'!L62+'[7]Mthly Stats'!M62+'[7]Mthly Stats'!O62</f>
        <v>16292</v>
      </c>
      <c r="H118" s="10">
        <f t="shared" si="6"/>
        <v>21081892.252467729</v>
      </c>
      <c r="I118"/>
      <c r="J118"/>
    </row>
    <row r="119" spans="1:11" x14ac:dyDescent="0.25">
      <c r="A119" s="3">
        <v>42614</v>
      </c>
      <c r="B119" s="28">
        <v>19239594</v>
      </c>
      <c r="C119" s="114">
        <f t="shared" si="8"/>
        <v>57.21</v>
      </c>
      <c r="D119" s="114">
        <f t="shared" si="8"/>
        <v>41.14</v>
      </c>
      <c r="E119" s="10">
        <v>30</v>
      </c>
      <c r="F119" s="18">
        <v>1</v>
      </c>
      <c r="G119" s="154">
        <f>'[7]Mthly Stats'!L63+'[7]Mthly Stats'!M63+'[7]Mthly Stats'!O63</f>
        <v>16323</v>
      </c>
      <c r="H119" s="10">
        <f t="shared" si="6"/>
        <v>17805634.733389635</v>
      </c>
      <c r="I119"/>
      <c r="J119"/>
    </row>
    <row r="120" spans="1:11" x14ac:dyDescent="0.25">
      <c r="A120" s="3">
        <v>42644</v>
      </c>
      <c r="B120" s="28">
        <v>19360398</v>
      </c>
      <c r="C120" s="114">
        <f t="shared" si="8"/>
        <v>230.05</v>
      </c>
      <c r="D120" s="114">
        <f t="shared" si="8"/>
        <v>2.91</v>
      </c>
      <c r="E120" s="10">
        <v>31</v>
      </c>
      <c r="F120" s="18">
        <v>1</v>
      </c>
      <c r="G120" s="154">
        <f>'[7]Mthly Stats'!L64+'[7]Mthly Stats'!M64+'[7]Mthly Stats'!O64</f>
        <v>16370</v>
      </c>
      <c r="H120" s="10">
        <f t="shared" si="6"/>
        <v>19446824.472735494</v>
      </c>
      <c r="I120"/>
      <c r="J120"/>
    </row>
    <row r="121" spans="1:11" x14ac:dyDescent="0.25">
      <c r="A121" s="3">
        <v>42675</v>
      </c>
      <c r="B121" s="28">
        <v>20317470</v>
      </c>
      <c r="C121" s="114">
        <f t="shared" si="8"/>
        <v>409.9799999999999</v>
      </c>
      <c r="D121" s="114">
        <f t="shared" si="8"/>
        <v>0</v>
      </c>
      <c r="E121" s="10">
        <v>30</v>
      </c>
      <c r="F121" s="18">
        <v>1</v>
      </c>
      <c r="G121" s="154">
        <f>'[7]Mthly Stats'!L65+'[7]Mthly Stats'!M65+'[7]Mthly Stats'!O65</f>
        <v>16399</v>
      </c>
      <c r="H121" s="10">
        <f t="shared" si="6"/>
        <v>21047584.478546567</v>
      </c>
      <c r="I121"/>
      <c r="J121"/>
    </row>
    <row r="122" spans="1:11" x14ac:dyDescent="0.25">
      <c r="A122" s="3">
        <v>42705</v>
      </c>
      <c r="B122" s="28">
        <v>24538056</v>
      </c>
      <c r="C122" s="114">
        <f t="shared" si="8"/>
        <v>594.31999999999994</v>
      </c>
      <c r="D122" s="114">
        <f t="shared" si="8"/>
        <v>0</v>
      </c>
      <c r="E122" s="10">
        <v>31</v>
      </c>
      <c r="F122" s="18">
        <v>0</v>
      </c>
      <c r="G122" s="154">
        <f>'[7]Mthly Stats'!L66+'[7]Mthly Stats'!M66+'[7]Mthly Stats'!O66</f>
        <v>16425</v>
      </c>
      <c r="H122" s="10">
        <f t="shared" si="6"/>
        <v>25038964.049879074</v>
      </c>
      <c r="I122"/>
      <c r="J122"/>
    </row>
    <row r="123" spans="1:11" x14ac:dyDescent="0.25">
      <c r="A123" s="3">
        <v>42736</v>
      </c>
      <c r="C123" s="114">
        <f>(C3+C15+C27+C39+C51+C63+C75+C87+C99+C111)/10</f>
        <v>712.02999999999986</v>
      </c>
      <c r="D123" s="114">
        <f>(D3+D15+D27+D39+D51+D63+D75+D87+D99+D111)/10</f>
        <v>0</v>
      </c>
      <c r="E123" s="10">
        <v>31</v>
      </c>
      <c r="F123" s="18">
        <v>0</v>
      </c>
      <c r="G123" s="154">
        <f>G122+'Rate Class Customer Model'!$L$13</f>
        <v>16448.384615384613</v>
      </c>
      <c r="H123" s="10">
        <f t="shared" si="6"/>
        <v>26574541.80487977</v>
      </c>
      <c r="I123"/>
      <c r="J123"/>
    </row>
    <row r="124" spans="1:11" x14ac:dyDescent="0.25">
      <c r="A124" s="3">
        <v>42767</v>
      </c>
      <c r="C124" s="114">
        <f t="shared" ref="C124:D134" si="9">(C4+C16+C28+C40+C52+C64+C76+C88+C100+C112)/10</f>
        <v>661.92</v>
      </c>
      <c r="D124" s="114">
        <f t="shared" si="9"/>
        <v>0</v>
      </c>
      <c r="E124" s="10">
        <v>28</v>
      </c>
      <c r="F124" s="18">
        <v>0</v>
      </c>
      <c r="G124" s="154">
        <f>G123+'Rate Class Customer Model'!$L$13</f>
        <v>16471.769230769227</v>
      </c>
      <c r="H124" s="10">
        <f t="shared" si="6"/>
        <v>23998054.824554488</v>
      </c>
      <c r="I124"/>
      <c r="J124"/>
    </row>
    <row r="125" spans="1:11" x14ac:dyDescent="0.25">
      <c r="A125" s="3">
        <v>42795</v>
      </c>
      <c r="C125" s="114">
        <f t="shared" si="9"/>
        <v>537.2700000000001</v>
      </c>
      <c r="D125" s="114">
        <f t="shared" si="9"/>
        <v>1.9999999999999997E-2</v>
      </c>
      <c r="E125" s="10">
        <v>31</v>
      </c>
      <c r="F125" s="18">
        <v>1</v>
      </c>
      <c r="G125" s="154">
        <f>G124+'Rate Class Customer Model'!$L$13</f>
        <v>16495.15384615384</v>
      </c>
      <c r="H125" s="10">
        <f t="shared" si="6"/>
        <v>23391768.759226978</v>
      </c>
      <c r="I125"/>
      <c r="J125"/>
    </row>
    <row r="126" spans="1:11" x14ac:dyDescent="0.25">
      <c r="A126" s="3">
        <v>42826</v>
      </c>
      <c r="C126" s="114">
        <f t="shared" si="9"/>
        <v>321.92</v>
      </c>
      <c r="D126" s="114">
        <f t="shared" si="9"/>
        <v>0.12000000000000002</v>
      </c>
      <c r="E126" s="10">
        <v>30</v>
      </c>
      <c r="F126" s="18">
        <v>1</v>
      </c>
      <c r="G126" s="154">
        <f>G125+'Rate Class Customer Model'!$L$13</f>
        <v>16518.538461538454</v>
      </c>
      <c r="H126" s="10">
        <f t="shared" si="6"/>
        <v>19973054.976599857</v>
      </c>
      <c r="I126"/>
      <c r="J126"/>
    </row>
    <row r="127" spans="1:11" x14ac:dyDescent="0.25">
      <c r="A127" s="3">
        <v>42856</v>
      </c>
      <c r="C127" s="114">
        <f t="shared" si="9"/>
        <v>128.44000000000003</v>
      </c>
      <c r="D127" s="114">
        <f t="shared" si="9"/>
        <v>23.319999999999997</v>
      </c>
      <c r="E127" s="10">
        <v>31</v>
      </c>
      <c r="F127" s="18">
        <v>1</v>
      </c>
      <c r="G127" s="154">
        <f>G126+'Rate Class Customer Model'!$L$13</f>
        <v>16541.923076923067</v>
      </c>
      <c r="H127" s="10">
        <f t="shared" si="6"/>
        <v>18896058.051425666</v>
      </c>
      <c r="I127"/>
      <c r="J127"/>
    </row>
    <row r="128" spans="1:11" x14ac:dyDescent="0.25">
      <c r="A128" s="3">
        <v>42887</v>
      </c>
      <c r="C128" s="114">
        <f t="shared" si="9"/>
        <v>25.75</v>
      </c>
      <c r="D128" s="114">
        <f t="shared" si="9"/>
        <v>66.11</v>
      </c>
      <c r="E128" s="10">
        <v>30</v>
      </c>
      <c r="F128" s="18">
        <v>0</v>
      </c>
      <c r="G128" s="154">
        <f>G127+'Rate Class Customer Model'!$L$13</f>
        <v>16565.307692307681</v>
      </c>
      <c r="H128" s="10">
        <f t="shared" si="6"/>
        <v>19295449.652416792</v>
      </c>
      <c r="I128"/>
      <c r="J128"/>
    </row>
    <row r="129" spans="1:10" x14ac:dyDescent="0.25">
      <c r="A129" s="3">
        <v>42917</v>
      </c>
      <c r="C129" s="114">
        <f t="shared" si="9"/>
        <v>2.1499999999999995</v>
      </c>
      <c r="D129" s="114">
        <f t="shared" si="9"/>
        <v>130.26</v>
      </c>
      <c r="E129" s="10">
        <v>31</v>
      </c>
      <c r="F129" s="18">
        <v>0</v>
      </c>
      <c r="G129" s="154">
        <f>G128+'Rate Class Customer Model'!$L$13</f>
        <v>16588.692307692294</v>
      </c>
      <c r="H129" s="10">
        <f t="shared" si="6"/>
        <v>21774129.599747062</v>
      </c>
      <c r="I129"/>
      <c r="J129"/>
    </row>
    <row r="130" spans="1:10" x14ac:dyDescent="0.25">
      <c r="A130" s="3">
        <v>42948</v>
      </c>
      <c r="C130" s="114">
        <f t="shared" si="9"/>
        <v>4.9399999999999986</v>
      </c>
      <c r="D130" s="114">
        <f t="shared" si="9"/>
        <v>112.87</v>
      </c>
      <c r="E130" s="10">
        <v>31</v>
      </c>
      <c r="F130" s="18">
        <v>0</v>
      </c>
      <c r="G130" s="154">
        <f>G129+'Rate Class Customer Model'!$L$13</f>
        <v>16612.076923076907</v>
      </c>
      <c r="H130" s="10">
        <f t="shared" si="6"/>
        <v>21246038.859358337</v>
      </c>
      <c r="I130"/>
      <c r="J130"/>
    </row>
    <row r="131" spans="1:10" x14ac:dyDescent="0.25">
      <c r="A131" s="3">
        <v>42979</v>
      </c>
      <c r="C131" s="114">
        <f t="shared" si="9"/>
        <v>57.21</v>
      </c>
      <c r="D131" s="114">
        <f t="shared" si="9"/>
        <v>41.139999999999993</v>
      </c>
      <c r="E131" s="10">
        <v>30</v>
      </c>
      <c r="F131" s="18">
        <v>1</v>
      </c>
      <c r="G131" s="154">
        <f>G130+'Rate Class Customer Model'!$L$13</f>
        <v>16635.461538461521</v>
      </c>
      <c r="H131" s="10">
        <f t="shared" si="6"/>
        <v>17965875.90550923</v>
      </c>
      <c r="I131"/>
      <c r="J131"/>
    </row>
    <row r="132" spans="1:10" x14ac:dyDescent="0.25">
      <c r="A132" s="3">
        <v>43009</v>
      </c>
      <c r="C132" s="114">
        <f t="shared" si="9"/>
        <v>230.05</v>
      </c>
      <c r="D132" s="114">
        <f t="shared" si="9"/>
        <v>2.91</v>
      </c>
      <c r="E132" s="10">
        <v>31</v>
      </c>
      <c r="F132" s="18">
        <v>1</v>
      </c>
      <c r="G132" s="154">
        <f>G131+'Rate Class Customer Model'!$L$13</f>
        <v>16658.846153846134</v>
      </c>
      <c r="H132" s="10">
        <f t="shared" si="6"/>
        <v>19594954.852181353</v>
      </c>
      <c r="I132"/>
      <c r="J132"/>
    </row>
    <row r="133" spans="1:10" x14ac:dyDescent="0.25">
      <c r="A133" s="3">
        <v>43040</v>
      </c>
      <c r="C133" s="114">
        <f t="shared" si="9"/>
        <v>409.9799999999999</v>
      </c>
      <c r="D133" s="114">
        <f t="shared" si="9"/>
        <v>0</v>
      </c>
      <c r="E133" s="10">
        <v>30</v>
      </c>
      <c r="F133" s="18">
        <v>1</v>
      </c>
      <c r="G133" s="154">
        <f>G132+'Rate Class Customer Model'!$L$13</f>
        <v>16682.230769230748</v>
      </c>
      <c r="H133" s="10">
        <f t="shared" si="6"/>
        <v>21192835.092959255</v>
      </c>
      <c r="I133"/>
      <c r="J133"/>
    </row>
    <row r="134" spans="1:10" x14ac:dyDescent="0.25">
      <c r="A134" s="3">
        <v>43070</v>
      </c>
      <c r="C134" s="114">
        <f t="shared" si="9"/>
        <v>594.31999999999982</v>
      </c>
      <c r="D134" s="114">
        <f t="shared" si="9"/>
        <v>0</v>
      </c>
      <c r="E134" s="10">
        <v>31</v>
      </c>
      <c r="F134" s="18">
        <v>0</v>
      </c>
      <c r="G134" s="154">
        <f>G133+'Rate Class Customer Model'!$L$13</f>
        <v>16705.615384615361</v>
      </c>
      <c r="H134" s="10">
        <f t="shared" si="6"/>
        <v>25182873.403865352</v>
      </c>
      <c r="I134"/>
      <c r="J134"/>
    </row>
    <row r="135" spans="1:10" x14ac:dyDescent="0.25">
      <c r="A135" s="3"/>
      <c r="C135" s="114"/>
      <c r="E135" s="10"/>
      <c r="F135" s="18"/>
      <c r="G135" s="154"/>
      <c r="H135" s="10"/>
      <c r="I135"/>
      <c r="J135"/>
    </row>
    <row r="136" spans="1:10" x14ac:dyDescent="0.25">
      <c r="A136" s="3"/>
      <c r="C136" s="114"/>
      <c r="D136" s="400" t="s">
        <v>61</v>
      </c>
      <c r="E136" s="400"/>
      <c r="F136" s="18"/>
      <c r="G136" s="18"/>
      <c r="H136" s="48">
        <f>SUM(H3:H135)</f>
        <v>2755399940.0827246</v>
      </c>
      <c r="I136" s="112"/>
      <c r="J136" s="113"/>
    </row>
    <row r="137" spans="1:10" x14ac:dyDescent="0.25">
      <c r="A137" s="3"/>
      <c r="I137" s="112"/>
      <c r="J137" s="113"/>
    </row>
    <row r="138" spans="1:10" x14ac:dyDescent="0.25">
      <c r="A138" s="3"/>
      <c r="I138" s="112"/>
      <c r="J138" s="401"/>
    </row>
    <row r="139" spans="1:10" x14ac:dyDescent="0.25">
      <c r="A139" s="3"/>
      <c r="I139" s="112"/>
      <c r="J139" s="401"/>
    </row>
    <row r="140" spans="1:10" x14ac:dyDescent="0.25">
      <c r="A140" s="17">
        <v>2007</v>
      </c>
      <c r="B140" s="28">
        <f>SUM(B3:B14)</f>
        <v>241154636.09999999</v>
      </c>
      <c r="C140" s="28"/>
      <c r="H140" s="28">
        <f>SUM(H3:H14)</f>
        <v>242713895.42730781</v>
      </c>
      <c r="I140" s="28"/>
      <c r="J140" s="325"/>
    </row>
    <row r="141" spans="1:10" x14ac:dyDescent="0.25">
      <c r="A141">
        <v>2008</v>
      </c>
      <c r="B141" s="28">
        <f>SUM(B15:B26)</f>
        <v>245623027.80000001</v>
      </c>
      <c r="C141" s="28"/>
      <c r="H141" s="28">
        <f>SUM(H15:H26)</f>
        <v>245158520.51763326</v>
      </c>
      <c r="I141" s="28"/>
      <c r="J141" s="325"/>
    </row>
    <row r="142" spans="1:10" x14ac:dyDescent="0.25">
      <c r="A142" s="17">
        <v>2009</v>
      </c>
      <c r="B142" s="28">
        <f>SUM(B27:B38)</f>
        <v>247239189.20000002</v>
      </c>
      <c r="C142" s="28"/>
      <c r="H142" s="28">
        <f>SUM(H27:H38)</f>
        <v>247420181.01939079</v>
      </c>
      <c r="I142" s="28"/>
      <c r="J142" s="325"/>
    </row>
    <row r="143" spans="1:10" x14ac:dyDescent="0.25">
      <c r="A143">
        <v>2010</v>
      </c>
      <c r="B143" s="28">
        <f>SUM(B39:B50)</f>
        <v>250239378.79999998</v>
      </c>
      <c r="C143" s="28"/>
      <c r="H143" s="28">
        <f>SUM(H39:H50)</f>
        <v>246990938.23410431</v>
      </c>
      <c r="I143" s="28"/>
      <c r="J143" s="325"/>
    </row>
    <row r="144" spans="1:10" x14ac:dyDescent="0.25">
      <c r="A144">
        <v>2011</v>
      </c>
      <c r="B144" s="28">
        <f>SUM(B51:B62)</f>
        <v>246758167.20000002</v>
      </c>
      <c r="C144" s="28"/>
      <c r="H144" s="28">
        <f>SUM(H51:H62)</f>
        <v>247885578.66293609</v>
      </c>
      <c r="I144" s="28"/>
      <c r="J144" s="325"/>
    </row>
    <row r="145" spans="1:10" x14ac:dyDescent="0.25">
      <c r="A145">
        <v>2012</v>
      </c>
      <c r="B145" s="181">
        <f>SUM(B63:B74)</f>
        <v>245129838.40000004</v>
      </c>
      <c r="C145" s="181"/>
      <c r="H145" s="181">
        <f>SUM(H63:H74)</f>
        <v>249563259.20679107</v>
      </c>
      <c r="I145" s="28"/>
      <c r="J145" s="325"/>
    </row>
    <row r="146" spans="1:10" x14ac:dyDescent="0.25">
      <c r="A146">
        <v>2013</v>
      </c>
      <c r="B146" s="181">
        <f>SUM(B75:B86)</f>
        <v>251758061.40000001</v>
      </c>
      <c r="C146" s="181"/>
      <c r="H146" s="181">
        <f>SUM(H75:H86)</f>
        <v>250594628.85800833</v>
      </c>
      <c r="I146" s="28"/>
      <c r="J146" s="325"/>
    </row>
    <row r="147" spans="1:10" x14ac:dyDescent="0.25">
      <c r="A147">
        <v>2014</v>
      </c>
      <c r="B147" s="28">
        <f>SUM(B87:B98)</f>
        <v>253254986.30000001</v>
      </c>
      <c r="C147" s="28"/>
      <c r="H147" s="28">
        <f>SUM(H87:H98)</f>
        <v>252873667.01549083</v>
      </c>
      <c r="I147" s="28"/>
      <c r="J147" s="325"/>
    </row>
    <row r="148" spans="1:10" x14ac:dyDescent="0.25">
      <c r="A148" s="17">
        <v>2015</v>
      </c>
      <c r="B148" s="28">
        <f>SUM(B99:B110)</f>
        <v>255774983.09999999</v>
      </c>
      <c r="C148" s="28"/>
      <c r="H148" s="28">
        <f>SUM(H99:H110)</f>
        <v>255126550.59465837</v>
      </c>
      <c r="I148" s="28"/>
      <c r="J148" s="325"/>
    </row>
    <row r="149" spans="1:10" x14ac:dyDescent="0.25">
      <c r="A149">
        <v>2016</v>
      </c>
      <c r="B149" s="181">
        <f>SUM(B111:B122)</f>
        <v>259382036</v>
      </c>
      <c r="C149" s="28"/>
      <c r="H149" s="181">
        <f>SUM(H111:H122)</f>
        <v>257987084.76367834</v>
      </c>
      <c r="I149" s="28"/>
      <c r="J149" s="325"/>
    </row>
    <row r="150" spans="1:10" x14ac:dyDescent="0.25">
      <c r="A150">
        <v>2017</v>
      </c>
      <c r="H150" s="181">
        <f>SUM(H123:H134)</f>
        <v>259085635.78272414</v>
      </c>
      <c r="I150" s="28"/>
      <c r="J150" s="325"/>
    </row>
    <row r="151" spans="1:10" x14ac:dyDescent="0.25">
      <c r="A151" s="17"/>
      <c r="H151" s="181"/>
      <c r="I151" s="112"/>
      <c r="J151" s="113"/>
    </row>
    <row r="152" spans="1:10" x14ac:dyDescent="0.25">
      <c r="A152" s="115" t="s">
        <v>128</v>
      </c>
      <c r="B152" s="28">
        <f>SUM(B140:B149)</f>
        <v>2496314304.3000002</v>
      </c>
      <c r="H152" s="28">
        <f>SUM(H140:H149)</f>
        <v>2496314304.2999992</v>
      </c>
      <c r="I152" s="112"/>
      <c r="J152" s="113"/>
    </row>
    <row r="153" spans="1:10" x14ac:dyDescent="0.25">
      <c r="I153" s="112"/>
      <c r="J153" s="113"/>
    </row>
    <row r="154" spans="1:10" x14ac:dyDescent="0.25">
      <c r="H154" s="48">
        <f>SUM(H140:H150)</f>
        <v>2755399940.0827236</v>
      </c>
      <c r="I154" s="112"/>
      <c r="J154" s="113"/>
    </row>
    <row r="155" spans="1:10" x14ac:dyDescent="0.25">
      <c r="H155"/>
      <c r="I155" s="112"/>
      <c r="J155" s="113"/>
    </row>
    <row r="156" spans="1:10" x14ac:dyDescent="0.25">
      <c r="I156" s="112"/>
      <c r="J156" s="113"/>
    </row>
    <row r="157" spans="1:10" x14ac:dyDescent="0.25">
      <c r="I157" s="112"/>
      <c r="J157" s="113"/>
    </row>
    <row r="158" spans="1:10" x14ac:dyDescent="0.25">
      <c r="B158"/>
      <c r="C158"/>
      <c r="D158"/>
      <c r="E158"/>
      <c r="F158"/>
      <c r="G158"/>
      <c r="H158"/>
      <c r="I158"/>
      <c r="J158"/>
    </row>
    <row r="159" spans="1:10" x14ac:dyDescent="0.25">
      <c r="B159"/>
      <c r="C159"/>
      <c r="D159"/>
      <c r="E159"/>
      <c r="F159"/>
      <c r="G159"/>
      <c r="H159"/>
      <c r="I159"/>
      <c r="J159"/>
    </row>
    <row r="160" spans="1:10" x14ac:dyDescent="0.25">
      <c r="B160"/>
      <c r="C160"/>
      <c r="D160"/>
      <c r="E160"/>
      <c r="F160"/>
      <c r="G160"/>
      <c r="H160"/>
      <c r="I160"/>
      <c r="J160"/>
    </row>
    <row r="161" spans="2:10" x14ac:dyDescent="0.25">
      <c r="B161"/>
      <c r="C161"/>
      <c r="D161"/>
      <c r="E161"/>
      <c r="F161"/>
      <c r="G161"/>
      <c r="H161"/>
      <c r="I161"/>
      <c r="J161"/>
    </row>
    <row r="162" spans="2:10" x14ac:dyDescent="0.25">
      <c r="B162"/>
      <c r="C162"/>
      <c r="D162"/>
      <c r="E162"/>
      <c r="F162"/>
      <c r="G162"/>
      <c r="H162"/>
      <c r="I162"/>
      <c r="J162"/>
    </row>
    <row r="163" spans="2:10" x14ac:dyDescent="0.25">
      <c r="B163"/>
      <c r="C163"/>
      <c r="D163"/>
      <c r="E163"/>
      <c r="F163"/>
      <c r="G163"/>
      <c r="H163"/>
      <c r="I163"/>
      <c r="J163"/>
    </row>
    <row r="164" spans="2:10" x14ac:dyDescent="0.25">
      <c r="B164"/>
      <c r="C164"/>
      <c r="D164"/>
      <c r="E164"/>
      <c r="F164"/>
      <c r="G164"/>
      <c r="H164"/>
      <c r="I164"/>
      <c r="J164"/>
    </row>
    <row r="165" spans="2:10" x14ac:dyDescent="0.25">
      <c r="B165"/>
      <c r="C165"/>
      <c r="D165"/>
      <c r="E165"/>
      <c r="F165"/>
      <c r="G165"/>
      <c r="H165"/>
      <c r="I165"/>
      <c r="J165"/>
    </row>
    <row r="166" spans="2:10" x14ac:dyDescent="0.25">
      <c r="B166"/>
      <c r="C166"/>
      <c r="D166"/>
      <c r="E166"/>
      <c r="F166"/>
      <c r="G166"/>
      <c r="H166"/>
      <c r="I166"/>
      <c r="J166"/>
    </row>
    <row r="167" spans="2:10" x14ac:dyDescent="0.25">
      <c r="B167"/>
      <c r="C167"/>
      <c r="D167"/>
      <c r="E167"/>
      <c r="F167"/>
      <c r="G167"/>
      <c r="H167"/>
      <c r="I167"/>
      <c r="J167"/>
    </row>
    <row r="168" spans="2:10" x14ac:dyDescent="0.25">
      <c r="B168"/>
      <c r="C168"/>
      <c r="D168"/>
      <c r="E168"/>
      <c r="F168"/>
      <c r="G168"/>
      <c r="H168"/>
      <c r="I168"/>
      <c r="J168"/>
    </row>
    <row r="169" spans="2:10" x14ac:dyDescent="0.25">
      <c r="B169"/>
      <c r="C169"/>
      <c r="D169"/>
      <c r="E169"/>
      <c r="F169"/>
      <c r="G169"/>
      <c r="H169"/>
      <c r="I169"/>
      <c r="J169"/>
    </row>
    <row r="170" spans="2:10" x14ac:dyDescent="0.25">
      <c r="B170"/>
      <c r="C170"/>
      <c r="D170"/>
      <c r="E170"/>
      <c r="F170"/>
      <c r="G170"/>
      <c r="H170"/>
      <c r="I170"/>
      <c r="J170"/>
    </row>
    <row r="171" spans="2:10" x14ac:dyDescent="0.25">
      <c r="B171"/>
      <c r="C171"/>
      <c r="D171"/>
      <c r="E171"/>
      <c r="F171"/>
      <c r="G171"/>
      <c r="H171"/>
      <c r="I171"/>
      <c r="J171"/>
    </row>
  </sheetData>
  <mergeCells count="2">
    <mergeCell ref="D136:E136"/>
    <mergeCell ref="J138:J139"/>
  </mergeCells>
  <printOptions horizontalCentered="1"/>
  <pageMargins left="0.19685039370078741" right="0.19685039370078741" top="0.35433070866141736" bottom="0.35433070866141736" header="0.51181102362204722" footer="0.15748031496062992"/>
  <pageSetup paperSize="17" scale="61" fitToHeight="3" orientation="landscape" verticalDpi="300" r:id="rId1"/>
  <headerFooter alignWithMargins="0">
    <oddFooter>&amp;L&amp;A&amp;R&amp;P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0"/>
  <sheetViews>
    <sheetView topLeftCell="A76" zoomScaleNormal="100" workbookViewId="0">
      <selection activeCell="O16" sqref="O16"/>
    </sheetView>
  </sheetViews>
  <sheetFormatPr defaultRowHeight="13.2" x14ac:dyDescent="0.25"/>
  <cols>
    <col min="1" max="1" width="11" customWidth="1"/>
    <col min="2" max="2" width="18" style="1" customWidth="1"/>
    <col min="3" max="3" width="17.109375" style="1" customWidth="1"/>
    <col min="4" max="4" width="15.6640625" style="1" customWidth="1"/>
    <col min="5" max="5" width="15.33203125" style="1" customWidth="1"/>
    <col min="6" max="6" width="13.33203125" style="1" customWidth="1"/>
    <col min="7" max="7" width="15.6640625" style="6" customWidth="1"/>
    <col min="8" max="8" width="15" style="6" customWidth="1"/>
    <col min="9" max="10" width="14.109375" style="6" bestFit="1" customWidth="1"/>
    <col min="11" max="11" width="14.109375" style="6" customWidth="1"/>
    <col min="12" max="12" width="14.6640625" style="6" customWidth="1"/>
    <col min="13" max="13" width="12.5546875" style="6" customWidth="1"/>
    <col min="14" max="14" width="12.6640625" bestFit="1" customWidth="1"/>
    <col min="15" max="15" width="13.6640625" customWidth="1"/>
    <col min="16" max="16" width="12.6640625" customWidth="1"/>
    <col min="17" max="17" width="10.6640625" bestFit="1" customWidth="1"/>
    <col min="18" max="18" width="6.33203125" customWidth="1"/>
    <col min="19" max="19" width="11.109375" bestFit="1" customWidth="1"/>
  </cols>
  <sheetData>
    <row r="1" spans="1:17" x14ac:dyDescent="0.25">
      <c r="G1" s="155"/>
      <c r="H1" s="155"/>
      <c r="I1" s="155"/>
      <c r="J1" s="155"/>
      <c r="K1" s="155"/>
      <c r="L1" s="155"/>
      <c r="M1" s="155"/>
    </row>
    <row r="3" spans="1:17" ht="42" customHeight="1" x14ac:dyDescent="0.25">
      <c r="B3" s="2" t="s">
        <v>6</v>
      </c>
      <c r="C3" s="2" t="s">
        <v>7</v>
      </c>
      <c r="D3" s="2" t="s">
        <v>39</v>
      </c>
      <c r="E3" s="2" t="s">
        <v>8</v>
      </c>
      <c r="F3" s="2" t="s">
        <v>1</v>
      </c>
      <c r="G3" s="7" t="s">
        <v>2</v>
      </c>
      <c r="H3" s="45" t="s">
        <v>57</v>
      </c>
      <c r="I3" s="46" t="s">
        <v>58</v>
      </c>
      <c r="J3" s="46" t="s">
        <v>59</v>
      </c>
      <c r="K3" s="46" t="s">
        <v>68</v>
      </c>
      <c r="L3" s="46" t="s">
        <v>62</v>
      </c>
      <c r="M3" s="47" t="s">
        <v>60</v>
      </c>
      <c r="N3" s="47" t="s">
        <v>116</v>
      </c>
    </row>
    <row r="5" spans="1:17" x14ac:dyDescent="0.25">
      <c r="A5" s="19"/>
      <c r="B5" s="38" t="s">
        <v>41</v>
      </c>
    </row>
    <row r="6" spans="1:17" x14ac:dyDescent="0.25">
      <c r="B6"/>
      <c r="C6"/>
      <c r="D6"/>
      <c r="E6"/>
      <c r="F6"/>
      <c r="G6"/>
      <c r="H6"/>
      <c r="I6"/>
      <c r="J6"/>
      <c r="K6"/>
      <c r="L6"/>
      <c r="M6"/>
    </row>
    <row r="7" spans="1:17" x14ac:dyDescent="0.25">
      <c r="N7" s="28"/>
    </row>
    <row r="8" spans="1:17" x14ac:dyDescent="0.25">
      <c r="A8">
        <f>'Purchased Power Model '!A140</f>
        <v>2007</v>
      </c>
      <c r="B8" s="6">
        <f>'Purchased Power Model '!B140</f>
        <v>241154636.09999999</v>
      </c>
      <c r="C8" s="6">
        <f>'Purchased Power Model '!H140</f>
        <v>245109642.8152931</v>
      </c>
      <c r="D8" s="34">
        <f t="shared" ref="D8:D17" si="0">C8-B8</f>
        <v>3955006.7152931094</v>
      </c>
      <c r="E8" s="5">
        <f t="shared" ref="E8:E17" si="1">D8/B8</f>
        <v>1.6400293103438743E-2</v>
      </c>
      <c r="F8" s="51">
        <f t="shared" ref="F8:F17" si="2">1 +(B8-G8)/G8</f>
        <v>1.0979298606749899</v>
      </c>
      <c r="G8" s="28">
        <f t="shared" ref="G8:G17" si="3">SUM(H8:N8)</f>
        <v>219644846.84999999</v>
      </c>
      <c r="H8" s="36">
        <v>148690902</v>
      </c>
      <c r="I8" s="36">
        <v>28463422</v>
      </c>
      <c r="J8" s="36">
        <v>39320570</v>
      </c>
      <c r="K8" s="36">
        <v>126371</v>
      </c>
      <c r="L8" s="36">
        <v>1495947</v>
      </c>
      <c r="M8" s="36">
        <v>519694</v>
      </c>
      <c r="N8" s="36">
        <v>1027940.85</v>
      </c>
      <c r="P8" s="162"/>
      <c r="Q8" s="162"/>
    </row>
    <row r="9" spans="1:17" x14ac:dyDescent="0.25">
      <c r="A9">
        <f>'Purchased Power Model '!A141</f>
        <v>2008</v>
      </c>
      <c r="B9" s="6">
        <f>'Purchased Power Model '!B141</f>
        <v>245623027.80000001</v>
      </c>
      <c r="C9" s="6">
        <f>'Purchased Power Model '!H141</f>
        <v>243752147.78149053</v>
      </c>
      <c r="D9" s="34">
        <f t="shared" si="0"/>
        <v>-1870880.0185094774</v>
      </c>
      <c r="E9" s="5">
        <f t="shared" si="1"/>
        <v>-7.6168754829976787E-3</v>
      </c>
      <c r="F9" s="51">
        <f t="shared" si="2"/>
        <v>1.0827665955331065</v>
      </c>
      <c r="G9" s="28">
        <f t="shared" si="3"/>
        <v>226847622.39000002</v>
      </c>
      <c r="H9" s="36">
        <v>149960621</v>
      </c>
      <c r="I9" s="36">
        <v>28399681</v>
      </c>
      <c r="J9" s="36">
        <v>45269405.57</v>
      </c>
      <c r="K9" s="36">
        <v>124211.62</v>
      </c>
      <c r="L9" s="36">
        <v>1533898.8</v>
      </c>
      <c r="M9" s="36">
        <v>508215</v>
      </c>
      <c r="N9" s="36">
        <v>1051589.3999999999</v>
      </c>
      <c r="P9" s="162"/>
      <c r="Q9" s="162"/>
    </row>
    <row r="10" spans="1:17" x14ac:dyDescent="0.25">
      <c r="A10">
        <f>'Purchased Power Model '!A142</f>
        <v>2009</v>
      </c>
      <c r="B10" s="6">
        <f>'Purchased Power Model '!B142</f>
        <v>247239189.20000002</v>
      </c>
      <c r="C10" s="6">
        <f>'Purchased Power Model '!H142</f>
        <v>243433414.80982959</v>
      </c>
      <c r="D10" s="34">
        <f t="shared" si="0"/>
        <v>-3805774.3901704252</v>
      </c>
      <c r="E10" s="5">
        <f t="shared" si="1"/>
        <v>-1.5393087165853013E-2</v>
      </c>
      <c r="F10" s="51">
        <f t="shared" si="2"/>
        <v>1.0791454563975964</v>
      </c>
      <c r="G10" s="28">
        <f t="shared" si="3"/>
        <v>229106454.31</v>
      </c>
      <c r="H10" s="36">
        <v>150373777</v>
      </c>
      <c r="I10" s="36">
        <v>28113433</v>
      </c>
      <c r="J10" s="36">
        <v>47473258.210000001</v>
      </c>
      <c r="K10" s="36">
        <v>122021.1</v>
      </c>
      <c r="L10" s="36">
        <v>1576911.6</v>
      </c>
      <c r="M10" s="36">
        <v>493680</v>
      </c>
      <c r="N10" s="36">
        <v>953373.4</v>
      </c>
      <c r="P10" s="162"/>
      <c r="Q10" s="162"/>
    </row>
    <row r="11" spans="1:17" x14ac:dyDescent="0.25">
      <c r="A11">
        <f>'Purchased Power Model '!A143</f>
        <v>2010</v>
      </c>
      <c r="B11" s="6">
        <f>'Purchased Power Model '!B143</f>
        <v>250239378.79999998</v>
      </c>
      <c r="C11" s="6">
        <f>'Purchased Power Model '!H143</f>
        <v>246677801.33027512</v>
      </c>
      <c r="D11" s="34">
        <f>C11-B11</f>
        <v>-3561577.4697248638</v>
      </c>
      <c r="E11" s="5">
        <f>D11/B11</f>
        <v>-1.423268186967248E-2</v>
      </c>
      <c r="F11" s="51">
        <f t="shared" si="2"/>
        <v>1.0791997078286213</v>
      </c>
      <c r="G11" s="28">
        <f t="shared" si="3"/>
        <v>231874950.46999997</v>
      </c>
      <c r="H11" s="36">
        <v>148340356.22999996</v>
      </c>
      <c r="I11" s="36">
        <v>29188874</v>
      </c>
      <c r="J11" s="36">
        <v>51128771.11999999</v>
      </c>
      <c r="K11" s="36">
        <v>116702.72</v>
      </c>
      <c r="L11" s="36">
        <v>1580058</v>
      </c>
      <c r="M11" s="36">
        <v>493680</v>
      </c>
      <c r="N11" s="36">
        <v>1026508.4</v>
      </c>
      <c r="P11" s="162"/>
      <c r="Q11" s="162"/>
    </row>
    <row r="12" spans="1:17" x14ac:dyDescent="0.25">
      <c r="A12">
        <f>'Purchased Power Model '!A144</f>
        <v>2011</v>
      </c>
      <c r="B12" s="6">
        <f>'Purchased Power Model '!B144</f>
        <v>246758167.20000002</v>
      </c>
      <c r="C12" s="6">
        <f>'Purchased Power Model '!H144</f>
        <v>249085614.88396004</v>
      </c>
      <c r="D12" s="34">
        <f t="shared" si="0"/>
        <v>2327447.6839600205</v>
      </c>
      <c r="E12" s="5">
        <f t="shared" si="1"/>
        <v>9.4320998991437657E-3</v>
      </c>
      <c r="F12" s="51">
        <f t="shared" si="2"/>
        <v>1.056320612483562</v>
      </c>
      <c r="G12" s="28">
        <f t="shared" si="3"/>
        <v>233601582.96999997</v>
      </c>
      <c r="H12" s="36">
        <v>150098109.56999999</v>
      </c>
      <c r="I12" s="36">
        <v>30548695.32</v>
      </c>
      <c r="J12" s="36">
        <v>49921685.450000003</v>
      </c>
      <c r="K12" s="36">
        <v>110240.82</v>
      </c>
      <c r="L12" s="36">
        <v>1457369.41</v>
      </c>
      <c r="M12" s="36">
        <v>489312</v>
      </c>
      <c r="N12" s="36">
        <v>976170.4</v>
      </c>
      <c r="P12" s="162"/>
      <c r="Q12" s="162"/>
    </row>
    <row r="13" spans="1:17" x14ac:dyDescent="0.25">
      <c r="A13">
        <f>'Purchased Power Model '!A145</f>
        <v>2012</v>
      </c>
      <c r="B13" s="6">
        <f>'Purchased Power Model '!B145</f>
        <v>245129838.40000004</v>
      </c>
      <c r="C13" s="6">
        <f>'Purchased Power Model '!H145</f>
        <v>246975036.63319921</v>
      </c>
      <c r="D13" s="34">
        <f t="shared" si="0"/>
        <v>1845198.2331991792</v>
      </c>
      <c r="E13" s="5">
        <f t="shared" si="1"/>
        <v>7.5274321773435267E-3</v>
      </c>
      <c r="F13" s="51">
        <f t="shared" si="2"/>
        <v>1.0660126997067048</v>
      </c>
      <c r="G13" s="28">
        <f t="shared" si="3"/>
        <v>229950204.59647745</v>
      </c>
      <c r="H13" s="161">
        <v>144943095</v>
      </c>
      <c r="I13" s="161">
        <v>30723398</v>
      </c>
      <c r="J13" s="161">
        <v>51138110</v>
      </c>
      <c r="K13" s="161">
        <v>113359.85597714041</v>
      </c>
      <c r="L13" s="161">
        <v>1569708.8405002926</v>
      </c>
      <c r="M13" s="161">
        <v>478326.5</v>
      </c>
      <c r="N13" s="161">
        <v>984206.4</v>
      </c>
      <c r="P13" s="162"/>
      <c r="Q13" s="162"/>
    </row>
    <row r="14" spans="1:17" x14ac:dyDescent="0.25">
      <c r="A14">
        <f>'Purchased Power Model '!A146</f>
        <v>2013</v>
      </c>
      <c r="B14" s="6">
        <f>'Purchased Power Model '!B146</f>
        <v>251758061.40000001</v>
      </c>
      <c r="C14" s="6">
        <f>'Purchased Power Model '!H146</f>
        <v>250054816.72654173</v>
      </c>
      <c r="D14" s="34">
        <f t="shared" si="0"/>
        <v>-1703244.6734582782</v>
      </c>
      <c r="E14" s="5">
        <f t="shared" si="1"/>
        <v>-6.7654027203209082E-3</v>
      </c>
      <c r="F14" s="51">
        <f t="shared" si="2"/>
        <v>1.0812217452604542</v>
      </c>
      <c r="G14" s="28">
        <f t="shared" si="3"/>
        <v>232845910.19703764</v>
      </c>
      <c r="H14" s="161">
        <v>147964296</v>
      </c>
      <c r="I14" s="161">
        <v>30842995</v>
      </c>
      <c r="J14" s="161">
        <v>50921722</v>
      </c>
      <c r="K14" s="161">
        <v>101843.93410009757</v>
      </c>
      <c r="L14" s="161">
        <v>1472134.2629375483</v>
      </c>
      <c r="M14" s="161">
        <v>470796.6</v>
      </c>
      <c r="N14" s="161">
        <v>1072122.3999999999</v>
      </c>
      <c r="P14" s="162"/>
      <c r="Q14" s="162"/>
    </row>
    <row r="15" spans="1:17" x14ac:dyDescent="0.25">
      <c r="A15">
        <f>'Purchased Power Model '!A147</f>
        <v>2014</v>
      </c>
      <c r="B15" s="6">
        <f>'Purchased Power Model '!B147</f>
        <v>253254986.30000001</v>
      </c>
      <c r="C15" s="6">
        <f>'Purchased Power Model '!H147</f>
        <v>254540889.88211167</v>
      </c>
      <c r="D15" s="34">
        <f t="shared" si="0"/>
        <v>1285903.5821116567</v>
      </c>
      <c r="E15" s="5">
        <f t="shared" si="1"/>
        <v>5.0775054852756386E-3</v>
      </c>
      <c r="F15" s="51">
        <f t="shared" si="2"/>
        <v>1.0625457799796181</v>
      </c>
      <c r="G15" s="28">
        <f t="shared" si="3"/>
        <v>238347364.48236424</v>
      </c>
      <c r="H15" s="161">
        <v>152377958.31999999</v>
      </c>
      <c r="I15" s="161">
        <v>32022040.200000003</v>
      </c>
      <c r="J15" s="161">
        <v>50592266.850000001</v>
      </c>
      <c r="K15" s="161">
        <v>107980</v>
      </c>
      <c r="L15" s="161">
        <v>1625553.4323642934</v>
      </c>
      <c r="M15" s="161">
        <v>463266.7</v>
      </c>
      <c r="N15" s="161">
        <v>1158298.98</v>
      </c>
      <c r="O15" s="157"/>
      <c r="P15" s="162"/>
      <c r="Q15" s="162"/>
    </row>
    <row r="16" spans="1:17" x14ac:dyDescent="0.25">
      <c r="A16">
        <f>'Purchased Power Model '!A148</f>
        <v>2015</v>
      </c>
      <c r="B16" s="6">
        <f>'Purchased Power Model '!B148</f>
        <v>255774983.09999999</v>
      </c>
      <c r="C16" s="6">
        <f>'Purchased Power Model '!H148</f>
        <v>255309254.72807688</v>
      </c>
      <c r="D16" s="34">
        <f t="shared" si="0"/>
        <v>-465728.37192311883</v>
      </c>
      <c r="E16" s="5">
        <f t="shared" si="1"/>
        <v>-1.8208519311719929E-3</v>
      </c>
      <c r="F16" s="51">
        <f t="shared" si="2"/>
        <v>1.0543640316685261</v>
      </c>
      <c r="G16" s="28">
        <f t="shared" si="3"/>
        <v>242586977</v>
      </c>
      <c r="H16" s="161">
        <v>151042923</v>
      </c>
      <c r="I16" s="161">
        <v>34218675</v>
      </c>
      <c r="J16" s="161">
        <v>54636276</v>
      </c>
      <c r="K16" s="161">
        <v>103536</v>
      </c>
      <c r="L16" s="161">
        <v>1106444</v>
      </c>
      <c r="M16" s="161">
        <v>463092</v>
      </c>
      <c r="N16" s="161">
        <v>1016031</v>
      </c>
      <c r="O16" s="157"/>
      <c r="P16" s="162"/>
      <c r="Q16" s="162"/>
    </row>
    <row r="17" spans="1:14" x14ac:dyDescent="0.25">
      <c r="A17">
        <f>'Purchased Power Model '!A149</f>
        <v>2016</v>
      </c>
      <c r="B17" s="181">
        <f>'Purchased Power Model '!B149</f>
        <v>259382036</v>
      </c>
      <c r="C17" s="6">
        <f>'Purchased Power Model '!H149</f>
        <v>261375684.70922133</v>
      </c>
      <c r="D17" s="34">
        <f t="shared" si="0"/>
        <v>1993648.7092213333</v>
      </c>
      <c r="E17" s="5">
        <f t="shared" si="1"/>
        <v>7.6861479690957983E-3</v>
      </c>
      <c r="F17" s="51">
        <f t="shared" si="2"/>
        <v>1.0717543273556265</v>
      </c>
      <c r="G17" s="28">
        <f t="shared" si="3"/>
        <v>242016317.90000004</v>
      </c>
      <c r="H17" s="161">
        <v>148724721.91</v>
      </c>
      <c r="I17" s="161">
        <v>33243041.120000005</v>
      </c>
      <c r="J17" s="161">
        <v>57980607.439999998</v>
      </c>
      <c r="K17" s="161">
        <v>106305.36</v>
      </c>
      <c r="L17" s="161">
        <v>536549.52</v>
      </c>
      <c r="M17" s="161">
        <v>468047.55</v>
      </c>
      <c r="N17" s="161">
        <v>957045</v>
      </c>
    </row>
    <row r="18" spans="1:14" x14ac:dyDescent="0.25">
      <c r="A18">
        <f>'Purchased Power Model '!A150</f>
        <v>2017</v>
      </c>
      <c r="B18" s="6"/>
      <c r="C18" s="6">
        <f>'Purchased Power Model '!H150</f>
        <v>259085635.78272414</v>
      </c>
      <c r="G18" s="22">
        <f>C18/$F$21</f>
        <v>241430750.96541911</v>
      </c>
      <c r="H18"/>
      <c r="I18"/>
      <c r="K18"/>
      <c r="L18"/>
      <c r="M18"/>
    </row>
    <row r="19" spans="1:14" x14ac:dyDescent="0.25">
      <c r="B19" s="6"/>
      <c r="C19" s="6"/>
      <c r="G19" s="28"/>
      <c r="H19"/>
      <c r="I19"/>
      <c r="J19"/>
      <c r="K19"/>
      <c r="L19"/>
      <c r="M19"/>
    </row>
    <row r="21" spans="1:14" x14ac:dyDescent="0.25">
      <c r="A21" s="20" t="s">
        <v>13</v>
      </c>
      <c r="F21" s="156">
        <f>AVERAGE(F8:F17)</f>
        <v>1.0731260816888806</v>
      </c>
    </row>
    <row r="22" spans="1:14" x14ac:dyDescent="0.25">
      <c r="E22" s="24"/>
      <c r="F22" s="24"/>
      <c r="G22" s="28"/>
    </row>
    <row r="24" spans="1:14" x14ac:dyDescent="0.25">
      <c r="A24" s="23" t="s">
        <v>15</v>
      </c>
      <c r="B24" s="13"/>
    </row>
    <row r="25" spans="1:14" ht="13.5" customHeight="1" x14ac:dyDescent="0.25"/>
    <row r="26" spans="1:14" x14ac:dyDescent="0.25">
      <c r="A26">
        <f t="shared" ref="A26:A36" si="4">A8</f>
        <v>2007</v>
      </c>
      <c r="H26" s="28">
        <f>H8/'Rate Class Customer Model'!B3</f>
        <v>11445.685628512047</v>
      </c>
      <c r="I26" s="28">
        <f>I8/'Rate Class Customer Model'!C3</f>
        <v>34753.873015873018</v>
      </c>
      <c r="J26" s="28">
        <f>J8/'Rate Class Customer Model'!D3</f>
        <v>553810.84507042251</v>
      </c>
      <c r="K26" s="28">
        <f>K8/'Rate Class Customer Model'!E3</f>
        <v>679.41397849462362</v>
      </c>
      <c r="L26" s="28">
        <f>L8/'Rate Class Customer Model'!F3</f>
        <v>601.02330253113701</v>
      </c>
      <c r="M26" s="28">
        <f>M8/'Rate Class Customer Model'!G3</f>
        <v>5839.2584269662921</v>
      </c>
      <c r="N26" s="28">
        <f t="shared" ref="N26:N35" si="5">N8</f>
        <v>1027940.85</v>
      </c>
    </row>
    <row r="27" spans="1:14" x14ac:dyDescent="0.25">
      <c r="A27">
        <f t="shared" si="4"/>
        <v>2008</v>
      </c>
      <c r="H27" s="28">
        <f>H9/'Rate Class Customer Model'!B4</f>
        <v>11294.766965428937</v>
      </c>
      <c r="I27" s="28">
        <f>I9/'Rate Class Customer Model'!C4</f>
        <v>33970.910287081337</v>
      </c>
      <c r="J27" s="28">
        <f>J9/'Rate Class Customer Model'!D4</f>
        <v>620128.84342465759</v>
      </c>
      <c r="K27" s="28">
        <f>K9/'Rate Class Customer Model'!E4</f>
        <v>667.80440860215049</v>
      </c>
      <c r="L27" s="28">
        <f>L9/'Rate Class Customer Model'!F4</f>
        <v>592.69659969088104</v>
      </c>
      <c r="M27" s="28">
        <f>M9/'Rate Class Customer Model'!G4</f>
        <v>6050.1785714285716</v>
      </c>
      <c r="N27" s="28">
        <f t="shared" si="5"/>
        <v>1051589.3999999999</v>
      </c>
    </row>
    <row r="28" spans="1:14" x14ac:dyDescent="0.25">
      <c r="A28">
        <f t="shared" si="4"/>
        <v>2009</v>
      </c>
      <c r="H28" s="28">
        <f>H10/'Rate Class Customer Model'!B5</f>
        <v>11111.63651814084</v>
      </c>
      <c r="I28" s="28">
        <f>I10/'Rate Class Customer Model'!C5</f>
        <v>32881.2081871345</v>
      </c>
      <c r="J28" s="28">
        <f>J10/'Rate Class Customer Model'!D5</f>
        <v>659350.80847222218</v>
      </c>
      <c r="K28" s="28">
        <f>K10/'Rate Class Customer Model'!E5</f>
        <v>632.23367875647671</v>
      </c>
      <c r="L28" s="28">
        <f>L10/'Rate Class Customer Model'!F5</f>
        <v>600.72822857142864</v>
      </c>
      <c r="M28" s="28">
        <f>M10/'Rate Class Customer Model'!G5</f>
        <v>5947.9518072289156</v>
      </c>
      <c r="N28" s="28">
        <f t="shared" si="5"/>
        <v>953373.4</v>
      </c>
    </row>
    <row r="29" spans="1:14" x14ac:dyDescent="0.25">
      <c r="A29">
        <f t="shared" si="4"/>
        <v>2010</v>
      </c>
      <c r="H29" s="28">
        <f>H11/'Rate Class Customer Model'!B6</f>
        <v>10866.629274778401</v>
      </c>
      <c r="I29" s="28">
        <f>I11/'Rate Class Customer Model'!C6</f>
        <v>33744.363005780346</v>
      </c>
      <c r="J29" s="28">
        <f>J11/'Rate Class Customer Model'!D6</f>
        <v>751893.69294117636</v>
      </c>
      <c r="K29" s="28">
        <f>K11/'Rate Class Customer Model'!E6</f>
        <v>580.61054726368161</v>
      </c>
      <c r="L29" s="28">
        <f>L11/'Rate Class Customer Model'!F6</f>
        <v>588.47597765363128</v>
      </c>
      <c r="M29" s="28">
        <f>M11/'Rate Class Customer Model'!G6</f>
        <v>6020.4878048780483</v>
      </c>
      <c r="N29" s="28">
        <f t="shared" si="5"/>
        <v>1026508.4</v>
      </c>
    </row>
    <row r="30" spans="1:14" x14ac:dyDescent="0.25">
      <c r="A30">
        <f t="shared" si="4"/>
        <v>2011</v>
      </c>
      <c r="H30" s="28">
        <f>H12/'Rate Class Customer Model'!B7</f>
        <v>10893.251293272371</v>
      </c>
      <c r="I30" s="28">
        <f>I12/'Rate Class Customer Model'!C7</f>
        <v>34094.526026785716</v>
      </c>
      <c r="J30" s="28">
        <f>J12/'Rate Class Customer Model'!D7</f>
        <v>745099.78283582092</v>
      </c>
      <c r="K30" s="28">
        <f>K12/'Rate Class Customer Model'!E7</f>
        <v>489.95920000000001</v>
      </c>
      <c r="L30" s="28">
        <f>L12/'Rate Class Customer Model'!F7</f>
        <v>534.22632331378293</v>
      </c>
      <c r="M30" s="28">
        <f>M12/'Rate Class Customer Model'!G7</f>
        <v>6040.8888888888887</v>
      </c>
      <c r="N30" s="28">
        <f t="shared" si="5"/>
        <v>976170.4</v>
      </c>
    </row>
    <row r="31" spans="1:14" x14ac:dyDescent="0.25">
      <c r="A31">
        <f t="shared" si="4"/>
        <v>2012</v>
      </c>
      <c r="H31" s="28">
        <f>H13/'Rate Class Customer Model'!B8</f>
        <v>10395.464483160506</v>
      </c>
      <c r="I31" s="28">
        <f>I13/'Rate Class Customer Model'!C8</f>
        <v>33623.417783857731</v>
      </c>
      <c r="J31" s="28">
        <f>J13/'Rate Class Customer Model'!D8</f>
        <v>752953.7668711656</v>
      </c>
      <c r="K31" s="28">
        <f>K13/'Rate Class Customer Model'!E8</f>
        <v>658.7497683901621</v>
      </c>
      <c r="L31" s="28">
        <f>L13/'Rate Class Customer Model'!F8</f>
        <v>575.40646645905156</v>
      </c>
      <c r="M31" s="28">
        <f>M13/'Rate Class Customer Model'!G8</f>
        <v>6080.421610169491</v>
      </c>
      <c r="N31" s="28">
        <f t="shared" si="5"/>
        <v>984206.4</v>
      </c>
    </row>
    <row r="32" spans="1:14" x14ac:dyDescent="0.25">
      <c r="A32">
        <f t="shared" si="4"/>
        <v>2013</v>
      </c>
      <c r="H32" s="28">
        <f>H14/'Rate Class Customer Model'!B9</f>
        <v>10433.981806642691</v>
      </c>
      <c r="I32" s="28">
        <f>I14/'Rate Class Customer Model'!C9</f>
        <v>32491.962075322623</v>
      </c>
      <c r="J32" s="28">
        <f>J14/'Rate Class Customer Model'!D9</f>
        <v>760025.70149253728</v>
      </c>
      <c r="K32" s="28">
        <f>K14/'Rate Class Customer Model'!E9</f>
        <v>606.21389345296177</v>
      </c>
      <c r="L32" s="28">
        <f>L14/'Rate Class Customer Model'!F9</f>
        <v>517.74944769198646</v>
      </c>
      <c r="M32" s="28">
        <f>M14/'Rate Class Customer Model'!G9</f>
        <v>6068.2698174006446</v>
      </c>
      <c r="N32" s="28">
        <f t="shared" si="5"/>
        <v>1072122.3999999999</v>
      </c>
    </row>
    <row r="33" spans="1:14" x14ac:dyDescent="0.25">
      <c r="A33">
        <f t="shared" si="4"/>
        <v>2014</v>
      </c>
      <c r="H33" s="28">
        <f>H15/'Rate Class Customer Model'!B10</f>
        <v>10502.185399115502</v>
      </c>
      <c r="I33" s="28">
        <f>I15/'Rate Class Customer Model'!C10</f>
        <v>32304.706380832286</v>
      </c>
      <c r="J33" s="28">
        <f>J15/'Rate Class Customer Model'!D10</f>
        <v>753234.74218362279</v>
      </c>
      <c r="K33" s="28">
        <f>K15/'Rate Class Customer Model'!E10</f>
        <v>637.36350221347766</v>
      </c>
      <c r="L33" s="28">
        <f>L15/'Rate Class Customer Model'!F10</f>
        <v>556.06160742222119</v>
      </c>
      <c r="M33" s="28">
        <f>M15/'Rate Class Customer Model'!G10</f>
        <v>6129.2176405733189</v>
      </c>
      <c r="N33" s="28">
        <f t="shared" si="5"/>
        <v>1158298.98</v>
      </c>
    </row>
    <row r="34" spans="1:14" x14ac:dyDescent="0.25">
      <c r="A34">
        <f t="shared" si="4"/>
        <v>2015</v>
      </c>
      <c r="H34" s="28">
        <f>H16/'Rate Class Customer Model'!B11</f>
        <v>10163.312993792721</v>
      </c>
      <c r="I34" s="28">
        <f>I16/'Rate Class Customer Model'!C11</f>
        <v>34198.725743316398</v>
      </c>
      <c r="J34" s="28">
        <f>J16/'Rate Class Customer Model'!D11</f>
        <v>764143.72027972026</v>
      </c>
      <c r="K34" s="28">
        <f>K16/'Rate Class Customer Model'!E11</f>
        <v>624.65158371040729</v>
      </c>
      <c r="L34" s="28">
        <f>L16/'Rate Class Customer Model'!F11</f>
        <v>381.83964109053261</v>
      </c>
      <c r="M34" s="28">
        <f>M16/'Rate Class Customer Model'!G11</f>
        <v>6093.3157894736842</v>
      </c>
      <c r="N34" s="28">
        <f t="shared" si="5"/>
        <v>1016031</v>
      </c>
    </row>
    <row r="35" spans="1:14" x14ac:dyDescent="0.25">
      <c r="A35">
        <f t="shared" si="4"/>
        <v>2016</v>
      </c>
      <c r="H35" s="28">
        <f>H17/'Rate Class Customer Model'!B12</f>
        <v>9783.5020634911925</v>
      </c>
      <c r="I35" s="28">
        <f>I17/'Rate Class Customer Model'!C12</f>
        <v>32711.479576875772</v>
      </c>
      <c r="J35" s="28">
        <f>J17/'Rate Class Customer Model'!D12</f>
        <v>767108.36745314219</v>
      </c>
      <c r="K35" s="28">
        <f>K17/'Rate Class Customer Model'!E12</f>
        <v>640.07241344706472</v>
      </c>
      <c r="L35" s="28">
        <f>L17/'Rate Class Customer Model'!F12</f>
        <v>187.39723616042843</v>
      </c>
      <c r="M35" s="28">
        <f>M17/'Rate Class Customer Model'!G12</f>
        <v>6213.0205752212396</v>
      </c>
      <c r="N35" s="28">
        <f t="shared" si="5"/>
        <v>957045</v>
      </c>
    </row>
    <row r="36" spans="1:14" x14ac:dyDescent="0.25">
      <c r="A36">
        <f t="shared" si="4"/>
        <v>2017</v>
      </c>
      <c r="H36" s="22">
        <f>H35*$H$48</f>
        <v>9783.5020634911925</v>
      </c>
      <c r="I36" s="22">
        <f>I35*$I$48</f>
        <v>32711.479576875772</v>
      </c>
      <c r="J36" s="22">
        <f>J35*$J$48</f>
        <v>767108.36745314219</v>
      </c>
      <c r="K36" s="22">
        <f>K35*$K$48</f>
        <v>640.07241344706472</v>
      </c>
      <c r="L36" s="22">
        <f>L35*$L$48</f>
        <v>187.39723616042843</v>
      </c>
      <c r="M36" s="22">
        <f>M35*$M$48</f>
        <v>6213.0205752212396</v>
      </c>
      <c r="N36" s="22">
        <f>N35*$N$48</f>
        <v>957045</v>
      </c>
    </row>
    <row r="38" spans="1:14" x14ac:dyDescent="0.25">
      <c r="A38" s="35">
        <v>2007</v>
      </c>
      <c r="D38" s="6"/>
      <c r="H38" s="26"/>
      <c r="I38" s="26"/>
      <c r="J38" s="26"/>
      <c r="K38" s="26"/>
      <c r="L38" s="26"/>
      <c r="M38" s="26"/>
      <c r="N38" s="26"/>
    </row>
    <row r="39" spans="1:14" x14ac:dyDescent="0.25">
      <c r="A39" s="35">
        <v>2008</v>
      </c>
      <c r="D39" s="6"/>
      <c r="H39" s="26">
        <f>H27/H26</f>
        <v>0.98681436237361264</v>
      </c>
      <c r="I39" s="26">
        <f t="shared" ref="I39:N39" si="6">I27/I26</f>
        <v>0.97747120936897935</v>
      </c>
      <c r="J39" s="26">
        <f t="shared" si="6"/>
        <v>1.1197484645606788</v>
      </c>
      <c r="K39" s="26">
        <f t="shared" si="6"/>
        <v>0.98291237704853174</v>
      </c>
      <c r="L39" s="26">
        <f t="shared" si="6"/>
        <v>0.98614579034591665</v>
      </c>
      <c r="M39" s="26">
        <f t="shared" si="6"/>
        <v>1.0361210498045827</v>
      </c>
      <c r="N39" s="26">
        <f t="shared" si="6"/>
        <v>1.0230057497958174</v>
      </c>
    </row>
    <row r="40" spans="1:14" x14ac:dyDescent="0.25">
      <c r="A40" s="35">
        <v>2009</v>
      </c>
      <c r="D40" s="6"/>
      <c r="H40" s="26">
        <f t="shared" ref="H40:N46" si="7">H28/H27</f>
        <v>0.983786257135838</v>
      </c>
      <c r="I40" s="26">
        <f t="shared" si="7"/>
        <v>0.96792249337041658</v>
      </c>
      <c r="J40" s="26">
        <f t="shared" si="7"/>
        <v>1.0632480902371215</v>
      </c>
      <c r="K40" s="26">
        <f t="shared" si="7"/>
        <v>0.94673480829494594</v>
      </c>
      <c r="L40" s="26">
        <f t="shared" si="7"/>
        <v>1.0135509953739172</v>
      </c>
      <c r="M40" s="26">
        <f t="shared" si="7"/>
        <v>0.98310351289755105</v>
      </c>
      <c r="N40" s="26">
        <f t="shared" si="7"/>
        <v>0.90660232976863409</v>
      </c>
    </row>
    <row r="41" spans="1:14" x14ac:dyDescent="0.25">
      <c r="A41" s="35">
        <v>2010</v>
      </c>
      <c r="D41" s="6"/>
      <c r="H41" s="26">
        <f t="shared" si="7"/>
        <v>0.9779503907491538</v>
      </c>
      <c r="I41" s="26">
        <f t="shared" si="7"/>
        <v>1.026250702642477</v>
      </c>
      <c r="J41" s="26">
        <f t="shared" si="7"/>
        <v>1.1403545476548134</v>
      </c>
      <c r="K41" s="26">
        <f t="shared" si="7"/>
        <v>0.91834802031690055</v>
      </c>
      <c r="L41" s="26">
        <f t="shared" si="7"/>
        <v>0.97960433631205579</v>
      </c>
      <c r="M41" s="26">
        <f t="shared" si="7"/>
        <v>1.0121951219512195</v>
      </c>
      <c r="N41" s="26">
        <f t="shared" si="7"/>
        <v>1.0767118109231912</v>
      </c>
    </row>
    <row r="42" spans="1:14" x14ac:dyDescent="0.25">
      <c r="A42" s="35">
        <v>2011</v>
      </c>
      <c r="D42" s="6"/>
      <c r="H42" s="26">
        <f t="shared" si="7"/>
        <v>1.002449887432505</v>
      </c>
      <c r="I42" s="26">
        <f t="shared" si="7"/>
        <v>1.0103769337991471</v>
      </c>
      <c r="J42" s="26">
        <f t="shared" si="7"/>
        <v>0.99096426772941826</v>
      </c>
      <c r="K42" s="26">
        <f t="shared" si="7"/>
        <v>0.84386892781933442</v>
      </c>
      <c r="L42" s="26">
        <f t="shared" si="7"/>
        <v>0.90781330691500384</v>
      </c>
      <c r="M42" s="26">
        <f t="shared" si="7"/>
        <v>1.0033886098057221</v>
      </c>
      <c r="N42" s="26">
        <f t="shared" si="7"/>
        <v>0.95096192101301846</v>
      </c>
    </row>
    <row r="43" spans="1:14" x14ac:dyDescent="0.25">
      <c r="A43" s="35">
        <v>2012</v>
      </c>
      <c r="D43" s="6"/>
      <c r="H43" s="26">
        <f t="shared" si="7"/>
        <v>0.95430319225084825</v>
      </c>
      <c r="I43" s="26">
        <f t="shared" si="7"/>
        <v>0.98618229088863507</v>
      </c>
      <c r="J43" s="26">
        <f t="shared" si="7"/>
        <v>1.0105408486437248</v>
      </c>
      <c r="K43" s="26">
        <f t="shared" si="7"/>
        <v>1.3444992325690834</v>
      </c>
      <c r="L43" s="26">
        <f t="shared" si="7"/>
        <v>1.0770837028206135</v>
      </c>
      <c r="M43" s="26">
        <f t="shared" si="7"/>
        <v>1.0065441894409473</v>
      </c>
      <c r="N43" s="26">
        <f t="shared" si="7"/>
        <v>1.0082321693015892</v>
      </c>
    </row>
    <row r="44" spans="1:14" x14ac:dyDescent="0.25">
      <c r="A44" s="35">
        <v>2013</v>
      </c>
      <c r="D44" s="6"/>
      <c r="H44" s="26">
        <f t="shared" si="7"/>
        <v>1.0037052046634933</v>
      </c>
      <c r="I44" s="26">
        <f t="shared" si="7"/>
        <v>0.96634917616619243</v>
      </c>
      <c r="J44" s="26">
        <f t="shared" si="7"/>
        <v>1.0093922561152173</v>
      </c>
      <c r="K44" s="26">
        <f t="shared" si="7"/>
        <v>0.92024911816578503</v>
      </c>
      <c r="L44" s="26">
        <f t="shared" si="7"/>
        <v>0.89979775666777595</v>
      </c>
      <c r="M44" s="26">
        <f t="shared" si="7"/>
        <v>0.9980014884578855</v>
      </c>
      <c r="N44" s="26">
        <f t="shared" si="7"/>
        <v>1.0893267916160674</v>
      </c>
    </row>
    <row r="45" spans="1:14" x14ac:dyDescent="0.25">
      <c r="A45" s="35">
        <v>2014</v>
      </c>
      <c r="D45" s="6"/>
      <c r="H45" s="26">
        <f t="shared" si="7"/>
        <v>1.0065366792598192</v>
      </c>
      <c r="I45" s="26">
        <f t="shared" si="7"/>
        <v>0.99423686097945574</v>
      </c>
      <c r="J45" s="26">
        <f t="shared" si="7"/>
        <v>0.99106482939250817</v>
      </c>
      <c r="K45" s="26">
        <f t="shared" si="7"/>
        <v>1.0513838582337489</v>
      </c>
      <c r="L45" s="26">
        <f t="shared" si="7"/>
        <v>1.0739974902938514</v>
      </c>
      <c r="M45" s="26">
        <f t="shared" si="7"/>
        <v>1.0100436903774297</v>
      </c>
      <c r="N45" s="26">
        <f t="shared" si="7"/>
        <v>1.0803794230957213</v>
      </c>
    </row>
    <row r="46" spans="1:14" x14ac:dyDescent="0.25">
      <c r="A46" s="35">
        <v>2015</v>
      </c>
      <c r="D46" s="6"/>
      <c r="E46" s="6"/>
      <c r="F46" s="6"/>
      <c r="H46" s="26">
        <f t="shared" si="7"/>
        <v>0.96773315339192911</v>
      </c>
      <c r="I46" s="26">
        <f t="shared" si="7"/>
        <v>1.0586298274980734</v>
      </c>
      <c r="J46" s="26">
        <f t="shared" si="7"/>
        <v>1.014482839791049</v>
      </c>
      <c r="K46" s="26">
        <f t="shared" si="7"/>
        <v>0.98005546527386089</v>
      </c>
      <c r="L46" s="26">
        <f t="shared" si="7"/>
        <v>0.68668585637598123</v>
      </c>
      <c r="M46" s="26">
        <f t="shared" si="7"/>
        <v>0.99414250672680038</v>
      </c>
      <c r="N46" s="26">
        <f t="shared" si="7"/>
        <v>0.87717507961545471</v>
      </c>
    </row>
    <row r="47" spans="1:14" x14ac:dyDescent="0.25">
      <c r="A47" s="35">
        <v>2016</v>
      </c>
      <c r="D47" s="181"/>
      <c r="E47" s="181"/>
      <c r="F47" s="181"/>
      <c r="G47" s="181"/>
      <c r="H47" s="26">
        <f>H35/H34</f>
        <v>0.96262922036018184</v>
      </c>
      <c r="I47" s="26">
        <f t="shared" ref="I47:N47" si="8">I35/I34</f>
        <v>0.95651164965609037</v>
      </c>
      <c r="J47" s="26">
        <f t="shared" si="8"/>
        <v>1.0038796984058662</v>
      </c>
      <c r="K47" s="26">
        <f t="shared" si="8"/>
        <v>1.0246870897934146</v>
      </c>
      <c r="L47" s="26">
        <f t="shared" si="8"/>
        <v>0.49077470224207892</v>
      </c>
      <c r="M47" s="26">
        <f t="shared" si="8"/>
        <v>1.019645262100866</v>
      </c>
      <c r="N47" s="26">
        <f t="shared" si="8"/>
        <v>0.94194468475863435</v>
      </c>
    </row>
    <row r="48" spans="1:14" x14ac:dyDescent="0.25">
      <c r="A48" t="s">
        <v>16</v>
      </c>
      <c r="D48" s="6"/>
      <c r="H48" s="26">
        <v>1</v>
      </c>
      <c r="I48" s="26">
        <v>1</v>
      </c>
      <c r="J48" s="26">
        <v>1</v>
      </c>
      <c r="K48" s="26">
        <v>1</v>
      </c>
      <c r="L48" s="26">
        <v>1</v>
      </c>
      <c r="M48" s="26">
        <v>1</v>
      </c>
      <c r="N48" s="26">
        <v>1</v>
      </c>
    </row>
    <row r="49" spans="1:25" x14ac:dyDescent="0.25">
      <c r="A49" s="3"/>
      <c r="D49" s="6"/>
      <c r="H49" s="13"/>
      <c r="I49" s="13"/>
      <c r="L49" s="11"/>
      <c r="M49" s="11"/>
      <c r="N49" s="11"/>
    </row>
    <row r="50" spans="1:25" x14ac:dyDescent="0.25">
      <c r="A50" t="s">
        <v>14</v>
      </c>
      <c r="D50" s="6"/>
      <c r="H50" s="26">
        <f>GEOMEAN(H39:H47)</f>
        <v>0.98271607150046048</v>
      </c>
      <c r="I50" s="26">
        <f t="shared" ref="I50:N50" si="9">GEOMEAN(I39:I47)</f>
        <v>0.99329315354295411</v>
      </c>
      <c r="J50" s="26">
        <f t="shared" si="9"/>
        <v>1.036863761210618</v>
      </c>
      <c r="K50" s="26">
        <f t="shared" si="9"/>
        <v>0.99339421318209598</v>
      </c>
      <c r="L50" s="26">
        <f t="shared" si="9"/>
        <v>0.87854404878515469</v>
      </c>
      <c r="M50" s="26">
        <f t="shared" si="9"/>
        <v>1.0069175247064177</v>
      </c>
      <c r="N50" s="26">
        <f t="shared" si="9"/>
        <v>0.99209116371092065</v>
      </c>
      <c r="O50" s="166"/>
    </row>
    <row r="51" spans="1:25" x14ac:dyDescent="0.25">
      <c r="D51" s="6"/>
      <c r="H51" s="26"/>
      <c r="I51" s="26"/>
      <c r="J51" s="26"/>
      <c r="K51" s="26"/>
      <c r="L51" s="26"/>
      <c r="M51" s="26"/>
    </row>
    <row r="52" spans="1:25" ht="39.6" x14ac:dyDescent="0.25">
      <c r="A52" s="20" t="s">
        <v>43</v>
      </c>
      <c r="S52" s="45" t="s">
        <v>57</v>
      </c>
      <c r="T52" s="46" t="s">
        <v>58</v>
      </c>
      <c r="U52" s="46" t="s">
        <v>59</v>
      </c>
      <c r="V52" s="46" t="s">
        <v>68</v>
      </c>
      <c r="W52" s="46" t="s">
        <v>62</v>
      </c>
      <c r="X52" s="47" t="s">
        <v>60</v>
      </c>
      <c r="Y52" s="47" t="s">
        <v>116</v>
      </c>
    </row>
    <row r="53" spans="1:25" x14ac:dyDescent="0.25">
      <c r="A53">
        <v>2017</v>
      </c>
      <c r="G53" s="34">
        <f>SUM(H53:N53)</f>
        <v>245431463.6519163</v>
      </c>
      <c r="H53" s="34">
        <f>H36*'Rate Class Customer Model'!B13</f>
        <v>151246724.41984746</v>
      </c>
      <c r="I53" s="34">
        <f>I36*'Rate Class Customer Model'!C13</f>
        <v>34085676.442544013</v>
      </c>
      <c r="J53" s="34">
        <f>J36*'Rate Class Customer Model'!D13</f>
        <v>58031490.144492321</v>
      </c>
      <c r="K53" s="34">
        <f>K36*'Rate Class Customer Model'!E13</f>
        <v>104784.66677941773</v>
      </c>
      <c r="L53" s="34">
        <f>L36*'Rate Class Customer Model'!F13</f>
        <v>546843.11902564298</v>
      </c>
      <c r="M53" s="34">
        <f>M36*'Rate Class Customer Model'!G13</f>
        <v>458899.85922741913</v>
      </c>
      <c r="N53" s="34">
        <f>N36</f>
        <v>957045</v>
      </c>
      <c r="O53" s="104">
        <f>SUM(H53:N53)</f>
        <v>245431463.6519163</v>
      </c>
      <c r="P53" s="104"/>
      <c r="S53" s="166">
        <f>H53/O53</f>
        <v>0.61624830887352511</v>
      </c>
      <c r="T53" s="166">
        <f>I53/O53</f>
        <v>0.13888063060605016</v>
      </c>
      <c r="U53" s="166">
        <f>J53/O53</f>
        <v>0.236446824221346</v>
      </c>
      <c r="V53" s="166">
        <f>K53/O53</f>
        <v>4.2694064249247529E-4</v>
      </c>
      <c r="W53" s="166">
        <f>L53/O53</f>
        <v>2.2280888965450834E-3</v>
      </c>
      <c r="X53" s="166">
        <f>M53/O53</f>
        <v>1.8697678463844181E-3</v>
      </c>
      <c r="Y53" s="166">
        <f>N53/O53</f>
        <v>3.8994389136566905E-3</v>
      </c>
    </row>
    <row r="54" spans="1:25" x14ac:dyDescent="0.25">
      <c r="G54" s="34"/>
      <c r="H54" s="164"/>
      <c r="I54" s="164"/>
      <c r="J54" s="164"/>
      <c r="K54" s="164"/>
      <c r="L54" s="164"/>
      <c r="M54" s="164"/>
      <c r="N54" s="164"/>
    </row>
    <row r="55" spans="1:25" x14ac:dyDescent="0.25">
      <c r="A55" s="20" t="s">
        <v>42</v>
      </c>
      <c r="G55" s="34"/>
      <c r="H55" s="34"/>
      <c r="I55" s="34"/>
      <c r="J55" s="34"/>
      <c r="K55" s="34"/>
      <c r="L55" s="34"/>
      <c r="M55" s="34"/>
      <c r="P55" t="s">
        <v>132</v>
      </c>
      <c r="Q55" s="1"/>
      <c r="R55" s="1"/>
    </row>
    <row r="56" spans="1:25" x14ac:dyDescent="0.25">
      <c r="A56">
        <v>2017</v>
      </c>
      <c r="G56" s="55">
        <f>G18</f>
        <v>241430750.96541911</v>
      </c>
      <c r="H56" s="34">
        <f t="shared" ref="H56:N56" si="10">H53+H63+H67</f>
        <v>148389788.31039718</v>
      </c>
      <c r="I56" s="34">
        <f t="shared" si="10"/>
        <v>32701037.377750032</v>
      </c>
      <c r="J56" s="34">
        <f t="shared" si="10"/>
        <v>56130544.059063353</v>
      </c>
      <c r="K56" s="34">
        <f t="shared" si="10"/>
        <v>104784.66677941773</v>
      </c>
      <c r="L56" s="34">
        <f t="shared" si="10"/>
        <v>546843.11902564298</v>
      </c>
      <c r="M56" s="34">
        <f t="shared" si="10"/>
        <v>458899.85922741913</v>
      </c>
      <c r="N56" s="34">
        <f t="shared" si="10"/>
        <v>957045</v>
      </c>
      <c r="O56" s="34">
        <f>SUM(H56:N56)</f>
        <v>239288942.39224306</v>
      </c>
      <c r="P56" s="104">
        <f>G56-O56</f>
        <v>2141808.5731760561</v>
      </c>
      <c r="Q56" s="104">
        <f>P56+G67</f>
        <v>0</v>
      </c>
      <c r="R56" s="104"/>
      <c r="S56" s="166">
        <f>H56/O56</f>
        <v>0.62012806286366651</v>
      </c>
      <c r="T56" s="166">
        <f>I56/O56</f>
        <v>0.13665920811395624</v>
      </c>
      <c r="U56" s="166">
        <f>J56/O56</f>
        <v>0.23457224348902014</v>
      </c>
      <c r="V56" s="166">
        <f>K56/O56</f>
        <v>4.3790016258943732E-4</v>
      </c>
      <c r="W56" s="166">
        <f>L56/O56</f>
        <v>2.2852836974357818E-3</v>
      </c>
      <c r="X56" s="166">
        <f>M56/O56</f>
        <v>1.9177645846885365E-3</v>
      </c>
      <c r="Y56" s="166">
        <f>N56/O56</f>
        <v>3.9995370886432742E-3</v>
      </c>
    </row>
    <row r="57" spans="1:25" x14ac:dyDescent="0.25">
      <c r="G57"/>
      <c r="H57" s="164"/>
      <c r="I57" s="164"/>
      <c r="J57" s="164"/>
      <c r="K57" s="164"/>
      <c r="L57" s="164"/>
      <c r="M57" s="164"/>
      <c r="N57" s="164"/>
      <c r="O57" s="34"/>
      <c r="P57" s="104"/>
      <c r="Q57" s="111"/>
      <c r="R57" s="104"/>
      <c r="S57" s="34"/>
    </row>
    <row r="58" spans="1:25" x14ac:dyDescent="0.25">
      <c r="G58" s="34"/>
      <c r="H58" s="34"/>
      <c r="I58" s="34"/>
      <c r="J58" s="34"/>
      <c r="K58" s="34"/>
      <c r="L58" s="34"/>
      <c r="M58" s="34"/>
    </row>
    <row r="59" spans="1:25" x14ac:dyDescent="0.25">
      <c r="A59" s="50" t="s">
        <v>44</v>
      </c>
      <c r="G59" s="34"/>
      <c r="H59" s="56">
        <f>(100%+J59)/2</f>
        <v>0.82499999999999996</v>
      </c>
      <c r="I59" s="56">
        <f>H59</f>
        <v>0.82499999999999996</v>
      </c>
      <c r="J59" s="56">
        <v>0.65</v>
      </c>
      <c r="K59" s="56"/>
      <c r="L59" s="56"/>
      <c r="M59" s="56"/>
      <c r="N59" s="56"/>
    </row>
    <row r="60" spans="1:25" x14ac:dyDescent="0.25">
      <c r="A60">
        <v>2017</v>
      </c>
      <c r="G60" s="34">
        <f>G56-G53</f>
        <v>-4000712.6864971817</v>
      </c>
      <c r="H60" s="34">
        <f>H53*$H$59</f>
        <v>124778547.64637415</v>
      </c>
      <c r="I60" s="34">
        <f>I53*$I$59</f>
        <v>28120683.065098811</v>
      </c>
      <c r="J60" s="34">
        <f>J53*$J$59</f>
        <v>37720468.593920007</v>
      </c>
      <c r="K60" s="34">
        <f>K53*$K$59</f>
        <v>0</v>
      </c>
      <c r="L60" s="34">
        <f>L53*$L$59</f>
        <v>0</v>
      </c>
      <c r="M60" s="34">
        <f>M53*$M$59</f>
        <v>0</v>
      </c>
      <c r="N60" s="34">
        <f>N53*$N$59</f>
        <v>0</v>
      </c>
      <c r="O60" s="104">
        <f>SUM(H60:M60)</f>
        <v>190619699.30539298</v>
      </c>
    </row>
    <row r="61" spans="1:25" x14ac:dyDescent="0.25">
      <c r="G61" s="34"/>
      <c r="H61" s="34"/>
      <c r="I61" s="34"/>
      <c r="J61" s="34"/>
      <c r="K61" s="34"/>
      <c r="L61" s="34"/>
      <c r="M61" s="34"/>
      <c r="N61" s="34"/>
      <c r="O61" s="104"/>
    </row>
    <row r="62" spans="1:25" x14ac:dyDescent="0.25">
      <c r="A62" t="s">
        <v>45</v>
      </c>
      <c r="G62" s="34"/>
      <c r="H62" s="34"/>
      <c r="I62" s="34"/>
      <c r="J62" s="34"/>
      <c r="K62" s="34"/>
      <c r="L62" s="34"/>
      <c r="M62" s="34"/>
    </row>
    <row r="63" spans="1:25" x14ac:dyDescent="0.25">
      <c r="A63">
        <v>2017</v>
      </c>
      <c r="H63" s="34">
        <f t="shared" ref="H63:N63" si="11">H60/$O$60*$G$60</f>
        <v>-2618843.2800524239</v>
      </c>
      <c r="I63" s="34">
        <f t="shared" si="11"/>
        <v>-590194.89539360721</v>
      </c>
      <c r="J63" s="34">
        <f t="shared" si="11"/>
        <v>-791674.51105115027</v>
      </c>
      <c r="K63" s="34">
        <f t="shared" si="11"/>
        <v>0</v>
      </c>
      <c r="L63" s="34">
        <f t="shared" si="11"/>
        <v>0</v>
      </c>
      <c r="M63" s="34">
        <f t="shared" si="11"/>
        <v>0</v>
      </c>
      <c r="N63" s="34">
        <f t="shared" si="11"/>
        <v>0</v>
      </c>
      <c r="O63" s="104">
        <f>SUM(H63:M63)</f>
        <v>-4000712.6864971817</v>
      </c>
    </row>
    <row r="64" spans="1:25" x14ac:dyDescent="0.25">
      <c r="G64" s="159"/>
      <c r="H64" s="34"/>
      <c r="I64" s="34"/>
      <c r="J64" s="34"/>
      <c r="K64" s="34"/>
      <c r="L64" s="34"/>
      <c r="M64" s="34"/>
      <c r="N64" s="34"/>
      <c r="O64" s="104"/>
    </row>
    <row r="65" spans="6:20" x14ac:dyDescent="0.25">
      <c r="G65" s="159"/>
      <c r="H65" s="34"/>
      <c r="I65" s="34"/>
      <c r="J65" s="34"/>
      <c r="K65" s="34"/>
      <c r="L65" s="34"/>
      <c r="M65" s="34"/>
      <c r="N65" s="34"/>
      <c r="O65" s="104"/>
    </row>
    <row r="66" spans="6:20" x14ac:dyDescent="0.25">
      <c r="F66" s="153" t="s">
        <v>132</v>
      </c>
      <c r="H66" s="109"/>
    </row>
    <row r="67" spans="6:20" x14ac:dyDescent="0.25">
      <c r="F67" s="1">
        <v>2017</v>
      </c>
      <c r="G67" s="109">
        <f>-(H73*0.5+H74*0.5)</f>
        <v>-2141808.573176058</v>
      </c>
      <c r="H67" s="109">
        <f>-(H80*0.5+H81*0.5)</f>
        <v>-238092.82939786199</v>
      </c>
      <c r="I67" s="109">
        <f>-(H85*0.5+H86*0.5)</f>
        <v>-794444.16940037627</v>
      </c>
      <c r="J67" s="109">
        <f>-(0.5*(H90+H91)+H92*0.5)</f>
        <v>-1109271.5743778197</v>
      </c>
      <c r="K67" s="109">
        <v>0</v>
      </c>
      <c r="L67" s="109">
        <v>0</v>
      </c>
      <c r="M67" s="109">
        <v>0</v>
      </c>
      <c r="N67" s="109">
        <v>0</v>
      </c>
      <c r="O67" s="109">
        <f>SUM(H67:N67)</f>
        <v>-2141808.573176058</v>
      </c>
      <c r="P67" s="159">
        <f>G67-O67</f>
        <v>0</v>
      </c>
      <c r="Q67" s="6"/>
      <c r="R67" s="6"/>
      <c r="S67" s="6"/>
      <c r="T67" s="6"/>
    </row>
    <row r="68" spans="6:20" x14ac:dyDescent="0.25">
      <c r="G68" s="109"/>
      <c r="H68" s="109"/>
      <c r="I68" s="109"/>
      <c r="J68" s="109"/>
      <c r="K68" s="109"/>
      <c r="L68" s="109"/>
      <c r="M68" s="109"/>
      <c r="N68" s="109"/>
      <c r="O68" s="111"/>
      <c r="P68" s="159"/>
      <c r="Q68" s="159"/>
      <c r="R68" s="159"/>
      <c r="S68" s="159"/>
      <c r="T68" s="159"/>
    </row>
    <row r="69" spans="6:20" ht="12" customHeight="1" x14ac:dyDescent="0.25">
      <c r="P69" s="6"/>
      <c r="Q69" s="6"/>
      <c r="R69" s="6"/>
      <c r="S69" s="6"/>
      <c r="T69" s="6"/>
    </row>
    <row r="71" spans="6:20" x14ac:dyDescent="0.25">
      <c r="G71" s="327" t="s">
        <v>137</v>
      </c>
      <c r="H71" s="327"/>
      <c r="I71"/>
      <c r="J71"/>
      <c r="K71"/>
      <c r="L71"/>
      <c r="M71"/>
    </row>
    <row r="72" spans="6:20" x14ac:dyDescent="0.25">
      <c r="G72" s="1">
        <v>2016</v>
      </c>
      <c r="H72" s="1">
        <v>2017</v>
      </c>
      <c r="I72"/>
      <c r="J72"/>
      <c r="K72"/>
      <c r="L72"/>
      <c r="M72"/>
    </row>
    <row r="73" spans="6:20" x14ac:dyDescent="0.25">
      <c r="F73" s="1" t="s">
        <v>134</v>
      </c>
      <c r="G73" s="28">
        <f>'[8]CDM Plan Summary'!D20*1000</f>
        <v>3143714.4894793103</v>
      </c>
      <c r="H73" s="28">
        <f>G73</f>
        <v>3143714.4894793103</v>
      </c>
      <c r="I73"/>
      <c r="J73"/>
      <c r="K73"/>
      <c r="L73"/>
      <c r="M73"/>
    </row>
    <row r="74" spans="6:20" x14ac:dyDescent="0.25">
      <c r="F74" s="1" t="s">
        <v>135</v>
      </c>
      <c r="G74" s="28"/>
      <c r="H74" s="28">
        <f>'[8]CDM Plan Summary'!D21*1000</f>
        <v>1139902.6568728054</v>
      </c>
      <c r="I74"/>
      <c r="J74"/>
      <c r="K74"/>
      <c r="L74"/>
      <c r="M74"/>
    </row>
    <row r="75" spans="6:20" x14ac:dyDescent="0.25">
      <c r="F75" s="1" t="s">
        <v>136</v>
      </c>
      <c r="G75" s="6">
        <f>G73</f>
        <v>3143714.4894793103</v>
      </c>
      <c r="H75" s="6">
        <f>H74</f>
        <v>1139902.6568728054</v>
      </c>
      <c r="I75"/>
      <c r="J75"/>
      <c r="K75"/>
      <c r="L75"/>
      <c r="M75"/>
    </row>
    <row r="76" spans="6:20" x14ac:dyDescent="0.25">
      <c r="G76" s="159"/>
      <c r="H76" s="159"/>
      <c r="I76"/>
      <c r="J76"/>
      <c r="K76"/>
      <c r="L76"/>
      <c r="M76"/>
    </row>
    <row r="77" spans="6:20" x14ac:dyDescent="0.25">
      <c r="F77" s="153" t="s">
        <v>144</v>
      </c>
      <c r="G77" s="163">
        <v>0.22964187470247915</v>
      </c>
      <c r="H77" s="163">
        <v>0.19579380458424031</v>
      </c>
      <c r="I77"/>
      <c r="J77"/>
      <c r="K77"/>
      <c r="L77"/>
      <c r="M77"/>
    </row>
    <row r="78" spans="6:20" x14ac:dyDescent="0.25">
      <c r="I78"/>
      <c r="J78"/>
      <c r="K78"/>
      <c r="L78"/>
      <c r="M78"/>
    </row>
    <row r="79" spans="6:20" x14ac:dyDescent="0.25">
      <c r="F79"/>
      <c r="G79" s="327" t="s">
        <v>138</v>
      </c>
      <c r="H79" s="327"/>
      <c r="I79" s="327"/>
      <c r="J79"/>
      <c r="K79"/>
      <c r="L79"/>
      <c r="M79"/>
    </row>
    <row r="80" spans="6:20" x14ac:dyDescent="0.25">
      <c r="F80" s="1" t="s">
        <v>134</v>
      </c>
      <c r="G80" s="6">
        <f>(G73-G91) * G77</f>
        <v>252999.78075091357</v>
      </c>
      <c r="H80" s="6">
        <f>G80</f>
        <v>252999.78075091357</v>
      </c>
      <c r="I80"/>
      <c r="J80"/>
      <c r="K80"/>
      <c r="L80"/>
      <c r="M80"/>
    </row>
    <row r="81" spans="6:15" x14ac:dyDescent="0.25">
      <c r="F81" s="1" t="s">
        <v>135</v>
      </c>
      <c r="H81" s="6">
        <f>H74*H77</f>
        <v>223185.87804481041</v>
      </c>
      <c r="I81"/>
      <c r="J81"/>
      <c r="K81"/>
      <c r="L81"/>
      <c r="M81"/>
    </row>
    <row r="82" spans="6:15" x14ac:dyDescent="0.25">
      <c r="F82" s="1" t="s">
        <v>136</v>
      </c>
      <c r="G82" s="6">
        <f>G80</f>
        <v>252999.78075091357</v>
      </c>
      <c r="H82" s="6">
        <f>H81</f>
        <v>223185.87804481041</v>
      </c>
      <c r="I82"/>
      <c r="J82"/>
      <c r="K82"/>
      <c r="L82"/>
      <c r="M82"/>
    </row>
    <row r="83" spans="6:15" x14ac:dyDescent="0.25">
      <c r="I83"/>
      <c r="J83"/>
      <c r="K83"/>
      <c r="L83"/>
      <c r="M83"/>
    </row>
    <row r="84" spans="6:15" x14ac:dyDescent="0.25">
      <c r="G84" s="327" t="s">
        <v>139</v>
      </c>
      <c r="H84" s="327"/>
      <c r="I84" s="327"/>
      <c r="J84"/>
      <c r="K84"/>
      <c r="L84"/>
      <c r="M84"/>
    </row>
    <row r="85" spans="6:15" x14ac:dyDescent="0.25">
      <c r="F85" s="1" t="s">
        <v>134</v>
      </c>
      <c r="G85" s="6">
        <f>($G$73-$G$80-$G$91) * 90%</f>
        <v>763843.23785555712</v>
      </c>
      <c r="H85" s="6">
        <f>G85</f>
        <v>763843.23785555712</v>
      </c>
      <c r="I85"/>
      <c r="J85"/>
      <c r="K85"/>
      <c r="L85"/>
      <c r="M85"/>
    </row>
    <row r="86" spans="6:15" x14ac:dyDescent="0.25">
      <c r="F86" s="1" t="s">
        <v>135</v>
      </c>
      <c r="H86" s="6">
        <f>(H74-H81)*90%</f>
        <v>825045.10094519553</v>
      </c>
      <c r="I86"/>
      <c r="J86"/>
      <c r="K86"/>
      <c r="L86"/>
      <c r="M86"/>
    </row>
    <row r="87" spans="6:15" x14ac:dyDescent="0.25">
      <c r="F87" s="1" t="s">
        <v>136</v>
      </c>
      <c r="G87" s="6">
        <f>G85</f>
        <v>763843.23785555712</v>
      </c>
      <c r="H87" s="6">
        <f>H86</f>
        <v>825045.10094519553</v>
      </c>
      <c r="I87"/>
      <c r="J87"/>
      <c r="K87"/>
      <c r="L87"/>
      <c r="M87"/>
    </row>
    <row r="88" spans="6:15" x14ac:dyDescent="0.25">
      <c r="I88"/>
      <c r="J88"/>
      <c r="K88"/>
      <c r="L88"/>
      <c r="M88"/>
    </row>
    <row r="89" spans="6:15" x14ac:dyDescent="0.25">
      <c r="G89" s="327" t="s">
        <v>140</v>
      </c>
      <c r="H89" s="327"/>
      <c r="I89" s="327"/>
      <c r="J89"/>
      <c r="K89"/>
      <c r="L89"/>
      <c r="M89"/>
    </row>
    <row r="90" spans="6:15" x14ac:dyDescent="0.25">
      <c r="F90" s="153" t="s">
        <v>134</v>
      </c>
      <c r="G90" s="159">
        <f>($G$73-$G$80-$G$91) * 10%</f>
        <v>84871.47087283968</v>
      </c>
      <c r="H90" s="159">
        <f>G90</f>
        <v>84871.47087283968</v>
      </c>
      <c r="I90"/>
      <c r="J90"/>
      <c r="K90"/>
      <c r="L90"/>
      <c r="M90"/>
    </row>
    <row r="91" spans="6:15" x14ac:dyDescent="0.25">
      <c r="F91" s="153" t="s">
        <v>145</v>
      </c>
      <c r="G91" s="28">
        <v>2042000</v>
      </c>
      <c r="H91" s="6">
        <f>G91</f>
        <v>2042000</v>
      </c>
      <c r="I91"/>
      <c r="J91"/>
      <c r="K91"/>
      <c r="L91"/>
      <c r="M91"/>
    </row>
    <row r="92" spans="6:15" x14ac:dyDescent="0.25">
      <c r="F92" s="1" t="s">
        <v>135</v>
      </c>
      <c r="H92" s="6">
        <f>H74-H81-H86</f>
        <v>91671.677882799529</v>
      </c>
      <c r="I92"/>
      <c r="J92"/>
      <c r="K92"/>
      <c r="L92"/>
      <c r="M92"/>
    </row>
    <row r="93" spans="6:15" x14ac:dyDescent="0.25">
      <c r="F93" s="1" t="s">
        <v>136</v>
      </c>
      <c r="G93" s="6">
        <f>G91+G90</f>
        <v>2126871.4708728399</v>
      </c>
      <c r="H93" s="6">
        <f>H92</f>
        <v>91671.677882799529</v>
      </c>
      <c r="I93"/>
      <c r="J93"/>
      <c r="K93"/>
      <c r="L93"/>
      <c r="M93"/>
    </row>
    <row r="94" spans="6:15" x14ac:dyDescent="0.25">
      <c r="I94"/>
      <c r="J94"/>
      <c r="K94"/>
      <c r="L94"/>
      <c r="M94"/>
    </row>
    <row r="95" spans="6:15" x14ac:dyDescent="0.25">
      <c r="I95"/>
      <c r="J95"/>
      <c r="K95"/>
      <c r="L95"/>
      <c r="M95"/>
      <c r="O95" s="162">
        <f>N95-M95</f>
        <v>0</v>
      </c>
    </row>
    <row r="96" spans="6:15" x14ac:dyDescent="0.25">
      <c r="I96"/>
      <c r="J96"/>
      <c r="K96"/>
      <c r="L96"/>
      <c r="M96"/>
    </row>
    <row r="97" spans="6:13" x14ac:dyDescent="0.25">
      <c r="I97"/>
      <c r="J97"/>
      <c r="K97"/>
      <c r="L97"/>
      <c r="M97"/>
    </row>
    <row r="98" spans="6:13" x14ac:dyDescent="0.25">
      <c r="F98" s="1" t="s">
        <v>134</v>
      </c>
      <c r="G98" s="28">
        <f>G80+G85+G90+G91</f>
        <v>3143714.4894793103</v>
      </c>
      <c r="H98" s="28">
        <f>H80+H85+H90+H91</f>
        <v>3143714.4894793103</v>
      </c>
      <c r="I98"/>
      <c r="J98"/>
      <c r="K98"/>
      <c r="L98"/>
      <c r="M98"/>
    </row>
    <row r="99" spans="6:13" x14ac:dyDescent="0.25">
      <c r="F99" s="1" t="s">
        <v>135</v>
      </c>
      <c r="G99" s="28"/>
      <c r="H99" s="28">
        <f>H81+H86+H92</f>
        <v>1139902.6568728054</v>
      </c>
      <c r="I99"/>
      <c r="J99"/>
      <c r="K99"/>
      <c r="L99"/>
      <c r="M99"/>
    </row>
    <row r="100" spans="6:13" x14ac:dyDescent="0.25">
      <c r="I100"/>
      <c r="J100"/>
      <c r="K100"/>
      <c r="L100"/>
      <c r="M100"/>
    </row>
    <row r="101" spans="6:13" x14ac:dyDescent="0.25">
      <c r="F101" s="153" t="s">
        <v>146</v>
      </c>
      <c r="G101" s="159">
        <f>G73-G98</f>
        <v>0</v>
      </c>
      <c r="H101" s="159">
        <f>H73-H98</f>
        <v>0</v>
      </c>
      <c r="I101"/>
      <c r="J101"/>
      <c r="K101"/>
      <c r="L101"/>
      <c r="M101"/>
    </row>
    <row r="102" spans="6:13" x14ac:dyDescent="0.25">
      <c r="H102" s="159">
        <f>H74-H99</f>
        <v>0</v>
      </c>
      <c r="I102"/>
      <c r="J102"/>
      <c r="K102"/>
      <c r="L102"/>
      <c r="M102"/>
    </row>
    <row r="103" spans="6:13" x14ac:dyDescent="0.25">
      <c r="J103"/>
      <c r="K103"/>
      <c r="L103"/>
      <c r="M103"/>
    </row>
    <row r="104" spans="6:13" x14ac:dyDescent="0.25">
      <c r="J104"/>
      <c r="K104"/>
      <c r="L104"/>
      <c r="M104"/>
    </row>
    <row r="105" spans="6:13" x14ac:dyDescent="0.25">
      <c r="J105"/>
      <c r="K105"/>
      <c r="L105"/>
      <c r="M105"/>
    </row>
    <row r="106" spans="6:13" x14ac:dyDescent="0.25">
      <c r="J106"/>
      <c r="K106"/>
      <c r="L106"/>
      <c r="M106"/>
    </row>
    <row r="107" spans="6:13" x14ac:dyDescent="0.25">
      <c r="J107"/>
      <c r="K107"/>
      <c r="L107"/>
      <c r="M107"/>
    </row>
    <row r="108" spans="6:13" x14ac:dyDescent="0.25">
      <c r="J108"/>
      <c r="K108"/>
      <c r="L108"/>
      <c r="M108"/>
    </row>
    <row r="109" spans="6:13" x14ac:dyDescent="0.25">
      <c r="J109"/>
      <c r="K109"/>
      <c r="L109"/>
      <c r="M109"/>
    </row>
    <row r="110" spans="6:13" x14ac:dyDescent="0.25">
      <c r="J110"/>
      <c r="K110"/>
      <c r="L110"/>
      <c r="M110"/>
    </row>
  </sheetData>
  <phoneticPr fontId="0" type="noConversion"/>
  <printOptions horizontalCentered="1"/>
  <pageMargins left="0.19685039370078741" right="0.19685039370078741" top="0.31496062992125984" bottom="0.35433070866141736" header="0.51181102362204722" footer="0.15748031496062992"/>
  <pageSetup paperSize="17" scale="65" fitToHeight="3" orientation="landscape" verticalDpi="300" r:id="rId1"/>
  <headerFooter alignWithMargins="0">
    <oddFooter>&amp;L&amp;A&amp;R&amp;P</oddFooter>
  </headerFooter>
  <rowBreaks count="1" manualBreakCount="1">
    <brk id="61" max="2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79"/>
  <sheetViews>
    <sheetView topLeftCell="A10" workbookViewId="0">
      <selection activeCell="M30" sqref="M30"/>
    </sheetView>
  </sheetViews>
  <sheetFormatPr defaultRowHeight="13.2" x14ac:dyDescent="0.25"/>
  <cols>
    <col min="1" max="1" width="11" customWidth="1"/>
    <col min="2" max="2" width="15" style="6" customWidth="1"/>
    <col min="3" max="4" width="14.109375" style="6" bestFit="1" customWidth="1"/>
    <col min="5" max="5" width="14.109375" style="6" customWidth="1"/>
    <col min="6" max="6" width="17.5546875" style="6" customWidth="1"/>
    <col min="7" max="7" width="12.5546875" style="6" customWidth="1"/>
    <col min="8" max="8" width="12.6640625" style="6" bestFit="1" customWidth="1"/>
    <col min="9" max="9" width="4.6640625" style="6" customWidth="1"/>
    <col min="10" max="10" width="11.6640625" style="6" bestFit="1" customWidth="1"/>
    <col min="11" max="11" width="10.6640625" style="6" bestFit="1" customWidth="1"/>
    <col min="12" max="13" width="9.109375" style="6"/>
  </cols>
  <sheetData>
    <row r="2" spans="1:14" ht="54.6" customHeight="1" x14ac:dyDescent="0.25">
      <c r="B2" s="9" t="str">
        <f>'Rate Class Energy Model'!H3</f>
        <v>Residential</v>
      </c>
      <c r="C2" s="9" t="str">
        <f>'Rate Class Energy Model'!I3</f>
        <v>GS&lt;50</v>
      </c>
      <c r="D2" s="9" t="str">
        <f>'Rate Class Energy Model'!J3</f>
        <v>GS&gt;50</v>
      </c>
      <c r="E2" s="9" t="str">
        <f>'Rate Class Energy Model'!K3</f>
        <v>Sentinels</v>
      </c>
      <c r="F2" s="9" t="str">
        <f>'Rate Class Energy Model'!L3</f>
        <v>Streetlights</v>
      </c>
      <c r="G2" s="9" t="str">
        <f>'Rate Class Energy Model'!M3</f>
        <v>USL</v>
      </c>
      <c r="H2" s="6" t="s">
        <v>9</v>
      </c>
      <c r="J2" s="80" t="s">
        <v>71</v>
      </c>
    </row>
    <row r="3" spans="1:14" x14ac:dyDescent="0.25">
      <c r="A3" s="4">
        <v>2007</v>
      </c>
      <c r="B3" s="37">
        <f>'[5]Consumption Data '!$F$71</f>
        <v>12991</v>
      </c>
      <c r="C3" s="37">
        <f>'[5]Consumption Data '!$J$71</f>
        <v>819</v>
      </c>
      <c r="D3" s="37">
        <f>'[5]Consumption Data '!$O$71</f>
        <v>71</v>
      </c>
      <c r="E3" s="37">
        <f>'[5]Consumption Data '!$Y$71</f>
        <v>186</v>
      </c>
      <c r="F3" s="37">
        <f>'[5]Consumption Data '!$T$71</f>
        <v>2489</v>
      </c>
      <c r="G3" s="37">
        <f>'[5]Consumption Data '!$AC$71</f>
        <v>89</v>
      </c>
      <c r="H3" s="36">
        <f t="shared" ref="H3:H13" si="0">SUM(B3:G3)</f>
        <v>16645</v>
      </c>
      <c r="J3" s="159">
        <f t="shared" ref="J3:J13" si="1">B3+C3+D3</f>
        <v>13881</v>
      </c>
      <c r="K3" s="159"/>
      <c r="L3" s="159"/>
      <c r="M3" s="159"/>
      <c r="N3" s="159"/>
    </row>
    <row r="4" spans="1:14" x14ac:dyDescent="0.25">
      <c r="A4" s="4">
        <v>2008</v>
      </c>
      <c r="B4" s="37">
        <f>'[5]Consumption Data '!$F$83</f>
        <v>13277</v>
      </c>
      <c r="C4" s="37">
        <f>'[5]Consumption Data '!$J$83</f>
        <v>836</v>
      </c>
      <c r="D4" s="37">
        <f>'[5]Consumption Data '!$O$83</f>
        <v>73</v>
      </c>
      <c r="E4" s="37">
        <f>'[5]Consumption Data '!$Y$83</f>
        <v>186</v>
      </c>
      <c r="F4" s="37">
        <f>'[5]Consumption Data '!$T$83</f>
        <v>2588</v>
      </c>
      <c r="G4" s="37">
        <f>'[5]Consumption Data '!$AC$83</f>
        <v>84</v>
      </c>
      <c r="H4" s="36">
        <f t="shared" si="0"/>
        <v>17044</v>
      </c>
      <c r="J4" s="159">
        <f t="shared" si="1"/>
        <v>14186</v>
      </c>
      <c r="K4" s="159"/>
      <c r="L4" s="159"/>
      <c r="M4" s="159"/>
      <c r="N4" s="159"/>
    </row>
    <row r="5" spans="1:14" x14ac:dyDescent="0.25">
      <c r="A5" s="4">
        <v>2009</v>
      </c>
      <c r="B5" s="37">
        <f>'[5]Consumption Data '!$F$95</f>
        <v>13533</v>
      </c>
      <c r="C5" s="37">
        <f>'[5]Consumption Data '!$J$95</f>
        <v>855</v>
      </c>
      <c r="D5" s="37">
        <f>'[5]Consumption Data '!$O$95</f>
        <v>72</v>
      </c>
      <c r="E5" s="37">
        <f>'[5]Consumption Data '!$Y$95</f>
        <v>193</v>
      </c>
      <c r="F5" s="37">
        <f>'[5]Consumption Data '!$T$95</f>
        <v>2625</v>
      </c>
      <c r="G5" s="37">
        <f>'[5]Consumption Data '!$AC$95</f>
        <v>83</v>
      </c>
      <c r="H5" s="36">
        <f t="shared" si="0"/>
        <v>17361</v>
      </c>
      <c r="J5" s="159">
        <f t="shared" si="1"/>
        <v>14460</v>
      </c>
      <c r="K5" s="159"/>
      <c r="L5" s="159"/>
      <c r="M5" s="159"/>
      <c r="N5" s="159"/>
    </row>
    <row r="6" spans="1:14" x14ac:dyDescent="0.25">
      <c r="A6" s="4">
        <v>2010</v>
      </c>
      <c r="B6" s="37">
        <f>'[5]Consumption Data '!$F$107</f>
        <v>13651</v>
      </c>
      <c r="C6" s="37">
        <f>'[5]Consumption Data '!$J$107</f>
        <v>865</v>
      </c>
      <c r="D6" s="37">
        <f>'[5]Consumption Data '!$O$107</f>
        <v>68</v>
      </c>
      <c r="E6" s="37">
        <f>'[5]Consumption Data '!$Y$107</f>
        <v>201</v>
      </c>
      <c r="F6" s="37">
        <f>'[5]Consumption Data '!$T$107</f>
        <v>2685</v>
      </c>
      <c r="G6" s="37">
        <f>'[5]Consumption Data '!$AC$107</f>
        <v>82</v>
      </c>
      <c r="H6" s="36">
        <f t="shared" si="0"/>
        <v>17552</v>
      </c>
      <c r="J6" s="159">
        <f t="shared" si="1"/>
        <v>14584</v>
      </c>
      <c r="K6" s="159"/>
      <c r="L6" s="159"/>
      <c r="M6" s="159"/>
      <c r="N6" s="159"/>
    </row>
    <row r="7" spans="1:14" x14ac:dyDescent="0.25">
      <c r="A7" s="4">
        <v>2011</v>
      </c>
      <c r="B7" s="37">
        <f>'[5]Consumption Data '!$F$119</f>
        <v>13779</v>
      </c>
      <c r="C7" s="37">
        <f>'[5]Consumption Data '!$J$119</f>
        <v>896</v>
      </c>
      <c r="D7" s="37">
        <f>'[5]Consumption Data '!$O$119</f>
        <v>67</v>
      </c>
      <c r="E7" s="37">
        <f>'[5]Consumption Data '!$Y$119</f>
        <v>225</v>
      </c>
      <c r="F7" s="37">
        <f>'[5]Consumption Data '!$T$119</f>
        <v>2728</v>
      </c>
      <c r="G7" s="37">
        <f>'[5]Consumption Data '!$AC$119</f>
        <v>81</v>
      </c>
      <c r="H7" s="36">
        <f t="shared" si="0"/>
        <v>17776</v>
      </c>
      <c r="J7" s="159">
        <f t="shared" si="1"/>
        <v>14742</v>
      </c>
      <c r="K7" s="159"/>
      <c r="L7" s="159"/>
      <c r="M7" s="159"/>
      <c r="N7" s="159"/>
    </row>
    <row r="8" spans="1:14" x14ac:dyDescent="0.25">
      <c r="A8" s="4">
        <v>2012</v>
      </c>
      <c r="B8" s="37">
        <f>'[6]Customer Numbers'!$B$18</f>
        <v>13942.916666666666</v>
      </c>
      <c r="C8" s="37">
        <f>'[6]Customer Numbers'!$C$18</f>
        <v>913.75</v>
      </c>
      <c r="D8" s="37">
        <f>'[6]Customer Numbers'!$E$18</f>
        <v>67.916666666666671</v>
      </c>
      <c r="E8" s="37">
        <f>'[6]Customer Numbers'!$F$18</f>
        <v>172.08333333333334</v>
      </c>
      <c r="F8" s="37">
        <f>'[6]Customer Numbers'!$G$18</f>
        <v>2728</v>
      </c>
      <c r="G8" s="37">
        <f>'[6]Customer Numbers'!$D$18</f>
        <v>78.666666666666671</v>
      </c>
      <c r="H8" s="36">
        <f t="shared" si="0"/>
        <v>17903.333333333332</v>
      </c>
      <c r="J8" s="159">
        <f t="shared" si="1"/>
        <v>14924.583333333332</v>
      </c>
      <c r="K8" s="159"/>
      <c r="L8" s="159"/>
      <c r="M8" s="159"/>
      <c r="N8" s="159"/>
    </row>
    <row r="9" spans="1:14" x14ac:dyDescent="0.25">
      <c r="A9" s="4">
        <v>2013</v>
      </c>
      <c r="B9" s="37">
        <f>'[6]Customer Numbers'!$B$36</f>
        <v>14181</v>
      </c>
      <c r="C9" s="37">
        <f>'[6]Customer Numbers'!$C$36</f>
        <v>949.25</v>
      </c>
      <c r="D9" s="37">
        <f>'[6]Customer Numbers'!$E$36</f>
        <v>67</v>
      </c>
      <c r="E9" s="37">
        <f>'[6]Customer Numbers'!$F$36</f>
        <v>168</v>
      </c>
      <c r="F9" s="37">
        <f>'[6]Customer Numbers'!$G$36</f>
        <v>2843.3333333333335</v>
      </c>
      <c r="G9" s="37">
        <f>'[6]Customer Numbers'!$D$36</f>
        <v>77.583333333333329</v>
      </c>
      <c r="H9" s="36">
        <f t="shared" si="0"/>
        <v>18286.166666666664</v>
      </c>
      <c r="J9" s="159">
        <f t="shared" si="1"/>
        <v>15197.25</v>
      </c>
      <c r="K9" s="159"/>
      <c r="L9" s="159"/>
      <c r="M9" s="159"/>
      <c r="N9" s="159"/>
    </row>
    <row r="10" spans="1:14" x14ac:dyDescent="0.25">
      <c r="A10" s="4">
        <v>2014</v>
      </c>
      <c r="B10" s="37">
        <f>'[6]Customer Numbers'!$B$54</f>
        <v>14509.166666666666</v>
      </c>
      <c r="C10" s="37">
        <f>'[6]Customer Numbers'!$C$54</f>
        <v>991.25</v>
      </c>
      <c r="D10" s="37">
        <f>'[6]Customer Numbers'!$E$54</f>
        <v>67.166666666666671</v>
      </c>
      <c r="E10" s="37">
        <f>'[6]Customer Numbers'!$F$54</f>
        <v>169.41666666666666</v>
      </c>
      <c r="F10" s="37">
        <f>'[6]Customer Numbers'!$G$54</f>
        <v>2923.3333333333335</v>
      </c>
      <c r="G10" s="37">
        <f>'[6]Customer Numbers'!$D$54</f>
        <v>75.583333333333329</v>
      </c>
      <c r="H10" s="36">
        <f t="shared" si="0"/>
        <v>18735.916666666664</v>
      </c>
      <c r="J10" s="159">
        <f t="shared" si="1"/>
        <v>15567.583333333332</v>
      </c>
      <c r="K10" s="159"/>
      <c r="L10" s="159"/>
      <c r="M10" s="159"/>
      <c r="N10" s="159"/>
    </row>
    <row r="11" spans="1:14" x14ac:dyDescent="0.25">
      <c r="A11" s="4">
        <v>2015</v>
      </c>
      <c r="B11" s="37">
        <f>'[6]Customer Numbers'!$B$72</f>
        <v>14861.583333333334</v>
      </c>
      <c r="C11" s="37">
        <f>'[6]Customer Numbers'!$C$72</f>
        <v>1000.5833333333334</v>
      </c>
      <c r="D11" s="37">
        <f>'[6]Customer Numbers'!$E$72</f>
        <v>71.5</v>
      </c>
      <c r="E11" s="37">
        <f>'[6]Customer Numbers'!$F$72</f>
        <v>165.75</v>
      </c>
      <c r="F11" s="37">
        <f>'[6]Customer Numbers'!$G$72</f>
        <v>2897.6666666666665</v>
      </c>
      <c r="G11" s="37">
        <f>'[6]Customer Numbers'!$D$72</f>
        <v>76</v>
      </c>
      <c r="H11" s="36">
        <f t="shared" si="0"/>
        <v>19073.083333333336</v>
      </c>
      <c r="J11" s="159">
        <f t="shared" si="1"/>
        <v>15933.666666666668</v>
      </c>
      <c r="K11" s="159"/>
      <c r="L11" s="159"/>
      <c r="M11" s="159"/>
      <c r="N11" s="159"/>
    </row>
    <row r="12" spans="1:14" x14ac:dyDescent="0.25">
      <c r="A12" s="4">
        <v>2016</v>
      </c>
      <c r="B12" s="37">
        <f>'[7]Mthly Stats'!$L$68</f>
        <v>15201.583333333334</v>
      </c>
      <c r="C12" s="37">
        <f>'[7]Mthly Stats'!$M$68</f>
        <v>1016.25</v>
      </c>
      <c r="D12" s="37">
        <f>'[7]Mthly Stats'!$O$68</f>
        <v>75.583333333333329</v>
      </c>
      <c r="E12" s="37">
        <f>'[7]Mthly Stats'!$P$68</f>
        <v>166.08333333333334</v>
      </c>
      <c r="F12" s="37">
        <f>'[7]Mthly Stats'!$Q$68</f>
        <v>2863.1666666666665</v>
      </c>
      <c r="G12" s="37">
        <f>'[7]Mthly Stats'!$N$68</f>
        <v>75.333333333333329</v>
      </c>
      <c r="H12" s="36">
        <f t="shared" si="0"/>
        <v>19398</v>
      </c>
      <c r="I12" s="176"/>
      <c r="J12" s="159">
        <f t="shared" si="1"/>
        <v>16293.416666666668</v>
      </c>
      <c r="M12" s="159"/>
    </row>
    <row r="13" spans="1:14" x14ac:dyDescent="0.25">
      <c r="A13" s="4">
        <v>2017</v>
      </c>
      <c r="B13" s="22">
        <f t="shared" ref="B13:G13" si="2">B12*B29</f>
        <v>15459.364493237083</v>
      </c>
      <c r="C13" s="22">
        <f t="shared" si="2"/>
        <v>1042.0096211924233</v>
      </c>
      <c r="D13" s="22">
        <f t="shared" si="2"/>
        <v>75.649663863218251</v>
      </c>
      <c r="E13" s="22">
        <f t="shared" si="2"/>
        <v>163.70751899008945</v>
      </c>
      <c r="F13" s="22">
        <f t="shared" si="2"/>
        <v>2918.0959667809479</v>
      </c>
      <c r="G13" s="22">
        <f t="shared" si="2"/>
        <v>73.860991392432041</v>
      </c>
      <c r="H13" s="22">
        <f t="shared" si="0"/>
        <v>19732.688255456196</v>
      </c>
      <c r="I13" s="176"/>
      <c r="J13" s="159">
        <f t="shared" si="1"/>
        <v>16577.023778292725</v>
      </c>
      <c r="K13" s="6">
        <f>AVERAGE('Purchased Power Model '!G123:G134)</f>
        <v>16576.999999999985</v>
      </c>
      <c r="L13" s="6">
        <v>23.384615384613927</v>
      </c>
      <c r="M13" s="159"/>
    </row>
    <row r="14" spans="1:14" x14ac:dyDescent="0.25">
      <c r="A14" s="21"/>
    </row>
    <row r="15" spans="1:14" x14ac:dyDescent="0.25">
      <c r="A15" s="20" t="s">
        <v>40</v>
      </c>
      <c r="B15" s="5"/>
      <c r="C15" s="5"/>
      <c r="D15" s="5"/>
      <c r="E15" s="5"/>
      <c r="F15" s="5"/>
      <c r="G15" s="5"/>
    </row>
    <row r="16" spans="1:14" x14ac:dyDescent="0.25">
      <c r="A16" s="4">
        <v>2007</v>
      </c>
      <c r="B16" s="25"/>
      <c r="C16" s="25"/>
      <c r="D16" s="25"/>
      <c r="E16" s="25"/>
      <c r="F16" s="25"/>
      <c r="G16" s="25"/>
    </row>
    <row r="17" spans="1:7" x14ac:dyDescent="0.25">
      <c r="A17" s="4">
        <v>2008</v>
      </c>
      <c r="B17" s="25">
        <f t="shared" ref="B17:G25" si="3">B4/B3</f>
        <v>1.0220152413209145</v>
      </c>
      <c r="C17" s="25">
        <f t="shared" si="3"/>
        <v>1.0207570207570207</v>
      </c>
      <c r="D17" s="25">
        <f t="shared" si="3"/>
        <v>1.028169014084507</v>
      </c>
      <c r="E17" s="25">
        <f t="shared" si="3"/>
        <v>1</v>
      </c>
      <c r="F17" s="25">
        <f t="shared" si="3"/>
        <v>1.0397750100441945</v>
      </c>
      <c r="G17" s="25">
        <f t="shared" si="3"/>
        <v>0.9438202247191011</v>
      </c>
    </row>
    <row r="18" spans="1:7" x14ac:dyDescent="0.25">
      <c r="A18" s="4">
        <v>2009</v>
      </c>
      <c r="B18" s="25">
        <f t="shared" si="3"/>
        <v>1.0192814641861867</v>
      </c>
      <c r="C18" s="25">
        <f t="shared" si="3"/>
        <v>1.0227272727272727</v>
      </c>
      <c r="D18" s="25">
        <f t="shared" si="3"/>
        <v>0.98630136986301364</v>
      </c>
      <c r="E18" s="25">
        <f t="shared" si="3"/>
        <v>1.0376344086021505</v>
      </c>
      <c r="F18" s="25">
        <f t="shared" si="3"/>
        <v>1.0142967542503865</v>
      </c>
      <c r="G18" s="25">
        <f t="shared" si="3"/>
        <v>0.98809523809523814</v>
      </c>
    </row>
    <row r="19" spans="1:7" x14ac:dyDescent="0.25">
      <c r="A19" s="4">
        <v>2010</v>
      </c>
      <c r="B19" s="25">
        <f t="shared" si="3"/>
        <v>1.0087194265868618</v>
      </c>
      <c r="C19" s="25">
        <f t="shared" si="3"/>
        <v>1.0116959064327486</v>
      </c>
      <c r="D19" s="25">
        <f t="shared" si="3"/>
        <v>0.94444444444444442</v>
      </c>
      <c r="E19" s="25">
        <f t="shared" si="3"/>
        <v>1.0414507772020725</v>
      </c>
      <c r="F19" s="25">
        <f t="shared" si="3"/>
        <v>1.0228571428571429</v>
      </c>
      <c r="G19" s="25">
        <f t="shared" si="3"/>
        <v>0.98795180722891562</v>
      </c>
    </row>
    <row r="20" spans="1:7" x14ac:dyDescent="0.25">
      <c r="A20" s="4">
        <v>2011</v>
      </c>
      <c r="B20" s="25">
        <f t="shared" si="3"/>
        <v>1.0093766024467072</v>
      </c>
      <c r="C20" s="25">
        <f t="shared" si="3"/>
        <v>1.0358381502890173</v>
      </c>
      <c r="D20" s="25">
        <f t="shared" si="3"/>
        <v>0.98529411764705888</v>
      </c>
      <c r="E20" s="25">
        <f t="shared" si="3"/>
        <v>1.1194029850746268</v>
      </c>
      <c r="F20" s="25">
        <f t="shared" si="3"/>
        <v>1.0160148975791434</v>
      </c>
      <c r="G20" s="25">
        <f t="shared" si="3"/>
        <v>0.98780487804878048</v>
      </c>
    </row>
    <row r="21" spans="1:7" x14ac:dyDescent="0.25">
      <c r="A21" s="4">
        <v>2012</v>
      </c>
      <c r="B21" s="25">
        <f t="shared" si="3"/>
        <v>1.0118961221181992</v>
      </c>
      <c r="C21" s="25">
        <f t="shared" si="3"/>
        <v>1.0198102678571428</v>
      </c>
      <c r="D21" s="25">
        <f t="shared" si="3"/>
        <v>1.013681592039801</v>
      </c>
      <c r="E21" s="25">
        <f t="shared" si="3"/>
        <v>0.76481481481481484</v>
      </c>
      <c r="F21" s="25">
        <f t="shared" si="3"/>
        <v>1</v>
      </c>
      <c r="G21" s="25">
        <f t="shared" si="3"/>
        <v>0.9711934156378601</v>
      </c>
    </row>
    <row r="22" spans="1:7" x14ac:dyDescent="0.25">
      <c r="A22" s="4">
        <v>2013</v>
      </c>
      <c r="B22" s="25">
        <f t="shared" si="3"/>
        <v>1.0170755760093237</v>
      </c>
      <c r="C22" s="25">
        <f t="shared" si="3"/>
        <v>1.0388508891928865</v>
      </c>
      <c r="D22" s="25">
        <f t="shared" si="3"/>
        <v>0.98650306748466254</v>
      </c>
      <c r="E22" s="25">
        <f t="shared" si="3"/>
        <v>0.9762711864406779</v>
      </c>
      <c r="F22" s="25">
        <f t="shared" si="3"/>
        <v>1.04227761485826</v>
      </c>
      <c r="G22" s="25">
        <f t="shared" si="3"/>
        <v>0.9862288135593219</v>
      </c>
    </row>
    <row r="23" spans="1:7" x14ac:dyDescent="0.25">
      <c r="A23" s="4">
        <v>2014</v>
      </c>
      <c r="B23" s="25">
        <f t="shared" si="3"/>
        <v>1.0231412923395153</v>
      </c>
      <c r="C23" s="25">
        <f t="shared" si="3"/>
        <v>1.0442454569396893</v>
      </c>
      <c r="D23" s="25">
        <f t="shared" si="3"/>
        <v>1.0024875621890548</v>
      </c>
      <c r="E23" s="25">
        <f t="shared" si="3"/>
        <v>1.0084325396825395</v>
      </c>
      <c r="F23" s="25">
        <f t="shared" si="3"/>
        <v>1.0281359906213365</v>
      </c>
      <c r="G23" s="25">
        <f t="shared" si="3"/>
        <v>0.97422126745435011</v>
      </c>
    </row>
    <row r="24" spans="1:7" x14ac:dyDescent="0.25">
      <c r="A24" s="4">
        <v>2015</v>
      </c>
      <c r="B24" s="25">
        <f t="shared" si="3"/>
        <v>1.0242892424329448</v>
      </c>
      <c r="C24" s="25">
        <f t="shared" si="3"/>
        <v>1.0094157208911307</v>
      </c>
      <c r="D24" s="25">
        <f t="shared" si="3"/>
        <v>1.064516129032258</v>
      </c>
      <c r="E24" s="25">
        <f t="shared" si="3"/>
        <v>0.97835710772257756</v>
      </c>
      <c r="F24" s="25">
        <f t="shared" si="3"/>
        <v>0.99122006841505117</v>
      </c>
      <c r="G24" s="25">
        <f t="shared" si="3"/>
        <v>1.0055126791620728</v>
      </c>
    </row>
    <row r="25" spans="1:7" x14ac:dyDescent="0.25">
      <c r="A25" s="4">
        <v>2016</v>
      </c>
      <c r="B25" s="25">
        <f t="shared" si="3"/>
        <v>1.0228777777154745</v>
      </c>
      <c r="C25" s="25">
        <f t="shared" si="3"/>
        <v>1.0156575331056883</v>
      </c>
      <c r="D25" s="25">
        <f t="shared" si="3"/>
        <v>1.057109557109557</v>
      </c>
      <c r="E25" s="25">
        <f t="shared" si="3"/>
        <v>1.0020110608345902</v>
      </c>
      <c r="F25" s="25">
        <f t="shared" si="3"/>
        <v>0.98809386862993209</v>
      </c>
      <c r="G25" s="25">
        <f t="shared" si="3"/>
        <v>0.99122807017543857</v>
      </c>
    </row>
    <row r="26" spans="1:7" x14ac:dyDescent="0.25">
      <c r="A26" s="4"/>
      <c r="B26" s="148"/>
      <c r="C26" s="25"/>
      <c r="D26" s="25"/>
      <c r="E26" s="25"/>
      <c r="F26" s="25"/>
      <c r="G26" s="25"/>
    </row>
    <row r="27" spans="1:7" x14ac:dyDescent="0.25">
      <c r="A27" t="s">
        <v>14</v>
      </c>
      <c r="B27" s="26">
        <f t="shared" ref="B27:G27" si="4">GEOMEAN(B17:B24)</f>
        <v>1.0169575204273951</v>
      </c>
      <c r="C27" s="26">
        <f t="shared" si="4"/>
        <v>1.0253477207305519</v>
      </c>
      <c r="D27" s="26">
        <f t="shared" si="4"/>
        <v>1.0008775814317741</v>
      </c>
      <c r="E27" s="26">
        <f t="shared" si="4"/>
        <v>0.98569504660364948</v>
      </c>
      <c r="F27" s="26">
        <f t="shared" si="4"/>
        <v>1.0191848070717555</v>
      </c>
      <c r="G27" s="26">
        <f t="shared" si="4"/>
        <v>0.98045563795263768</v>
      </c>
    </row>
    <row r="28" spans="1:7" x14ac:dyDescent="0.25">
      <c r="B28" s="26"/>
      <c r="C28" s="26"/>
      <c r="D28" s="26"/>
      <c r="E28" s="26"/>
      <c r="F28" s="26"/>
      <c r="G28" s="26"/>
    </row>
    <row r="29" spans="1:7" x14ac:dyDescent="0.25">
      <c r="A29" t="s">
        <v>264</v>
      </c>
      <c r="B29" s="26">
        <f t="shared" ref="B29:G29" si="5">B27</f>
        <v>1.0169575204273951</v>
      </c>
      <c r="C29" s="26">
        <f t="shared" si="5"/>
        <v>1.0253477207305519</v>
      </c>
      <c r="D29" s="26">
        <f t="shared" si="5"/>
        <v>1.0008775814317741</v>
      </c>
      <c r="E29" s="26">
        <f t="shared" si="5"/>
        <v>0.98569504660364948</v>
      </c>
      <c r="F29" s="26">
        <f t="shared" si="5"/>
        <v>1.0191848070717555</v>
      </c>
      <c r="G29" s="26">
        <f t="shared" si="5"/>
        <v>0.98045563795263768</v>
      </c>
    </row>
    <row r="30" spans="1:7" x14ac:dyDescent="0.25">
      <c r="A30" s="4"/>
      <c r="B30" s="26"/>
      <c r="C30" s="26"/>
      <c r="D30" s="26"/>
      <c r="E30" s="26"/>
      <c r="F30" s="26"/>
      <c r="G30" s="26"/>
    </row>
    <row r="31" spans="1:7" x14ac:dyDescent="0.25">
      <c r="A31" s="4"/>
      <c r="B31" s="26"/>
      <c r="C31" s="26"/>
      <c r="D31" s="26"/>
      <c r="E31" s="26"/>
      <c r="F31" s="26"/>
      <c r="G31" s="26"/>
    </row>
    <row r="32" spans="1:7" x14ac:dyDescent="0.25">
      <c r="B32"/>
      <c r="C32"/>
      <c r="D32"/>
      <c r="E32"/>
      <c r="F32"/>
      <c r="G32" s="26"/>
    </row>
    <row r="33" spans="2:7" x14ac:dyDescent="0.25">
      <c r="B33"/>
      <c r="C33"/>
      <c r="D33"/>
      <c r="E33"/>
      <c r="F33"/>
      <c r="G33" s="26"/>
    </row>
    <row r="34" spans="2:7" x14ac:dyDescent="0.25">
      <c r="B34"/>
      <c r="C34"/>
      <c r="D34"/>
      <c r="E34"/>
      <c r="F34"/>
      <c r="G34" s="26"/>
    </row>
    <row r="35" spans="2:7" x14ac:dyDescent="0.25">
      <c r="B35"/>
      <c r="C35"/>
      <c r="D35"/>
      <c r="E35"/>
      <c r="F35"/>
      <c r="G35" s="26"/>
    </row>
    <row r="36" spans="2:7" x14ac:dyDescent="0.25">
      <c r="B36" s="26"/>
      <c r="C36" s="26"/>
      <c r="D36" s="26"/>
      <c r="E36" s="26"/>
      <c r="F36" s="26"/>
      <c r="G36" s="26"/>
    </row>
    <row r="37" spans="2:7" x14ac:dyDescent="0.25">
      <c r="B37" s="26"/>
      <c r="C37" s="26"/>
      <c r="D37" s="26"/>
      <c r="E37" s="26"/>
      <c r="F37" s="26"/>
      <c r="G37" s="26"/>
    </row>
    <row r="38" spans="2:7" x14ac:dyDescent="0.25">
      <c r="B38" s="26"/>
      <c r="C38" s="26"/>
      <c r="D38" s="26"/>
      <c r="E38" s="26"/>
      <c r="F38" s="26"/>
      <c r="G38" s="26"/>
    </row>
    <row r="39" spans="2:7" x14ac:dyDescent="0.25">
      <c r="B39" s="26"/>
      <c r="C39" s="26"/>
      <c r="D39" s="26"/>
      <c r="E39" s="26"/>
      <c r="F39" s="26"/>
      <c r="G39" s="26"/>
    </row>
    <row r="40" spans="2:7" x14ac:dyDescent="0.25">
      <c r="B40" s="26"/>
      <c r="C40" s="26"/>
      <c r="D40" s="26"/>
      <c r="E40" s="26"/>
      <c r="F40" s="26"/>
      <c r="G40" s="26"/>
    </row>
    <row r="41" spans="2:7" x14ac:dyDescent="0.25">
      <c r="B41" s="26"/>
      <c r="C41" s="26"/>
      <c r="D41" s="26"/>
      <c r="E41" s="26"/>
      <c r="F41" s="26"/>
      <c r="G41" s="26"/>
    </row>
    <row r="42" spans="2:7" x14ac:dyDescent="0.25">
      <c r="B42" s="26"/>
      <c r="C42" s="26"/>
      <c r="D42" s="26"/>
      <c r="E42" s="26"/>
      <c r="F42" s="26"/>
      <c r="G42" s="26"/>
    </row>
    <row r="43" spans="2:7" x14ac:dyDescent="0.25">
      <c r="B43" s="26"/>
      <c r="C43" s="26"/>
      <c r="D43" s="26"/>
      <c r="E43" s="26"/>
      <c r="F43" s="26"/>
      <c r="G43" s="26"/>
    </row>
    <row r="44" spans="2:7" x14ac:dyDescent="0.25">
      <c r="B44" s="26"/>
      <c r="C44" s="26"/>
      <c r="D44" s="26"/>
      <c r="E44" s="26"/>
      <c r="F44" s="26"/>
      <c r="G44" s="26"/>
    </row>
    <row r="45" spans="2:7" x14ac:dyDescent="0.25">
      <c r="B45" s="26"/>
      <c r="C45" s="26"/>
      <c r="D45" s="26"/>
      <c r="E45" s="26"/>
      <c r="F45" s="26"/>
      <c r="G45" s="26"/>
    </row>
    <row r="46" spans="2:7" x14ac:dyDescent="0.25">
      <c r="B46" s="26"/>
      <c r="C46" s="26"/>
      <c r="D46" s="26"/>
      <c r="E46" s="26"/>
      <c r="F46" s="26"/>
      <c r="G46" s="26"/>
    </row>
    <row r="47" spans="2:7" x14ac:dyDescent="0.25">
      <c r="B47" s="26"/>
      <c r="C47" s="26"/>
      <c r="D47" s="26"/>
      <c r="E47" s="26"/>
      <c r="F47" s="26"/>
      <c r="G47" s="26"/>
    </row>
    <row r="48" spans="2:7" x14ac:dyDescent="0.25">
      <c r="B48" s="26"/>
      <c r="C48" s="26"/>
      <c r="D48" s="26"/>
      <c r="E48" s="26"/>
      <c r="F48" s="26"/>
      <c r="G48" s="26"/>
    </row>
    <row r="49" spans="2:7" x14ac:dyDescent="0.25">
      <c r="B49" s="26"/>
      <c r="C49" s="26"/>
      <c r="D49" s="26"/>
      <c r="E49" s="26"/>
      <c r="F49" s="26"/>
      <c r="G49" s="26"/>
    </row>
    <row r="50" spans="2:7" x14ac:dyDescent="0.25">
      <c r="B50" s="26"/>
      <c r="C50" s="26"/>
      <c r="D50" s="26"/>
      <c r="E50" s="26"/>
      <c r="F50" s="26"/>
      <c r="G50" s="26"/>
    </row>
    <row r="51" spans="2:7" x14ac:dyDescent="0.25">
      <c r="B51" s="26"/>
      <c r="C51" s="26"/>
      <c r="F51" s="26"/>
      <c r="G51" s="26"/>
    </row>
    <row r="57" spans="2:7" x14ac:dyDescent="0.25">
      <c r="D57" s="27"/>
      <c r="E57" s="27"/>
    </row>
    <row r="58" spans="2:7" x14ac:dyDescent="0.25">
      <c r="B58" s="27"/>
      <c r="C58" s="27"/>
      <c r="D58" s="27"/>
      <c r="E58" s="27"/>
      <c r="F58" s="27"/>
      <c r="G58" s="27"/>
    </row>
    <row r="59" spans="2:7" x14ac:dyDescent="0.25">
      <c r="B59" s="27"/>
      <c r="C59" s="27"/>
      <c r="F59" s="27"/>
      <c r="G59" s="27"/>
    </row>
    <row r="77" spans="2:7" x14ac:dyDescent="0.25">
      <c r="D77" s="16"/>
      <c r="E77" s="16"/>
    </row>
    <row r="78" spans="2:7" x14ac:dyDescent="0.25">
      <c r="B78" s="16"/>
      <c r="C78" s="16"/>
      <c r="D78" s="16"/>
      <c r="E78" s="16"/>
      <c r="F78" s="16"/>
      <c r="G78" s="16"/>
    </row>
    <row r="79" spans="2:7" x14ac:dyDescent="0.25">
      <c r="B79" s="16"/>
      <c r="C79" s="16"/>
      <c r="F79" s="16"/>
      <c r="G79" s="16"/>
    </row>
  </sheetData>
  <phoneticPr fontId="0" type="noConversion"/>
  <pageMargins left="0.39370078740157483" right="0.74803149606299213" top="0.74803149606299213" bottom="0.74803149606299213" header="0.51181102362204722" footer="0.51181102362204722"/>
  <pageSetup scale="83" orientation="landscape" verticalDpi="300" r:id="rId1"/>
  <headerFooter alignWithMargins="0">
    <oddFooter>&amp;L&amp;A&amp;R&amp;P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workbookViewId="0">
      <selection activeCell="F20" sqref="F20"/>
    </sheetView>
  </sheetViews>
  <sheetFormatPr defaultRowHeight="13.2" x14ac:dyDescent="0.25"/>
  <cols>
    <col min="1" max="1" width="11" customWidth="1"/>
    <col min="2" max="2" width="14.109375" style="6" bestFit="1" customWidth="1"/>
    <col min="3" max="3" width="14.109375" style="6" customWidth="1"/>
    <col min="4" max="4" width="17.6640625" style="6" customWidth="1"/>
    <col min="5" max="6" width="12.6640625" style="6" bestFit="1" customWidth="1"/>
    <col min="7" max="7" width="11.6640625" bestFit="1" customWidth="1"/>
    <col min="8" max="8" width="10.6640625" bestFit="1" customWidth="1"/>
  </cols>
  <sheetData>
    <row r="1" spans="1:5" ht="42" customHeight="1" x14ac:dyDescent="0.25">
      <c r="B1" s="8" t="str">
        <f>'Rate Class Customer Model'!D2</f>
        <v>GS&gt;50</v>
      </c>
      <c r="C1" s="8" t="str">
        <f>'Rate Class Customer Model'!E2</f>
        <v>Sentinels</v>
      </c>
      <c r="D1" s="8" t="str">
        <f>'Rate Class Customer Model'!F2</f>
        <v>Streetlights</v>
      </c>
      <c r="E1" s="6" t="s">
        <v>9</v>
      </c>
    </row>
    <row r="2" spans="1:5" x14ac:dyDescent="0.25">
      <c r="A2" s="30">
        <v>2007</v>
      </c>
      <c r="B2" s="44">
        <f>SUM('[5]Consumption Data '!$N$66:$N$77)</f>
        <v>116956</v>
      </c>
      <c r="C2" s="59">
        <v>351</v>
      </c>
      <c r="D2" s="44">
        <v>4153</v>
      </c>
      <c r="E2" s="6">
        <f t="shared" ref="E2:E12" si="0">SUM(B2:D2)</f>
        <v>121460</v>
      </c>
    </row>
    <row r="3" spans="1:5" x14ac:dyDescent="0.25">
      <c r="A3" s="30">
        <v>2008</v>
      </c>
      <c r="B3" s="44">
        <f>SUM('[5]Consumption Data '!$N$78:$N$89)</f>
        <v>134692.85</v>
      </c>
      <c r="C3" s="59">
        <v>345.03227777777778</v>
      </c>
      <c r="D3" s="44">
        <v>4260.83</v>
      </c>
      <c r="E3" s="6">
        <f t="shared" si="0"/>
        <v>139298.71227777778</v>
      </c>
    </row>
    <row r="4" spans="1:5" x14ac:dyDescent="0.25">
      <c r="A4" s="30">
        <v>2009</v>
      </c>
      <c r="B4" s="44">
        <f>SUM('[5]Consumption Data '!$N$90:$N$101)</f>
        <v>136122.29</v>
      </c>
      <c r="C4" s="59">
        <v>338.94749999999999</v>
      </c>
      <c r="D4" s="44">
        <v>4370.32</v>
      </c>
      <c r="E4" s="6">
        <f t="shared" si="0"/>
        <v>140831.55750000002</v>
      </c>
    </row>
    <row r="5" spans="1:5" x14ac:dyDescent="0.25">
      <c r="A5" s="30">
        <v>2010</v>
      </c>
      <c r="B5" s="44">
        <f>SUM('[5]Consumption Data '!$N$102:$N$113)</f>
        <v>144502.21</v>
      </c>
      <c r="C5" s="59">
        <v>324.17422222222223</v>
      </c>
      <c r="D5" s="44">
        <v>4389.05</v>
      </c>
      <c r="E5" s="165">
        <f t="shared" si="0"/>
        <v>149215.43422222219</v>
      </c>
    </row>
    <row r="6" spans="1:5" x14ac:dyDescent="0.25">
      <c r="A6" s="30">
        <v>2011</v>
      </c>
      <c r="B6" s="44">
        <f>SUM('[5]Consumption Data '!$N$114:$N$125)</f>
        <v>139425.35999999999</v>
      </c>
      <c r="C6" s="59">
        <v>306.31894444444447</v>
      </c>
      <c r="D6" s="44">
        <v>4416</v>
      </c>
      <c r="E6" s="165">
        <f t="shared" si="0"/>
        <v>144147.67894444443</v>
      </c>
    </row>
    <row r="7" spans="1:5" x14ac:dyDescent="0.25">
      <c r="A7" s="30">
        <v>2012</v>
      </c>
      <c r="B7" s="44">
        <f>[6]KW!$B$66</f>
        <v>144982</v>
      </c>
      <c r="C7" s="59">
        <f>[6]KW!$C$66</f>
        <v>315</v>
      </c>
      <c r="D7" s="44">
        <f>[6]KW!$D$66</f>
        <v>4424</v>
      </c>
      <c r="E7" s="165">
        <f t="shared" si="0"/>
        <v>149721</v>
      </c>
    </row>
    <row r="8" spans="1:5" x14ac:dyDescent="0.25">
      <c r="A8" s="30">
        <v>2013</v>
      </c>
      <c r="B8" s="44">
        <f>[6]KW!$B$49</f>
        <v>130935</v>
      </c>
      <c r="C8" s="59">
        <f>[6]KW!$C$49</f>
        <v>283</v>
      </c>
      <c r="D8" s="44">
        <f>[6]KW!$D$49</f>
        <v>4149</v>
      </c>
      <c r="E8" s="165">
        <f t="shared" si="0"/>
        <v>135367</v>
      </c>
    </row>
    <row r="9" spans="1:5" x14ac:dyDescent="0.25">
      <c r="A9" s="30">
        <v>2014</v>
      </c>
      <c r="B9" s="44">
        <f>[6]KW!$B$32</f>
        <v>135393.63999999998</v>
      </c>
      <c r="C9" s="59">
        <f>[6]KW!$C$32</f>
        <v>299.94344444444442</v>
      </c>
      <c r="D9" s="44">
        <f>[6]KW!$D$32</f>
        <v>4581.3899999999994</v>
      </c>
      <c r="E9" s="165">
        <f t="shared" si="0"/>
        <v>140274.97344444442</v>
      </c>
    </row>
    <row r="10" spans="1:5" x14ac:dyDescent="0.25">
      <c r="A10" s="30">
        <v>2015</v>
      </c>
      <c r="B10" s="147">
        <f>[6]KW!$B$15</f>
        <v>141986.79999999999</v>
      </c>
      <c r="C10" s="59">
        <f>[6]KW!$C$15</f>
        <v>287.601</v>
      </c>
      <c r="D10" s="44">
        <f>[6]KW!$D$15</f>
        <v>3139.7699999999995</v>
      </c>
      <c r="E10" s="165">
        <f t="shared" si="0"/>
        <v>145414.17099999997</v>
      </c>
    </row>
    <row r="11" spans="1:5" x14ac:dyDescent="0.25">
      <c r="A11" s="30">
        <v>2016</v>
      </c>
      <c r="B11" s="147">
        <v>150801.71</v>
      </c>
      <c r="C11" s="59">
        <v>295.29266666666666</v>
      </c>
      <c r="D11" s="44">
        <v>1641.29</v>
      </c>
      <c r="E11" s="181">
        <f t="shared" si="0"/>
        <v>152738.29266666668</v>
      </c>
    </row>
    <row r="12" spans="1:5" x14ac:dyDescent="0.25">
      <c r="A12" s="30">
        <v>2017</v>
      </c>
      <c r="B12" s="31">
        <f>'Rate Class Energy Model'!J56*'Rate Class Load Model'!$B$26</f>
        <v>155585.42387524614</v>
      </c>
      <c r="C12" s="31">
        <f>'Rate Class Energy Model'!K56*'Rate Class Load Model'!$C$26</f>
        <v>291.09558155888243</v>
      </c>
      <c r="D12" s="31">
        <f>'Rate Class Energy Model'!L56*'Rate Class Load Model'!$D$26</f>
        <v>1557.684754891854</v>
      </c>
      <c r="E12" s="181">
        <f t="shared" si="0"/>
        <v>157434.20421169687</v>
      </c>
    </row>
    <row r="13" spans="1:5" x14ac:dyDescent="0.25">
      <c r="A13" s="21"/>
    </row>
    <row r="14" spans="1:5" x14ac:dyDescent="0.25">
      <c r="A14" s="20" t="s">
        <v>55</v>
      </c>
      <c r="B14" s="5"/>
      <c r="C14" s="5"/>
      <c r="D14" s="5"/>
    </row>
    <row r="15" spans="1:5" x14ac:dyDescent="0.25">
      <c r="A15" s="4">
        <v>2007</v>
      </c>
      <c r="B15" s="29">
        <f>B2/'Rate Class Energy Model'!J8</f>
        <v>2.9744228021109562E-3</v>
      </c>
      <c r="C15" s="29">
        <f>C2/'Rate Class Energy Model'!K8</f>
        <v>2.7775359853130861E-3</v>
      </c>
      <c r="D15" s="29">
        <f>D2/'Rate Class Energy Model'!L8</f>
        <v>2.7761678722575066E-3</v>
      </c>
    </row>
    <row r="16" spans="1:5" x14ac:dyDescent="0.25">
      <c r="A16" s="4">
        <v>2008</v>
      </c>
      <c r="B16" s="29">
        <f>B3/'Rate Class Energy Model'!J9</f>
        <v>2.9753615781794329E-3</v>
      </c>
      <c r="C16" s="29">
        <f>C3/'Rate Class Energy Model'!K9</f>
        <v>2.7777777777777779E-3</v>
      </c>
      <c r="D16" s="29">
        <f>D3/'Rate Class Energy Model'!L9</f>
        <v>2.7777777777777775E-3</v>
      </c>
    </row>
    <row r="17" spans="1:6" x14ac:dyDescent="0.25">
      <c r="A17" s="4">
        <v>2009</v>
      </c>
      <c r="B17" s="29">
        <f>B4/'Rate Class Energy Model'!J10</f>
        <v>2.8673466943822815E-3</v>
      </c>
      <c r="C17" s="29">
        <f>C4/'Rate Class Energy Model'!K10</f>
        <v>2.7777777777777775E-3</v>
      </c>
      <c r="D17" s="29">
        <f>D4/'Rate Class Energy Model'!L10</f>
        <v>2.7714426097188959E-3</v>
      </c>
    </row>
    <row r="18" spans="1:6" x14ac:dyDescent="0.25">
      <c r="A18" s="4">
        <v>2010</v>
      </c>
      <c r="B18" s="29">
        <f>B5/'Rate Class Energy Model'!J11</f>
        <v>2.8262406241067509E-3</v>
      </c>
      <c r="C18" s="29">
        <f>C5/'Rate Class Energy Model'!K11</f>
        <v>2.7777777777777779E-3</v>
      </c>
      <c r="D18" s="29">
        <f>D5/'Rate Class Energy Model'!L11</f>
        <v>2.7777777777777779E-3</v>
      </c>
    </row>
    <row r="19" spans="1:6" x14ac:dyDescent="0.25">
      <c r="A19" s="4">
        <v>2011</v>
      </c>
      <c r="B19" s="29">
        <f>B6/'Rate Class Energy Model'!J12</f>
        <v>2.7928816654166065E-3</v>
      </c>
      <c r="C19" s="29">
        <f>C6/'Rate Class Energy Model'!K12</f>
        <v>2.7786344880638991E-3</v>
      </c>
      <c r="D19" s="29">
        <f>D6/'Rate Class Energy Model'!L12</f>
        <v>3.0301171204080647E-3</v>
      </c>
    </row>
    <row r="20" spans="1:6" x14ac:dyDescent="0.25">
      <c r="A20" s="4">
        <v>2012</v>
      </c>
      <c r="B20" s="29">
        <f>B7/'Rate Class Energy Model'!J13</f>
        <v>2.8351067335104876E-3</v>
      </c>
      <c r="C20" s="29">
        <f>C7/'Rate Class Energy Model'!K13</f>
        <v>2.7787614696998322E-3</v>
      </c>
      <c r="D20" s="29">
        <f>D7/'Rate Class Energy Model'!L13</f>
        <v>2.8183570646069605E-3</v>
      </c>
    </row>
    <row r="21" spans="1:6" x14ac:dyDescent="0.25">
      <c r="A21" s="4">
        <v>2013</v>
      </c>
      <c r="B21" s="29">
        <f>B8/'Rate Class Energy Model'!J14</f>
        <v>2.5712995330362158E-3</v>
      </c>
      <c r="C21" s="29">
        <f>C8/'Rate Class Energy Model'!K14</f>
        <v>2.7787614696998322E-3</v>
      </c>
      <c r="D21" s="29">
        <f>D8/'Rate Class Energy Model'!L14</f>
        <v>2.8183570646069605E-3</v>
      </c>
    </row>
    <row r="22" spans="1:6" x14ac:dyDescent="0.25">
      <c r="A22" s="4">
        <v>2014</v>
      </c>
      <c r="B22" s="29">
        <f>B9/'Rate Class Energy Model'!J15</f>
        <v>2.6761726332885198E-3</v>
      </c>
      <c r="C22" s="29">
        <f>C9/'Rate Class Energy Model'!K15</f>
        <v>2.7777685168035231E-3</v>
      </c>
      <c r="D22" s="29">
        <f>D9/'Rate Class Energy Model'!L15</f>
        <v>2.8183570646069605E-3</v>
      </c>
    </row>
    <row r="23" spans="1:6" x14ac:dyDescent="0.25">
      <c r="A23" s="4">
        <v>2015</v>
      </c>
      <c r="B23" s="29">
        <f>B10/'Rate Class Energy Model'!J16</f>
        <v>2.598764234956277E-3</v>
      </c>
      <c r="C23" s="29">
        <f>C10/'Rate Class Energy Model'!K16</f>
        <v>2.7777874362540566E-3</v>
      </c>
      <c r="D23" s="29">
        <f>D10/'Rate Class Energy Model'!L16</f>
        <v>2.8377125277013562E-3</v>
      </c>
    </row>
    <row r="24" spans="1:6" x14ac:dyDescent="0.25">
      <c r="A24" s="4">
        <v>2016</v>
      </c>
      <c r="B24" s="29">
        <f>B11/'Rate Class Energy Model'!J17</f>
        <v>2.6008991050335915E-3</v>
      </c>
      <c r="C24" s="29">
        <f>C11/'Rate Class Energy Model'!K17</f>
        <v>2.7777777777777779E-3</v>
      </c>
      <c r="D24" s="29">
        <f>D11/'Rate Class Energy Model'!L17</f>
        <v>3.0589720777310543E-3</v>
      </c>
      <c r="E24" s="181"/>
      <c r="F24" s="181"/>
    </row>
    <row r="26" spans="1:6" x14ac:dyDescent="0.25">
      <c r="A26" t="s">
        <v>13</v>
      </c>
      <c r="B26" s="29">
        <f>AVERAGE(B15:B24)</f>
        <v>2.7718495604021121E-3</v>
      </c>
      <c r="C26" s="29">
        <f>AVERAGE(C15:C24)</f>
        <v>2.7780360476945343E-3</v>
      </c>
      <c r="D26" s="29">
        <f>AVERAGE(D15:D24)</f>
        <v>2.8485038957193312E-3</v>
      </c>
    </row>
    <row r="33" spans="2:4" x14ac:dyDescent="0.25">
      <c r="B33" s="27"/>
      <c r="C33" s="27"/>
      <c r="D33" s="27"/>
    </row>
    <row r="34" spans="2:4" x14ac:dyDescent="0.25">
      <c r="B34" s="27"/>
      <c r="C34" s="27"/>
      <c r="D34" s="27"/>
    </row>
    <row r="53" spans="2:4" x14ac:dyDescent="0.25">
      <c r="B53" s="16"/>
      <c r="C53" s="16"/>
      <c r="D53" s="16"/>
    </row>
    <row r="54" spans="2:4" x14ac:dyDescent="0.25">
      <c r="B54" s="16"/>
      <c r="C54" s="16"/>
      <c r="D54" s="16"/>
    </row>
  </sheetData>
  <phoneticPr fontId="0" type="noConversion"/>
  <pageMargins left="0.39370078740157483" right="0.74803149606299213" top="0.74803149606299213" bottom="0.74803149606299213" header="0.51181102362204722" footer="0.51181102362204722"/>
  <pageSetup orientation="portrait" verticalDpi="300" r:id="rId1"/>
  <headerFooter alignWithMargins="0">
    <oddFooter>&amp;L&amp;A&amp;R&amp;P</oddFooter>
  </headerFooter>
  <ignoredErrors>
    <ignoredError sqref="E1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workbookViewId="0">
      <selection activeCell="A26" sqref="A26"/>
    </sheetView>
  </sheetViews>
  <sheetFormatPr defaultRowHeight="13.2" x14ac:dyDescent="0.25"/>
  <cols>
    <col min="2" max="2" width="9.5546875" style="66" customWidth="1"/>
    <col min="22" max="22" width="9.88671875" bestFit="1" customWidth="1"/>
    <col min="23" max="23" width="11" bestFit="1" customWidth="1"/>
  </cols>
  <sheetData>
    <row r="1" spans="1:23" x14ac:dyDescent="0.25">
      <c r="A1" s="20" t="s">
        <v>72</v>
      </c>
      <c r="B1" s="20" t="s">
        <v>115</v>
      </c>
      <c r="C1" s="20"/>
      <c r="D1" s="20"/>
      <c r="E1" s="20"/>
    </row>
    <row r="2" spans="1:23" x14ac:dyDescent="0.25">
      <c r="A2" s="67"/>
    </row>
    <row r="3" spans="1:23" x14ac:dyDescent="0.25">
      <c r="A3" s="68" t="s">
        <v>73</v>
      </c>
      <c r="B3" s="69"/>
    </row>
    <row r="4" spans="1:23" x14ac:dyDescent="0.25">
      <c r="A4" s="70"/>
      <c r="B4" s="71"/>
    </row>
    <row r="5" spans="1:23" x14ac:dyDescent="0.25">
      <c r="A5" s="72" t="s">
        <v>74</v>
      </c>
      <c r="B5" s="72">
        <v>1997</v>
      </c>
      <c r="C5" s="72">
        <v>1998</v>
      </c>
      <c r="D5" s="72">
        <v>1999</v>
      </c>
      <c r="E5" s="72">
        <v>2000</v>
      </c>
      <c r="F5" s="72">
        <f t="shared" ref="F5:L5" si="0">F25</f>
        <v>2001</v>
      </c>
      <c r="G5" s="72">
        <f t="shared" si="0"/>
        <v>2002</v>
      </c>
      <c r="H5" s="72">
        <f t="shared" si="0"/>
        <v>2003</v>
      </c>
      <c r="I5" s="72">
        <f t="shared" si="0"/>
        <v>2004</v>
      </c>
      <c r="J5" s="72">
        <f t="shared" si="0"/>
        <v>2005</v>
      </c>
      <c r="K5" s="72">
        <f t="shared" si="0"/>
        <v>2006</v>
      </c>
      <c r="L5" s="72">
        <f t="shared" si="0"/>
        <v>2007</v>
      </c>
      <c r="M5" s="72">
        <v>2008</v>
      </c>
      <c r="N5" s="72">
        <v>2009</v>
      </c>
      <c r="O5" s="72">
        <v>2010</v>
      </c>
      <c r="P5" s="72">
        <v>2011</v>
      </c>
      <c r="Q5" s="72">
        <v>2012</v>
      </c>
      <c r="R5" s="72">
        <v>2013</v>
      </c>
      <c r="S5" s="72">
        <v>2014</v>
      </c>
      <c r="T5" s="72">
        <v>2015</v>
      </c>
      <c r="U5" s="72">
        <v>2016</v>
      </c>
      <c r="V5" s="77" t="s">
        <v>88</v>
      </c>
      <c r="W5" s="326" t="s">
        <v>89</v>
      </c>
    </row>
    <row r="6" spans="1:23" x14ac:dyDescent="0.25">
      <c r="A6" s="70"/>
      <c r="B6" s="69"/>
      <c r="W6" s="72">
        <v>2017</v>
      </c>
    </row>
    <row r="7" spans="1:23" x14ac:dyDescent="0.25">
      <c r="A7" s="73"/>
      <c r="B7" s="69"/>
      <c r="C7" s="69"/>
      <c r="D7" s="69"/>
    </row>
    <row r="8" spans="1:23" x14ac:dyDescent="0.25">
      <c r="A8" s="73" t="s">
        <v>75</v>
      </c>
      <c r="B8" s="74">
        <v>756.6</v>
      </c>
      <c r="C8" s="74">
        <v>624.79999999999995</v>
      </c>
      <c r="D8" s="74">
        <v>749.8</v>
      </c>
      <c r="E8" s="74">
        <v>738.9</v>
      </c>
      <c r="F8" s="74">
        <v>684.9</v>
      </c>
      <c r="G8" s="74">
        <v>572.20000000000005</v>
      </c>
      <c r="H8" s="74">
        <v>814.5</v>
      </c>
      <c r="I8" s="74">
        <v>849.1</v>
      </c>
      <c r="J8" s="74">
        <v>770</v>
      </c>
      <c r="K8" s="74">
        <v>551.79999999999995</v>
      </c>
      <c r="L8" s="74">
        <v>647.1</v>
      </c>
      <c r="M8" s="74">
        <v>623.5</v>
      </c>
      <c r="N8" s="74">
        <v>830.2</v>
      </c>
      <c r="O8" s="74">
        <v>720</v>
      </c>
      <c r="P8" s="74">
        <v>775.3</v>
      </c>
      <c r="Q8" s="74">
        <v>611.1</v>
      </c>
      <c r="R8" s="74">
        <f>'[9]eng-daily-01012013-12312013'!$M$57</f>
        <v>624.40000000000009</v>
      </c>
      <c r="S8" s="74">
        <f>'[10]eng-daily-01012014-12312014'!$M$57</f>
        <v>825.90000000000009</v>
      </c>
      <c r="T8" s="74">
        <f>'[11]eng-daily-01012015-12312015'!$M$57</f>
        <v>792.39999999999975</v>
      </c>
      <c r="U8" s="74">
        <v>670.4</v>
      </c>
      <c r="V8" s="75">
        <f>AVERAGE(L8:U8)</f>
        <v>712.03</v>
      </c>
      <c r="W8" s="76">
        <f>TREND(B8:U8,$B$25:$U$25,2017)</f>
        <v>717.80526315789461</v>
      </c>
    </row>
    <row r="9" spans="1:23" x14ac:dyDescent="0.25">
      <c r="A9" s="73" t="s">
        <v>76</v>
      </c>
      <c r="B9" s="74">
        <v>593</v>
      </c>
      <c r="C9" s="74">
        <v>512.20000000000005</v>
      </c>
      <c r="D9" s="74">
        <v>548.1</v>
      </c>
      <c r="E9" s="74">
        <v>612.70000000000005</v>
      </c>
      <c r="F9" s="74">
        <v>587.6</v>
      </c>
      <c r="G9" s="74">
        <v>540.20000000000005</v>
      </c>
      <c r="H9" s="74">
        <v>699</v>
      </c>
      <c r="I9" s="74">
        <v>631.70000000000005</v>
      </c>
      <c r="J9" s="74">
        <v>616.4</v>
      </c>
      <c r="K9" s="74">
        <v>604.29999999999995</v>
      </c>
      <c r="L9" s="74">
        <v>740.1</v>
      </c>
      <c r="M9" s="74">
        <v>674.7</v>
      </c>
      <c r="N9" s="74">
        <v>606.4</v>
      </c>
      <c r="O9" s="74">
        <v>598.29999999999995</v>
      </c>
      <c r="P9" s="74">
        <v>654.20000000000005</v>
      </c>
      <c r="Q9" s="74">
        <v>531.70000000000005</v>
      </c>
      <c r="R9" s="74">
        <f>'[9]eng-daily-01012013-12312013'!$M$86</f>
        <v>631.49999999999989</v>
      </c>
      <c r="S9" s="74">
        <f>'[10]eng-daily-01012014-12312014'!$M$86</f>
        <v>737.09999999999991</v>
      </c>
      <c r="T9" s="74">
        <f>'[11]eng-daily-01012015-12312015'!$M$86</f>
        <v>856.8</v>
      </c>
      <c r="U9" s="74">
        <v>588.4</v>
      </c>
      <c r="V9" s="75">
        <f t="shared" ref="V9:V19" si="1">AVERAGE(L9:U9)</f>
        <v>661.92</v>
      </c>
      <c r="W9" s="76">
        <f t="shared" ref="W9:W19" si="2">TREND(B9:U9,$B$25:$U$25,2017)</f>
        <v>697.2247368421049</v>
      </c>
    </row>
    <row r="10" spans="1:23" x14ac:dyDescent="0.25">
      <c r="A10" s="73" t="s">
        <v>77</v>
      </c>
      <c r="B10" s="74">
        <v>600</v>
      </c>
      <c r="C10" s="74">
        <v>492.3</v>
      </c>
      <c r="D10" s="74">
        <v>550.6</v>
      </c>
      <c r="E10" s="74">
        <v>418.6</v>
      </c>
      <c r="F10" s="74">
        <v>566.6</v>
      </c>
      <c r="G10" s="74">
        <v>545.6</v>
      </c>
      <c r="H10" s="74">
        <v>581.1</v>
      </c>
      <c r="I10" s="74">
        <v>487.3</v>
      </c>
      <c r="J10" s="74">
        <v>608.6</v>
      </c>
      <c r="K10" s="74">
        <v>516.6</v>
      </c>
      <c r="L10" s="74">
        <v>546.70000000000005</v>
      </c>
      <c r="M10" s="74">
        <v>610.20000000000005</v>
      </c>
      <c r="N10" s="74">
        <v>533.79999999999995</v>
      </c>
      <c r="O10" s="74">
        <v>422.8</v>
      </c>
      <c r="P10" s="74">
        <v>572.79999999999995</v>
      </c>
      <c r="Q10" s="74">
        <v>349.40000000000009</v>
      </c>
      <c r="R10" s="74">
        <f>'[9]eng-daily-01012013-12312013'!$M$117</f>
        <v>554.79999999999995</v>
      </c>
      <c r="S10" s="74">
        <f>'[10]eng-daily-01012014-12312014'!$M$117</f>
        <v>690.6</v>
      </c>
      <c r="T10" s="74">
        <f>'[11]eng-daily-01012015-12312015'!$M$117</f>
        <v>615.49999999999989</v>
      </c>
      <c r="U10" s="74">
        <v>476.0999999999998</v>
      </c>
      <c r="V10" s="75">
        <f t="shared" si="1"/>
        <v>537.27</v>
      </c>
      <c r="W10" s="76">
        <f t="shared" si="2"/>
        <v>541.9405263157895</v>
      </c>
    </row>
    <row r="11" spans="1:23" x14ac:dyDescent="0.25">
      <c r="A11" s="73" t="s">
        <v>78</v>
      </c>
      <c r="B11" s="74">
        <v>366.8</v>
      </c>
      <c r="C11" s="74">
        <v>282</v>
      </c>
      <c r="D11" s="74">
        <v>296.7</v>
      </c>
      <c r="E11" s="74">
        <v>339.2</v>
      </c>
      <c r="F11" s="74">
        <v>293.8</v>
      </c>
      <c r="G11" s="74">
        <v>329.5</v>
      </c>
      <c r="H11" s="74">
        <v>372.5</v>
      </c>
      <c r="I11" s="74">
        <v>331.5</v>
      </c>
      <c r="J11" s="74">
        <v>306.8</v>
      </c>
      <c r="K11" s="74">
        <v>293.3</v>
      </c>
      <c r="L11" s="74">
        <v>356.4</v>
      </c>
      <c r="M11" s="74">
        <v>253.9</v>
      </c>
      <c r="N11" s="74">
        <v>305.8</v>
      </c>
      <c r="O11" s="74">
        <v>225.1</v>
      </c>
      <c r="P11" s="74">
        <v>332.3</v>
      </c>
      <c r="Q11" s="74">
        <v>321.70000000000005</v>
      </c>
      <c r="R11" s="74">
        <f>'[9]eng-daily-01012013-12312013'!$M$147</f>
        <v>358.6</v>
      </c>
      <c r="S11" s="74">
        <f>'[10]eng-daily-01012014-12312014'!$M$147</f>
        <v>356.90000000000003</v>
      </c>
      <c r="T11" s="74">
        <f>'[11]eng-daily-01012015-12312015'!$M$147</f>
        <v>313.7</v>
      </c>
      <c r="U11" s="74">
        <v>394.8</v>
      </c>
      <c r="V11" s="75">
        <f t="shared" si="1"/>
        <v>321.91999999999996</v>
      </c>
      <c r="W11" s="76">
        <f t="shared" si="2"/>
        <v>331.84631578947392</v>
      </c>
    </row>
    <row r="12" spans="1:23" x14ac:dyDescent="0.25">
      <c r="A12" s="73" t="s">
        <v>79</v>
      </c>
      <c r="B12" s="74">
        <v>260.8</v>
      </c>
      <c r="C12" s="74">
        <v>59.1</v>
      </c>
      <c r="D12" s="74">
        <v>97.1</v>
      </c>
      <c r="E12" s="74">
        <v>139.6</v>
      </c>
      <c r="F12" s="74">
        <v>111.5</v>
      </c>
      <c r="G12" s="74">
        <v>227.5</v>
      </c>
      <c r="H12" s="74">
        <v>177.9</v>
      </c>
      <c r="I12" s="74">
        <v>158.9</v>
      </c>
      <c r="J12" s="74">
        <v>189.4</v>
      </c>
      <c r="K12" s="74">
        <v>136.9</v>
      </c>
      <c r="L12" s="74">
        <v>136.4</v>
      </c>
      <c r="M12" s="74">
        <v>193.5</v>
      </c>
      <c r="N12" s="74">
        <v>158.80000000000001</v>
      </c>
      <c r="O12" s="74">
        <v>107.9</v>
      </c>
      <c r="P12" s="74">
        <v>134.1</v>
      </c>
      <c r="Q12" s="74">
        <v>80.7</v>
      </c>
      <c r="R12" s="74">
        <f>'[9]eng-daily-01012013-12312013'!$M$178</f>
        <v>109.10000000000001</v>
      </c>
      <c r="S12" s="74">
        <f>'[10]eng-daily-01012014-12312014'!$M$178</f>
        <v>132.10000000000005</v>
      </c>
      <c r="T12" s="74">
        <f>'[11]eng-daily-01012015-12312015'!$M$178</f>
        <v>89.3</v>
      </c>
      <c r="U12" s="74">
        <v>142.50000000000003</v>
      </c>
      <c r="V12" s="75">
        <f t="shared" si="1"/>
        <v>128.44</v>
      </c>
      <c r="W12" s="76">
        <f t="shared" si="2"/>
        <v>116.38736842105209</v>
      </c>
    </row>
    <row r="13" spans="1:23" x14ac:dyDescent="0.25">
      <c r="A13" s="73" t="s">
        <v>80</v>
      </c>
      <c r="B13" s="74">
        <v>20.6</v>
      </c>
      <c r="C13" s="74">
        <v>54.7</v>
      </c>
      <c r="D13" s="74">
        <v>25</v>
      </c>
      <c r="E13" s="74">
        <v>34.5</v>
      </c>
      <c r="F13" s="74">
        <v>29.8</v>
      </c>
      <c r="G13" s="74">
        <v>36.200000000000003</v>
      </c>
      <c r="H13" s="74">
        <v>43.4</v>
      </c>
      <c r="I13" s="74">
        <v>44.2</v>
      </c>
      <c r="J13" s="74">
        <v>8.9</v>
      </c>
      <c r="K13" s="74">
        <v>19.5</v>
      </c>
      <c r="L13" s="74">
        <v>16.5</v>
      </c>
      <c r="M13" s="74">
        <v>22.7</v>
      </c>
      <c r="N13" s="74">
        <v>49.3</v>
      </c>
      <c r="O13" s="74">
        <v>21.7</v>
      </c>
      <c r="P13" s="74">
        <v>19</v>
      </c>
      <c r="Q13" s="74">
        <v>23.2</v>
      </c>
      <c r="R13" s="74">
        <f>'[9]eng-daily-01012013-12312013'!$M$208</f>
        <v>32.999999999999993</v>
      </c>
      <c r="S13" s="74">
        <f>'[10]eng-daily-01012014-12312014'!$M$208</f>
        <v>14.1</v>
      </c>
      <c r="T13" s="74">
        <f>'[11]eng-daily-01012015-12312015'!$M$208</f>
        <v>33.800000000000004</v>
      </c>
      <c r="U13" s="74">
        <v>24.200000000000003</v>
      </c>
      <c r="V13" s="75">
        <f t="shared" si="1"/>
        <v>25.75</v>
      </c>
      <c r="W13" s="76">
        <f t="shared" si="2"/>
        <v>22.515263157894651</v>
      </c>
    </row>
    <row r="14" spans="1:23" x14ac:dyDescent="0.25">
      <c r="A14" s="73" t="s">
        <v>81</v>
      </c>
      <c r="B14" s="74">
        <v>12.4</v>
      </c>
      <c r="C14" s="74">
        <v>1</v>
      </c>
      <c r="D14" s="74">
        <v>0</v>
      </c>
      <c r="E14" s="74">
        <v>6.6</v>
      </c>
      <c r="F14" s="74">
        <v>9.3000000000000007</v>
      </c>
      <c r="G14" s="74">
        <v>0</v>
      </c>
      <c r="H14" s="74">
        <v>0.2</v>
      </c>
      <c r="I14" s="74">
        <v>3.6</v>
      </c>
      <c r="J14" s="74">
        <v>0</v>
      </c>
      <c r="K14" s="74">
        <v>0</v>
      </c>
      <c r="L14" s="74">
        <v>3.2</v>
      </c>
      <c r="M14" s="74">
        <v>1</v>
      </c>
      <c r="N14" s="74">
        <v>6.2</v>
      </c>
      <c r="O14" s="74">
        <v>1.8</v>
      </c>
      <c r="P14" s="74">
        <v>0</v>
      </c>
      <c r="Q14" s="74">
        <v>0</v>
      </c>
      <c r="R14" s="74">
        <f>'[9]eng-daily-01012013-12312013'!$M$239</f>
        <v>1.2999999999999998</v>
      </c>
      <c r="S14" s="74">
        <f>'[10]eng-daily-01012014-12312014'!$M$239</f>
        <v>4</v>
      </c>
      <c r="T14" s="74">
        <f>'[11]eng-daily-01012015-12312015'!$M$239</f>
        <v>4</v>
      </c>
      <c r="U14" s="74">
        <v>0</v>
      </c>
      <c r="V14" s="75">
        <f t="shared" si="1"/>
        <v>2.15</v>
      </c>
      <c r="W14" s="76">
        <f t="shared" si="2"/>
        <v>0.63473684210526926</v>
      </c>
    </row>
    <row r="15" spans="1:23" x14ac:dyDescent="0.25">
      <c r="A15" s="73" t="s">
        <v>82</v>
      </c>
      <c r="B15" s="74">
        <v>17</v>
      </c>
      <c r="C15" s="74">
        <v>3.4</v>
      </c>
      <c r="D15" s="74">
        <v>8.4</v>
      </c>
      <c r="E15" s="74">
        <v>11.5</v>
      </c>
      <c r="F15" s="74">
        <v>0</v>
      </c>
      <c r="G15" s="74">
        <v>0.2</v>
      </c>
      <c r="H15" s="74">
        <v>2</v>
      </c>
      <c r="I15" s="74">
        <v>12.8</v>
      </c>
      <c r="J15" s="74">
        <v>0.2</v>
      </c>
      <c r="K15" s="74">
        <v>4.2</v>
      </c>
      <c r="L15" s="74">
        <v>5.2</v>
      </c>
      <c r="M15" s="74">
        <v>12.7</v>
      </c>
      <c r="N15" s="74">
        <v>9.8000000000000007</v>
      </c>
      <c r="O15" s="74">
        <v>2.1</v>
      </c>
      <c r="P15" s="74">
        <v>0</v>
      </c>
      <c r="Q15" s="74">
        <v>2</v>
      </c>
      <c r="R15" s="74">
        <f>'[9]eng-daily-01012013-12312013'!$M$270</f>
        <v>4.4000000000000004</v>
      </c>
      <c r="S15" s="74">
        <f>'[10]eng-daily-01012014-12312014'!$M$270</f>
        <v>8.7999999999999989</v>
      </c>
      <c r="T15" s="74">
        <f>'[11]eng-daily-01012015-12312015'!$M$270</f>
        <v>4.4000000000000004</v>
      </c>
      <c r="U15" s="74">
        <v>0</v>
      </c>
      <c r="V15" s="75">
        <f t="shared" si="1"/>
        <v>4.9399999999999995</v>
      </c>
      <c r="W15" s="76">
        <f t="shared" si="2"/>
        <v>2.7084210526315928</v>
      </c>
    </row>
    <row r="16" spans="1:23" x14ac:dyDescent="0.25">
      <c r="A16" s="73" t="s">
        <v>83</v>
      </c>
      <c r="B16" s="74">
        <v>87.1</v>
      </c>
      <c r="C16" s="74">
        <v>39.700000000000003</v>
      </c>
      <c r="D16" s="74">
        <v>49.3</v>
      </c>
      <c r="E16" s="74">
        <v>99.5</v>
      </c>
      <c r="F16" s="74">
        <v>73.599999999999994</v>
      </c>
      <c r="G16" s="74">
        <v>21.8</v>
      </c>
      <c r="H16" s="74">
        <v>54.9</v>
      </c>
      <c r="I16" s="74">
        <v>30</v>
      </c>
      <c r="J16" s="74">
        <v>22.6</v>
      </c>
      <c r="K16" s="74">
        <v>80.900000000000006</v>
      </c>
      <c r="L16" s="74">
        <v>36.9</v>
      </c>
      <c r="M16" s="74">
        <v>59</v>
      </c>
      <c r="N16" s="74">
        <v>55.2</v>
      </c>
      <c r="O16" s="74">
        <v>78.099999999999994</v>
      </c>
      <c r="P16" s="74">
        <v>48.2</v>
      </c>
      <c r="Q16" s="74">
        <v>85</v>
      </c>
      <c r="R16" s="74">
        <f>'[9]eng-daily-01012013-12312013'!$M$300</f>
        <v>82.999999999999986</v>
      </c>
      <c r="S16" s="74">
        <f>'[10]eng-daily-01012014-12312014'!$M$300</f>
        <v>69.700000000000017</v>
      </c>
      <c r="T16" s="74">
        <f>'[11]eng-daily-01012015-12312015'!$M$300</f>
        <v>31.099999999999994</v>
      </c>
      <c r="U16" s="74">
        <v>25.900000000000006</v>
      </c>
      <c r="V16" s="75">
        <f t="shared" si="1"/>
        <v>57.21</v>
      </c>
      <c r="W16" s="76">
        <f t="shared" si="2"/>
        <v>52.620526315789562</v>
      </c>
    </row>
    <row r="17" spans="1:23" x14ac:dyDescent="0.25">
      <c r="A17" s="73" t="s">
        <v>84</v>
      </c>
      <c r="B17" s="74">
        <v>266.89999999999998</v>
      </c>
      <c r="C17" s="74">
        <v>223.4</v>
      </c>
      <c r="D17" s="74">
        <v>267.60000000000002</v>
      </c>
      <c r="E17" s="74">
        <v>212.7</v>
      </c>
      <c r="F17" s="74">
        <v>232.5</v>
      </c>
      <c r="G17" s="74">
        <v>292.2</v>
      </c>
      <c r="H17" s="74">
        <v>276</v>
      </c>
      <c r="I17" s="74">
        <v>226.3</v>
      </c>
      <c r="J17" s="74">
        <v>220.2</v>
      </c>
      <c r="K17" s="74">
        <v>288.3</v>
      </c>
      <c r="L17" s="74">
        <v>137.69999999999999</v>
      </c>
      <c r="M17" s="74">
        <v>278.60000000000002</v>
      </c>
      <c r="N17" s="74">
        <v>287.8</v>
      </c>
      <c r="O17" s="74">
        <v>241.6</v>
      </c>
      <c r="P17" s="74">
        <v>235.5</v>
      </c>
      <c r="Q17" s="74">
        <v>242.50000000000003</v>
      </c>
      <c r="R17" s="74">
        <f>'[9]eng-daily-01012013-12312013'!$M$331</f>
        <v>208.5</v>
      </c>
      <c r="S17" s="74">
        <f>'[10]eng-daily-01012014-12312014'!$M$331</f>
        <v>224.30000000000004</v>
      </c>
      <c r="T17" s="74">
        <f>'[11]eng-daily-01012015-12312015'!$M$331</f>
        <v>249.8</v>
      </c>
      <c r="U17" s="74">
        <v>194.20000000000002</v>
      </c>
      <c r="V17" s="75">
        <f t="shared" si="1"/>
        <v>230.05</v>
      </c>
      <c r="W17" s="76">
        <f t="shared" si="2"/>
        <v>224.9699999999998</v>
      </c>
    </row>
    <row r="18" spans="1:23" x14ac:dyDescent="0.25">
      <c r="A18" s="73" t="s">
        <v>85</v>
      </c>
      <c r="B18" s="74">
        <v>466.5</v>
      </c>
      <c r="C18" s="74">
        <v>392.6</v>
      </c>
      <c r="D18" s="74">
        <v>367.5</v>
      </c>
      <c r="E18" s="74">
        <v>432</v>
      </c>
      <c r="F18" s="74">
        <v>325.8</v>
      </c>
      <c r="G18" s="74">
        <v>445</v>
      </c>
      <c r="H18" s="74">
        <v>398.5</v>
      </c>
      <c r="I18" s="74">
        <v>379.1</v>
      </c>
      <c r="J18" s="74">
        <v>388.4</v>
      </c>
      <c r="K18" s="74">
        <v>382.2</v>
      </c>
      <c r="L18" s="74">
        <v>462.5</v>
      </c>
      <c r="M18" s="74">
        <v>451.6</v>
      </c>
      <c r="N18" s="74">
        <v>361.2</v>
      </c>
      <c r="O18" s="74">
        <v>405.3</v>
      </c>
      <c r="P18" s="74">
        <v>342.1</v>
      </c>
      <c r="Q18" s="74">
        <v>433.99999999999994</v>
      </c>
      <c r="R18" s="74">
        <f>'[9]eng-daily-01012013-12312013'!$M$361</f>
        <v>478.20000000000005</v>
      </c>
      <c r="S18" s="74">
        <f>'[10]eng-daily-01012014-12312014'!$M$361</f>
        <v>482.1</v>
      </c>
      <c r="T18" s="74">
        <f>'[11]eng-daily-01012015-12312015'!$M$361</f>
        <v>345</v>
      </c>
      <c r="U18" s="74">
        <v>337.80000000000007</v>
      </c>
      <c r="V18" s="75">
        <f t="shared" si="1"/>
        <v>409.9799999999999</v>
      </c>
      <c r="W18" s="76">
        <f t="shared" si="2"/>
        <v>400.37421052631578</v>
      </c>
    </row>
    <row r="19" spans="1:23" x14ac:dyDescent="0.25">
      <c r="A19" s="73" t="s">
        <v>86</v>
      </c>
      <c r="B19" s="74">
        <v>586.20000000000005</v>
      </c>
      <c r="C19" s="74">
        <v>535.1</v>
      </c>
      <c r="D19" s="74">
        <v>579.29999999999995</v>
      </c>
      <c r="E19" s="74">
        <v>780.3</v>
      </c>
      <c r="F19" s="74">
        <v>505</v>
      </c>
      <c r="G19" s="74">
        <v>619.4</v>
      </c>
      <c r="H19" s="74">
        <v>561.5</v>
      </c>
      <c r="I19" s="74">
        <v>643.4</v>
      </c>
      <c r="J19" s="74">
        <v>665.3</v>
      </c>
      <c r="K19" s="74">
        <v>500.5</v>
      </c>
      <c r="L19" s="74">
        <v>630.70000000000005</v>
      </c>
      <c r="M19" s="74">
        <v>654.6</v>
      </c>
      <c r="N19" s="74">
        <v>631.29999999999995</v>
      </c>
      <c r="O19" s="74">
        <v>676.2</v>
      </c>
      <c r="P19" s="74">
        <v>534</v>
      </c>
      <c r="Q19" s="74">
        <v>533.50000000000011</v>
      </c>
      <c r="R19" s="74">
        <f>'[9]eng-daily-01012013-12312013'!$M$392</f>
        <v>687.9</v>
      </c>
      <c r="S19" s="74">
        <f>'[10]eng-daily-01012014-12312014'!$M$392</f>
        <v>557.29999999999995</v>
      </c>
      <c r="T19" s="74">
        <f>'[11]eng-daily-01012015-12312015'!$M$392</f>
        <v>429.70000000000005</v>
      </c>
      <c r="U19" s="74">
        <v>607.99999999999989</v>
      </c>
      <c r="V19" s="75">
        <f t="shared" si="1"/>
        <v>594.31999999999994</v>
      </c>
      <c r="W19" s="76">
        <f t="shared" si="2"/>
        <v>576.0384210526322</v>
      </c>
    </row>
    <row r="20" spans="1:23" x14ac:dyDescent="0.25">
      <c r="A20" s="73"/>
      <c r="B20" s="73"/>
      <c r="M20" s="73"/>
      <c r="N20" s="73"/>
      <c r="O20" s="73"/>
      <c r="P20" s="73"/>
      <c r="Q20" s="73"/>
      <c r="R20" s="73"/>
      <c r="S20" s="73"/>
      <c r="T20" s="73"/>
      <c r="U20" s="73"/>
    </row>
    <row r="21" spans="1:23" x14ac:dyDescent="0.25">
      <c r="A21" s="73" t="s">
        <v>9</v>
      </c>
      <c r="B21" s="74">
        <f t="shared" ref="B21:V21" si="3">SUM(B8:B19)</f>
        <v>4033.9000000000005</v>
      </c>
      <c r="C21" s="74">
        <f t="shared" si="3"/>
        <v>3220.2999999999997</v>
      </c>
      <c r="D21" s="74">
        <f t="shared" si="3"/>
        <v>3539.3999999999996</v>
      </c>
      <c r="E21" s="74">
        <f t="shared" si="3"/>
        <v>3826.0999999999995</v>
      </c>
      <c r="F21" s="74">
        <f t="shared" si="3"/>
        <v>3420.4000000000005</v>
      </c>
      <c r="G21" s="74">
        <f t="shared" si="3"/>
        <v>3629.7999999999997</v>
      </c>
      <c r="H21" s="74">
        <f t="shared" si="3"/>
        <v>3981.5</v>
      </c>
      <c r="I21" s="74">
        <f t="shared" si="3"/>
        <v>3797.9000000000005</v>
      </c>
      <c r="J21" s="74">
        <f t="shared" si="3"/>
        <v>3796.8</v>
      </c>
      <c r="K21" s="74">
        <f t="shared" si="3"/>
        <v>3378.4999999999995</v>
      </c>
      <c r="L21" s="74">
        <f t="shared" si="3"/>
        <v>3719.3999999999996</v>
      </c>
      <c r="M21" s="74">
        <f t="shared" si="3"/>
        <v>3835.9999999999995</v>
      </c>
      <c r="N21" s="74">
        <f t="shared" si="3"/>
        <v>3835.8</v>
      </c>
      <c r="O21" s="74">
        <f t="shared" si="3"/>
        <v>3500.8999999999996</v>
      </c>
      <c r="P21" s="74">
        <f t="shared" si="3"/>
        <v>3647.4999999999995</v>
      </c>
      <c r="Q21" s="74">
        <f t="shared" si="3"/>
        <v>3214.8000000000006</v>
      </c>
      <c r="R21" s="74">
        <f t="shared" si="3"/>
        <v>3774.7000000000003</v>
      </c>
      <c r="S21" s="74">
        <f t="shared" si="3"/>
        <v>4102.8999999999996</v>
      </c>
      <c r="T21" s="74">
        <f t="shared" si="3"/>
        <v>3765.5</v>
      </c>
      <c r="U21" s="74">
        <f t="shared" si="3"/>
        <v>3462.2999999999997</v>
      </c>
      <c r="V21" s="74">
        <f t="shared" si="3"/>
        <v>3685.9800000000005</v>
      </c>
    </row>
    <row r="22" spans="1:23" x14ac:dyDescent="0.25">
      <c r="A22" s="68"/>
      <c r="B22" s="69"/>
    </row>
    <row r="23" spans="1:23" x14ac:dyDescent="0.25">
      <c r="A23" s="68" t="s">
        <v>87</v>
      </c>
      <c r="B23" s="69"/>
    </row>
    <row r="24" spans="1:23" x14ac:dyDescent="0.25">
      <c r="A24" s="70"/>
      <c r="B24" s="71"/>
    </row>
    <row r="25" spans="1:23" x14ac:dyDescent="0.25">
      <c r="A25" s="72" t="s">
        <v>74</v>
      </c>
      <c r="B25" s="72">
        <v>1997</v>
      </c>
      <c r="C25" s="72">
        <v>1998</v>
      </c>
      <c r="D25" s="72">
        <v>1999</v>
      </c>
      <c r="E25" s="72">
        <v>2000</v>
      </c>
      <c r="F25" s="72">
        <v>2001</v>
      </c>
      <c r="G25" s="72">
        <v>2002</v>
      </c>
      <c r="H25" s="72">
        <v>2003</v>
      </c>
      <c r="I25" s="72">
        <v>2004</v>
      </c>
      <c r="J25" s="72">
        <v>2005</v>
      </c>
      <c r="K25" s="72">
        <v>2006</v>
      </c>
      <c r="L25" s="72">
        <v>2007</v>
      </c>
      <c r="M25" s="72">
        <v>2008</v>
      </c>
      <c r="N25" s="72">
        <v>2009</v>
      </c>
      <c r="O25" s="72">
        <v>2010</v>
      </c>
      <c r="P25" s="72">
        <v>2011</v>
      </c>
      <c r="Q25" s="72">
        <v>2012</v>
      </c>
      <c r="R25" s="72">
        <v>2013</v>
      </c>
      <c r="S25" s="72">
        <v>2014</v>
      </c>
      <c r="T25" s="72">
        <v>2015</v>
      </c>
      <c r="U25" s="72">
        <v>2016</v>
      </c>
      <c r="V25" s="77" t="s">
        <v>88</v>
      </c>
      <c r="W25" s="326" t="s">
        <v>89</v>
      </c>
    </row>
    <row r="26" spans="1:23" x14ac:dyDescent="0.25">
      <c r="A26" s="70"/>
      <c r="B26" s="69"/>
      <c r="W26" s="72">
        <v>2017</v>
      </c>
    </row>
    <row r="27" spans="1:23" x14ac:dyDescent="0.25">
      <c r="B27" s="69"/>
    </row>
    <row r="28" spans="1:23" x14ac:dyDescent="0.25">
      <c r="A28" s="73" t="s">
        <v>75</v>
      </c>
      <c r="B28" s="74">
        <v>0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4">
        <v>0</v>
      </c>
      <c r="Q28" s="74">
        <v>0</v>
      </c>
      <c r="R28" s="74">
        <f>'[9]eng-daily-01012013-12312013'!$O$57</f>
        <v>0</v>
      </c>
      <c r="S28" s="74">
        <f>'[10]eng-daily-01012014-12312014'!$O$57</f>
        <v>0</v>
      </c>
      <c r="T28" s="74">
        <f>'[11]eng-daily-01012015-12312015'!$O$57</f>
        <v>0</v>
      </c>
      <c r="U28" s="74">
        <v>0</v>
      </c>
      <c r="V28" s="75">
        <f>AVERAGE(L28:U28)</f>
        <v>0</v>
      </c>
      <c r="W28" s="76">
        <f>TREND(B28:U28,$B$25:$U$25,2017)</f>
        <v>0</v>
      </c>
    </row>
    <row r="29" spans="1:23" x14ac:dyDescent="0.25">
      <c r="A29" s="73" t="s">
        <v>76</v>
      </c>
      <c r="B29" s="74">
        <v>0</v>
      </c>
      <c r="C29" s="74">
        <v>0</v>
      </c>
      <c r="D29" s="74">
        <v>0</v>
      </c>
      <c r="E29" s="74">
        <v>0</v>
      </c>
      <c r="F29" s="74">
        <v>0</v>
      </c>
      <c r="G29" s="74">
        <v>0</v>
      </c>
      <c r="H29" s="74">
        <v>0</v>
      </c>
      <c r="I29" s="74">
        <v>0</v>
      </c>
      <c r="J29" s="74">
        <v>0</v>
      </c>
      <c r="K29" s="74">
        <v>0</v>
      </c>
      <c r="L29" s="74">
        <v>0</v>
      </c>
      <c r="M29" s="74">
        <v>0</v>
      </c>
      <c r="N29" s="74">
        <v>0</v>
      </c>
      <c r="O29" s="74">
        <v>0</v>
      </c>
      <c r="P29" s="74">
        <v>0</v>
      </c>
      <c r="Q29" s="74">
        <v>0</v>
      </c>
      <c r="R29" s="74">
        <f>'[9]eng-daily-01012013-12312013'!$O$86</f>
        <v>0</v>
      </c>
      <c r="S29" s="74">
        <f>'[10]eng-daily-01012014-12312014'!$O$86</f>
        <v>0</v>
      </c>
      <c r="T29" s="74">
        <f>'[11]eng-daily-01012015-12312015'!$O$86</f>
        <v>0</v>
      </c>
      <c r="U29" s="74">
        <v>0</v>
      </c>
      <c r="V29" s="75">
        <f t="shared" ref="V29:V39" si="4">AVERAGE(L29:U29)</f>
        <v>0</v>
      </c>
      <c r="W29" s="76">
        <f t="shared" ref="W29:W39" si="5">TREND(B29:U29,$B$25:$U$25,2017)</f>
        <v>0</v>
      </c>
    </row>
    <row r="30" spans="1:23" x14ac:dyDescent="0.25">
      <c r="A30" s="73" t="s">
        <v>77</v>
      </c>
      <c r="B30" s="74">
        <v>0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4">
        <v>0</v>
      </c>
      <c r="O30" s="74">
        <v>0</v>
      </c>
      <c r="P30" s="74">
        <v>0</v>
      </c>
      <c r="Q30" s="74">
        <v>0.2</v>
      </c>
      <c r="R30" s="74">
        <f>'[9]eng-daily-01012013-12312013'!$O$117</f>
        <v>0</v>
      </c>
      <c r="S30" s="74">
        <f>'[10]eng-daily-01012014-12312014'!$O$117</f>
        <v>0</v>
      </c>
      <c r="T30" s="74">
        <f>'[11]eng-daily-01012015-12312015'!$O$117</f>
        <v>0</v>
      </c>
      <c r="U30" s="74">
        <v>0</v>
      </c>
      <c r="V30" s="75">
        <f t="shared" si="4"/>
        <v>0.02</v>
      </c>
      <c r="W30" s="76">
        <f t="shared" si="5"/>
        <v>2.7368421052631486E-2</v>
      </c>
    </row>
    <row r="31" spans="1:23" x14ac:dyDescent="0.25">
      <c r="A31" s="73" t="s">
        <v>78</v>
      </c>
      <c r="B31" s="74">
        <v>0</v>
      </c>
      <c r="C31" s="74">
        <v>0</v>
      </c>
      <c r="D31" s="74">
        <v>0</v>
      </c>
      <c r="E31" s="74">
        <v>0</v>
      </c>
      <c r="F31" s="74">
        <v>1.4</v>
      </c>
      <c r="G31" s="74">
        <v>8.3000000000000007</v>
      </c>
      <c r="H31" s="74">
        <v>2.4</v>
      </c>
      <c r="I31" s="74">
        <v>0</v>
      </c>
      <c r="J31" s="74">
        <v>0</v>
      </c>
      <c r="K31" s="74">
        <v>0</v>
      </c>
      <c r="L31" s="74">
        <v>0</v>
      </c>
      <c r="M31" s="74">
        <v>0</v>
      </c>
      <c r="N31" s="74">
        <v>1.2</v>
      </c>
      <c r="O31" s="74">
        <v>0</v>
      </c>
      <c r="P31" s="74">
        <v>0</v>
      </c>
      <c r="Q31" s="74">
        <v>0</v>
      </c>
      <c r="R31" s="74">
        <f>'[9]eng-daily-01012013-12312013'!$O$147</f>
        <v>0</v>
      </c>
      <c r="S31" s="74">
        <f>'[10]eng-daily-01012014-12312014'!$O$147</f>
        <v>0</v>
      </c>
      <c r="T31" s="74">
        <f>'[11]eng-daily-01012015-12312015'!$O$147</f>
        <v>0</v>
      </c>
      <c r="U31" s="74">
        <v>0</v>
      </c>
      <c r="V31" s="75">
        <f t="shared" si="4"/>
        <v>0.12</v>
      </c>
      <c r="W31" s="76">
        <f t="shared" si="5"/>
        <v>-0.13157894736841058</v>
      </c>
    </row>
    <row r="32" spans="1:23" x14ac:dyDescent="0.25">
      <c r="A32" s="73" t="s">
        <v>79</v>
      </c>
      <c r="B32" s="74">
        <v>0</v>
      </c>
      <c r="C32" s="74">
        <v>28.6</v>
      </c>
      <c r="D32" s="74">
        <v>19.399999999999999</v>
      </c>
      <c r="E32" s="74">
        <v>23.7</v>
      </c>
      <c r="F32" s="74">
        <v>12.2</v>
      </c>
      <c r="G32" s="74">
        <v>7.8</v>
      </c>
      <c r="H32" s="74">
        <v>0</v>
      </c>
      <c r="I32" s="74">
        <v>8.6</v>
      </c>
      <c r="J32" s="74">
        <v>0.8</v>
      </c>
      <c r="K32" s="74">
        <v>26</v>
      </c>
      <c r="L32" s="74">
        <v>22.4</v>
      </c>
      <c r="M32" s="74">
        <v>2.5</v>
      </c>
      <c r="N32" s="74">
        <v>6.9</v>
      </c>
      <c r="O32" s="74">
        <v>45.7</v>
      </c>
      <c r="P32" s="74">
        <v>13</v>
      </c>
      <c r="Q32" s="74">
        <v>36.700000000000003</v>
      </c>
      <c r="R32" s="74">
        <f>'[9]eng-daily-01012013-12312013'!$O$178</f>
        <v>23.1</v>
      </c>
      <c r="S32" s="74">
        <f>'[10]eng-daily-01012014-12312014'!$O$178</f>
        <v>11.9</v>
      </c>
      <c r="T32" s="74">
        <f>'[11]eng-daily-01012015-12312015'!$O$178</f>
        <v>34.1</v>
      </c>
      <c r="U32" s="74">
        <v>36.9</v>
      </c>
      <c r="V32" s="75">
        <f t="shared" si="4"/>
        <v>23.32</v>
      </c>
      <c r="W32" s="76">
        <f t="shared" si="5"/>
        <v>28.305789473684399</v>
      </c>
    </row>
    <row r="33" spans="1:23" x14ac:dyDescent="0.25">
      <c r="A33" s="73" t="s">
        <v>80</v>
      </c>
      <c r="B33" s="74">
        <v>73.2</v>
      </c>
      <c r="C33" s="74">
        <v>82.4</v>
      </c>
      <c r="D33" s="74">
        <v>96</v>
      </c>
      <c r="E33" s="74">
        <v>41.1</v>
      </c>
      <c r="F33" s="74">
        <v>79.7</v>
      </c>
      <c r="G33" s="74">
        <v>70</v>
      </c>
      <c r="H33" s="74">
        <v>52.9</v>
      </c>
      <c r="I33" s="74">
        <v>31.6</v>
      </c>
      <c r="J33" s="74">
        <v>146.30000000000001</v>
      </c>
      <c r="K33" s="74">
        <v>73.599999999999994</v>
      </c>
      <c r="L33" s="74">
        <v>99.2</v>
      </c>
      <c r="M33" s="74">
        <v>71.5</v>
      </c>
      <c r="N33" s="74">
        <v>34.200000000000003</v>
      </c>
      <c r="O33" s="74">
        <v>58.7</v>
      </c>
      <c r="P33" s="74">
        <v>52.2</v>
      </c>
      <c r="Q33" s="74">
        <v>101.60000000000001</v>
      </c>
      <c r="R33" s="74">
        <f>'[9]eng-daily-01012013-12312013'!$O$208</f>
        <v>59.6</v>
      </c>
      <c r="S33" s="74">
        <f>'[10]eng-daily-01012014-12312014'!$O$208</f>
        <v>68.099999999999994</v>
      </c>
      <c r="T33" s="74">
        <f>'[11]eng-daily-01012015-12312015'!$O$208</f>
        <v>32.299999999999997</v>
      </c>
      <c r="U33" s="74">
        <v>83.7</v>
      </c>
      <c r="V33" s="75">
        <f t="shared" si="4"/>
        <v>66.11</v>
      </c>
      <c r="W33" s="76">
        <f t="shared" si="5"/>
        <v>63.331578947368371</v>
      </c>
    </row>
    <row r="34" spans="1:23" x14ac:dyDescent="0.25">
      <c r="A34" s="73" t="s">
        <v>81</v>
      </c>
      <c r="B34" s="74">
        <v>103</v>
      </c>
      <c r="C34" s="74">
        <v>101.3</v>
      </c>
      <c r="D34" s="74">
        <v>196.5</v>
      </c>
      <c r="E34" s="74">
        <v>71.8</v>
      </c>
      <c r="F34" s="74">
        <v>100.9</v>
      </c>
      <c r="G34" s="74">
        <v>192.4</v>
      </c>
      <c r="H34" s="74">
        <v>118.3</v>
      </c>
      <c r="I34" s="74">
        <v>86.4</v>
      </c>
      <c r="J34" s="74">
        <v>188.7</v>
      </c>
      <c r="K34" s="74">
        <v>167.3</v>
      </c>
      <c r="L34" s="74">
        <v>106.1</v>
      </c>
      <c r="M34" s="74">
        <v>111</v>
      </c>
      <c r="N34" s="74">
        <v>43.7</v>
      </c>
      <c r="O34" s="74">
        <v>164.9</v>
      </c>
      <c r="P34" s="74">
        <v>198.5</v>
      </c>
      <c r="Q34" s="74">
        <v>195.39999999999998</v>
      </c>
      <c r="R34" s="74">
        <f>'[9]eng-daily-01012013-12312013'!$O$239</f>
        <v>120.80000000000003</v>
      </c>
      <c r="S34" s="74">
        <f>'[10]eng-daily-01012014-12312014'!$O$239</f>
        <v>71</v>
      </c>
      <c r="T34" s="74">
        <f>'[11]eng-daily-01012015-12312015'!$O$239</f>
        <v>114.29999999999998</v>
      </c>
      <c r="U34" s="74">
        <v>176.89999999999998</v>
      </c>
      <c r="V34" s="75">
        <f t="shared" si="4"/>
        <v>130.26</v>
      </c>
      <c r="W34" s="76">
        <f t="shared" si="5"/>
        <v>141.66315789473697</v>
      </c>
    </row>
    <row r="35" spans="1:23" x14ac:dyDescent="0.25">
      <c r="A35" s="73" t="s">
        <v>82</v>
      </c>
      <c r="B35" s="74">
        <v>46.8</v>
      </c>
      <c r="C35" s="74">
        <v>117.7</v>
      </c>
      <c r="D35" s="74">
        <v>79.099999999999994</v>
      </c>
      <c r="E35" s="74">
        <v>92.5</v>
      </c>
      <c r="F35" s="74">
        <v>160</v>
      </c>
      <c r="G35" s="74">
        <v>142.69999999999999</v>
      </c>
      <c r="H35" s="74">
        <v>128</v>
      </c>
      <c r="I35" s="74">
        <v>59.6</v>
      </c>
      <c r="J35" s="74">
        <v>140.69999999999999</v>
      </c>
      <c r="K35" s="74">
        <v>101.6</v>
      </c>
      <c r="L35" s="74">
        <v>141</v>
      </c>
      <c r="M35" s="74">
        <v>64</v>
      </c>
      <c r="N35" s="74">
        <v>91</v>
      </c>
      <c r="O35" s="74">
        <v>138.80000000000001</v>
      </c>
      <c r="P35" s="74">
        <v>122.2</v>
      </c>
      <c r="Q35" s="74">
        <v>112.10000000000001</v>
      </c>
      <c r="R35" s="74">
        <f>'[9]eng-daily-01012013-12312013'!$O$270</f>
        <v>93.799999999999983</v>
      </c>
      <c r="S35" s="74">
        <f>'[10]eng-daily-01012014-12312014'!$O$270</f>
        <v>81.799999999999983</v>
      </c>
      <c r="T35" s="74">
        <f>'[11]eng-daily-01012015-12312015'!$O$270</f>
        <v>88.6</v>
      </c>
      <c r="U35" s="74">
        <v>195.4</v>
      </c>
      <c r="V35" s="75">
        <f t="shared" si="4"/>
        <v>112.87</v>
      </c>
      <c r="W35" s="76">
        <f t="shared" si="5"/>
        <v>123.42210526315785</v>
      </c>
    </row>
    <row r="36" spans="1:23" x14ac:dyDescent="0.25">
      <c r="A36" s="73" t="s">
        <v>83</v>
      </c>
      <c r="B36" s="74">
        <v>11.7</v>
      </c>
      <c r="C36" s="74">
        <v>45</v>
      </c>
      <c r="D36" s="74">
        <v>48.9</v>
      </c>
      <c r="E36" s="74">
        <v>35.200000000000003</v>
      </c>
      <c r="F36" s="74">
        <v>35.700000000000003</v>
      </c>
      <c r="G36" s="74">
        <v>87.6</v>
      </c>
      <c r="H36" s="74">
        <v>24</v>
      </c>
      <c r="I36" s="74">
        <v>41.2</v>
      </c>
      <c r="J36" s="74">
        <v>52.1</v>
      </c>
      <c r="K36" s="74">
        <v>12.9</v>
      </c>
      <c r="L36" s="74">
        <v>47.5</v>
      </c>
      <c r="M36" s="74">
        <v>26.7</v>
      </c>
      <c r="N36" s="74">
        <v>20.9</v>
      </c>
      <c r="O36" s="74">
        <v>31.5</v>
      </c>
      <c r="P36" s="74">
        <v>39.700000000000003</v>
      </c>
      <c r="Q36" s="74">
        <v>35.6</v>
      </c>
      <c r="R36" s="74">
        <f>'[9]eng-daily-01012013-12312013'!$O$300</f>
        <v>28.099999999999998</v>
      </c>
      <c r="S36" s="74">
        <f>'[10]eng-daily-01012014-12312014'!$O$300</f>
        <v>30.099999999999998</v>
      </c>
      <c r="T36" s="74">
        <f>'[11]eng-daily-01012015-12312015'!$O$300</f>
        <v>81.900000000000006</v>
      </c>
      <c r="U36" s="74">
        <v>69.400000000000006</v>
      </c>
      <c r="V36" s="75">
        <f t="shared" si="4"/>
        <v>41.14</v>
      </c>
      <c r="W36" s="76">
        <f t="shared" si="5"/>
        <v>46.809999999999945</v>
      </c>
    </row>
    <row r="37" spans="1:23" x14ac:dyDescent="0.25">
      <c r="A37" s="73" t="s">
        <v>84</v>
      </c>
      <c r="B37" s="74">
        <v>2.8</v>
      </c>
      <c r="C37" s="74">
        <v>0</v>
      </c>
      <c r="D37" s="74">
        <v>0</v>
      </c>
      <c r="E37" s="74">
        <v>1.2</v>
      </c>
      <c r="F37" s="74">
        <v>2</v>
      </c>
      <c r="G37" s="74">
        <v>10</v>
      </c>
      <c r="H37" s="74">
        <v>0</v>
      </c>
      <c r="I37" s="74">
        <v>1.5</v>
      </c>
      <c r="J37" s="74">
        <v>7.6</v>
      </c>
      <c r="K37" s="74">
        <v>1.1000000000000001</v>
      </c>
      <c r="L37" s="74">
        <v>19.8</v>
      </c>
      <c r="M37" s="74">
        <v>0</v>
      </c>
      <c r="N37" s="74">
        <v>0</v>
      </c>
      <c r="O37" s="74">
        <v>0</v>
      </c>
      <c r="P37" s="74">
        <v>2.4</v>
      </c>
      <c r="Q37" s="74">
        <v>1.1000000000000001</v>
      </c>
      <c r="R37" s="74">
        <f>'[9]eng-daily-01012013-12312013'!$O$331</f>
        <v>0.4</v>
      </c>
      <c r="S37" s="74">
        <f>'[10]eng-daily-01012014-12312014'!$O$331</f>
        <v>1.3</v>
      </c>
      <c r="T37" s="74">
        <f>'[11]eng-daily-01012015-12312015'!$O$331</f>
        <v>0</v>
      </c>
      <c r="U37" s="74">
        <v>4.0999999999999996</v>
      </c>
      <c r="V37" s="75">
        <f t="shared" si="4"/>
        <v>2.91</v>
      </c>
      <c r="W37" s="76">
        <f t="shared" si="5"/>
        <v>2.3221052631578942</v>
      </c>
    </row>
    <row r="38" spans="1:23" x14ac:dyDescent="0.25">
      <c r="A38" s="73" t="s">
        <v>85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4">
        <f>'[9]eng-daily-01012013-12312013'!$O$361</f>
        <v>0</v>
      </c>
      <c r="S38" s="74">
        <f>'[10]eng-daily-01012014-12312014'!$O$361</f>
        <v>0</v>
      </c>
      <c r="T38" s="74">
        <f>'[11]eng-daily-01012015-12312015'!$O$361</f>
        <v>0</v>
      </c>
      <c r="U38" s="74">
        <v>0</v>
      </c>
      <c r="V38" s="75">
        <f t="shared" si="4"/>
        <v>0</v>
      </c>
      <c r="W38" s="76">
        <f t="shared" si="5"/>
        <v>0</v>
      </c>
    </row>
    <row r="39" spans="1:23" x14ac:dyDescent="0.25">
      <c r="A39" s="73" t="s">
        <v>86</v>
      </c>
      <c r="B39" s="74">
        <v>0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4">
        <f>'[9]eng-daily-01012013-12312013'!$O$392</f>
        <v>0</v>
      </c>
      <c r="S39" s="74">
        <f>'[10]eng-daily-01012014-12312014'!$O$392</f>
        <v>0</v>
      </c>
      <c r="T39" s="74">
        <f>'[11]eng-daily-01012015-12312015'!$O$392</f>
        <v>0</v>
      </c>
      <c r="U39" s="74">
        <v>0</v>
      </c>
      <c r="V39" s="75">
        <f t="shared" si="4"/>
        <v>0</v>
      </c>
      <c r="W39" s="76">
        <f t="shared" si="5"/>
        <v>0</v>
      </c>
    </row>
    <row r="40" spans="1:23" x14ac:dyDescent="0.25">
      <c r="A40" s="73"/>
      <c r="B40" s="73"/>
      <c r="C40" s="69"/>
      <c r="D40" s="69"/>
      <c r="M40" s="73"/>
      <c r="N40" s="73"/>
      <c r="O40" s="73"/>
      <c r="P40" s="73"/>
      <c r="Q40" s="73"/>
      <c r="R40" s="73"/>
      <c r="S40" s="73"/>
      <c r="T40" s="73"/>
      <c r="U40" s="73"/>
    </row>
    <row r="41" spans="1:23" x14ac:dyDescent="0.25">
      <c r="A41" s="73" t="s">
        <v>9</v>
      </c>
      <c r="B41" s="74">
        <f t="shared" ref="B41:R41" si="6">SUM(B28:B39)</f>
        <v>237.5</v>
      </c>
      <c r="C41" s="74">
        <f t="shared" si="6"/>
        <v>375</v>
      </c>
      <c r="D41" s="74">
        <f t="shared" si="6"/>
        <v>439.9</v>
      </c>
      <c r="E41" s="74">
        <f t="shared" si="6"/>
        <v>265.5</v>
      </c>
      <c r="F41" s="74">
        <f t="shared" si="6"/>
        <v>391.9</v>
      </c>
      <c r="G41" s="74">
        <f t="shared" si="6"/>
        <v>518.79999999999995</v>
      </c>
      <c r="H41" s="74">
        <f t="shared" si="6"/>
        <v>325.60000000000002</v>
      </c>
      <c r="I41" s="74">
        <f t="shared" si="6"/>
        <v>228.90000000000003</v>
      </c>
      <c r="J41" s="74">
        <f t="shared" si="6"/>
        <v>536.20000000000005</v>
      </c>
      <c r="K41" s="74">
        <f t="shared" si="6"/>
        <v>382.5</v>
      </c>
      <c r="L41" s="74">
        <f t="shared" si="6"/>
        <v>436</v>
      </c>
      <c r="M41" s="74">
        <f t="shared" si="6"/>
        <v>275.7</v>
      </c>
      <c r="N41" s="74">
        <f t="shared" si="6"/>
        <v>197.9</v>
      </c>
      <c r="O41" s="74">
        <f t="shared" si="6"/>
        <v>439.6</v>
      </c>
      <c r="P41" s="74">
        <f t="shared" si="6"/>
        <v>427.99999999999994</v>
      </c>
      <c r="Q41" s="74">
        <f t="shared" si="6"/>
        <v>482.70000000000005</v>
      </c>
      <c r="R41" s="74">
        <f t="shared" si="6"/>
        <v>325.8</v>
      </c>
      <c r="S41" s="74">
        <f>SUM(S28:S39)</f>
        <v>264.2</v>
      </c>
      <c r="T41" s="74">
        <f>SUM(T28:T39)</f>
        <v>351.19999999999993</v>
      </c>
      <c r="U41" s="74">
        <f>SUM(U28:U39)</f>
        <v>566.4</v>
      </c>
      <c r="V41" s="74">
        <f>SUM(V28:V39)</f>
        <v>376.75</v>
      </c>
      <c r="W41" s="78"/>
    </row>
    <row r="42" spans="1:23" x14ac:dyDescent="0.25">
      <c r="A42" s="73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</row>
    <row r="43" spans="1:23" x14ac:dyDescent="0.25">
      <c r="A43" s="73"/>
      <c r="B43" s="69"/>
      <c r="C43" s="69"/>
      <c r="D43" s="69"/>
    </row>
    <row r="44" spans="1:23" x14ac:dyDescent="0.25">
      <c r="A44" s="68"/>
      <c r="B44" s="69"/>
    </row>
  </sheetData>
  <phoneticPr fontId="8" type="noConversion"/>
  <pageMargins left="0.51181102362204722" right="0.51181102362204722" top="0.74803149606299213" bottom="0.74803149606299213" header="0.51181102362204722" footer="0.51181102362204722"/>
  <pageSetup paperSize="17" scale="85" orientation="landscape" r:id="rId1"/>
  <headerFooter alignWithMargins="0">
    <oddFooter>&amp;L&amp;8&amp;A&amp;R&amp;P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showGridLines="0" topLeftCell="A58" zoomScaleNormal="100" workbookViewId="0">
      <selection activeCell="L82" sqref="L82"/>
    </sheetView>
  </sheetViews>
  <sheetFormatPr defaultRowHeight="13.2" x14ac:dyDescent="0.25"/>
  <cols>
    <col min="1" max="1" width="31.44140625" bestFit="1" customWidth="1"/>
    <col min="2" max="2" width="12.6640625" customWidth="1"/>
    <col min="3" max="3" width="11.6640625" customWidth="1"/>
    <col min="4" max="4" width="12.6640625" customWidth="1"/>
    <col min="5" max="5" width="11" customWidth="1"/>
    <col min="6" max="6" width="12.6640625" customWidth="1"/>
    <col min="7" max="7" width="13.109375" customWidth="1"/>
    <col min="8" max="8" width="13" customWidth="1"/>
  </cols>
  <sheetData>
    <row r="1" spans="1:6" ht="15.9" customHeight="1" x14ac:dyDescent="0.25">
      <c r="A1" s="117" t="s">
        <v>129</v>
      </c>
      <c r="B1" s="122" t="s">
        <v>90</v>
      </c>
      <c r="C1" s="122" t="s">
        <v>91</v>
      </c>
      <c r="D1" s="122" t="s">
        <v>133</v>
      </c>
    </row>
    <row r="2" spans="1:6" x14ac:dyDescent="0.25">
      <c r="A2" s="102" t="s">
        <v>92</v>
      </c>
      <c r="B2" s="95">
        <f>Summary!L15</f>
        <v>149174008.31039718</v>
      </c>
      <c r="C2" s="96"/>
      <c r="D2" s="149">
        <v>0.94</v>
      </c>
    </row>
    <row r="3" spans="1:6" x14ac:dyDescent="0.25">
      <c r="A3" s="102" t="s">
        <v>93</v>
      </c>
      <c r="B3" s="95">
        <f>Summary!L19</f>
        <v>32869504.377750032</v>
      </c>
      <c r="C3" s="96"/>
      <c r="D3" s="149">
        <v>0.83</v>
      </c>
    </row>
    <row r="4" spans="1:6" x14ac:dyDescent="0.25">
      <c r="A4" s="102" t="s">
        <v>94</v>
      </c>
      <c r="B4" s="95">
        <f>Summary!L23</f>
        <v>56130544.059063353</v>
      </c>
      <c r="C4" s="103">
        <f>Summary!L24</f>
        <v>155585.42387524614</v>
      </c>
      <c r="D4" s="149">
        <v>0.04</v>
      </c>
    </row>
    <row r="5" spans="1:6" x14ac:dyDescent="0.25">
      <c r="A5" s="102" t="s">
        <v>95</v>
      </c>
      <c r="B5" s="95">
        <f>Summary!L33</f>
        <v>546843.11902564298</v>
      </c>
      <c r="C5" s="103">
        <f>Summary!L34</f>
        <v>1557.684754891854</v>
      </c>
      <c r="D5" s="149">
        <v>0</v>
      </c>
    </row>
    <row r="6" spans="1:6" x14ac:dyDescent="0.25">
      <c r="A6" s="102" t="s">
        <v>96</v>
      </c>
      <c r="B6" s="95">
        <f>Summary!L28</f>
        <v>104784.66677941773</v>
      </c>
      <c r="C6" s="103">
        <f>Summary!L29</f>
        <v>291.09558155888243</v>
      </c>
      <c r="D6" s="149">
        <v>0.84</v>
      </c>
    </row>
    <row r="7" spans="1:6" x14ac:dyDescent="0.25">
      <c r="A7" s="102" t="s">
        <v>97</v>
      </c>
      <c r="B7" s="95">
        <f>Summary!L38</f>
        <v>463257.85922741913</v>
      </c>
      <c r="C7" s="96"/>
      <c r="D7" s="149">
        <v>0.94</v>
      </c>
    </row>
    <row r="8" spans="1:6" x14ac:dyDescent="0.25">
      <c r="A8" s="123" t="s">
        <v>98</v>
      </c>
      <c r="B8" s="124">
        <f>SUM(B2:B7)</f>
        <v>239288942.39224306</v>
      </c>
      <c r="C8" s="124">
        <f>SUM(C2:C7)</f>
        <v>157434.20421169687</v>
      </c>
      <c r="D8" s="124"/>
    </row>
    <row r="11" spans="1:6" x14ac:dyDescent="0.25">
      <c r="A11" s="117" t="s">
        <v>99</v>
      </c>
      <c r="B11" s="410" t="s">
        <v>130</v>
      </c>
      <c r="C11" s="402" t="s">
        <v>131</v>
      </c>
      <c r="D11" s="118"/>
      <c r="E11" s="119"/>
      <c r="F11" s="120"/>
    </row>
    <row r="12" spans="1:6" x14ac:dyDescent="0.25">
      <c r="A12" s="121" t="s">
        <v>100</v>
      </c>
      <c r="B12" s="411"/>
      <c r="C12" s="403"/>
      <c r="D12" s="404">
        <v>2017</v>
      </c>
      <c r="E12" s="405"/>
      <c r="F12" s="406"/>
    </row>
    <row r="13" spans="1:6" x14ac:dyDescent="0.25">
      <c r="A13" s="85" t="s">
        <v>92</v>
      </c>
      <c r="B13" s="95">
        <f t="shared" ref="B13:B18" si="0">B2*D2</f>
        <v>140223567.81177333</v>
      </c>
      <c r="C13" s="150">
        <v>1.0678000000000001</v>
      </c>
      <c r="D13" s="97">
        <f t="shared" ref="D13:D18" si="1">B13*C13</f>
        <v>149730725.70941156</v>
      </c>
      <c r="E13" s="151">
        <v>0.10728</v>
      </c>
      <c r="F13" s="98">
        <f t="shared" ref="F13:F18" si="2">D13*E13</f>
        <v>16063112.254105672</v>
      </c>
    </row>
    <row r="14" spans="1:6" x14ac:dyDescent="0.25">
      <c r="A14" s="85" t="s">
        <v>93</v>
      </c>
      <c r="B14" s="95">
        <f t="shared" si="0"/>
        <v>27281688.633532524</v>
      </c>
      <c r="C14" s="150">
        <v>1.0678000000000001</v>
      </c>
      <c r="D14" s="97">
        <f t="shared" si="1"/>
        <v>29131387.122886032</v>
      </c>
      <c r="E14" s="151">
        <v>0.10728</v>
      </c>
      <c r="F14" s="98">
        <f t="shared" si="2"/>
        <v>3125215.2105432134</v>
      </c>
    </row>
    <row r="15" spans="1:6" x14ac:dyDescent="0.25">
      <c r="A15" s="85" t="s">
        <v>94</v>
      </c>
      <c r="B15" s="95">
        <f t="shared" si="0"/>
        <v>2245221.7623625342</v>
      </c>
      <c r="C15" s="150">
        <v>1.0678000000000001</v>
      </c>
      <c r="D15" s="97">
        <f t="shared" si="1"/>
        <v>2397447.7978507141</v>
      </c>
      <c r="E15" s="151">
        <v>0.10728</v>
      </c>
      <c r="F15" s="98">
        <f t="shared" si="2"/>
        <v>257198.19975342462</v>
      </c>
    </row>
    <row r="16" spans="1:6" x14ac:dyDescent="0.25">
      <c r="A16" s="85" t="s">
        <v>95</v>
      </c>
      <c r="B16" s="95">
        <f t="shared" si="0"/>
        <v>0</v>
      </c>
      <c r="C16" s="150">
        <v>1.0678000000000001</v>
      </c>
      <c r="D16" s="97">
        <f t="shared" si="1"/>
        <v>0</v>
      </c>
      <c r="E16" s="151">
        <v>0.10728</v>
      </c>
      <c r="F16" s="98">
        <f t="shared" si="2"/>
        <v>0</v>
      </c>
    </row>
    <row r="17" spans="1:6" x14ac:dyDescent="0.25">
      <c r="A17" s="85" t="s">
        <v>96</v>
      </c>
      <c r="B17" s="95">
        <f t="shared" si="0"/>
        <v>88019.120094710888</v>
      </c>
      <c r="C17" s="150">
        <v>1.0678000000000001</v>
      </c>
      <c r="D17" s="97">
        <f t="shared" si="1"/>
        <v>93986.816437132293</v>
      </c>
      <c r="E17" s="151">
        <v>0.10728</v>
      </c>
      <c r="F17" s="98">
        <f t="shared" si="2"/>
        <v>10082.905667375553</v>
      </c>
    </row>
    <row r="18" spans="1:6" x14ac:dyDescent="0.25">
      <c r="A18" s="85" t="s">
        <v>97</v>
      </c>
      <c r="B18" s="95">
        <f t="shared" si="0"/>
        <v>435462.38767377398</v>
      </c>
      <c r="C18" s="150">
        <v>1.0678000000000001</v>
      </c>
      <c r="D18" s="97">
        <f t="shared" si="1"/>
        <v>464986.7375580559</v>
      </c>
      <c r="E18" s="151">
        <v>0.10728</v>
      </c>
      <c r="F18" s="98">
        <f t="shared" si="2"/>
        <v>49883.777205228238</v>
      </c>
    </row>
    <row r="19" spans="1:6" x14ac:dyDescent="0.25">
      <c r="A19" s="123" t="s">
        <v>98</v>
      </c>
      <c r="B19" s="124">
        <f>SUM(B13:B18)</f>
        <v>170273959.71543688</v>
      </c>
      <c r="C19" s="121"/>
      <c r="D19" s="124">
        <f>SUM(D13:D18)</f>
        <v>181818534.18414351</v>
      </c>
      <c r="E19" s="125"/>
      <c r="F19" s="126">
        <f>SUM(F13:F18)</f>
        <v>19505492.347274918</v>
      </c>
    </row>
    <row r="20" spans="1:6" x14ac:dyDescent="0.25">
      <c r="A20" s="86"/>
      <c r="B20" s="87"/>
      <c r="C20" s="88"/>
      <c r="D20" s="87"/>
      <c r="E20" s="89"/>
      <c r="F20" s="90"/>
    </row>
    <row r="21" spans="1:6" x14ac:dyDescent="0.25">
      <c r="A21" s="117" t="s">
        <v>101</v>
      </c>
      <c r="B21" s="410" t="s">
        <v>130</v>
      </c>
      <c r="C21" s="402" t="s">
        <v>131</v>
      </c>
      <c r="D21" s="118"/>
      <c r="E21" s="119"/>
      <c r="F21" s="120"/>
    </row>
    <row r="22" spans="1:6" x14ac:dyDescent="0.25">
      <c r="A22" s="121" t="s">
        <v>102</v>
      </c>
      <c r="B22" s="411"/>
      <c r="C22" s="403"/>
      <c r="D22" s="404">
        <v>2017</v>
      </c>
      <c r="E22" s="405"/>
      <c r="F22" s="406"/>
    </row>
    <row r="23" spans="1:6" x14ac:dyDescent="0.25">
      <c r="A23" s="85" t="s">
        <v>92</v>
      </c>
      <c r="B23" s="95">
        <f t="shared" ref="B23:B28" si="3">B2-B13</f>
        <v>8950440.498623848</v>
      </c>
      <c r="C23" s="96">
        <f>C13</f>
        <v>1.0678000000000001</v>
      </c>
      <c r="D23" s="97">
        <f t="shared" ref="D23:D28" si="4">B23*C23</f>
        <v>9557280.3644305449</v>
      </c>
      <c r="E23" s="151">
        <v>0.1067</v>
      </c>
      <c r="F23" s="98">
        <f t="shared" ref="F23:F28" si="5">D23*E23</f>
        <v>1019761.8148847391</v>
      </c>
    </row>
    <row r="24" spans="1:6" x14ac:dyDescent="0.25">
      <c r="A24" s="85" t="s">
        <v>93</v>
      </c>
      <c r="B24" s="95">
        <f t="shared" si="3"/>
        <v>5587815.7442175075</v>
      </c>
      <c r="C24" s="96">
        <f>C23</f>
        <v>1.0678000000000001</v>
      </c>
      <c r="D24" s="97">
        <f t="shared" si="4"/>
        <v>5966669.6516754553</v>
      </c>
      <c r="E24" s="151">
        <v>0.1067</v>
      </c>
      <c r="F24" s="98">
        <f t="shared" si="5"/>
        <v>636643.65183377115</v>
      </c>
    </row>
    <row r="25" spans="1:6" x14ac:dyDescent="0.25">
      <c r="A25" s="85" t="s">
        <v>94</v>
      </c>
      <c r="B25" s="95">
        <f>B4-B15</f>
        <v>53885322.29670082</v>
      </c>
      <c r="C25" s="96">
        <f>C24</f>
        <v>1.0678000000000001</v>
      </c>
      <c r="D25" s="97">
        <f t="shared" si="4"/>
        <v>57538747.148417138</v>
      </c>
      <c r="E25" s="151">
        <v>0.1067</v>
      </c>
      <c r="F25" s="98">
        <f t="shared" si="5"/>
        <v>6139384.3207361083</v>
      </c>
    </row>
    <row r="26" spans="1:6" x14ac:dyDescent="0.25">
      <c r="A26" s="85" t="s">
        <v>95</v>
      </c>
      <c r="B26" s="95">
        <f t="shared" si="3"/>
        <v>546843.11902564298</v>
      </c>
      <c r="C26" s="96">
        <f>C25</f>
        <v>1.0678000000000001</v>
      </c>
      <c r="D26" s="97">
        <f t="shared" si="4"/>
        <v>583919.08249558159</v>
      </c>
      <c r="E26" s="151">
        <v>0.1067</v>
      </c>
      <c r="F26" s="98">
        <f t="shared" si="5"/>
        <v>62304.166102278556</v>
      </c>
    </row>
    <row r="27" spans="1:6" x14ac:dyDescent="0.25">
      <c r="A27" s="85" t="s">
        <v>96</v>
      </c>
      <c r="B27" s="95">
        <f t="shared" si="3"/>
        <v>16765.546684706846</v>
      </c>
      <c r="C27" s="96">
        <f>C26</f>
        <v>1.0678000000000001</v>
      </c>
      <c r="D27" s="97">
        <f t="shared" si="4"/>
        <v>17902.250749929972</v>
      </c>
      <c r="E27" s="151">
        <v>0.1067</v>
      </c>
      <c r="F27" s="98">
        <f t="shared" si="5"/>
        <v>1910.170155017528</v>
      </c>
    </row>
    <row r="28" spans="1:6" x14ac:dyDescent="0.25">
      <c r="A28" s="85" t="s">
        <v>97</v>
      </c>
      <c r="B28" s="95">
        <f t="shared" si="3"/>
        <v>27795.471553645155</v>
      </c>
      <c r="C28" s="96">
        <f>C27</f>
        <v>1.0678000000000001</v>
      </c>
      <c r="D28" s="97">
        <f t="shared" si="4"/>
        <v>29680.004524982298</v>
      </c>
      <c r="E28" s="151">
        <v>0.1067</v>
      </c>
      <c r="F28" s="98">
        <f t="shared" si="5"/>
        <v>3166.8564828156113</v>
      </c>
    </row>
    <row r="29" spans="1:6" x14ac:dyDescent="0.25">
      <c r="A29" s="123" t="s">
        <v>98</v>
      </c>
      <c r="B29" s="124">
        <f>SUM(B23:B28)</f>
        <v>69014982.676806167</v>
      </c>
      <c r="C29" s="121"/>
      <c r="D29" s="124">
        <f>SUM(D23:D28)</f>
        <v>73694198.502293631</v>
      </c>
      <c r="E29" s="125"/>
      <c r="F29" s="126">
        <f>SUM(F23:F28)</f>
        <v>7863170.9801947307</v>
      </c>
    </row>
    <row r="31" spans="1:6" x14ac:dyDescent="0.25">
      <c r="A31" s="127" t="s">
        <v>103</v>
      </c>
      <c r="B31" s="128"/>
      <c r="C31" s="129" t="s">
        <v>104</v>
      </c>
      <c r="D31" s="130"/>
      <c r="E31" s="131"/>
      <c r="F31" s="128"/>
    </row>
    <row r="32" spans="1:6" x14ac:dyDescent="0.25">
      <c r="A32" s="121" t="s">
        <v>102</v>
      </c>
      <c r="B32" s="132"/>
      <c r="C32" s="133" t="s">
        <v>105</v>
      </c>
      <c r="D32" s="412">
        <v>2017</v>
      </c>
      <c r="E32" s="408"/>
      <c r="F32" s="409"/>
    </row>
    <row r="33" spans="1:6" x14ac:dyDescent="0.25">
      <c r="A33" s="82" t="s">
        <v>92</v>
      </c>
      <c r="B33" s="97"/>
      <c r="C33" s="100" t="s">
        <v>90</v>
      </c>
      <c r="D33" s="97">
        <f>D13+D23</f>
        <v>159288006.07384211</v>
      </c>
      <c r="E33" s="152">
        <v>5.7000000000000002E-3</v>
      </c>
      <c r="F33" s="98">
        <f t="shared" ref="F33:F38" si="6">D33*E33</f>
        <v>907941.63462090003</v>
      </c>
    </row>
    <row r="34" spans="1:6" x14ac:dyDescent="0.25">
      <c r="A34" s="82" t="s">
        <v>93</v>
      </c>
      <c r="B34" s="97"/>
      <c r="C34" s="100" t="s">
        <v>91</v>
      </c>
      <c r="D34" s="97">
        <f>D14+D24</f>
        <v>35098056.774561487</v>
      </c>
      <c r="E34" s="152">
        <v>5.1999999999999998E-3</v>
      </c>
      <c r="F34" s="98">
        <f t="shared" si="6"/>
        <v>182509.89522771974</v>
      </c>
    </row>
    <row r="35" spans="1:6" x14ac:dyDescent="0.25">
      <c r="A35" s="82" t="s">
        <v>94</v>
      </c>
      <c r="B35" s="97"/>
      <c r="C35" s="100" t="s">
        <v>91</v>
      </c>
      <c r="D35" s="97">
        <f>C4</f>
        <v>155585.42387524614</v>
      </c>
      <c r="E35" s="152">
        <v>2.1046999999999998</v>
      </c>
      <c r="F35" s="98">
        <f t="shared" si="6"/>
        <v>327460.64163023053</v>
      </c>
    </row>
    <row r="36" spans="1:6" x14ac:dyDescent="0.25">
      <c r="A36" s="82" t="s">
        <v>95</v>
      </c>
      <c r="B36" s="97"/>
      <c r="C36" s="100" t="s">
        <v>90</v>
      </c>
      <c r="D36" s="97">
        <f>C5</f>
        <v>1557.684754891854</v>
      </c>
      <c r="E36" s="152">
        <v>1.5872999999999999</v>
      </c>
      <c r="F36" s="98">
        <f t="shared" si="6"/>
        <v>2472.5130114398398</v>
      </c>
    </row>
    <row r="37" spans="1:6" x14ac:dyDescent="0.25">
      <c r="A37" s="82" t="s">
        <v>96</v>
      </c>
      <c r="B37" s="97"/>
      <c r="C37" s="100" t="s">
        <v>91</v>
      </c>
      <c r="D37" s="97">
        <f>C6</f>
        <v>291.09558155888243</v>
      </c>
      <c r="E37" s="152">
        <v>1.5953999999999999</v>
      </c>
      <c r="F37" s="98">
        <f t="shared" si="6"/>
        <v>464.413890819041</v>
      </c>
    </row>
    <row r="38" spans="1:6" x14ac:dyDescent="0.25">
      <c r="A38" s="82" t="s">
        <v>97</v>
      </c>
      <c r="B38" s="97"/>
      <c r="C38" s="100" t="s">
        <v>91</v>
      </c>
      <c r="D38" s="97">
        <f>D18+D28</f>
        <v>494666.7420830382</v>
      </c>
      <c r="E38" s="152">
        <v>5.1999999999999998E-3</v>
      </c>
      <c r="F38" s="98">
        <f t="shared" si="6"/>
        <v>2572.2670588317987</v>
      </c>
    </row>
    <row r="39" spans="1:6" x14ac:dyDescent="0.25">
      <c r="A39" s="123" t="s">
        <v>98</v>
      </c>
      <c r="B39" s="124"/>
      <c r="C39" s="121"/>
      <c r="D39" s="124"/>
      <c r="E39" s="125"/>
      <c r="F39" s="126">
        <f>SUM(F33:F38)</f>
        <v>1423421.3654399412</v>
      </c>
    </row>
    <row r="41" spans="1:6" x14ac:dyDescent="0.25">
      <c r="A41" s="127" t="s">
        <v>106</v>
      </c>
      <c r="B41" s="128"/>
      <c r="C41" s="134" t="s">
        <v>104</v>
      </c>
      <c r="D41" s="130"/>
      <c r="E41" s="131"/>
      <c r="F41" s="128"/>
    </row>
    <row r="42" spans="1:6" x14ac:dyDescent="0.25">
      <c r="A42" s="121" t="s">
        <v>102</v>
      </c>
      <c r="B42" s="132"/>
      <c r="C42" s="135" t="s">
        <v>105</v>
      </c>
      <c r="D42" s="412">
        <v>2017</v>
      </c>
      <c r="E42" s="408"/>
      <c r="F42" s="409"/>
    </row>
    <row r="43" spans="1:6" x14ac:dyDescent="0.25">
      <c r="A43" s="82" t="s">
        <v>92</v>
      </c>
      <c r="B43" s="97"/>
      <c r="C43" s="100" t="s">
        <v>90</v>
      </c>
      <c r="D43" s="97">
        <f t="shared" ref="D43:D48" si="7">D33</f>
        <v>159288006.07384211</v>
      </c>
      <c r="E43" s="152">
        <v>4.1000000000000003E-3</v>
      </c>
      <c r="F43" s="98">
        <f t="shared" ref="F43:F48" si="8">D43*E43</f>
        <v>653080.82490275265</v>
      </c>
    </row>
    <row r="44" spans="1:6" x14ac:dyDescent="0.25">
      <c r="A44" s="82" t="s">
        <v>93</v>
      </c>
      <c r="B44" s="97"/>
      <c r="C44" s="100" t="s">
        <v>90</v>
      </c>
      <c r="D44" s="97">
        <f t="shared" si="7"/>
        <v>35098056.774561487</v>
      </c>
      <c r="E44" s="152">
        <v>3.8999999999999998E-3</v>
      </c>
      <c r="F44" s="98">
        <f t="shared" si="8"/>
        <v>136882.42142078979</v>
      </c>
    </row>
    <row r="45" spans="1:6" x14ac:dyDescent="0.25">
      <c r="A45" s="82" t="s">
        <v>94</v>
      </c>
      <c r="B45" s="97"/>
      <c r="C45" s="100" t="s">
        <v>91</v>
      </c>
      <c r="D45" s="97">
        <f t="shared" si="7"/>
        <v>155585.42387524614</v>
      </c>
      <c r="E45" s="152">
        <v>1.4837</v>
      </c>
      <c r="F45" s="98">
        <f t="shared" si="8"/>
        <v>230842.09340370269</v>
      </c>
    </row>
    <row r="46" spans="1:6" x14ac:dyDescent="0.25">
      <c r="A46" s="82" t="s">
        <v>95</v>
      </c>
      <c r="B46" s="97"/>
      <c r="C46" s="100" t="s">
        <v>91</v>
      </c>
      <c r="D46" s="97">
        <f t="shared" si="7"/>
        <v>1557.684754891854</v>
      </c>
      <c r="E46" s="152">
        <v>1.1469</v>
      </c>
      <c r="F46" s="98">
        <f t="shared" si="8"/>
        <v>1786.5086453854674</v>
      </c>
    </row>
    <row r="47" spans="1:6" x14ac:dyDescent="0.25">
      <c r="A47" s="82" t="s">
        <v>96</v>
      </c>
      <c r="B47" s="97"/>
      <c r="C47" s="100" t="s">
        <v>91</v>
      </c>
      <c r="D47" s="97">
        <f t="shared" si="7"/>
        <v>291.09558155888243</v>
      </c>
      <c r="E47" s="152">
        <v>1.7003999999999999</v>
      </c>
      <c r="F47" s="98">
        <f t="shared" si="8"/>
        <v>494.97892688272367</v>
      </c>
    </row>
    <row r="48" spans="1:6" x14ac:dyDescent="0.25">
      <c r="A48" s="82" t="s">
        <v>97</v>
      </c>
      <c r="B48" s="97"/>
      <c r="C48" s="100" t="s">
        <v>90</v>
      </c>
      <c r="D48" s="97">
        <f t="shared" si="7"/>
        <v>494666.7420830382</v>
      </c>
      <c r="E48" s="152">
        <v>3.8999999999999998E-3</v>
      </c>
      <c r="F48" s="98">
        <f t="shared" si="8"/>
        <v>1929.2002941238488</v>
      </c>
    </row>
    <row r="49" spans="1:6" x14ac:dyDescent="0.25">
      <c r="A49" s="123" t="s">
        <v>98</v>
      </c>
      <c r="B49" s="124"/>
      <c r="C49" s="121"/>
      <c r="D49" s="124"/>
      <c r="E49" s="125"/>
      <c r="F49" s="126">
        <f>SUM(F43:F48)</f>
        <v>1025016.0275936372</v>
      </c>
    </row>
    <row r="51" spans="1:6" x14ac:dyDescent="0.25">
      <c r="A51" s="127" t="s">
        <v>107</v>
      </c>
      <c r="B51" s="128"/>
      <c r="C51" s="134" t="s">
        <v>104</v>
      </c>
      <c r="D51" s="130"/>
      <c r="E51" s="131"/>
      <c r="F51" s="128"/>
    </row>
    <row r="52" spans="1:6" x14ac:dyDescent="0.25">
      <c r="A52" s="121" t="s">
        <v>102</v>
      </c>
      <c r="B52" s="132"/>
      <c r="C52" s="135" t="s">
        <v>105</v>
      </c>
      <c r="D52" s="412">
        <v>2017</v>
      </c>
      <c r="E52" s="408"/>
      <c r="F52" s="413"/>
    </row>
    <row r="53" spans="1:6" x14ac:dyDescent="0.25">
      <c r="A53" s="82" t="s">
        <v>92</v>
      </c>
      <c r="B53" s="97"/>
      <c r="C53" s="100" t="s">
        <v>90</v>
      </c>
      <c r="D53" s="97">
        <f t="shared" ref="D53:D58" si="9">D13+D23</f>
        <v>159288006.07384211</v>
      </c>
      <c r="E53" s="152">
        <v>3.5999999999999999E-3</v>
      </c>
      <c r="F53" s="98">
        <f t="shared" ref="F53:F58" si="10">D53*E53</f>
        <v>573436.82186583162</v>
      </c>
    </row>
    <row r="54" spans="1:6" x14ac:dyDescent="0.25">
      <c r="A54" s="82" t="s">
        <v>93</v>
      </c>
      <c r="B54" s="97"/>
      <c r="C54" s="142" t="s">
        <v>90</v>
      </c>
      <c r="D54" s="97">
        <f t="shared" si="9"/>
        <v>35098056.774561487</v>
      </c>
      <c r="E54" s="152">
        <v>3.5999999999999999E-3</v>
      </c>
      <c r="F54" s="98">
        <f t="shared" si="10"/>
        <v>126353.00438842135</v>
      </c>
    </row>
    <row r="55" spans="1:6" x14ac:dyDescent="0.25">
      <c r="A55" s="82" t="s">
        <v>94</v>
      </c>
      <c r="B55" s="97"/>
      <c r="C55" s="142" t="s">
        <v>90</v>
      </c>
      <c r="D55" s="97">
        <f t="shared" si="9"/>
        <v>59936194.946267851</v>
      </c>
      <c r="E55" s="152">
        <v>3.5999999999999999E-3</v>
      </c>
      <c r="F55" s="98">
        <f t="shared" si="10"/>
        <v>215770.30180656427</v>
      </c>
    </row>
    <row r="56" spans="1:6" x14ac:dyDescent="0.25">
      <c r="A56" s="82" t="s">
        <v>95</v>
      </c>
      <c r="B56" s="97"/>
      <c r="C56" s="100" t="s">
        <v>90</v>
      </c>
      <c r="D56" s="97">
        <f t="shared" si="9"/>
        <v>583919.08249558159</v>
      </c>
      <c r="E56" s="152">
        <v>3.5999999999999999E-3</v>
      </c>
      <c r="F56" s="98">
        <f t="shared" si="10"/>
        <v>2102.1086969840935</v>
      </c>
    </row>
    <row r="57" spans="1:6" x14ac:dyDescent="0.25">
      <c r="A57" s="82" t="s">
        <v>96</v>
      </c>
      <c r="B57" s="97"/>
      <c r="C57" s="142" t="s">
        <v>90</v>
      </c>
      <c r="D57" s="97">
        <f t="shared" si="9"/>
        <v>111889.06718706226</v>
      </c>
      <c r="E57" s="152">
        <v>3.5999999999999999E-3</v>
      </c>
      <c r="F57" s="98">
        <f t="shared" si="10"/>
        <v>402.80064187342413</v>
      </c>
    </row>
    <row r="58" spans="1:6" x14ac:dyDescent="0.25">
      <c r="A58" s="82" t="s">
        <v>97</v>
      </c>
      <c r="B58" s="97"/>
      <c r="C58" s="142" t="s">
        <v>90</v>
      </c>
      <c r="D58" s="97">
        <f t="shared" si="9"/>
        <v>494666.7420830382</v>
      </c>
      <c r="E58" s="152">
        <v>3.5999999999999999E-3</v>
      </c>
      <c r="F58" s="98">
        <f t="shared" si="10"/>
        <v>1780.8002714989375</v>
      </c>
    </row>
    <row r="59" spans="1:6" x14ac:dyDescent="0.25">
      <c r="A59" s="83" t="s">
        <v>98</v>
      </c>
      <c r="B59" s="94"/>
      <c r="C59" s="84"/>
      <c r="D59" s="94">
        <f>SUM(D53:D58)</f>
        <v>255512732.68643713</v>
      </c>
      <c r="E59" s="99"/>
      <c r="F59" s="101">
        <f>SUM(F53:F58)</f>
        <v>919845.83767117374</v>
      </c>
    </row>
    <row r="61" spans="1:6" x14ac:dyDescent="0.25">
      <c r="A61" s="127" t="s">
        <v>108</v>
      </c>
      <c r="B61" s="128"/>
      <c r="C61" s="134" t="s">
        <v>104</v>
      </c>
      <c r="D61" s="130"/>
      <c r="E61" s="131"/>
      <c r="F61" s="128"/>
    </row>
    <row r="62" spans="1:6" x14ac:dyDescent="0.25">
      <c r="A62" s="121" t="s">
        <v>102</v>
      </c>
      <c r="B62" s="132"/>
      <c r="C62" s="135" t="s">
        <v>105</v>
      </c>
      <c r="D62" s="407">
        <v>2017</v>
      </c>
      <c r="E62" s="408"/>
      <c r="F62" s="409"/>
    </row>
    <row r="63" spans="1:6" x14ac:dyDescent="0.25">
      <c r="A63" s="82" t="s">
        <v>92</v>
      </c>
      <c r="B63" s="97"/>
      <c r="C63" s="100" t="s">
        <v>90</v>
      </c>
      <c r="D63" s="97">
        <f t="shared" ref="D63:D68" si="11">D53</f>
        <v>159288006.07384211</v>
      </c>
      <c r="E63" s="152">
        <v>1.2999999999999999E-3</v>
      </c>
      <c r="F63" s="98">
        <f t="shared" ref="F63:F68" si="12">D63*E63</f>
        <v>207074.40789599472</v>
      </c>
    </row>
    <row r="64" spans="1:6" x14ac:dyDescent="0.25">
      <c r="A64" s="82" t="s">
        <v>93</v>
      </c>
      <c r="B64" s="97"/>
      <c r="C64" s="142" t="s">
        <v>90</v>
      </c>
      <c r="D64" s="97">
        <f t="shared" si="11"/>
        <v>35098056.774561487</v>
      </c>
      <c r="E64" s="152">
        <v>1.2999999999999999E-3</v>
      </c>
      <c r="F64" s="98">
        <f t="shared" si="12"/>
        <v>45627.473806929935</v>
      </c>
    </row>
    <row r="65" spans="1:6" x14ac:dyDescent="0.25">
      <c r="A65" s="82" t="s">
        <v>94</v>
      </c>
      <c r="B65" s="97"/>
      <c r="C65" s="142" t="s">
        <v>90</v>
      </c>
      <c r="D65" s="97">
        <f t="shared" si="11"/>
        <v>59936194.946267851</v>
      </c>
      <c r="E65" s="152">
        <v>1.2999999999999999E-3</v>
      </c>
      <c r="F65" s="98">
        <f t="shared" si="12"/>
        <v>77917.053430148197</v>
      </c>
    </row>
    <row r="66" spans="1:6" x14ac:dyDescent="0.25">
      <c r="A66" s="82" t="s">
        <v>95</v>
      </c>
      <c r="B66" s="97"/>
      <c r="C66" s="100" t="s">
        <v>90</v>
      </c>
      <c r="D66" s="97">
        <f t="shared" si="11"/>
        <v>583919.08249558159</v>
      </c>
      <c r="E66" s="152">
        <v>1.2999999999999999E-3</v>
      </c>
      <c r="F66" s="98">
        <f t="shared" si="12"/>
        <v>759.094807244256</v>
      </c>
    </row>
    <row r="67" spans="1:6" x14ac:dyDescent="0.25">
      <c r="A67" s="82" t="s">
        <v>96</v>
      </c>
      <c r="B67" s="97"/>
      <c r="C67" s="142" t="s">
        <v>90</v>
      </c>
      <c r="D67" s="97">
        <f t="shared" si="11"/>
        <v>111889.06718706226</v>
      </c>
      <c r="E67" s="152">
        <v>1.2999999999999999E-3</v>
      </c>
      <c r="F67" s="98">
        <f t="shared" si="12"/>
        <v>145.45578734318093</v>
      </c>
    </row>
    <row r="68" spans="1:6" x14ac:dyDescent="0.25">
      <c r="A68" s="82" t="s">
        <v>97</v>
      </c>
      <c r="B68" s="97"/>
      <c r="C68" s="142" t="s">
        <v>90</v>
      </c>
      <c r="D68" s="97">
        <f t="shared" si="11"/>
        <v>494666.7420830382</v>
      </c>
      <c r="E68" s="152">
        <v>1.2999999999999999E-3</v>
      </c>
      <c r="F68" s="98">
        <f t="shared" si="12"/>
        <v>643.06676470794969</v>
      </c>
    </row>
    <row r="69" spans="1:6" x14ac:dyDescent="0.25">
      <c r="A69" s="123" t="s">
        <v>98</v>
      </c>
      <c r="B69" s="124"/>
      <c r="C69" s="121"/>
      <c r="D69" s="124">
        <f>SUM(D63:D68)</f>
        <v>255512732.68643713</v>
      </c>
      <c r="E69" s="125"/>
      <c r="F69" s="126">
        <f>SUM(F63:F68)</f>
        <v>332166.55249236833</v>
      </c>
    </row>
    <row r="71" spans="1:6" x14ac:dyDescent="0.25">
      <c r="A71" s="127" t="s">
        <v>147</v>
      </c>
      <c r="B71" s="128"/>
      <c r="C71" s="134" t="s">
        <v>104</v>
      </c>
      <c r="D71" s="130"/>
      <c r="E71" s="131"/>
      <c r="F71" s="128"/>
    </row>
    <row r="72" spans="1:6" x14ac:dyDescent="0.25">
      <c r="A72" s="121" t="s">
        <v>102</v>
      </c>
      <c r="B72" s="180"/>
      <c r="C72" s="135" t="s">
        <v>105</v>
      </c>
      <c r="D72" s="407">
        <v>2017</v>
      </c>
      <c r="E72" s="408"/>
      <c r="F72" s="409"/>
    </row>
    <row r="73" spans="1:6" x14ac:dyDescent="0.25">
      <c r="A73" s="82" t="s">
        <v>92</v>
      </c>
      <c r="B73" s="97"/>
      <c r="C73" s="100" t="s">
        <v>90</v>
      </c>
      <c r="D73" s="97">
        <f t="shared" ref="D73:D78" si="13">D63</f>
        <v>159288006.07384211</v>
      </c>
      <c r="E73" s="152">
        <v>1.1000000000000001E-3</v>
      </c>
      <c r="F73" s="98">
        <f t="shared" ref="F73:F78" si="14">D73*E73</f>
        <v>175216.80668122633</v>
      </c>
    </row>
    <row r="74" spans="1:6" x14ac:dyDescent="0.25">
      <c r="A74" s="82" t="s">
        <v>93</v>
      </c>
      <c r="B74" s="97"/>
      <c r="C74" s="100" t="s">
        <v>90</v>
      </c>
      <c r="D74" s="97">
        <f t="shared" si="13"/>
        <v>35098056.774561487</v>
      </c>
      <c r="E74" s="152">
        <v>1.1000000000000001E-3</v>
      </c>
      <c r="F74" s="98">
        <f t="shared" si="14"/>
        <v>38607.862452017638</v>
      </c>
    </row>
    <row r="75" spans="1:6" x14ac:dyDescent="0.25">
      <c r="A75" s="82" t="s">
        <v>94</v>
      </c>
      <c r="B75" s="97"/>
      <c r="C75" s="100" t="s">
        <v>90</v>
      </c>
      <c r="D75" s="97">
        <f t="shared" si="13"/>
        <v>59936194.946267851</v>
      </c>
      <c r="E75" s="152">
        <v>1.1000000000000001E-3</v>
      </c>
      <c r="F75" s="98">
        <f t="shared" si="14"/>
        <v>65929.814440894639</v>
      </c>
    </row>
    <row r="76" spans="1:6" x14ac:dyDescent="0.25">
      <c r="A76" s="82" t="s">
        <v>95</v>
      </c>
      <c r="B76" s="97"/>
      <c r="C76" s="100" t="s">
        <v>90</v>
      </c>
      <c r="D76" s="97">
        <f t="shared" si="13"/>
        <v>583919.08249558159</v>
      </c>
      <c r="E76" s="152">
        <v>1.1000000000000001E-3</v>
      </c>
      <c r="F76" s="98">
        <f t="shared" si="14"/>
        <v>642.31099074513975</v>
      </c>
    </row>
    <row r="77" spans="1:6" x14ac:dyDescent="0.25">
      <c r="A77" s="82" t="s">
        <v>96</v>
      </c>
      <c r="B77" s="97"/>
      <c r="C77" s="100" t="s">
        <v>90</v>
      </c>
      <c r="D77" s="97">
        <f t="shared" si="13"/>
        <v>111889.06718706226</v>
      </c>
      <c r="E77" s="152">
        <v>1.1000000000000001E-3</v>
      </c>
      <c r="F77" s="98">
        <f t="shared" si="14"/>
        <v>123.07797390576849</v>
      </c>
    </row>
    <row r="78" spans="1:6" x14ac:dyDescent="0.25">
      <c r="A78" s="82" t="s">
        <v>97</v>
      </c>
      <c r="B78" s="97"/>
      <c r="C78" s="100" t="s">
        <v>90</v>
      </c>
      <c r="D78" s="97">
        <f t="shared" si="13"/>
        <v>494666.7420830382</v>
      </c>
      <c r="E78" s="152">
        <v>1.2999999999999999E-3</v>
      </c>
      <c r="F78" s="98">
        <f t="shared" si="14"/>
        <v>643.06676470794969</v>
      </c>
    </row>
    <row r="79" spans="1:6" x14ac:dyDescent="0.25">
      <c r="A79" s="123" t="s">
        <v>98</v>
      </c>
      <c r="B79" s="124"/>
      <c r="C79" s="121"/>
      <c r="D79" s="124">
        <f>SUM(D73:D78)</f>
        <v>255512732.68643713</v>
      </c>
      <c r="E79" s="125"/>
      <c r="F79" s="126">
        <f>SUM(F73:F78)</f>
        <v>281162.93930349749</v>
      </c>
    </row>
    <row r="81" spans="1:6" x14ac:dyDescent="0.25">
      <c r="A81" s="127" t="s">
        <v>120</v>
      </c>
      <c r="B81" s="128"/>
      <c r="C81" s="134" t="s">
        <v>104</v>
      </c>
      <c r="D81" s="130"/>
      <c r="E81" s="131"/>
      <c r="F81" s="128"/>
    </row>
    <row r="82" spans="1:6" x14ac:dyDescent="0.25">
      <c r="A82" s="121" t="s">
        <v>102</v>
      </c>
      <c r="B82" s="132"/>
      <c r="C82" s="135" t="s">
        <v>121</v>
      </c>
      <c r="D82" s="407">
        <v>2017</v>
      </c>
      <c r="E82" s="408"/>
      <c r="F82" s="409"/>
    </row>
    <row r="83" spans="1:6" x14ac:dyDescent="0.25">
      <c r="A83" s="82" t="s">
        <v>92</v>
      </c>
      <c r="B83" s="97"/>
      <c r="C83" s="100" t="s">
        <v>90</v>
      </c>
      <c r="D83" s="140">
        <f>B2</f>
        <v>149174008.31039718</v>
      </c>
      <c r="E83" s="152">
        <v>2.8E-3</v>
      </c>
      <c r="F83" s="141">
        <f t="shared" ref="F83:F88" si="15">D83*E83</f>
        <v>417687.22326911212</v>
      </c>
    </row>
    <row r="84" spans="1:6" x14ac:dyDescent="0.25">
      <c r="A84" s="82" t="s">
        <v>93</v>
      </c>
      <c r="B84" s="97"/>
      <c r="C84" s="142" t="s">
        <v>90</v>
      </c>
      <c r="D84" s="140">
        <f>B3</f>
        <v>32869504.377750032</v>
      </c>
      <c r="E84" s="152">
        <v>2.8E-3</v>
      </c>
      <c r="F84" s="141">
        <f t="shared" si="15"/>
        <v>92034.612257700093</v>
      </c>
    </row>
    <row r="85" spans="1:6" x14ac:dyDescent="0.25">
      <c r="A85" s="82" t="s">
        <v>94</v>
      </c>
      <c r="B85" s="97"/>
      <c r="C85" s="100" t="s">
        <v>91</v>
      </c>
      <c r="D85" s="140">
        <f>C4</f>
        <v>155585.42387524614</v>
      </c>
      <c r="E85" s="152">
        <v>0.99119999999999997</v>
      </c>
      <c r="F85" s="141">
        <f t="shared" si="15"/>
        <v>154216.27214514397</v>
      </c>
    </row>
    <row r="86" spans="1:6" x14ac:dyDescent="0.25">
      <c r="A86" s="82" t="s">
        <v>95</v>
      </c>
      <c r="B86" s="97"/>
      <c r="C86" s="142" t="s">
        <v>91</v>
      </c>
      <c r="D86" s="140">
        <f>C5</f>
        <v>1557.684754891854</v>
      </c>
      <c r="E86" s="152">
        <v>0.98699999999999999</v>
      </c>
      <c r="F86" s="141">
        <f t="shared" si="15"/>
        <v>1537.4348530782599</v>
      </c>
    </row>
    <row r="87" spans="1:6" x14ac:dyDescent="0.25">
      <c r="A87" s="82" t="s">
        <v>96</v>
      </c>
      <c r="B87" s="97"/>
      <c r="C87" s="100" t="s">
        <v>91</v>
      </c>
      <c r="D87" s="140">
        <f>C6</f>
        <v>291.09558155888243</v>
      </c>
      <c r="E87" s="152">
        <v>1.0026999999999999</v>
      </c>
      <c r="F87" s="141">
        <f t="shared" si="15"/>
        <v>291.88153962909138</v>
      </c>
    </row>
    <row r="88" spans="1:6" x14ac:dyDescent="0.25">
      <c r="A88" s="82" t="s">
        <v>97</v>
      </c>
      <c r="B88" s="97"/>
      <c r="C88" s="142" t="s">
        <v>90</v>
      </c>
      <c r="D88" s="140">
        <f>B7</f>
        <v>463257.85922741913</v>
      </c>
      <c r="E88" s="152">
        <v>2.8E-3</v>
      </c>
      <c r="F88" s="141">
        <f t="shared" si="15"/>
        <v>1297.1220058367735</v>
      </c>
    </row>
    <row r="89" spans="1:6" x14ac:dyDescent="0.25">
      <c r="A89" s="123" t="s">
        <v>98</v>
      </c>
      <c r="B89" s="124"/>
      <c r="C89" s="121"/>
      <c r="D89" s="124">
        <f>SUM(D83:D88)</f>
        <v>182664204.75158632</v>
      </c>
      <c r="E89" s="125"/>
      <c r="F89" s="126">
        <f>SUM(F83:F88)</f>
        <v>667064.54607050028</v>
      </c>
    </row>
    <row r="90" spans="1:6" ht="13.8" thickBot="1" x14ac:dyDescent="0.3">
      <c r="B90" s="145"/>
      <c r="C90" s="137"/>
      <c r="D90" s="136"/>
      <c r="E90" s="138"/>
      <c r="F90" s="139"/>
    </row>
    <row r="91" spans="1:6" x14ac:dyDescent="0.25">
      <c r="A91" s="130" t="s">
        <v>122</v>
      </c>
      <c r="B91" s="146">
        <v>2017</v>
      </c>
      <c r="C91" s="288" t="s">
        <v>257</v>
      </c>
      <c r="D91" s="289"/>
      <c r="E91" s="289"/>
      <c r="F91" s="290"/>
    </row>
    <row r="92" spans="1:6" x14ac:dyDescent="0.25">
      <c r="A92" s="178" t="s">
        <v>148</v>
      </c>
      <c r="B92" s="179">
        <f>F79</f>
        <v>281162.93930349749</v>
      </c>
      <c r="C92" s="291"/>
      <c r="D92" s="292"/>
      <c r="E92" s="292"/>
      <c r="F92" s="293"/>
    </row>
    <row r="93" spans="1:6" x14ac:dyDescent="0.25">
      <c r="A93" s="116" t="s">
        <v>117</v>
      </c>
      <c r="B93" s="144">
        <f>F96</f>
        <v>0</v>
      </c>
      <c r="C93" s="168"/>
      <c r="D93" s="287" t="s">
        <v>118</v>
      </c>
      <c r="E93" s="287" t="s">
        <v>119</v>
      </c>
      <c r="F93" s="170"/>
    </row>
    <row r="94" spans="1:6" x14ac:dyDescent="0.25">
      <c r="A94" s="92" t="s">
        <v>109</v>
      </c>
      <c r="B94" s="93">
        <f>F19+F29</f>
        <v>27368663.327469647</v>
      </c>
      <c r="C94" s="285" t="s">
        <v>57</v>
      </c>
      <c r="D94" s="171">
        <f>Summary!M14</f>
        <v>0</v>
      </c>
      <c r="E94" s="169">
        <v>0.79</v>
      </c>
      <c r="F94" s="175">
        <f>D94*E94*12</f>
        <v>0</v>
      </c>
    </row>
    <row r="95" spans="1:6" x14ac:dyDescent="0.25">
      <c r="A95" s="92" t="s">
        <v>110</v>
      </c>
      <c r="B95" s="91">
        <f>F59</f>
        <v>919845.83767117374</v>
      </c>
      <c r="C95" s="285" t="s">
        <v>58</v>
      </c>
      <c r="D95" s="171">
        <f>Summary!M18</f>
        <v>0</v>
      </c>
      <c r="E95" s="169">
        <v>0.79</v>
      </c>
      <c r="F95" s="175">
        <f>D95*E95*12</f>
        <v>0</v>
      </c>
    </row>
    <row r="96" spans="1:6" x14ac:dyDescent="0.25">
      <c r="A96" s="92" t="s">
        <v>111</v>
      </c>
      <c r="B96" s="91">
        <f>F39</f>
        <v>1423421.3654399412</v>
      </c>
      <c r="C96" s="168"/>
      <c r="D96" s="169"/>
      <c r="E96" s="169"/>
      <c r="F96" s="286">
        <f>SUM(F94:F95)</f>
        <v>0</v>
      </c>
    </row>
    <row r="97" spans="1:12" ht="13.8" thickBot="1" x14ac:dyDescent="0.3">
      <c r="A97" s="92" t="s">
        <v>112</v>
      </c>
      <c r="B97" s="91">
        <f>F49</f>
        <v>1025016.0275936372</v>
      </c>
      <c r="C97" s="172"/>
      <c r="D97" s="173"/>
      <c r="E97" s="173"/>
      <c r="F97" s="174"/>
      <c r="L97" s="20"/>
    </row>
    <row r="98" spans="1:12" x14ac:dyDescent="0.25">
      <c r="A98" s="92" t="s">
        <v>113</v>
      </c>
      <c r="B98" s="91">
        <f>F69</f>
        <v>332166.55249236833</v>
      </c>
    </row>
    <row r="99" spans="1:12" x14ac:dyDescent="0.25">
      <c r="A99" s="92" t="s">
        <v>114</v>
      </c>
      <c r="B99" s="143">
        <f>F89</f>
        <v>667064.54607050028</v>
      </c>
      <c r="E99" s="20"/>
      <c r="F99" s="20"/>
      <c r="G99" s="20"/>
    </row>
    <row r="100" spans="1:12" x14ac:dyDescent="0.25">
      <c r="A100" s="118" t="s">
        <v>98</v>
      </c>
      <c r="B100" s="124">
        <f>SUM(B92:B99)</f>
        <v>32017340.596040767</v>
      </c>
      <c r="E100" s="20"/>
      <c r="F100" s="20"/>
      <c r="G100" s="20"/>
    </row>
  </sheetData>
  <mergeCells count="12">
    <mergeCell ref="C21:C22"/>
    <mergeCell ref="D22:F22"/>
    <mergeCell ref="D82:F82"/>
    <mergeCell ref="D62:F62"/>
    <mergeCell ref="B11:B12"/>
    <mergeCell ref="C11:C12"/>
    <mergeCell ref="D12:F12"/>
    <mergeCell ref="D32:F32"/>
    <mergeCell ref="D42:F42"/>
    <mergeCell ref="D52:F52"/>
    <mergeCell ref="B21:B22"/>
    <mergeCell ref="D72:F72"/>
  </mergeCells>
  <phoneticPr fontId="8" type="noConversion"/>
  <pageMargins left="0.70866141732283472" right="0.70866141732283472" top="0.74803149606299213" bottom="0.74803149606299213" header="0.31496062992125984" footer="0.31496062992125984"/>
  <pageSetup fitToHeight="2" orientation="portrait" r:id="rId1"/>
  <headerFooter alignWithMargins="0">
    <oddFooter>&amp;L&amp;A&amp;R&amp;P</oddFooter>
  </headerFooter>
  <rowBreaks count="1" manualBreakCount="1">
    <brk id="4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Exhibit 3 Tables</vt:lpstr>
      <vt:lpstr>Summary</vt:lpstr>
      <vt:lpstr>Purchased Power Model </vt:lpstr>
      <vt:lpstr>Purchased Power Model WN</vt:lpstr>
      <vt:lpstr>Rate Class Energy Model</vt:lpstr>
      <vt:lpstr>Rate Class Customer Model</vt:lpstr>
      <vt:lpstr>Rate Class Load Model</vt:lpstr>
      <vt:lpstr>Weather Analysis</vt:lpstr>
      <vt:lpstr>2017 COP Forecast</vt:lpstr>
      <vt:lpstr>'2017 COP Forecast'!Print_Area</vt:lpstr>
      <vt:lpstr>'Purchased Power Model '!Print_Area</vt:lpstr>
      <vt:lpstr>'Purchased Power Model WN'!Print_Area</vt:lpstr>
      <vt:lpstr>'Rate Class Customer Model'!Print_Area</vt:lpstr>
      <vt:lpstr>'Rate Class Energy Model'!Print_Area</vt:lpstr>
      <vt:lpstr>'Rate Class Load Model'!Print_Area</vt:lpstr>
      <vt:lpstr>Summary!Print_Area</vt:lpstr>
      <vt:lpstr>'Weather Analysis'!Print_Area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Brenda Pinke</cp:lastModifiedBy>
  <cp:lastPrinted>2016-11-22T21:09:26Z</cp:lastPrinted>
  <dcterms:created xsi:type="dcterms:W3CDTF">2008-02-06T18:24:44Z</dcterms:created>
  <dcterms:modified xsi:type="dcterms:W3CDTF">2017-07-28T18:25:40Z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