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65" windowWidth="27555" windowHeight="12240"/>
  </bookViews>
  <sheets>
    <sheet name="Current WH rates" sheetId="1" r:id="rId1"/>
    <sheet name="Current HONI rates" sheetId="2" r:id="rId2"/>
    <sheet name="Historical 2016" sheetId="3" r:id="rId3"/>
    <sheet name="Current 2017" sheetId="7" r:id="rId4"/>
    <sheet name="Forecast 2018" sheetId="8" r:id="rId5"/>
    <sheet name="LV rates to Forecast" sheetId="6" r:id="rId6"/>
  </sheets>
  <externalReferences>
    <externalReference r:id="rId7"/>
  </externalReferences>
  <definedNames>
    <definedName name="forecast_wholesale_lineplus">'[1]14. RTSR - Forecast Wholesale'!$P$113</definedName>
    <definedName name="forecast_wholesale_network">'[1]14. RTSR - Forecast Wholesale'!$F$109</definedName>
    <definedName name="Total_Current_Wholesale_Lineplus">'[1]13. RTSR - Current Wholesale'!$P$113</definedName>
    <definedName name="total_current_wholesale_network">'[1]13. RTSR - Current Wholesale'!$F$109</definedName>
  </definedNames>
  <calcPr calcId="145621"/>
</workbook>
</file>

<file path=xl/calcChain.xml><?xml version="1.0" encoding="utf-8"?>
<calcChain xmlns="http://schemas.openxmlformats.org/spreadsheetml/2006/main">
  <c r="K11" i="6" l="1"/>
  <c r="I12" i="6"/>
  <c r="I11" i="6"/>
  <c r="I10" i="6"/>
  <c r="I9" i="6"/>
  <c r="I8" i="6"/>
  <c r="I6" i="6"/>
  <c r="H11" i="6" l="1"/>
  <c r="H12" i="6" l="1"/>
  <c r="H10" i="6"/>
  <c r="H9" i="6"/>
  <c r="H8" i="6"/>
  <c r="H7" i="6"/>
  <c r="H6" i="6"/>
  <c r="F25" i="6"/>
  <c r="F24" i="6"/>
  <c r="F22" i="6"/>
  <c r="E23" i="6"/>
  <c r="E21" i="6"/>
  <c r="E20" i="6"/>
  <c r="E10" i="6"/>
  <c r="E8" i="6"/>
  <c r="E6" i="6"/>
  <c r="G23" i="8" l="1"/>
  <c r="G23" i="3"/>
  <c r="D7" i="6" l="1"/>
  <c r="G21" i="8" l="1"/>
  <c r="G20" i="8"/>
  <c r="G19" i="8"/>
  <c r="G18" i="8"/>
  <c r="G17" i="8"/>
  <c r="G16" i="8"/>
  <c r="G15" i="8"/>
  <c r="G14" i="8"/>
  <c r="G13" i="8"/>
  <c r="G12" i="8"/>
  <c r="G11" i="8"/>
  <c r="G10" i="8"/>
  <c r="C21" i="8"/>
  <c r="C20" i="8"/>
  <c r="C19" i="8"/>
  <c r="C18" i="8"/>
  <c r="C17" i="8"/>
  <c r="C16" i="8"/>
  <c r="C15" i="8"/>
  <c r="C14" i="8"/>
  <c r="C13" i="8"/>
  <c r="C12" i="8"/>
  <c r="C11" i="8"/>
  <c r="C10" i="8"/>
  <c r="C23" i="8"/>
  <c r="G10" i="7"/>
  <c r="G23" i="7" s="1"/>
  <c r="C21" i="7"/>
  <c r="C20" i="7"/>
  <c r="C19" i="7"/>
  <c r="C18" i="7"/>
  <c r="C17" i="7"/>
  <c r="C16" i="7"/>
  <c r="C15" i="7"/>
  <c r="C14" i="7"/>
  <c r="C13" i="7"/>
  <c r="C12" i="7"/>
  <c r="C11" i="7"/>
  <c r="C10" i="7"/>
  <c r="E21" i="3"/>
  <c r="E20" i="3"/>
  <c r="E19" i="3"/>
  <c r="E18" i="3"/>
  <c r="K18" i="3" s="1"/>
  <c r="E17" i="3"/>
  <c r="E16" i="3"/>
  <c r="E15" i="3"/>
  <c r="E14" i="3"/>
  <c r="E13" i="3"/>
  <c r="E12" i="3"/>
  <c r="E11" i="3"/>
  <c r="E10" i="3"/>
  <c r="H10" i="3"/>
  <c r="K21" i="3"/>
  <c r="K20" i="3"/>
  <c r="K19" i="3"/>
  <c r="K17" i="3"/>
  <c r="K16" i="3"/>
  <c r="K15" i="3"/>
  <c r="K14" i="3"/>
  <c r="K13" i="3"/>
  <c r="K12" i="3"/>
  <c r="K11" i="3"/>
  <c r="K10" i="3"/>
  <c r="I23" i="3"/>
  <c r="H21" i="3"/>
  <c r="H20" i="3"/>
  <c r="H19" i="3"/>
  <c r="H18" i="3"/>
  <c r="H17" i="3"/>
  <c r="H16" i="3"/>
  <c r="H15" i="3"/>
  <c r="H14" i="3"/>
  <c r="H13" i="3"/>
  <c r="H12" i="3"/>
  <c r="H11" i="3"/>
  <c r="D17" i="2"/>
  <c r="G17" i="2"/>
  <c r="D21" i="8" s="1"/>
  <c r="E21" i="8" s="1"/>
  <c r="F17" i="2"/>
  <c r="D19" i="7" s="1"/>
  <c r="E19" i="7" s="1"/>
  <c r="E17" i="2"/>
  <c r="D12" i="2"/>
  <c r="E12" i="2"/>
  <c r="F12" i="2"/>
  <c r="H19" i="7" s="1"/>
  <c r="I19" i="7" s="1"/>
  <c r="G12" i="2"/>
  <c r="H21" i="8" s="1"/>
  <c r="I21" i="8" s="1"/>
  <c r="K19" i="7" l="1"/>
  <c r="D12" i="7"/>
  <c r="E12" i="7" s="1"/>
  <c r="D16" i="7"/>
  <c r="E16" i="7" s="1"/>
  <c r="D20" i="7"/>
  <c r="E20" i="7" s="1"/>
  <c r="H12" i="7"/>
  <c r="I12" i="7" s="1"/>
  <c r="H16" i="7"/>
  <c r="I16" i="7" s="1"/>
  <c r="H20" i="7"/>
  <c r="I20" i="7" s="1"/>
  <c r="D10" i="8"/>
  <c r="E10" i="8" s="1"/>
  <c r="D14" i="8"/>
  <c r="E14" i="8" s="1"/>
  <c r="D18" i="8"/>
  <c r="E18" i="8" s="1"/>
  <c r="H10" i="8"/>
  <c r="I10" i="8" s="1"/>
  <c r="H14" i="8"/>
  <c r="I14" i="8" s="1"/>
  <c r="H18" i="8"/>
  <c r="I18" i="8" s="1"/>
  <c r="D13" i="7"/>
  <c r="E13" i="7" s="1"/>
  <c r="D17" i="7"/>
  <c r="E17" i="7" s="1"/>
  <c r="D21" i="7"/>
  <c r="E21" i="7" s="1"/>
  <c r="H13" i="7"/>
  <c r="I13" i="7" s="1"/>
  <c r="H17" i="7"/>
  <c r="I17" i="7" s="1"/>
  <c r="H21" i="7"/>
  <c r="I21" i="7" s="1"/>
  <c r="D11" i="8"/>
  <c r="E11" i="8" s="1"/>
  <c r="D15" i="8"/>
  <c r="E15" i="8" s="1"/>
  <c r="D19" i="8"/>
  <c r="E19" i="8" s="1"/>
  <c r="H11" i="8"/>
  <c r="I11" i="8" s="1"/>
  <c r="H15" i="8"/>
  <c r="I15" i="8" s="1"/>
  <c r="H19" i="8"/>
  <c r="I19" i="8" s="1"/>
  <c r="D10" i="7"/>
  <c r="E10" i="7" s="1"/>
  <c r="D14" i="7"/>
  <c r="E14" i="7" s="1"/>
  <c r="D18" i="7"/>
  <c r="E18" i="7" s="1"/>
  <c r="H10" i="7"/>
  <c r="I10" i="7" s="1"/>
  <c r="H14" i="7"/>
  <c r="I14" i="7" s="1"/>
  <c r="H18" i="7"/>
  <c r="I18" i="7" s="1"/>
  <c r="D12" i="8"/>
  <c r="E12" i="8" s="1"/>
  <c r="D16" i="8"/>
  <c r="E16" i="8" s="1"/>
  <c r="D20" i="8"/>
  <c r="E20" i="8" s="1"/>
  <c r="H12" i="8"/>
  <c r="I12" i="8" s="1"/>
  <c r="H16" i="8"/>
  <c r="I16" i="8" s="1"/>
  <c r="H20" i="8"/>
  <c r="I20" i="8" s="1"/>
  <c r="D11" i="7"/>
  <c r="E11" i="7" s="1"/>
  <c r="D15" i="7"/>
  <c r="E15" i="7" s="1"/>
  <c r="H11" i="7"/>
  <c r="I11" i="7" s="1"/>
  <c r="H15" i="7"/>
  <c r="I15" i="7" s="1"/>
  <c r="D13" i="8"/>
  <c r="E13" i="8" s="1"/>
  <c r="D17" i="8"/>
  <c r="E17" i="8" s="1"/>
  <c r="H13" i="8"/>
  <c r="I13" i="8" s="1"/>
  <c r="H17" i="8"/>
  <c r="I17" i="8" s="1"/>
  <c r="K21" i="8"/>
  <c r="C23" i="7"/>
  <c r="K23" i="3"/>
  <c r="H23" i="3"/>
  <c r="F12" i="6"/>
  <c r="F11" i="6"/>
  <c r="F9" i="6"/>
  <c r="D12" i="6"/>
  <c r="D11" i="6"/>
  <c r="D10" i="6"/>
  <c r="D9" i="6"/>
  <c r="D8" i="6"/>
  <c r="D6" i="6"/>
  <c r="K10" i="8" l="1"/>
  <c r="K18" i="8"/>
  <c r="K14" i="8"/>
  <c r="K16" i="8"/>
  <c r="K19" i="8"/>
  <c r="K11" i="7"/>
  <c r="K13" i="8"/>
  <c r="K20" i="8"/>
  <c r="K21" i="7"/>
  <c r="K20" i="7"/>
  <c r="I23" i="8"/>
  <c r="H23" i="8" s="1"/>
  <c r="K15" i="7"/>
  <c r="K12" i="8"/>
  <c r="K15" i="8"/>
  <c r="E23" i="8"/>
  <c r="D23" i="8" s="1"/>
  <c r="K11" i="8"/>
  <c r="K10" i="7"/>
  <c r="I23" i="7"/>
  <c r="H23" i="7" s="1"/>
  <c r="E23" i="7"/>
  <c r="D23" i="7" s="1"/>
  <c r="K18" i="7"/>
  <c r="K17" i="7"/>
  <c r="K16" i="7"/>
  <c r="K14" i="7"/>
  <c r="K13" i="7"/>
  <c r="K12" i="7"/>
  <c r="K17" i="8"/>
  <c r="E23" i="3"/>
  <c r="C23" i="3"/>
  <c r="D21" i="3"/>
  <c r="D20" i="3"/>
  <c r="D19" i="3"/>
  <c r="D18" i="3"/>
  <c r="D17" i="3"/>
  <c r="D16" i="3"/>
  <c r="D15" i="3"/>
  <c r="D14" i="3"/>
  <c r="D13" i="3"/>
  <c r="D12" i="3"/>
  <c r="D11" i="3"/>
  <c r="D10" i="3"/>
  <c r="H9" i="1"/>
  <c r="H7" i="1"/>
  <c r="H5" i="1"/>
  <c r="K23" i="8" l="1"/>
  <c r="K23" i="7"/>
  <c r="J6" i="6" s="1"/>
  <c r="K6" i="6" s="1"/>
  <c r="H13" i="6"/>
  <c r="D23" i="3"/>
  <c r="D24" i="6" l="1"/>
  <c r="H24" i="6" s="1"/>
  <c r="J8" i="6"/>
  <c r="K8" i="6" s="1"/>
  <c r="J10" i="6"/>
  <c r="J12" i="6"/>
  <c r="K12" i="6" s="1"/>
  <c r="J9" i="6"/>
  <c r="D21" i="6"/>
  <c r="H21" i="6" s="1"/>
  <c r="D25" i="6"/>
  <c r="H25" i="6" s="1"/>
  <c r="K10" i="6" l="1"/>
  <c r="D23" i="6" s="1"/>
  <c r="H23" i="6" s="1"/>
  <c r="K9" i="6"/>
  <c r="D22" i="6" s="1"/>
  <c r="H22" i="6" s="1"/>
  <c r="D20" i="6"/>
  <c r="J13" i="6"/>
  <c r="H20" i="6" l="1"/>
  <c r="H26" i="6" s="1"/>
  <c r="I23" i="6" l="1"/>
  <c r="J23" i="6" s="1"/>
  <c r="K23" i="6" s="1"/>
  <c r="I21" i="6"/>
  <c r="J21" i="6" s="1"/>
  <c r="K21" i="6" s="1"/>
  <c r="I20" i="6"/>
  <c r="J20" i="6" s="1"/>
  <c r="K20" i="6" s="1"/>
  <c r="I24" i="6"/>
  <c r="J24" i="6" s="1"/>
  <c r="K24" i="6" s="1"/>
  <c r="I22" i="6"/>
  <c r="J22" i="6" s="1"/>
  <c r="K22" i="6" s="1"/>
  <c r="I25" i="6"/>
  <c r="J25" i="6" s="1"/>
  <c r="K25" i="6" s="1"/>
  <c r="J26" i="6" l="1"/>
</calcChain>
</file>

<file path=xl/sharedStrings.xml><?xml version="1.0" encoding="utf-8"?>
<sst xmlns="http://schemas.openxmlformats.org/spreadsheetml/2006/main" count="180" uniqueCount="66">
  <si>
    <t>Rate Class</t>
  </si>
  <si>
    <t>Rate Description</t>
  </si>
  <si>
    <t>Unit</t>
  </si>
  <si>
    <t>Rate</t>
  </si>
  <si>
    <t>Non-Loss Adjusted Metered kWh</t>
  </si>
  <si>
    <t>Non-Loss Adjusted Metered kW</t>
  </si>
  <si>
    <t>Applicable Loss Factor</t>
  </si>
  <si>
    <t>Loss Adjusted Billed kWh</t>
  </si>
  <si>
    <t>Residential Service Classification</t>
  </si>
  <si>
    <t>$/kWh</t>
  </si>
  <si>
    <t>General Service Less Than 50 kW Service Classification</t>
  </si>
  <si>
    <t>General Service 50 To 4,999 kW Service Classification</t>
  </si>
  <si>
    <t>$/kW</t>
  </si>
  <si>
    <t>Unmetered Scattered Load Service Classification</t>
  </si>
  <si>
    <t>Sentinel Lighting Service Classification</t>
  </si>
  <si>
    <t>Street Lighting Service Classification</t>
  </si>
  <si>
    <t>kW</t>
  </si>
  <si>
    <t>Hydro One Sub-Transmission Rates</t>
  </si>
  <si>
    <t>Month</t>
  </si>
  <si>
    <t>Units Billed</t>
  </si>
  <si>
    <t>Amount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</si>
  <si>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</si>
  <si>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</si>
  <si>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</si>
  <si>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</si>
  <si>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</si>
  <si>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</si>
  <si>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</si>
  <si>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</si>
  <si>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</si>
  <si>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</si>
  <si>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</si>
  <si>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</si>
  <si>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</si>
  <si>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Billed kW</t>
  </si>
  <si>
    <t>Billed Amount</t>
  </si>
  <si>
    <t>Billed Amount %</t>
  </si>
  <si>
    <t>Current Wholesale Billing</t>
  </si>
  <si>
    <t xml:space="preserve"> </t>
  </si>
  <si>
    <t>$</t>
  </si>
  <si>
    <t>Feb - Dec 2016</t>
  </si>
  <si>
    <t>Volumetric</t>
  </si>
  <si>
    <t>Fixed</t>
  </si>
  <si>
    <t>Total Fixed charges</t>
  </si>
  <si>
    <t>Total Volumetric charges</t>
  </si>
  <si>
    <t>Current LV</t>
  </si>
  <si>
    <t>Adjusted LV</t>
  </si>
  <si>
    <t>Number of Customers</t>
  </si>
  <si>
    <t>No Customers</t>
  </si>
  <si>
    <t>GS &gt;50</t>
  </si>
  <si>
    <t xml:space="preserve">GS &lt;50 </t>
  </si>
  <si>
    <t>USL</t>
  </si>
  <si>
    <t>Sentinel Lighting</t>
  </si>
  <si>
    <t xml:space="preserve">Street Lighting </t>
  </si>
  <si>
    <t xml:space="preserve">Residential </t>
  </si>
  <si>
    <t>Residential</t>
  </si>
  <si>
    <t>The purpose of this table is to re-align the current LV Rates to recover current wholesale LV costs.</t>
  </si>
  <si>
    <t>The purpose of this table is to update the re-aligned LV Rates to recover future wholesale LV costs.</t>
  </si>
  <si>
    <t>Adjusted LV Service Rate</t>
  </si>
  <si>
    <t>Proposed LV Service Rate</t>
  </si>
  <si>
    <t>Forecast</t>
  </si>
  <si>
    <t xml:space="preserve">Service Charge </t>
  </si>
  <si>
    <t>Rate Rider for Disposition of Deferral/Variance Accounts</t>
  </si>
  <si>
    <t>Rate Rider for Recovery of Foregone Revenue</t>
  </si>
  <si>
    <t>Facility Charge for connection to Common ST Lines (44kW to 13.8 kV)</t>
  </si>
  <si>
    <t>Volumetric Rate Rider for Disposition of Deferral/Variance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</si>
</sst>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#,##0;[Red]\(#,##0\)"/>
    <numFmt numFmtId="166" formatCode="_-* #,##0_-;\-* #,##0_-;_-* &quot;-&quot;??_-;_-@_-"/>
    <numFmt numFmtId="167" formatCode="0.0%"/>
    <numFmt numFmtId="168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2" applyProtection="1"/>
    <xf numFmtId="0" fontId="2" fillId="0" borderId="0" xfId="2" applyAlignment="1" applyProtection="1">
      <alignment horizontal="center"/>
    </xf>
    <xf numFmtId="0" fontId="2" fillId="0" borderId="0" xfId="2" applyAlignment="1" applyProtection="1">
      <alignment horizontal="center" vertical="center"/>
    </xf>
    <xf numFmtId="164" fontId="0" fillId="0" borderId="0" xfId="0" applyNumberFormat="1"/>
    <xf numFmtId="3" fontId="2" fillId="0" borderId="0" xfId="2" applyNumberFormat="1" applyBorder="1" applyAlignment="1" applyProtection="1">
      <alignment horizontal="center" vertical="center"/>
    </xf>
    <xf numFmtId="15" fontId="2" fillId="0" borderId="0" xfId="0" applyNumberFormat="1" applyFont="1"/>
    <xf numFmtId="0" fontId="2" fillId="0" borderId="0" xfId="0" applyFont="1"/>
    <xf numFmtId="0" fontId="2" fillId="0" borderId="0" xfId="0" applyFont="1" applyFill="1" applyBorder="1"/>
    <xf numFmtId="164" fontId="2" fillId="0" borderId="0" xfId="0" applyNumberFormat="1" applyFont="1" applyFill="1" applyBorder="1"/>
    <xf numFmtId="0" fontId="5" fillId="0" borderId="0" xfId="0" applyFont="1" applyFill="1" applyBorder="1"/>
    <xf numFmtId="164" fontId="5" fillId="0" borderId="0" xfId="0" applyNumberFormat="1" applyFont="1" applyFill="1" applyBorder="1"/>
    <xf numFmtId="0" fontId="0" fillId="0" borderId="0" xfId="0" applyBorder="1"/>
    <xf numFmtId="0" fontId="0" fillId="0" borderId="0" xfId="0" applyFill="1" applyBorder="1"/>
    <xf numFmtId="0" fontId="0" fillId="0" borderId="3" xfId="0" applyBorder="1"/>
    <xf numFmtId="164" fontId="0" fillId="0" borderId="3" xfId="0" applyNumberFormat="1" applyBorder="1"/>
    <xf numFmtId="2" fontId="0" fillId="0" borderId="3" xfId="0" applyNumberFormat="1" applyBorder="1"/>
    <xf numFmtId="0" fontId="2" fillId="0" borderId="7" xfId="2" applyBorder="1" applyProtection="1"/>
    <xf numFmtId="0" fontId="2" fillId="0" borderId="0" xfId="2" applyBorder="1" applyProtection="1"/>
    <xf numFmtId="164" fontId="2" fillId="0" borderId="0" xfId="2" applyNumberFormat="1" applyBorder="1" applyProtection="1"/>
    <xf numFmtId="3" fontId="2" fillId="0" borderId="0" xfId="2" applyNumberFormat="1" applyBorder="1" applyProtection="1"/>
    <xf numFmtId="0" fontId="0" fillId="0" borderId="8" xfId="0" applyBorder="1"/>
    <xf numFmtId="0" fontId="2" fillId="0" borderId="0" xfId="2" applyBorder="1" applyAlignment="1" applyProtection="1">
      <alignment horizontal="center"/>
    </xf>
    <xf numFmtId="164" fontId="2" fillId="0" borderId="0" xfId="2" applyNumberFormat="1" applyBorder="1" applyAlignment="1" applyProtection="1">
      <alignment horizontal="center"/>
    </xf>
    <xf numFmtId="165" fontId="2" fillId="0" borderId="0" xfId="2" applyNumberFormat="1" applyBorder="1" applyProtection="1"/>
    <xf numFmtId="164" fontId="2" fillId="0" borderId="0" xfId="2" applyNumberFormat="1" applyBorder="1" applyProtection="1">
      <protection locked="0"/>
    </xf>
    <xf numFmtId="168" fontId="0" fillId="0" borderId="8" xfId="5" applyNumberFormat="1" applyFont="1" applyBorder="1"/>
    <xf numFmtId="0" fontId="2" fillId="0" borderId="9" xfId="2" applyBorder="1" applyProtection="1"/>
    <xf numFmtId="0" fontId="2" fillId="0" borderId="2" xfId="2" applyBorder="1" applyAlignment="1" applyProtection="1">
      <alignment horizontal="center"/>
    </xf>
    <xf numFmtId="164" fontId="2" fillId="0" borderId="2" xfId="2" applyNumberFormat="1" applyBorder="1" applyAlignment="1" applyProtection="1">
      <alignment horizontal="center"/>
    </xf>
    <xf numFmtId="165" fontId="2" fillId="0" borderId="2" xfId="2" applyNumberFormat="1" applyBorder="1" applyProtection="1"/>
    <xf numFmtId="164" fontId="2" fillId="0" borderId="2" xfId="2" applyNumberFormat="1" applyBorder="1" applyProtection="1"/>
    <xf numFmtId="0" fontId="2" fillId="0" borderId="2" xfId="2" applyBorder="1" applyProtection="1"/>
    <xf numFmtId="0" fontId="0" fillId="0" borderId="10" xfId="0" applyBorder="1"/>
    <xf numFmtId="0" fontId="0" fillId="0" borderId="13" xfId="0" applyBorder="1"/>
    <xf numFmtId="0" fontId="0" fillId="0" borderId="14" xfId="0" applyBorder="1"/>
    <xf numFmtId="15" fontId="2" fillId="0" borderId="13" xfId="0" applyNumberFormat="1" applyFont="1" applyBorder="1"/>
    <xf numFmtId="0" fontId="2" fillId="0" borderId="14" xfId="0" applyFont="1" applyFill="1" applyBorder="1" applyAlignment="1">
      <alignment horizontal="center"/>
    </xf>
    <xf numFmtId="0" fontId="2" fillId="0" borderId="13" xfId="0" applyFont="1" applyBorder="1"/>
    <xf numFmtId="0" fontId="2" fillId="0" borderId="13" xfId="0" applyFont="1" applyBorder="1" applyAlignment="1">
      <alignment horizontal="right"/>
    </xf>
    <xf numFmtId="0" fontId="5" fillId="0" borderId="16" xfId="0" applyFont="1" applyFill="1" applyBorder="1" applyAlignment="1">
      <alignment horizontal="center"/>
    </xf>
    <xf numFmtId="164" fontId="2" fillId="0" borderId="14" xfId="0" applyNumberFormat="1" applyFont="1" applyFill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2" fillId="0" borderId="7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164" fontId="2" fillId="0" borderId="7" xfId="0" applyNumberFormat="1" applyFont="1" applyFill="1" applyBorder="1" applyAlignment="1">
      <alignment horizontal="center"/>
    </xf>
    <xf numFmtId="164" fontId="5" fillId="0" borderId="20" xfId="0" applyNumberFormat="1" applyFont="1" applyFill="1" applyBorder="1" applyAlignment="1">
      <alignment horizontal="center"/>
    </xf>
    <xf numFmtId="0" fontId="0" fillId="0" borderId="21" xfId="0" applyBorder="1"/>
    <xf numFmtId="0" fontId="0" fillId="0" borderId="23" xfId="0" applyBorder="1" applyAlignment="1">
      <alignment horizontal="center"/>
    </xf>
    <xf numFmtId="0" fontId="0" fillId="0" borderId="23" xfId="0" applyBorder="1"/>
    <xf numFmtId="0" fontId="2" fillId="0" borderId="2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0" fontId="0" fillId="0" borderId="24" xfId="0" applyBorder="1"/>
    <xf numFmtId="0" fontId="5" fillId="0" borderId="25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64" fontId="2" fillId="0" borderId="8" xfId="0" applyNumberFormat="1" applyFont="1" applyFill="1" applyBorder="1" applyAlignment="1">
      <alignment horizontal="center"/>
    </xf>
    <xf numFmtId="0" fontId="0" fillId="0" borderId="31" xfId="0" applyBorder="1"/>
    <xf numFmtId="168" fontId="0" fillId="0" borderId="7" xfId="5" applyNumberFormat="1" applyFont="1" applyBorder="1"/>
    <xf numFmtId="164" fontId="0" fillId="0" borderId="0" xfId="0" applyNumberFormat="1" applyBorder="1"/>
    <xf numFmtId="43" fontId="0" fillId="0" borderId="8" xfId="5" applyFont="1" applyBorder="1"/>
    <xf numFmtId="168" fontId="0" fillId="0" borderId="20" xfId="5" applyNumberFormat="1" applyFont="1" applyBorder="1"/>
    <xf numFmtId="43" fontId="0" fillId="0" borderId="25" xfId="5" applyFont="1" applyBorder="1"/>
    <xf numFmtId="2" fontId="0" fillId="0" borderId="0" xfId="0" applyNumberFormat="1" applyBorder="1"/>
    <xf numFmtId="43" fontId="0" fillId="0" borderId="23" xfId="5" applyFont="1" applyBorder="1"/>
    <xf numFmtId="43" fontId="0" fillId="0" borderId="4" xfId="5" applyFont="1" applyBorder="1"/>
    <xf numFmtId="0" fontId="0" fillId="0" borderId="4" xfId="0" applyBorder="1"/>
    <xf numFmtId="0" fontId="2" fillId="0" borderId="13" xfId="2" applyBorder="1" applyProtection="1"/>
    <xf numFmtId="0" fontId="2" fillId="0" borderId="0" xfId="2" applyBorder="1" applyAlignment="1" applyProtection="1">
      <alignment horizontal="center" vertical="center"/>
    </xf>
    <xf numFmtId="167" fontId="2" fillId="0" borderId="0" xfId="1" applyNumberFormat="1" applyFont="1" applyBorder="1" applyAlignment="1" applyProtection="1">
      <alignment horizontal="center" vertical="center"/>
    </xf>
    <xf numFmtId="164" fontId="2" fillId="0" borderId="14" xfId="2" applyNumberFormat="1" applyBorder="1" applyAlignment="1" applyProtection="1">
      <alignment horizontal="center" vertical="center"/>
    </xf>
    <xf numFmtId="164" fontId="2" fillId="0" borderId="0" xfId="2" applyNumberFormat="1" applyBorder="1" applyAlignment="1" applyProtection="1">
      <alignment horizontal="center" vertical="center"/>
    </xf>
    <xf numFmtId="0" fontId="2" fillId="0" borderId="17" xfId="2" applyBorder="1" applyProtection="1"/>
    <xf numFmtId="0" fontId="2" fillId="0" borderId="32" xfId="2" applyBorder="1" applyAlignment="1" applyProtection="1">
      <alignment horizontal="center" vertical="center"/>
    </xf>
    <xf numFmtId="3" fontId="2" fillId="0" borderId="33" xfId="2" applyNumberFormat="1" applyBorder="1" applyAlignment="1" applyProtection="1">
      <alignment horizontal="center" vertical="center"/>
    </xf>
    <xf numFmtId="0" fontId="2" fillId="0" borderId="18" xfId="2" applyBorder="1" applyAlignment="1" applyProtection="1">
      <alignment horizontal="center" vertical="center"/>
    </xf>
    <xf numFmtId="0" fontId="2" fillId="0" borderId="14" xfId="2" applyBorder="1" applyAlignment="1" applyProtection="1">
      <alignment horizontal="center" vertical="center"/>
    </xf>
    <xf numFmtId="164" fontId="5" fillId="0" borderId="14" xfId="2" applyNumberFormat="1" applyFont="1" applyBorder="1" applyAlignment="1" applyProtection="1">
      <alignment horizontal="center" vertical="center"/>
    </xf>
    <xf numFmtId="0" fontId="3" fillId="2" borderId="20" xfId="2" applyFont="1" applyFill="1" applyBorder="1" applyProtection="1"/>
    <xf numFmtId="0" fontId="3" fillId="2" borderId="3" xfId="2" applyFont="1" applyFill="1" applyBorder="1" applyAlignment="1" applyProtection="1">
      <alignment horizontal="center" vertical="center"/>
    </xf>
    <xf numFmtId="164" fontId="3" fillId="2" borderId="3" xfId="2" applyNumberFormat="1" applyFont="1" applyFill="1" applyBorder="1" applyAlignment="1" applyProtection="1">
      <alignment horizontal="center" vertical="center"/>
    </xf>
    <xf numFmtId="3" fontId="3" fillId="2" borderId="3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2" borderId="3" xfId="2" applyFont="1" applyFill="1" applyBorder="1" applyAlignment="1" applyProtection="1">
      <alignment horizontal="center" vertical="center" wrapText="1"/>
    </xf>
    <xf numFmtId="0" fontId="3" fillId="2" borderId="25" xfId="2" applyFont="1" applyFill="1" applyBorder="1" applyAlignment="1" applyProtection="1">
      <alignment horizontal="center" vertical="center" wrapText="1"/>
    </xf>
    <xf numFmtId="0" fontId="7" fillId="2" borderId="11" xfId="0" applyFont="1" applyFill="1" applyBorder="1"/>
    <xf numFmtId="0" fontId="6" fillId="2" borderId="22" xfId="0" applyFont="1" applyFill="1" applyBorder="1"/>
    <xf numFmtId="0" fontId="6" fillId="2" borderId="22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28" xfId="0" applyFont="1" applyFill="1" applyBorder="1"/>
    <xf numFmtId="0" fontId="6" fillId="2" borderId="27" xfId="0" applyFont="1" applyFill="1" applyBorder="1"/>
    <xf numFmtId="17" fontId="6" fillId="2" borderId="9" xfId="0" applyNumberFormat="1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29" xfId="0" applyFont="1" applyFill="1" applyBorder="1"/>
    <xf numFmtId="0" fontId="6" fillId="2" borderId="4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26" xfId="0" applyFont="1" applyFill="1" applyBorder="1"/>
    <xf numFmtId="0" fontId="6" fillId="2" borderId="1" xfId="0" applyFont="1" applyFill="1" applyBorder="1"/>
    <xf numFmtId="0" fontId="6" fillId="2" borderId="26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/>
    <xf numFmtId="0" fontId="6" fillId="2" borderId="27" xfId="0" applyFont="1" applyFill="1" applyBorder="1" applyAlignment="1">
      <alignment horizontal="center"/>
    </xf>
    <xf numFmtId="0" fontId="4" fillId="2" borderId="28" xfId="2" applyFont="1" applyFill="1" applyBorder="1" applyAlignment="1" applyProtection="1">
      <alignment horizontal="left" vertical="center" wrapText="1"/>
    </xf>
    <xf numFmtId="0" fontId="4" fillId="2" borderId="2" xfId="2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166" fontId="4" fillId="2" borderId="2" xfId="2" applyNumberFormat="1" applyFont="1" applyFill="1" applyBorder="1" applyAlignment="1" applyProtection="1">
      <alignment horizontal="center" vertical="center" wrapText="1"/>
    </xf>
    <xf numFmtId="167" fontId="4" fillId="2" borderId="2" xfId="2" applyNumberFormat="1" applyFont="1" applyFill="1" applyBorder="1" applyAlignment="1" applyProtection="1">
      <alignment horizontal="center" vertical="center" wrapText="1"/>
    </xf>
    <xf numFmtId="164" fontId="4" fillId="2" borderId="15" xfId="2" applyNumberFormat="1" applyFont="1" applyFill="1" applyBorder="1" applyAlignment="1" applyProtection="1">
      <alignment horizontal="center" vertical="center" wrapText="1"/>
    </xf>
    <xf numFmtId="10" fontId="0" fillId="0" borderId="0" xfId="0" applyNumberFormat="1"/>
    <xf numFmtId="0" fontId="6" fillId="2" borderId="15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8" fillId="2" borderId="34" xfId="2" applyFont="1" applyFill="1" applyBorder="1" applyAlignment="1" applyProtection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center"/>
    </xf>
  </cellXfs>
  <cellStyles count="6">
    <cellStyle name="Comma" xfId="5" builtinId="3"/>
    <cellStyle name="Comma 4" xfId="4"/>
    <cellStyle name="Currency 2" xfId="3"/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EB/Rates/2018%20Rate%20Application/Stand-Alone%20Application/Exhibit%202%20LV%20Application/2018_IRM_RateGen_Model_V2.7_WH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for Tabs 3 to 7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2 1 5 TotalConsumptionData_Dist"/>
      <sheetName val="5. Allocating Def-Var Balances"/>
      <sheetName val="6. Class A Consumption Data"/>
      <sheetName val="6.1 GA"/>
      <sheetName val="6.1a GA Allocation"/>
      <sheetName val="6.2 CBR B"/>
      <sheetName val="6.2a CBR B_Allocation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09">
          <cell r="F109">
            <v>6368697.4840600006</v>
          </cell>
        </row>
        <row r="113">
          <cell r="P113">
            <v>5286210.1945719989</v>
          </cell>
        </row>
      </sheetData>
      <sheetData sheetId="21">
        <row r="109">
          <cell r="F109">
            <v>6368697.4840600006</v>
          </cell>
        </row>
        <row r="113">
          <cell r="P113">
            <v>5286210.1945719989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2"/>
  <sheetViews>
    <sheetView showGridLines="0" tabSelected="1" workbookViewId="0">
      <selection activeCell="B32" sqref="B32"/>
    </sheetView>
  </sheetViews>
  <sheetFormatPr defaultRowHeight="15" x14ac:dyDescent="0.25"/>
  <cols>
    <col min="2" max="2" width="48.5703125" bestFit="1" customWidth="1"/>
    <col min="5" max="5" width="11.140625" bestFit="1" customWidth="1"/>
    <col min="6" max="6" width="10.7109375" customWidth="1"/>
    <col min="7" max="7" width="12" customWidth="1"/>
    <col min="8" max="8" width="11.140625" bestFit="1" customWidth="1"/>
    <col min="9" max="9" width="12.28515625" customWidth="1"/>
  </cols>
  <sheetData>
    <row r="3" spans="2:9" ht="60" x14ac:dyDescent="0.25">
      <c r="B3" s="84" t="s">
        <v>0</v>
      </c>
      <c r="C3" s="85" t="s">
        <v>2</v>
      </c>
      <c r="D3" s="86" t="s">
        <v>3</v>
      </c>
      <c r="E3" s="87" t="s">
        <v>4</v>
      </c>
      <c r="F3" s="87" t="s">
        <v>5</v>
      </c>
      <c r="G3" s="88" t="s">
        <v>6</v>
      </c>
      <c r="H3" s="89" t="s">
        <v>7</v>
      </c>
      <c r="I3" s="90" t="s">
        <v>47</v>
      </c>
    </row>
    <row r="4" spans="2:9" x14ac:dyDescent="0.25">
      <c r="B4" s="17"/>
      <c r="C4" s="18"/>
      <c r="D4" s="19"/>
      <c r="E4" s="20"/>
      <c r="F4" s="20"/>
      <c r="G4" s="19"/>
      <c r="H4" s="18"/>
      <c r="I4" s="21"/>
    </row>
    <row r="5" spans="2:9" x14ac:dyDescent="0.25">
      <c r="B5" s="17" t="s">
        <v>8</v>
      </c>
      <c r="C5" s="22" t="s">
        <v>9</v>
      </c>
      <c r="D5" s="23">
        <v>1E-4</v>
      </c>
      <c r="E5" s="24">
        <v>367928950</v>
      </c>
      <c r="F5" s="24">
        <v>0</v>
      </c>
      <c r="G5" s="25">
        <v>1.0454000000000001</v>
      </c>
      <c r="H5" s="20">
        <f>E5*G5</f>
        <v>384632924.33000004</v>
      </c>
      <c r="I5" s="21"/>
    </row>
    <row r="6" spans="2:9" x14ac:dyDescent="0.25">
      <c r="B6" s="17" t="s">
        <v>8</v>
      </c>
      <c r="C6" s="22" t="s">
        <v>39</v>
      </c>
      <c r="D6" s="23">
        <v>0.12</v>
      </c>
      <c r="E6" s="24" t="s">
        <v>38</v>
      </c>
      <c r="F6" s="24" t="s">
        <v>38</v>
      </c>
      <c r="G6" s="25" t="s">
        <v>38</v>
      </c>
      <c r="H6" s="20" t="s">
        <v>38</v>
      </c>
      <c r="I6" s="26">
        <v>39588</v>
      </c>
    </row>
    <row r="7" spans="2:9" x14ac:dyDescent="0.25">
      <c r="B7" s="17" t="s">
        <v>10</v>
      </c>
      <c r="C7" s="22" t="s">
        <v>9</v>
      </c>
      <c r="D7" s="23">
        <v>2.9999999999999997E-4</v>
      </c>
      <c r="E7" s="24">
        <v>88118790</v>
      </c>
      <c r="F7" s="24">
        <v>0</v>
      </c>
      <c r="G7" s="25">
        <v>1.0454000000000001</v>
      </c>
      <c r="H7" s="20">
        <f>E7*G7</f>
        <v>92119383.066000015</v>
      </c>
      <c r="I7" s="21"/>
    </row>
    <row r="8" spans="2:9" x14ac:dyDescent="0.25">
      <c r="B8" s="17" t="s">
        <v>11</v>
      </c>
      <c r="C8" s="22" t="s">
        <v>12</v>
      </c>
      <c r="D8" s="23">
        <v>0.1164</v>
      </c>
      <c r="E8" s="24">
        <v>407832342</v>
      </c>
      <c r="F8" s="24">
        <v>959662</v>
      </c>
      <c r="G8" s="19"/>
      <c r="H8" s="18"/>
      <c r="I8" s="21"/>
    </row>
    <row r="9" spans="2:9" x14ac:dyDescent="0.25">
      <c r="B9" s="17" t="s">
        <v>13</v>
      </c>
      <c r="C9" s="22" t="s">
        <v>9</v>
      </c>
      <c r="D9" s="23">
        <v>2.9999999999999997E-4</v>
      </c>
      <c r="E9" s="24">
        <v>1759728</v>
      </c>
      <c r="F9" s="24">
        <v>0</v>
      </c>
      <c r="G9" s="25">
        <v>1.0454000000000001</v>
      </c>
      <c r="H9" s="20">
        <f>E9*G9</f>
        <v>1839619.6512000002</v>
      </c>
      <c r="I9" s="21"/>
    </row>
    <row r="10" spans="2:9" x14ac:dyDescent="0.25">
      <c r="B10" s="17" t="s">
        <v>14</v>
      </c>
      <c r="C10" s="22" t="s">
        <v>12</v>
      </c>
      <c r="D10" s="23">
        <v>9.1899999999999996E-2</v>
      </c>
      <c r="E10" s="24">
        <v>32748</v>
      </c>
      <c r="F10" s="24">
        <v>92</v>
      </c>
      <c r="G10" s="19"/>
      <c r="H10" s="18"/>
      <c r="I10" s="21"/>
    </row>
    <row r="11" spans="2:9" x14ac:dyDescent="0.25">
      <c r="B11" s="27" t="s">
        <v>15</v>
      </c>
      <c r="C11" s="28" t="s">
        <v>12</v>
      </c>
      <c r="D11" s="29">
        <v>9.01E-2</v>
      </c>
      <c r="E11" s="30">
        <v>6040412</v>
      </c>
      <c r="F11" s="30">
        <v>16143</v>
      </c>
      <c r="G11" s="31"/>
      <c r="H11" s="32"/>
      <c r="I11" s="33"/>
    </row>
    <row r="12" spans="2:9" x14ac:dyDescent="0.25">
      <c r="B12" s="1"/>
      <c r="C12" s="2"/>
      <c r="D12" s="2"/>
      <c r="E12" s="1"/>
      <c r="F12" s="1"/>
      <c r="G12" s="1"/>
      <c r="H12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O18"/>
  <sheetViews>
    <sheetView showGridLines="0" workbookViewId="0">
      <selection activeCell="B5" sqref="B5:G18"/>
    </sheetView>
  </sheetViews>
  <sheetFormatPr defaultRowHeight="15" x14ac:dyDescent="0.25"/>
  <cols>
    <col min="2" max="2" width="63.85546875" bestFit="1" customWidth="1"/>
    <col min="3" max="3" width="4.7109375" bestFit="1" customWidth="1"/>
    <col min="4" max="7" width="13.7109375" customWidth="1"/>
    <col min="12" max="12" width="73.85546875" bestFit="1" customWidth="1"/>
  </cols>
  <sheetData>
    <row r="4" spans="2:15" ht="15.75" thickBot="1" x14ac:dyDescent="0.3"/>
    <row r="5" spans="2:15" ht="18.75" x14ac:dyDescent="0.3">
      <c r="B5" s="91" t="s">
        <v>17</v>
      </c>
      <c r="C5" s="92"/>
      <c r="D5" s="119">
        <v>2016</v>
      </c>
      <c r="E5" s="120"/>
      <c r="F5" s="93">
        <v>2017</v>
      </c>
      <c r="G5" s="94">
        <v>2018</v>
      </c>
    </row>
    <row r="6" spans="2:15" x14ac:dyDescent="0.25">
      <c r="B6" s="95"/>
      <c r="C6" s="96"/>
      <c r="D6" s="97">
        <v>42370</v>
      </c>
      <c r="E6" s="98" t="s">
        <v>40</v>
      </c>
      <c r="F6" s="96"/>
      <c r="G6" s="118" t="s">
        <v>60</v>
      </c>
    </row>
    <row r="7" spans="2:15" x14ac:dyDescent="0.25">
      <c r="B7" s="99" t="s">
        <v>1</v>
      </c>
      <c r="C7" s="100" t="s">
        <v>2</v>
      </c>
      <c r="D7" s="101" t="s">
        <v>3</v>
      </c>
      <c r="E7" s="102" t="s">
        <v>3</v>
      </c>
      <c r="F7" s="100" t="s">
        <v>3</v>
      </c>
      <c r="G7" s="103" t="s">
        <v>3</v>
      </c>
    </row>
    <row r="8" spans="2:15" x14ac:dyDescent="0.25">
      <c r="B8" s="34"/>
      <c r="C8" s="51"/>
      <c r="D8" s="45"/>
      <c r="E8" s="21"/>
      <c r="F8" s="52"/>
      <c r="G8" s="35"/>
      <c r="M8" s="13"/>
      <c r="N8" s="13"/>
      <c r="O8" s="13"/>
    </row>
    <row r="9" spans="2:15" x14ac:dyDescent="0.25">
      <c r="B9" s="36" t="s">
        <v>61</v>
      </c>
      <c r="C9" s="53"/>
      <c r="D9" s="46">
        <v>433.07</v>
      </c>
      <c r="E9" s="61">
        <v>481.41</v>
      </c>
      <c r="F9" s="53">
        <v>492.55</v>
      </c>
      <c r="G9" s="37">
        <v>492.55</v>
      </c>
      <c r="H9" s="8"/>
      <c r="I9" s="8"/>
      <c r="L9" s="6"/>
      <c r="M9" s="8"/>
      <c r="N9" s="8"/>
      <c r="O9" s="8"/>
    </row>
    <row r="10" spans="2:15" x14ac:dyDescent="0.25">
      <c r="B10" s="38" t="s">
        <v>62</v>
      </c>
      <c r="C10" s="53"/>
      <c r="D10" s="129">
        <v>16.600000000000001</v>
      </c>
      <c r="E10" s="61">
        <v>11.62</v>
      </c>
      <c r="F10" s="53">
        <v>11.86</v>
      </c>
      <c r="G10" s="37">
        <v>11.86</v>
      </c>
      <c r="H10" s="8"/>
      <c r="I10" s="8"/>
      <c r="L10" s="7"/>
      <c r="M10" s="8"/>
      <c r="N10" s="8"/>
      <c r="O10" s="8"/>
    </row>
    <row r="11" spans="2:15" x14ac:dyDescent="0.25">
      <c r="B11" s="38" t="s">
        <v>63</v>
      </c>
      <c r="C11" s="53"/>
      <c r="D11" s="46" t="s">
        <v>38</v>
      </c>
      <c r="E11" s="61">
        <v>47.56</v>
      </c>
      <c r="F11" s="53" t="s">
        <v>38</v>
      </c>
      <c r="G11" s="37" t="s">
        <v>38</v>
      </c>
      <c r="H11" s="9"/>
      <c r="I11" s="8"/>
      <c r="L11" s="7"/>
      <c r="M11" s="8"/>
      <c r="N11" s="8"/>
      <c r="O11" s="8"/>
    </row>
    <row r="12" spans="2:15" x14ac:dyDescent="0.25">
      <c r="B12" s="39" t="s">
        <v>43</v>
      </c>
      <c r="C12" s="59" t="s">
        <v>39</v>
      </c>
      <c r="D12" s="47">
        <f>SUM(D9:D11)</f>
        <v>449.67</v>
      </c>
      <c r="E12" s="57">
        <f>SUM(E9:E11)</f>
        <v>540.59</v>
      </c>
      <c r="F12" s="54">
        <f>SUM(F9:F11)</f>
        <v>504.41</v>
      </c>
      <c r="G12" s="40">
        <f>SUM(G9:G11)</f>
        <v>504.41</v>
      </c>
      <c r="H12" s="9"/>
      <c r="I12" s="8"/>
      <c r="L12" s="7"/>
      <c r="M12" s="8"/>
      <c r="N12" s="8"/>
      <c r="O12" s="10"/>
    </row>
    <row r="13" spans="2:15" x14ac:dyDescent="0.25">
      <c r="B13" s="38"/>
      <c r="C13" s="53"/>
      <c r="D13" s="46"/>
      <c r="E13" s="61"/>
      <c r="F13" s="53"/>
      <c r="G13" s="37"/>
      <c r="H13" s="9"/>
      <c r="I13" s="8"/>
      <c r="L13" s="7"/>
      <c r="M13" s="8"/>
      <c r="N13" s="8"/>
      <c r="O13" s="8"/>
    </row>
    <row r="14" spans="2:15" x14ac:dyDescent="0.25">
      <c r="B14" s="38" t="s">
        <v>64</v>
      </c>
      <c r="C14" s="55"/>
      <c r="D14" s="48">
        <v>1.022</v>
      </c>
      <c r="E14" s="62">
        <v>1.1739999999999999</v>
      </c>
      <c r="F14" s="53">
        <v>1.2052</v>
      </c>
      <c r="G14" s="37">
        <v>1.2052</v>
      </c>
      <c r="H14" s="9"/>
      <c r="I14" s="11"/>
      <c r="L14" s="7"/>
      <c r="M14" s="9"/>
      <c r="N14" s="9"/>
      <c r="O14" s="8"/>
    </row>
    <row r="15" spans="2:15" x14ac:dyDescent="0.25">
      <c r="B15" s="38" t="s">
        <v>65</v>
      </c>
      <c r="C15" s="55"/>
      <c r="D15" s="48">
        <v>0.4723</v>
      </c>
      <c r="E15" s="62" t="s">
        <v>38</v>
      </c>
      <c r="F15" s="53"/>
      <c r="G15" s="37"/>
      <c r="H15" s="9"/>
      <c r="I15" s="8"/>
      <c r="L15" s="7"/>
      <c r="M15" s="9"/>
      <c r="N15" s="9"/>
      <c r="O15" s="8"/>
    </row>
    <row r="16" spans="2:15" x14ac:dyDescent="0.25">
      <c r="B16" s="38" t="s">
        <v>65</v>
      </c>
      <c r="C16" s="55"/>
      <c r="D16" s="48" t="s">
        <v>38</v>
      </c>
      <c r="E16" s="62">
        <v>0.31509999999999999</v>
      </c>
      <c r="F16" s="55">
        <v>0.31259999999999999</v>
      </c>
      <c r="G16" s="41">
        <v>0.31259999999999999</v>
      </c>
      <c r="H16" s="9"/>
      <c r="I16" s="10"/>
      <c r="L16" s="7"/>
      <c r="M16" s="9"/>
      <c r="N16" s="9"/>
      <c r="O16" s="10"/>
    </row>
    <row r="17" spans="2:15" x14ac:dyDescent="0.25">
      <c r="B17" s="39" t="s">
        <v>44</v>
      </c>
      <c r="C17" s="58" t="s">
        <v>16</v>
      </c>
      <c r="D17" s="49">
        <f>SUM(D14:D16)</f>
        <v>1.4943</v>
      </c>
      <c r="E17" s="57">
        <f>SUM(E14:E16)</f>
        <v>1.4890999999999999</v>
      </c>
      <c r="F17" s="54">
        <f>SUM(F14:F16)</f>
        <v>1.5178</v>
      </c>
      <c r="G17" s="40">
        <f>SUM(G14:G16)</f>
        <v>1.5178</v>
      </c>
      <c r="M17" s="13"/>
      <c r="N17" s="13"/>
      <c r="O17" s="13"/>
    </row>
    <row r="18" spans="2:15" ht="15.75" thickBot="1" x14ac:dyDescent="0.3">
      <c r="B18" s="42"/>
      <c r="C18" s="56"/>
      <c r="D18" s="50"/>
      <c r="E18" s="63"/>
      <c r="F18" s="56"/>
      <c r="G18" s="43"/>
      <c r="M18" s="13"/>
      <c r="N18" s="13"/>
      <c r="O18" s="13"/>
    </row>
  </sheetData>
  <mergeCells count="1">
    <mergeCell ref="D5:E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K25"/>
  <sheetViews>
    <sheetView showGridLines="0" workbookViewId="0">
      <selection activeCell="D15" sqref="D15"/>
    </sheetView>
  </sheetViews>
  <sheetFormatPr defaultRowHeight="15" x14ac:dyDescent="0.25"/>
  <cols>
    <col min="2" max="5" width="11.7109375" customWidth="1"/>
    <col min="6" max="6" width="0.5703125" customWidth="1"/>
    <col min="7" max="9" width="11.7109375" customWidth="1"/>
    <col min="10" max="10" width="0.42578125" customWidth="1"/>
    <col min="11" max="11" width="11.7109375" customWidth="1"/>
  </cols>
  <sheetData>
    <row r="5" spans="2:11" x14ac:dyDescent="0.25">
      <c r="B5" t="s">
        <v>38</v>
      </c>
      <c r="C5" t="s">
        <v>38</v>
      </c>
    </row>
    <row r="7" spans="2:11" x14ac:dyDescent="0.25">
      <c r="B7" s="104"/>
      <c r="C7" s="121" t="s">
        <v>41</v>
      </c>
      <c r="D7" s="122"/>
      <c r="E7" s="123"/>
      <c r="F7" s="105"/>
      <c r="G7" s="121" t="s">
        <v>42</v>
      </c>
      <c r="H7" s="122"/>
      <c r="I7" s="123"/>
      <c r="J7" s="105"/>
      <c r="K7" s="106"/>
    </row>
    <row r="8" spans="2:11" x14ac:dyDescent="0.25">
      <c r="B8" s="96" t="s">
        <v>18</v>
      </c>
      <c r="C8" s="107" t="s">
        <v>19</v>
      </c>
      <c r="D8" s="108" t="s">
        <v>3</v>
      </c>
      <c r="E8" s="98" t="s">
        <v>20</v>
      </c>
      <c r="F8" s="109"/>
      <c r="G8" s="107" t="s">
        <v>19</v>
      </c>
      <c r="H8" s="108" t="s">
        <v>3</v>
      </c>
      <c r="I8" s="98" t="s">
        <v>20</v>
      </c>
      <c r="J8" s="109"/>
      <c r="K8" s="110" t="s">
        <v>20</v>
      </c>
    </row>
    <row r="9" spans="2:11" x14ac:dyDescent="0.25">
      <c r="B9" s="52"/>
      <c r="C9" s="45"/>
      <c r="D9" s="12"/>
      <c r="E9" s="21"/>
      <c r="G9" s="44"/>
      <c r="H9" s="12"/>
      <c r="I9" s="21"/>
      <c r="K9" s="52"/>
    </row>
    <row r="10" spans="2:11" x14ac:dyDescent="0.25">
      <c r="B10" s="52" t="s">
        <v>21</v>
      </c>
      <c r="C10" s="64">
        <v>36808.519999999997</v>
      </c>
      <c r="D10" s="65">
        <f>IF(C10&lt;&gt;0,E10/C10,0)</f>
        <v>1.4926859324960635</v>
      </c>
      <c r="E10" s="66">
        <f>11989.42+3599.49+39354.65</f>
        <v>54943.56</v>
      </c>
      <c r="G10" s="44">
        <v>4</v>
      </c>
      <c r="H10" s="69">
        <f>IF(G10&lt;&gt;0,I10/G10,0)</f>
        <v>477.88749999999999</v>
      </c>
      <c r="I10" s="66">
        <v>1911.55</v>
      </c>
      <c r="K10" s="70">
        <f>+I10+E10</f>
        <v>56855.11</v>
      </c>
    </row>
    <row r="11" spans="2:11" x14ac:dyDescent="0.25">
      <c r="B11" s="52" t="s">
        <v>22</v>
      </c>
      <c r="C11" s="64">
        <v>35863.11</v>
      </c>
      <c r="D11" s="65">
        <f t="shared" ref="D11:D21" si="0">IF(C11&lt;&gt;0,E11/C11,0)</f>
        <v>1.4891000808351536</v>
      </c>
      <c r="E11" s="66">
        <f>11300.47+42103.29</f>
        <v>53403.76</v>
      </c>
      <c r="G11" s="44">
        <v>4</v>
      </c>
      <c r="H11" s="69">
        <f t="shared" ref="H11:H21" si="1">IF(G11&lt;&gt;0,I11/G11,0)</f>
        <v>540.59</v>
      </c>
      <c r="I11" s="66">
        <v>2162.36</v>
      </c>
      <c r="K11" s="70">
        <f t="shared" ref="K11:K21" si="2">+I11+E11</f>
        <v>55566.12</v>
      </c>
    </row>
    <row r="12" spans="2:11" x14ac:dyDescent="0.25">
      <c r="B12" s="52" t="s">
        <v>23</v>
      </c>
      <c r="C12" s="64">
        <v>33343.629999999997</v>
      </c>
      <c r="D12" s="65">
        <f t="shared" si="0"/>
        <v>1.4891000170047473</v>
      </c>
      <c r="E12" s="66">
        <f>10506.58+39145.42</f>
        <v>49652</v>
      </c>
      <c r="G12" s="44">
        <v>4</v>
      </c>
      <c r="H12" s="69">
        <f t="shared" si="1"/>
        <v>540.59</v>
      </c>
      <c r="I12" s="66">
        <v>2162.36</v>
      </c>
      <c r="K12" s="70">
        <f t="shared" si="2"/>
        <v>51814.36</v>
      </c>
    </row>
    <row r="13" spans="2:11" x14ac:dyDescent="0.25">
      <c r="B13" s="52" t="s">
        <v>24</v>
      </c>
      <c r="C13" s="64">
        <v>32507.18</v>
      </c>
      <c r="D13" s="65">
        <f t="shared" si="0"/>
        <v>1.4890999465348886</v>
      </c>
      <c r="E13" s="66">
        <f>10243.01+38163.43</f>
        <v>48406.44</v>
      </c>
      <c r="G13" s="44">
        <v>4</v>
      </c>
      <c r="H13" s="69">
        <f t="shared" si="1"/>
        <v>540.59</v>
      </c>
      <c r="I13" s="66">
        <v>2162.36</v>
      </c>
      <c r="K13" s="70">
        <f t="shared" si="2"/>
        <v>50568.800000000003</v>
      </c>
    </row>
    <row r="14" spans="2:11" x14ac:dyDescent="0.25">
      <c r="B14" s="52" t="s">
        <v>25</v>
      </c>
      <c r="C14" s="64">
        <v>41471.730000000003</v>
      </c>
      <c r="D14" s="65">
        <f t="shared" si="0"/>
        <v>1.489099924213434</v>
      </c>
      <c r="E14" s="66">
        <f>13067.74+48687.81</f>
        <v>61755.549999999996</v>
      </c>
      <c r="G14" s="44">
        <v>4</v>
      </c>
      <c r="H14" s="69">
        <f t="shared" si="1"/>
        <v>540.59</v>
      </c>
      <c r="I14" s="66">
        <v>2162.36</v>
      </c>
      <c r="K14" s="70">
        <f t="shared" si="2"/>
        <v>63917.909999999996</v>
      </c>
    </row>
    <row r="15" spans="2:11" x14ac:dyDescent="0.25">
      <c r="B15" s="52" t="s">
        <v>26</v>
      </c>
      <c r="C15" s="64">
        <v>45511.1</v>
      </c>
      <c r="D15" s="65">
        <f t="shared" si="0"/>
        <v>1.4891000217529351</v>
      </c>
      <c r="E15" s="66">
        <f>14340.55+53430.03</f>
        <v>67770.58</v>
      </c>
      <c r="G15" s="44">
        <v>4</v>
      </c>
      <c r="H15" s="69">
        <f t="shared" si="1"/>
        <v>540.59</v>
      </c>
      <c r="I15" s="66">
        <v>2162.36</v>
      </c>
      <c r="K15" s="70">
        <f t="shared" si="2"/>
        <v>69932.94</v>
      </c>
    </row>
    <row r="16" spans="2:11" x14ac:dyDescent="0.25">
      <c r="B16" s="52" t="s">
        <v>27</v>
      </c>
      <c r="C16" s="64">
        <v>48222.85</v>
      </c>
      <c r="D16" s="65">
        <f t="shared" si="0"/>
        <v>1.4891000842961375</v>
      </c>
      <c r="E16" s="66">
        <f>15195.02+56613.63</f>
        <v>71808.649999999994</v>
      </c>
      <c r="G16" s="44">
        <v>4</v>
      </c>
      <c r="H16" s="69">
        <f t="shared" si="1"/>
        <v>540.59</v>
      </c>
      <c r="I16" s="66">
        <v>2162.36</v>
      </c>
      <c r="K16" s="70">
        <f t="shared" si="2"/>
        <v>73971.009999999995</v>
      </c>
    </row>
    <row r="17" spans="2:11" x14ac:dyDescent="0.25">
      <c r="B17" s="52" t="s">
        <v>28</v>
      </c>
      <c r="C17" s="64">
        <v>48810.96</v>
      </c>
      <c r="D17" s="65">
        <f t="shared" si="0"/>
        <v>1.4890999890188596</v>
      </c>
      <c r="E17" s="66">
        <f>15380.33+57304.07</f>
        <v>72684.399999999994</v>
      </c>
      <c r="G17" s="44">
        <v>4</v>
      </c>
      <c r="H17" s="69">
        <f t="shared" si="1"/>
        <v>540.59</v>
      </c>
      <c r="I17" s="66">
        <v>2162.36</v>
      </c>
      <c r="K17" s="70">
        <f t="shared" si="2"/>
        <v>74846.759999999995</v>
      </c>
    </row>
    <row r="18" spans="2:11" x14ac:dyDescent="0.25">
      <c r="B18" s="52" t="s">
        <v>29</v>
      </c>
      <c r="C18" s="64">
        <v>40896.019999999997</v>
      </c>
      <c r="D18" s="65">
        <f t="shared" si="0"/>
        <v>1.4891001618250383</v>
      </c>
      <c r="E18" s="66">
        <f>12886.34+48011.93</f>
        <v>60898.270000000004</v>
      </c>
      <c r="G18" s="44">
        <v>4</v>
      </c>
      <c r="H18" s="69">
        <f t="shared" si="1"/>
        <v>540.59</v>
      </c>
      <c r="I18" s="66">
        <v>2162.36</v>
      </c>
      <c r="K18" s="70">
        <f t="shared" si="2"/>
        <v>63060.630000000005</v>
      </c>
    </row>
    <row r="19" spans="2:11" x14ac:dyDescent="0.25">
      <c r="B19" s="52" t="s">
        <v>30</v>
      </c>
      <c r="C19" s="64">
        <v>33858.86</v>
      </c>
      <c r="D19" s="65">
        <f t="shared" si="0"/>
        <v>1.4891000464870938</v>
      </c>
      <c r="E19" s="66">
        <f>10668.93+39750.3</f>
        <v>50419.23</v>
      </c>
      <c r="G19" s="44">
        <v>4</v>
      </c>
      <c r="H19" s="69">
        <f t="shared" si="1"/>
        <v>540.59</v>
      </c>
      <c r="I19" s="66">
        <v>2162.36</v>
      </c>
      <c r="K19" s="70">
        <f t="shared" si="2"/>
        <v>52581.590000000004</v>
      </c>
    </row>
    <row r="20" spans="2:11" x14ac:dyDescent="0.25">
      <c r="B20" s="52" t="s">
        <v>31</v>
      </c>
      <c r="C20" s="64">
        <v>35627.4</v>
      </c>
      <c r="D20" s="65">
        <f t="shared" si="0"/>
        <v>1.4890999623884988</v>
      </c>
      <c r="E20" s="66">
        <f>11226.19+41826.57</f>
        <v>53052.76</v>
      </c>
      <c r="G20" s="44">
        <v>4</v>
      </c>
      <c r="H20" s="69">
        <f t="shared" si="1"/>
        <v>540.59</v>
      </c>
      <c r="I20" s="66">
        <v>2162.36</v>
      </c>
      <c r="K20" s="70">
        <f t="shared" si="2"/>
        <v>55215.12</v>
      </c>
    </row>
    <row r="21" spans="2:11" x14ac:dyDescent="0.25">
      <c r="B21" s="52" t="s">
        <v>32</v>
      </c>
      <c r="C21" s="64">
        <v>37131.410000000003</v>
      </c>
      <c r="D21" s="65">
        <f t="shared" si="0"/>
        <v>1.4975410306260923</v>
      </c>
      <c r="E21" s="66">
        <f>11672.8+43933.01</f>
        <v>55605.81</v>
      </c>
      <c r="G21" s="44">
        <v>4</v>
      </c>
      <c r="H21" s="69">
        <f t="shared" si="1"/>
        <v>529.95000000000005</v>
      </c>
      <c r="I21" s="66">
        <v>2119.8000000000002</v>
      </c>
      <c r="K21" s="70">
        <f t="shared" si="2"/>
        <v>57725.61</v>
      </c>
    </row>
    <row r="22" spans="2:11" x14ac:dyDescent="0.25">
      <c r="B22" s="52"/>
      <c r="C22" s="64"/>
      <c r="D22" s="65"/>
      <c r="E22" s="66"/>
      <c r="F22" s="12"/>
      <c r="G22" s="44"/>
      <c r="H22" s="12"/>
      <c r="I22" s="66"/>
      <c r="K22" s="70"/>
    </row>
    <row r="23" spans="2:11" x14ac:dyDescent="0.25">
      <c r="B23" s="72" t="s">
        <v>33</v>
      </c>
      <c r="C23" s="67">
        <f>SUM(C10:C21)</f>
        <v>470052.77</v>
      </c>
      <c r="D23" s="15">
        <f>IF(C23&lt;&gt;0,E23/C23,0)</f>
        <v>1.4900476174196355</v>
      </c>
      <c r="E23" s="68">
        <f>SUM(E10:E21)</f>
        <v>700401.01</v>
      </c>
      <c r="F23" s="14"/>
      <c r="G23" s="60">
        <f>SUM(G10:G21)</f>
        <v>48</v>
      </c>
      <c r="H23" s="16">
        <f>IF(G23&lt;&gt;0,I23/G23,0)</f>
        <v>534.47812500000009</v>
      </c>
      <c r="I23" s="68">
        <f>SUM(I10:I21)</f>
        <v>25654.950000000004</v>
      </c>
      <c r="J23" s="14"/>
      <c r="K23" s="71">
        <f>SUM(K10:K21)</f>
        <v>726055.96</v>
      </c>
    </row>
    <row r="24" spans="2:11" x14ac:dyDescent="0.25">
      <c r="F24" s="12"/>
    </row>
    <row r="25" spans="2:11" x14ac:dyDescent="0.25">
      <c r="F25" s="12"/>
    </row>
  </sheetData>
  <mergeCells count="2">
    <mergeCell ref="C7:E7"/>
    <mergeCell ref="G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K23"/>
  <sheetViews>
    <sheetView showGridLines="0" workbookViewId="0">
      <selection activeCell="K23" sqref="K23"/>
    </sheetView>
  </sheetViews>
  <sheetFormatPr defaultRowHeight="15" x14ac:dyDescent="0.25"/>
  <cols>
    <col min="2" max="5" width="11.7109375" customWidth="1"/>
    <col min="6" max="6" width="0.42578125" customWidth="1"/>
    <col min="7" max="9" width="11.7109375" customWidth="1"/>
    <col min="10" max="10" width="0.5703125" customWidth="1"/>
    <col min="11" max="11" width="11.7109375" customWidth="1"/>
  </cols>
  <sheetData>
    <row r="5" spans="2:11" x14ac:dyDescent="0.25">
      <c r="B5" t="s">
        <v>38</v>
      </c>
      <c r="C5" t="s">
        <v>38</v>
      </c>
    </row>
    <row r="7" spans="2:11" x14ac:dyDescent="0.25">
      <c r="B7" s="104"/>
      <c r="C7" s="121" t="s">
        <v>41</v>
      </c>
      <c r="D7" s="122"/>
      <c r="E7" s="123"/>
      <c r="F7" s="105"/>
      <c r="G7" s="121" t="s">
        <v>42</v>
      </c>
      <c r="H7" s="122"/>
      <c r="I7" s="123"/>
      <c r="J7" s="105"/>
      <c r="K7" s="106"/>
    </row>
    <row r="8" spans="2:11" x14ac:dyDescent="0.25">
      <c r="B8" s="96" t="s">
        <v>18</v>
      </c>
      <c r="C8" s="107" t="s">
        <v>19</v>
      </c>
      <c r="D8" s="108" t="s">
        <v>3</v>
      </c>
      <c r="E8" s="98" t="s">
        <v>20</v>
      </c>
      <c r="F8" s="109"/>
      <c r="G8" s="107" t="s">
        <v>19</v>
      </c>
      <c r="H8" s="108" t="s">
        <v>3</v>
      </c>
      <c r="I8" s="98" t="s">
        <v>20</v>
      </c>
      <c r="J8" s="109"/>
      <c r="K8" s="110" t="s">
        <v>20</v>
      </c>
    </row>
    <row r="9" spans="2:11" x14ac:dyDescent="0.25">
      <c r="B9" s="52"/>
      <c r="C9" s="45"/>
      <c r="D9" s="12"/>
      <c r="E9" s="21"/>
      <c r="G9" s="44"/>
      <c r="H9" s="12"/>
      <c r="I9" s="21"/>
      <c r="K9" s="52"/>
    </row>
    <row r="10" spans="2:11" x14ac:dyDescent="0.25">
      <c r="B10" s="52" t="s">
        <v>21</v>
      </c>
      <c r="C10" s="64">
        <f>+'Historical 2016'!C10</f>
        <v>36808.519999999997</v>
      </c>
      <c r="D10" s="65">
        <f>+'Current HONI rates'!$F$17</f>
        <v>1.5178</v>
      </c>
      <c r="E10" s="66">
        <f>+D10*C10</f>
        <v>55867.971655999994</v>
      </c>
      <c r="G10" s="44">
        <f>+'Historical 2016'!G10:G21</f>
        <v>4</v>
      </c>
      <c r="H10" s="69">
        <f>+'Current HONI rates'!$F$12</f>
        <v>504.41</v>
      </c>
      <c r="I10" s="66">
        <f>+H10*G10</f>
        <v>2017.64</v>
      </c>
      <c r="K10" s="70">
        <f>+I10+E10</f>
        <v>57885.611655999994</v>
      </c>
    </row>
    <row r="11" spans="2:11" x14ac:dyDescent="0.25">
      <c r="B11" s="52" t="s">
        <v>22</v>
      </c>
      <c r="C11" s="64">
        <f>+'Historical 2016'!C11</f>
        <v>35863.11</v>
      </c>
      <c r="D11" s="65">
        <f>+'Current HONI rates'!$F$17</f>
        <v>1.5178</v>
      </c>
      <c r="E11" s="66">
        <f t="shared" ref="E11:E21" si="0">+D11*C11</f>
        <v>54433.028358000003</v>
      </c>
      <c r="G11" s="44">
        <v>4</v>
      </c>
      <c r="H11" s="69">
        <f>+'Current HONI rates'!$F$12</f>
        <v>504.41</v>
      </c>
      <c r="I11" s="66">
        <f t="shared" ref="I11:I21" si="1">+H11*G11</f>
        <v>2017.64</v>
      </c>
      <c r="K11" s="70">
        <f t="shared" ref="K11:K21" si="2">+I11+E11</f>
        <v>56450.668358000003</v>
      </c>
    </row>
    <row r="12" spans="2:11" x14ac:dyDescent="0.25">
      <c r="B12" s="52" t="s">
        <v>23</v>
      </c>
      <c r="C12" s="64">
        <f>+'Historical 2016'!C12</f>
        <v>33343.629999999997</v>
      </c>
      <c r="D12" s="65">
        <f>+'Current HONI rates'!$F$17</f>
        <v>1.5178</v>
      </c>
      <c r="E12" s="66">
        <f t="shared" si="0"/>
        <v>50608.961614</v>
      </c>
      <c r="G12" s="44">
        <v>4</v>
      </c>
      <c r="H12" s="69">
        <f>+'Current HONI rates'!$F$12</f>
        <v>504.41</v>
      </c>
      <c r="I12" s="66">
        <f t="shared" si="1"/>
        <v>2017.64</v>
      </c>
      <c r="K12" s="70">
        <f t="shared" si="2"/>
        <v>52626.601613999999</v>
      </c>
    </row>
    <row r="13" spans="2:11" x14ac:dyDescent="0.25">
      <c r="B13" s="52" t="s">
        <v>24</v>
      </c>
      <c r="C13" s="64">
        <f>+'Historical 2016'!C13</f>
        <v>32507.18</v>
      </c>
      <c r="D13" s="65">
        <f>+'Current HONI rates'!$F$17</f>
        <v>1.5178</v>
      </c>
      <c r="E13" s="66">
        <f t="shared" si="0"/>
        <v>49339.397804</v>
      </c>
      <c r="G13" s="44">
        <v>4</v>
      </c>
      <c r="H13" s="69">
        <f>+'Current HONI rates'!$F$12</f>
        <v>504.41</v>
      </c>
      <c r="I13" s="66">
        <f t="shared" si="1"/>
        <v>2017.64</v>
      </c>
      <c r="K13" s="70">
        <f t="shared" si="2"/>
        <v>51357.037804</v>
      </c>
    </row>
    <row r="14" spans="2:11" x14ac:dyDescent="0.25">
      <c r="B14" s="52" t="s">
        <v>25</v>
      </c>
      <c r="C14" s="64">
        <f>+'Historical 2016'!C14</f>
        <v>41471.730000000003</v>
      </c>
      <c r="D14" s="65">
        <f>+'Current HONI rates'!$F$17</f>
        <v>1.5178</v>
      </c>
      <c r="E14" s="66">
        <f t="shared" si="0"/>
        <v>62945.791794000004</v>
      </c>
      <c r="G14" s="44">
        <v>4</v>
      </c>
      <c r="H14" s="69">
        <f>+'Current HONI rates'!$F$12</f>
        <v>504.41</v>
      </c>
      <c r="I14" s="66">
        <f t="shared" si="1"/>
        <v>2017.64</v>
      </c>
      <c r="K14" s="70">
        <f t="shared" si="2"/>
        <v>64963.431794000004</v>
      </c>
    </row>
    <row r="15" spans="2:11" x14ac:dyDescent="0.25">
      <c r="B15" s="52" t="s">
        <v>26</v>
      </c>
      <c r="C15" s="64">
        <f>+'Historical 2016'!C15</f>
        <v>45511.1</v>
      </c>
      <c r="D15" s="65">
        <f>+'Current HONI rates'!$F$17</f>
        <v>1.5178</v>
      </c>
      <c r="E15" s="66">
        <f t="shared" si="0"/>
        <v>69076.747579999996</v>
      </c>
      <c r="G15" s="44">
        <v>4</v>
      </c>
      <c r="H15" s="69">
        <f>+'Current HONI rates'!$F$12</f>
        <v>504.41</v>
      </c>
      <c r="I15" s="66">
        <f t="shared" si="1"/>
        <v>2017.64</v>
      </c>
      <c r="K15" s="70">
        <f t="shared" si="2"/>
        <v>71094.387579999995</v>
      </c>
    </row>
    <row r="16" spans="2:11" x14ac:dyDescent="0.25">
      <c r="B16" s="52" t="s">
        <v>27</v>
      </c>
      <c r="C16" s="64">
        <f>+'Historical 2016'!C16</f>
        <v>48222.85</v>
      </c>
      <c r="D16" s="65">
        <f>+'Current HONI rates'!$F$17</f>
        <v>1.5178</v>
      </c>
      <c r="E16" s="66">
        <f t="shared" si="0"/>
        <v>73192.641730000003</v>
      </c>
      <c r="G16" s="44">
        <v>4</v>
      </c>
      <c r="H16" s="69">
        <f>+'Current HONI rates'!$F$12</f>
        <v>504.41</v>
      </c>
      <c r="I16" s="66">
        <f t="shared" si="1"/>
        <v>2017.64</v>
      </c>
      <c r="K16" s="70">
        <f t="shared" si="2"/>
        <v>75210.281730000002</v>
      </c>
    </row>
    <row r="17" spans="2:11" x14ac:dyDescent="0.25">
      <c r="B17" s="52" t="s">
        <v>28</v>
      </c>
      <c r="C17" s="64">
        <f>+'Historical 2016'!C17</f>
        <v>48810.96</v>
      </c>
      <c r="D17" s="65">
        <f>+'Current HONI rates'!$F$17</f>
        <v>1.5178</v>
      </c>
      <c r="E17" s="66">
        <f t="shared" si="0"/>
        <v>74085.275087999995</v>
      </c>
      <c r="G17" s="44">
        <v>4</v>
      </c>
      <c r="H17" s="69">
        <f>+'Current HONI rates'!$F$12</f>
        <v>504.41</v>
      </c>
      <c r="I17" s="66">
        <f t="shared" si="1"/>
        <v>2017.64</v>
      </c>
      <c r="K17" s="70">
        <f t="shared" si="2"/>
        <v>76102.915087999994</v>
      </c>
    </row>
    <row r="18" spans="2:11" x14ac:dyDescent="0.25">
      <c r="B18" s="52" t="s">
        <v>29</v>
      </c>
      <c r="C18" s="64">
        <f>+'Historical 2016'!C18</f>
        <v>40896.019999999997</v>
      </c>
      <c r="D18" s="65">
        <f>+'Current HONI rates'!$F$17</f>
        <v>1.5178</v>
      </c>
      <c r="E18" s="66">
        <f t="shared" si="0"/>
        <v>62071.979155999994</v>
      </c>
      <c r="G18" s="44">
        <v>4</v>
      </c>
      <c r="H18" s="69">
        <f>+'Current HONI rates'!$F$12</f>
        <v>504.41</v>
      </c>
      <c r="I18" s="66">
        <f t="shared" si="1"/>
        <v>2017.64</v>
      </c>
      <c r="K18" s="70">
        <f t="shared" si="2"/>
        <v>64089.619155999993</v>
      </c>
    </row>
    <row r="19" spans="2:11" x14ac:dyDescent="0.25">
      <c r="B19" s="52" t="s">
        <v>30</v>
      </c>
      <c r="C19" s="64">
        <f>+'Historical 2016'!C19</f>
        <v>33858.86</v>
      </c>
      <c r="D19" s="65">
        <f>+'Current HONI rates'!$F$17</f>
        <v>1.5178</v>
      </c>
      <c r="E19" s="66">
        <f t="shared" si="0"/>
        <v>51390.977708000006</v>
      </c>
      <c r="G19" s="44">
        <v>4</v>
      </c>
      <c r="H19" s="69">
        <f>+'Current HONI rates'!$F$12</f>
        <v>504.41</v>
      </c>
      <c r="I19" s="66">
        <f t="shared" si="1"/>
        <v>2017.64</v>
      </c>
      <c r="K19" s="70">
        <f t="shared" si="2"/>
        <v>53408.617708000005</v>
      </c>
    </row>
    <row r="20" spans="2:11" x14ac:dyDescent="0.25">
      <c r="B20" s="52" t="s">
        <v>31</v>
      </c>
      <c r="C20" s="64">
        <f>+'Historical 2016'!C20</f>
        <v>35627.4</v>
      </c>
      <c r="D20" s="65">
        <f>+'Current HONI rates'!$F$17</f>
        <v>1.5178</v>
      </c>
      <c r="E20" s="66">
        <f t="shared" si="0"/>
        <v>54075.267720000003</v>
      </c>
      <c r="G20" s="44">
        <v>4</v>
      </c>
      <c r="H20" s="69">
        <f>+'Current HONI rates'!$F$12</f>
        <v>504.41</v>
      </c>
      <c r="I20" s="66">
        <f t="shared" si="1"/>
        <v>2017.64</v>
      </c>
      <c r="K20" s="70">
        <f t="shared" si="2"/>
        <v>56092.907720000003</v>
      </c>
    </row>
    <row r="21" spans="2:11" x14ac:dyDescent="0.25">
      <c r="B21" s="52" t="s">
        <v>32</v>
      </c>
      <c r="C21" s="64">
        <f>+'Historical 2016'!C21</f>
        <v>37131.410000000003</v>
      </c>
      <c r="D21" s="65">
        <f>+'Current HONI rates'!$F$17</f>
        <v>1.5178</v>
      </c>
      <c r="E21" s="66">
        <f t="shared" si="0"/>
        <v>56358.054098000008</v>
      </c>
      <c r="G21" s="44">
        <v>4</v>
      </c>
      <c r="H21" s="69">
        <f>+'Current HONI rates'!$F$12</f>
        <v>504.41</v>
      </c>
      <c r="I21" s="66">
        <f t="shared" si="1"/>
        <v>2017.64</v>
      </c>
      <c r="K21" s="70">
        <f t="shared" si="2"/>
        <v>58375.694098000007</v>
      </c>
    </row>
    <row r="22" spans="2:11" x14ac:dyDescent="0.25">
      <c r="B22" s="52"/>
      <c r="C22" s="64"/>
      <c r="D22" s="65"/>
      <c r="E22" s="66"/>
      <c r="F22" s="12"/>
      <c r="G22" s="44"/>
      <c r="H22" s="12"/>
      <c r="I22" s="66"/>
      <c r="K22" s="70"/>
    </row>
    <row r="23" spans="2:11" x14ac:dyDescent="0.25">
      <c r="B23" s="72" t="s">
        <v>33</v>
      </c>
      <c r="C23" s="67">
        <f>SUM(C10:C21)</f>
        <v>470052.77</v>
      </c>
      <c r="D23" s="15">
        <f>IF(C23&lt;&gt;0,E23/C23,0)</f>
        <v>1.5178</v>
      </c>
      <c r="E23" s="68">
        <f>SUM(E10:E21)</f>
        <v>713446.09430600004</v>
      </c>
      <c r="F23" s="14"/>
      <c r="G23" s="60">
        <f>SUM(G10:G22)</f>
        <v>48</v>
      </c>
      <c r="H23" s="16">
        <f>IF(G23&lt;&gt;0,I23/G23,0)</f>
        <v>504.40999999999991</v>
      </c>
      <c r="I23" s="68">
        <f>SUM(I10:I21)</f>
        <v>24211.679999999997</v>
      </c>
      <c r="J23" s="14"/>
      <c r="K23" s="71">
        <f>SUM(K10:K21)</f>
        <v>737657.77430599998</v>
      </c>
    </row>
  </sheetData>
  <mergeCells count="2">
    <mergeCell ref="C7:E7"/>
    <mergeCell ref="G7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K24"/>
  <sheetViews>
    <sheetView showGridLines="0" workbookViewId="0">
      <selection activeCell="D11" sqref="D11"/>
    </sheetView>
  </sheetViews>
  <sheetFormatPr defaultRowHeight="15" x14ac:dyDescent="0.25"/>
  <cols>
    <col min="2" max="5" width="11.7109375" customWidth="1"/>
    <col min="6" max="6" width="1" customWidth="1"/>
    <col min="7" max="9" width="11.7109375" customWidth="1"/>
    <col min="10" max="10" width="0.42578125" customWidth="1"/>
    <col min="11" max="11" width="11.7109375" customWidth="1"/>
  </cols>
  <sheetData>
    <row r="5" spans="2:11" x14ac:dyDescent="0.25">
      <c r="B5" t="s">
        <v>38</v>
      </c>
      <c r="C5" t="s">
        <v>38</v>
      </c>
    </row>
    <row r="7" spans="2:11" x14ac:dyDescent="0.25">
      <c r="B7" s="104"/>
      <c r="C7" s="121" t="s">
        <v>41</v>
      </c>
      <c r="D7" s="122"/>
      <c r="E7" s="123"/>
      <c r="F7" s="105"/>
      <c r="G7" s="121" t="s">
        <v>42</v>
      </c>
      <c r="H7" s="122"/>
      <c r="I7" s="123"/>
      <c r="J7" s="105"/>
      <c r="K7" s="106"/>
    </row>
    <row r="8" spans="2:11" x14ac:dyDescent="0.25">
      <c r="B8" s="96" t="s">
        <v>18</v>
      </c>
      <c r="C8" s="107" t="s">
        <v>19</v>
      </c>
      <c r="D8" s="108" t="s">
        <v>3</v>
      </c>
      <c r="E8" s="98" t="s">
        <v>20</v>
      </c>
      <c r="F8" s="109"/>
      <c r="G8" s="107" t="s">
        <v>19</v>
      </c>
      <c r="H8" s="108" t="s">
        <v>3</v>
      </c>
      <c r="I8" s="98" t="s">
        <v>20</v>
      </c>
      <c r="J8" s="109"/>
      <c r="K8" s="110" t="s">
        <v>20</v>
      </c>
    </row>
    <row r="9" spans="2:11" x14ac:dyDescent="0.25">
      <c r="B9" s="52"/>
      <c r="C9" s="45"/>
      <c r="D9" s="12"/>
      <c r="E9" s="21"/>
      <c r="G9" s="44"/>
      <c r="H9" s="12"/>
      <c r="I9" s="21"/>
      <c r="K9" s="52"/>
    </row>
    <row r="10" spans="2:11" x14ac:dyDescent="0.25">
      <c r="B10" s="52" t="s">
        <v>21</v>
      </c>
      <c r="C10" s="64">
        <f>+'Historical 2016'!C10</f>
        <v>36808.519999999997</v>
      </c>
      <c r="D10" s="65">
        <f>+'Current HONI rates'!$G$17</f>
        <v>1.5178</v>
      </c>
      <c r="E10" s="66">
        <f>+D10*C10</f>
        <v>55867.971655999994</v>
      </c>
      <c r="G10" s="44">
        <f>+'Historical 2016'!G10</f>
        <v>4</v>
      </c>
      <c r="H10" s="69">
        <f>+'Current HONI rates'!$G$12</f>
        <v>504.41</v>
      </c>
      <c r="I10" s="66">
        <f>+H10*G10</f>
        <v>2017.64</v>
      </c>
      <c r="K10" s="70">
        <f>+I10+E10</f>
        <v>57885.611655999994</v>
      </c>
    </row>
    <row r="11" spans="2:11" x14ac:dyDescent="0.25">
      <c r="B11" s="52" t="s">
        <v>22</v>
      </c>
      <c r="C11" s="64">
        <f>+'Historical 2016'!C11</f>
        <v>35863.11</v>
      </c>
      <c r="D11" s="65">
        <f>+'Current HONI rates'!$G$17</f>
        <v>1.5178</v>
      </c>
      <c r="E11" s="66">
        <f t="shared" ref="E11:E21" si="0">+D11*C11</f>
        <v>54433.028358000003</v>
      </c>
      <c r="G11" s="44">
        <f>+'Historical 2016'!G11</f>
        <v>4</v>
      </c>
      <c r="H11" s="69">
        <f>+'Current HONI rates'!$G$12</f>
        <v>504.41</v>
      </c>
      <c r="I11" s="66">
        <f t="shared" ref="I11:I21" si="1">+H11*G11</f>
        <v>2017.64</v>
      </c>
      <c r="K11" s="70">
        <f t="shared" ref="K11:K21" si="2">+I11+E11</f>
        <v>56450.668358000003</v>
      </c>
    </row>
    <row r="12" spans="2:11" x14ac:dyDescent="0.25">
      <c r="B12" s="52" t="s">
        <v>23</v>
      </c>
      <c r="C12" s="64">
        <f>+'Historical 2016'!C12</f>
        <v>33343.629999999997</v>
      </c>
      <c r="D12" s="65">
        <f>+'Current HONI rates'!$G$17</f>
        <v>1.5178</v>
      </c>
      <c r="E12" s="66">
        <f t="shared" si="0"/>
        <v>50608.961614</v>
      </c>
      <c r="G12" s="44">
        <f>+'Historical 2016'!G12</f>
        <v>4</v>
      </c>
      <c r="H12" s="69">
        <f>+'Current HONI rates'!$G$12</f>
        <v>504.41</v>
      </c>
      <c r="I12" s="66">
        <f t="shared" si="1"/>
        <v>2017.64</v>
      </c>
      <c r="K12" s="70">
        <f t="shared" si="2"/>
        <v>52626.601613999999</v>
      </c>
    </row>
    <row r="13" spans="2:11" x14ac:dyDescent="0.25">
      <c r="B13" s="52" t="s">
        <v>24</v>
      </c>
      <c r="C13" s="64">
        <f>+'Historical 2016'!C13</f>
        <v>32507.18</v>
      </c>
      <c r="D13" s="65">
        <f>+'Current HONI rates'!$G$17</f>
        <v>1.5178</v>
      </c>
      <c r="E13" s="66">
        <f t="shared" si="0"/>
        <v>49339.397804</v>
      </c>
      <c r="G13" s="44">
        <f>+'Historical 2016'!G13</f>
        <v>4</v>
      </c>
      <c r="H13" s="69">
        <f>+'Current HONI rates'!$G$12</f>
        <v>504.41</v>
      </c>
      <c r="I13" s="66">
        <f t="shared" si="1"/>
        <v>2017.64</v>
      </c>
      <c r="K13" s="70">
        <f t="shared" si="2"/>
        <v>51357.037804</v>
      </c>
    </row>
    <row r="14" spans="2:11" x14ac:dyDescent="0.25">
      <c r="B14" s="52" t="s">
        <v>25</v>
      </c>
      <c r="C14" s="64">
        <f>+'Historical 2016'!C14</f>
        <v>41471.730000000003</v>
      </c>
      <c r="D14" s="65">
        <f>+'Current HONI rates'!$G$17</f>
        <v>1.5178</v>
      </c>
      <c r="E14" s="66">
        <f t="shared" si="0"/>
        <v>62945.791794000004</v>
      </c>
      <c r="G14" s="44">
        <f>+'Historical 2016'!G14</f>
        <v>4</v>
      </c>
      <c r="H14" s="69">
        <f>+'Current HONI rates'!$G$12</f>
        <v>504.41</v>
      </c>
      <c r="I14" s="66">
        <f t="shared" si="1"/>
        <v>2017.64</v>
      </c>
      <c r="K14" s="70">
        <f t="shared" si="2"/>
        <v>64963.431794000004</v>
      </c>
    </row>
    <row r="15" spans="2:11" x14ac:dyDescent="0.25">
      <c r="B15" s="52" t="s">
        <v>26</v>
      </c>
      <c r="C15" s="64">
        <f>+'Historical 2016'!C15</f>
        <v>45511.1</v>
      </c>
      <c r="D15" s="65">
        <f>+'Current HONI rates'!$G$17</f>
        <v>1.5178</v>
      </c>
      <c r="E15" s="66">
        <f t="shared" si="0"/>
        <v>69076.747579999996</v>
      </c>
      <c r="G15" s="44">
        <f>+'Historical 2016'!G15</f>
        <v>4</v>
      </c>
      <c r="H15" s="69">
        <f>+'Current HONI rates'!$G$12</f>
        <v>504.41</v>
      </c>
      <c r="I15" s="66">
        <f t="shared" si="1"/>
        <v>2017.64</v>
      </c>
      <c r="K15" s="70">
        <f t="shared" si="2"/>
        <v>71094.387579999995</v>
      </c>
    </row>
    <row r="16" spans="2:11" x14ac:dyDescent="0.25">
      <c r="B16" s="52" t="s">
        <v>27</v>
      </c>
      <c r="C16" s="64">
        <f>+'Historical 2016'!C16</f>
        <v>48222.85</v>
      </c>
      <c r="D16" s="65">
        <f>+'Current HONI rates'!$G$17</f>
        <v>1.5178</v>
      </c>
      <c r="E16" s="66">
        <f t="shared" si="0"/>
        <v>73192.641730000003</v>
      </c>
      <c r="G16" s="44">
        <f>+'Historical 2016'!G16</f>
        <v>4</v>
      </c>
      <c r="H16" s="69">
        <f>+'Current HONI rates'!$G$12</f>
        <v>504.41</v>
      </c>
      <c r="I16" s="66">
        <f t="shared" si="1"/>
        <v>2017.64</v>
      </c>
      <c r="K16" s="70">
        <f t="shared" si="2"/>
        <v>75210.281730000002</v>
      </c>
    </row>
    <row r="17" spans="2:11" x14ac:dyDescent="0.25">
      <c r="B17" s="52" t="s">
        <v>28</v>
      </c>
      <c r="C17" s="64">
        <f>+'Historical 2016'!C17</f>
        <v>48810.96</v>
      </c>
      <c r="D17" s="65">
        <f>+'Current HONI rates'!$G$17</f>
        <v>1.5178</v>
      </c>
      <c r="E17" s="66">
        <f t="shared" si="0"/>
        <v>74085.275087999995</v>
      </c>
      <c r="G17" s="44">
        <f>+'Historical 2016'!G17</f>
        <v>4</v>
      </c>
      <c r="H17" s="69">
        <f>+'Current HONI rates'!$G$12</f>
        <v>504.41</v>
      </c>
      <c r="I17" s="66">
        <f t="shared" si="1"/>
        <v>2017.64</v>
      </c>
      <c r="K17" s="70">
        <f t="shared" si="2"/>
        <v>76102.915087999994</v>
      </c>
    </row>
    <row r="18" spans="2:11" x14ac:dyDescent="0.25">
      <c r="B18" s="52" t="s">
        <v>29</v>
      </c>
      <c r="C18" s="64">
        <f>+'Historical 2016'!C18</f>
        <v>40896.019999999997</v>
      </c>
      <c r="D18" s="65">
        <f>+'Current HONI rates'!$G$17</f>
        <v>1.5178</v>
      </c>
      <c r="E18" s="66">
        <f t="shared" si="0"/>
        <v>62071.979155999994</v>
      </c>
      <c r="G18" s="44">
        <f>+'Historical 2016'!G18</f>
        <v>4</v>
      </c>
      <c r="H18" s="69">
        <f>+'Current HONI rates'!$G$12</f>
        <v>504.41</v>
      </c>
      <c r="I18" s="66">
        <f t="shared" si="1"/>
        <v>2017.64</v>
      </c>
      <c r="K18" s="70">
        <f t="shared" si="2"/>
        <v>64089.619155999993</v>
      </c>
    </row>
    <row r="19" spans="2:11" x14ac:dyDescent="0.25">
      <c r="B19" s="52" t="s">
        <v>30</v>
      </c>
      <c r="C19" s="64">
        <f>+'Historical 2016'!C19</f>
        <v>33858.86</v>
      </c>
      <c r="D19" s="65">
        <f>+'Current HONI rates'!$G$17</f>
        <v>1.5178</v>
      </c>
      <c r="E19" s="66">
        <f t="shared" si="0"/>
        <v>51390.977708000006</v>
      </c>
      <c r="G19" s="44">
        <f>+'Historical 2016'!G19</f>
        <v>4</v>
      </c>
      <c r="H19" s="69">
        <f>+'Current HONI rates'!$G$12</f>
        <v>504.41</v>
      </c>
      <c r="I19" s="66">
        <f t="shared" si="1"/>
        <v>2017.64</v>
      </c>
      <c r="K19" s="70">
        <f t="shared" si="2"/>
        <v>53408.617708000005</v>
      </c>
    </row>
    <row r="20" spans="2:11" x14ac:dyDescent="0.25">
      <c r="B20" s="52" t="s">
        <v>31</v>
      </c>
      <c r="C20" s="64">
        <f>+'Historical 2016'!C20</f>
        <v>35627.4</v>
      </c>
      <c r="D20" s="65">
        <f>+'Current HONI rates'!$G$17</f>
        <v>1.5178</v>
      </c>
      <c r="E20" s="66">
        <f t="shared" si="0"/>
        <v>54075.267720000003</v>
      </c>
      <c r="G20" s="44">
        <f>+'Historical 2016'!G20</f>
        <v>4</v>
      </c>
      <c r="H20" s="69">
        <f>+'Current HONI rates'!$G$12</f>
        <v>504.41</v>
      </c>
      <c r="I20" s="66">
        <f t="shared" si="1"/>
        <v>2017.64</v>
      </c>
      <c r="K20" s="70">
        <f t="shared" si="2"/>
        <v>56092.907720000003</v>
      </c>
    </row>
    <row r="21" spans="2:11" x14ac:dyDescent="0.25">
      <c r="B21" s="52" t="s">
        <v>32</v>
      </c>
      <c r="C21" s="64">
        <f>+'Historical 2016'!C21</f>
        <v>37131.410000000003</v>
      </c>
      <c r="D21" s="65">
        <f>+'Current HONI rates'!$G$17</f>
        <v>1.5178</v>
      </c>
      <c r="E21" s="66">
        <f t="shared" si="0"/>
        <v>56358.054098000008</v>
      </c>
      <c r="G21" s="44">
        <f>+'Historical 2016'!G21</f>
        <v>4</v>
      </c>
      <c r="H21" s="69">
        <f>+'Current HONI rates'!$G$12</f>
        <v>504.41</v>
      </c>
      <c r="I21" s="66">
        <f t="shared" si="1"/>
        <v>2017.64</v>
      </c>
      <c r="K21" s="70">
        <f t="shared" si="2"/>
        <v>58375.694098000007</v>
      </c>
    </row>
    <row r="22" spans="2:11" x14ac:dyDescent="0.25">
      <c r="B22" s="52"/>
      <c r="C22" s="64"/>
      <c r="D22" s="65"/>
      <c r="E22" s="66"/>
      <c r="F22" s="12"/>
      <c r="G22" s="44"/>
      <c r="H22" s="12"/>
      <c r="I22" s="66"/>
      <c r="K22" s="70"/>
    </row>
    <row r="23" spans="2:11" x14ac:dyDescent="0.25">
      <c r="B23" s="72" t="s">
        <v>33</v>
      </c>
      <c r="C23" s="67">
        <f>SUM(C10:C21)</f>
        <v>470052.77</v>
      </c>
      <c r="D23" s="15">
        <f>IF(C23&lt;&gt;0,E23/C23,0)</f>
        <v>1.5178</v>
      </c>
      <c r="E23" s="68">
        <f>SUM(E10:E21)</f>
        <v>713446.09430600004</v>
      </c>
      <c r="F23" s="14"/>
      <c r="G23" s="60">
        <f>SUM(G10:G22)</f>
        <v>48</v>
      </c>
      <c r="H23" s="16">
        <f>IF(G23&lt;&gt;0,I23/G23,0)</f>
        <v>504.40999999999991</v>
      </c>
      <c r="I23" s="68">
        <f>SUM(I10:I21)</f>
        <v>24211.679999999997</v>
      </c>
      <c r="J23" s="14"/>
      <c r="K23" s="71">
        <f>SUM(K10:K21)</f>
        <v>737657.77430599998</v>
      </c>
    </row>
    <row r="24" spans="2:11" x14ac:dyDescent="0.25">
      <c r="G24" s="12"/>
    </row>
  </sheetData>
  <mergeCells count="2">
    <mergeCell ref="C7:E7"/>
    <mergeCell ref="G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7"/>
  <sheetViews>
    <sheetView showGridLines="0" workbookViewId="0">
      <selection activeCell="K25" sqref="K25"/>
    </sheetView>
  </sheetViews>
  <sheetFormatPr defaultRowHeight="15" x14ac:dyDescent="0.25"/>
  <cols>
    <col min="2" max="2" width="19.42578125" customWidth="1"/>
    <col min="3" max="3" width="6.42578125" bestFit="1" customWidth="1"/>
    <col min="4" max="4" width="14.7109375" customWidth="1"/>
    <col min="5" max="5" width="11.140625" bestFit="1" customWidth="1"/>
    <col min="6" max="6" width="8" bestFit="1" customWidth="1"/>
    <col min="7" max="7" width="13.42578125" bestFit="1" customWidth="1"/>
    <col min="8" max="9" width="9.85546875" bestFit="1" customWidth="1"/>
    <col min="10" max="10" width="12.5703125" bestFit="1" customWidth="1"/>
    <col min="11" max="11" width="12" bestFit="1" customWidth="1"/>
    <col min="13" max="13" width="12" bestFit="1" customWidth="1"/>
  </cols>
  <sheetData>
    <row r="2" spans="2:13" ht="15.75" thickBot="1" x14ac:dyDescent="0.3"/>
    <row r="3" spans="2:13" x14ac:dyDescent="0.25">
      <c r="B3" s="124" t="s">
        <v>56</v>
      </c>
      <c r="C3" s="125"/>
      <c r="D3" s="125"/>
      <c r="E3" s="125"/>
      <c r="F3" s="125"/>
      <c r="G3" s="125"/>
      <c r="H3" s="125"/>
      <c r="I3" s="125"/>
      <c r="J3" s="125"/>
      <c r="K3" s="126"/>
    </row>
    <row r="4" spans="2:13" ht="63" x14ac:dyDescent="0.25">
      <c r="B4" s="111" t="s">
        <v>0</v>
      </c>
      <c r="C4" s="112" t="s">
        <v>2</v>
      </c>
      <c r="D4" s="113" t="s">
        <v>45</v>
      </c>
      <c r="E4" s="87" t="s">
        <v>4</v>
      </c>
      <c r="F4" s="114" t="s">
        <v>34</v>
      </c>
      <c r="G4" s="114" t="s">
        <v>48</v>
      </c>
      <c r="H4" s="114" t="s">
        <v>35</v>
      </c>
      <c r="I4" s="115" t="s">
        <v>36</v>
      </c>
      <c r="J4" s="114" t="s">
        <v>37</v>
      </c>
      <c r="K4" s="116" t="s">
        <v>58</v>
      </c>
    </row>
    <row r="5" spans="2:13" x14ac:dyDescent="0.25">
      <c r="B5" s="73"/>
      <c r="C5" s="74"/>
      <c r="D5" s="74"/>
      <c r="E5" s="74"/>
      <c r="F5" s="74"/>
      <c r="G5" s="74"/>
      <c r="H5" s="5"/>
      <c r="I5" s="75"/>
      <c r="J5" s="5"/>
      <c r="K5" s="76"/>
    </row>
    <row r="6" spans="2:13" x14ac:dyDescent="0.25">
      <c r="B6" s="73" t="s">
        <v>54</v>
      </c>
      <c r="C6" s="74" t="s">
        <v>9</v>
      </c>
      <c r="D6" s="77">
        <f>+'Current WH rates'!D5</f>
        <v>1E-4</v>
      </c>
      <c r="E6" s="5">
        <f>+'Current WH rates'!E5</f>
        <v>367928950</v>
      </c>
      <c r="F6" s="5" t="s">
        <v>38</v>
      </c>
      <c r="G6" s="5"/>
      <c r="H6" s="5">
        <f>IF(ISERROR(D6*E6), 0, ROUND(D6*E6, 2))</f>
        <v>36792.9</v>
      </c>
      <c r="I6" s="75">
        <f>(+H6+H7)/$H$13</f>
        <v>0.40097170628729167</v>
      </c>
      <c r="J6" s="5">
        <f>(+I6)*'Current 2017'!$K$23+27</f>
        <v>295806.89641956269</v>
      </c>
      <c r="K6" s="76">
        <f>IF(ISERROR(J6/E6), 0, J6/E6)</f>
        <v>8.0397831271380711E-4</v>
      </c>
      <c r="M6" s="117"/>
    </row>
    <row r="7" spans="2:13" x14ac:dyDescent="0.25">
      <c r="B7" s="73" t="s">
        <v>55</v>
      </c>
      <c r="C7" s="74" t="s">
        <v>39</v>
      </c>
      <c r="D7" s="77">
        <f>+'Current WH rates'!D6</f>
        <v>0.12</v>
      </c>
      <c r="E7" s="5"/>
      <c r="F7" s="5" t="s">
        <v>38</v>
      </c>
      <c r="G7" s="5">
        <v>39588</v>
      </c>
      <c r="H7" s="5">
        <f>+G7*D7*12</f>
        <v>57006.719999999994</v>
      </c>
      <c r="I7" s="75" t="s">
        <v>38</v>
      </c>
      <c r="J7" s="5"/>
      <c r="K7" s="76"/>
      <c r="M7" s="117"/>
    </row>
    <row r="8" spans="2:13" x14ac:dyDescent="0.25">
      <c r="B8" s="73" t="s">
        <v>50</v>
      </c>
      <c r="C8" s="74" t="s">
        <v>9</v>
      </c>
      <c r="D8" s="77">
        <f>+'Current WH rates'!D7</f>
        <v>2.9999999999999997E-4</v>
      </c>
      <c r="E8" s="5">
        <f>+'Current WH rates'!E7</f>
        <v>88118790</v>
      </c>
      <c r="F8" s="5" t="s">
        <v>38</v>
      </c>
      <c r="G8" s="5"/>
      <c r="H8" s="5">
        <f>IF(ISERROR(D8*E8), 0, ROUND(D8*E8, 2))</f>
        <v>26435.64</v>
      </c>
      <c r="I8" s="75">
        <f>H8/$H$13</f>
        <v>0.11300625394427589</v>
      </c>
      <c r="J8" s="5">
        <f>+I8*'Current 2017'!$K$23</f>
        <v>83359.941767193188</v>
      </c>
      <c r="K8" s="76">
        <f>IF(ISERROR(J8/E8), 0, J8/E8)</f>
        <v>9.4599507967816157E-4</v>
      </c>
      <c r="M8" s="117"/>
    </row>
    <row r="9" spans="2:13" x14ac:dyDescent="0.25">
      <c r="B9" s="73" t="s">
        <v>49</v>
      </c>
      <c r="C9" s="74" t="s">
        <v>12</v>
      </c>
      <c r="D9" s="77">
        <f>+'Current WH rates'!D8</f>
        <v>0.1164</v>
      </c>
      <c r="E9" s="5"/>
      <c r="F9" s="5">
        <f>+'Current WH rates'!F8</f>
        <v>959662</v>
      </c>
      <c r="G9" s="5"/>
      <c r="H9" s="5">
        <f>IF(ISERROR(D9*F9), 0, ROUND(D9*F9, 2))</f>
        <v>111704.66</v>
      </c>
      <c r="I9" s="75">
        <f>H9/$H$13</f>
        <v>0.47751161593662944</v>
      </c>
      <c r="J9" s="5">
        <f>+I9*'Current 2017'!$K$23</f>
        <v>352240.15581707552</v>
      </c>
      <c r="K9" s="76">
        <f>IF(ISERROR(J9/F9), 0, J9/F9)</f>
        <v>0.36704605977633326</v>
      </c>
      <c r="M9" s="117"/>
    </row>
    <row r="10" spans="2:13" x14ac:dyDescent="0.25">
      <c r="B10" s="73" t="s">
        <v>51</v>
      </c>
      <c r="C10" s="74" t="s">
        <v>9</v>
      </c>
      <c r="D10" s="77">
        <f>+'Current WH rates'!D9</f>
        <v>2.9999999999999997E-4</v>
      </c>
      <c r="E10" s="5">
        <f>+'Current WH rates'!E9</f>
        <v>1759728</v>
      </c>
      <c r="F10" s="5" t="s">
        <v>38</v>
      </c>
      <c r="G10" s="5"/>
      <c r="H10" s="5">
        <f>IF(ISERROR(D10*E10), 0, ROUND(D10*E10, 2))</f>
        <v>527.91999999999996</v>
      </c>
      <c r="I10" s="75">
        <f>H10/$H$13</f>
        <v>2.2567360420350001E-3</v>
      </c>
      <c r="J10" s="5">
        <f>+I10*'Current 2017'!$K$23</f>
        <v>1664.6988859636699</v>
      </c>
      <c r="K10" s="76">
        <f>IF(ISERROR(J10/E10), 0, J10/E10)</f>
        <v>9.4599783941817707E-4</v>
      </c>
      <c r="M10" s="117"/>
    </row>
    <row r="11" spans="2:13" x14ac:dyDescent="0.25">
      <c r="B11" s="73" t="s">
        <v>52</v>
      </c>
      <c r="C11" s="74" t="s">
        <v>12</v>
      </c>
      <c r="D11" s="77">
        <f>+'Current WH rates'!D10</f>
        <v>9.1899999999999996E-2</v>
      </c>
      <c r="E11" s="5"/>
      <c r="F11" s="5">
        <f>+'Current WH rates'!F10</f>
        <v>92</v>
      </c>
      <c r="G11" s="5"/>
      <c r="H11" s="5">
        <f>IF(ISERROR(D11*F11), 0, ROUND(D11*F11, 2))</f>
        <v>8.4499999999999993</v>
      </c>
      <c r="I11" s="75">
        <f>H11/$H$13</f>
        <v>3.6121797914827528E-5</v>
      </c>
      <c r="J11" s="5">
        <v>0</v>
      </c>
      <c r="K11" s="76">
        <f>IF(ISERROR(J11/F11), 0, J11/F11)</f>
        <v>0</v>
      </c>
      <c r="M11" s="117"/>
    </row>
    <row r="12" spans="2:13" x14ac:dyDescent="0.25">
      <c r="B12" s="73" t="s">
        <v>53</v>
      </c>
      <c r="C12" s="74" t="s">
        <v>12</v>
      </c>
      <c r="D12" s="77">
        <f>+'Current WH rates'!D11</f>
        <v>9.01E-2</v>
      </c>
      <c r="E12" s="5"/>
      <c r="F12" s="5">
        <f>+'Current WH rates'!F11</f>
        <v>16143</v>
      </c>
      <c r="G12" s="5"/>
      <c r="H12" s="5">
        <f>IF(ISERROR(D12*F12), 0, ROUND(D12*F12, 2))</f>
        <v>1454.48</v>
      </c>
      <c r="I12" s="75">
        <f>H12/$H$13</f>
        <v>6.2175659918530593E-3</v>
      </c>
      <c r="J12" s="5">
        <f>+I12*'Current 2017'!$K$23</f>
        <v>4586.4358911510053</v>
      </c>
      <c r="K12" s="76">
        <f>IF(ISERROR(J12/F12), 0, J12/F12)</f>
        <v>0.28411298340773122</v>
      </c>
      <c r="M12" s="117"/>
    </row>
    <row r="13" spans="2:13" ht="15.75" thickBot="1" x14ac:dyDescent="0.3">
      <c r="B13" s="78"/>
      <c r="C13" s="79"/>
      <c r="D13" s="79"/>
      <c r="E13" s="79"/>
      <c r="F13" s="79"/>
      <c r="G13" s="79"/>
      <c r="H13" s="80">
        <f>SUM(H6:H12)</f>
        <v>233930.77000000002</v>
      </c>
      <c r="I13" s="79"/>
      <c r="J13" s="80">
        <f>SUM(J6:J12)</f>
        <v>737658.12878094602</v>
      </c>
      <c r="K13" s="81"/>
    </row>
    <row r="14" spans="2:13" x14ac:dyDescent="0.25">
      <c r="B14" s="1"/>
      <c r="C14" s="3"/>
      <c r="D14" s="3"/>
      <c r="E14" s="3"/>
      <c r="F14" s="3"/>
      <c r="G14" s="3"/>
      <c r="H14" s="5"/>
      <c r="I14" s="3"/>
      <c r="J14" s="3"/>
      <c r="K14" s="3"/>
    </row>
    <row r="15" spans="2:13" x14ac:dyDescent="0.25">
      <c r="B15" s="1"/>
      <c r="C15" s="3"/>
      <c r="D15" s="3"/>
      <c r="E15" s="3"/>
      <c r="F15" s="3"/>
      <c r="G15" s="3"/>
      <c r="H15" s="5"/>
      <c r="I15" s="3"/>
      <c r="J15" s="3"/>
      <c r="K15" s="3"/>
    </row>
    <row r="16" spans="2:13" ht="15.75" thickBot="1" x14ac:dyDescent="0.3">
      <c r="B16" s="1"/>
      <c r="C16" s="3"/>
      <c r="D16" s="3"/>
      <c r="E16" s="3"/>
      <c r="F16" s="3"/>
      <c r="G16" s="3"/>
      <c r="H16" s="5"/>
      <c r="I16" s="3"/>
      <c r="J16" s="3"/>
      <c r="K16" s="3"/>
    </row>
    <row r="17" spans="2:13" x14ac:dyDescent="0.25">
      <c r="B17" s="124" t="s">
        <v>57</v>
      </c>
      <c r="C17" s="127"/>
      <c r="D17" s="127"/>
      <c r="E17" s="127"/>
      <c r="F17" s="127"/>
      <c r="G17" s="127"/>
      <c r="H17" s="127"/>
      <c r="I17" s="127"/>
      <c r="J17" s="127"/>
      <c r="K17" s="128"/>
    </row>
    <row r="18" spans="2:13" ht="63" x14ac:dyDescent="0.25">
      <c r="B18" s="111" t="s">
        <v>0</v>
      </c>
      <c r="C18" s="112" t="s">
        <v>2</v>
      </c>
      <c r="D18" s="113" t="s">
        <v>46</v>
      </c>
      <c r="E18" s="87" t="s">
        <v>4</v>
      </c>
      <c r="F18" s="114" t="s">
        <v>34</v>
      </c>
      <c r="G18" s="114"/>
      <c r="H18" s="114" t="s">
        <v>35</v>
      </c>
      <c r="I18" s="115" t="s">
        <v>36</v>
      </c>
      <c r="J18" s="114" t="s">
        <v>37</v>
      </c>
      <c r="K18" s="116" t="s">
        <v>59</v>
      </c>
    </row>
    <row r="19" spans="2:13" x14ac:dyDescent="0.25">
      <c r="B19" s="73"/>
      <c r="C19" s="74"/>
      <c r="D19" s="74"/>
      <c r="E19" s="74"/>
      <c r="F19" s="74"/>
      <c r="G19" s="74"/>
      <c r="H19" s="74"/>
      <c r="I19" s="74"/>
      <c r="J19" s="74"/>
      <c r="K19" s="82"/>
    </row>
    <row r="20" spans="2:13" x14ac:dyDescent="0.25">
      <c r="B20" s="73" t="s">
        <v>55</v>
      </c>
      <c r="C20" s="74" t="s">
        <v>9</v>
      </c>
      <c r="D20" s="77">
        <f>+K6</f>
        <v>8.0397831271380711E-4</v>
      </c>
      <c r="E20" s="5">
        <f>+E6</f>
        <v>367928950</v>
      </c>
      <c r="F20" s="5" t="s">
        <v>38</v>
      </c>
      <c r="G20" s="5"/>
      <c r="H20" s="5">
        <f>IF(ISERROR(D20*E20), 0, ROUND(D20*E20, 2))</f>
        <v>295806.90000000002</v>
      </c>
      <c r="I20" s="75">
        <f t="shared" ref="I20:I25" si="0">H20/$H$26</f>
        <v>0.40100811468033154</v>
      </c>
      <c r="J20" s="5">
        <f>I20*'Forecast 2018'!$K$23</f>
        <v>295806.75335373858</v>
      </c>
      <c r="K20" s="83">
        <f>IF(ISERROR(J20/E20), 0, J20/E20)</f>
        <v>8.0397792387290688E-4</v>
      </c>
      <c r="M20" s="4"/>
    </row>
    <row r="21" spans="2:13" x14ac:dyDescent="0.25">
      <c r="B21" s="73" t="s">
        <v>50</v>
      </c>
      <c r="C21" s="74" t="s">
        <v>9</v>
      </c>
      <c r="D21" s="77">
        <f t="shared" ref="D21:D25" si="1">+K8</f>
        <v>9.4599507967816157E-4</v>
      </c>
      <c r="E21" s="5">
        <f>+E8</f>
        <v>88118790</v>
      </c>
      <c r="F21" s="5" t="s">
        <v>38</v>
      </c>
      <c r="G21" s="5"/>
      <c r="H21" s="5">
        <f>IF(ISERROR(D21*E21), 0, ROUND(D21*E21, 2))</f>
        <v>83359.94</v>
      </c>
      <c r="I21" s="75">
        <f t="shared" si="0"/>
        <v>0.11300619552574857</v>
      </c>
      <c r="J21" s="5">
        <f>I21*'Forecast 2018'!$K$23</f>
        <v>83359.898674312339</v>
      </c>
      <c r="K21" s="83">
        <f>IF(ISERROR(J21/E21), 0, J21/E21)</f>
        <v>9.4599459064647099E-4</v>
      </c>
      <c r="M21" s="4"/>
    </row>
    <row r="22" spans="2:13" x14ac:dyDescent="0.25">
      <c r="B22" s="73" t="s">
        <v>49</v>
      </c>
      <c r="C22" s="74" t="s">
        <v>12</v>
      </c>
      <c r="D22" s="77">
        <f t="shared" si="1"/>
        <v>0.36704605977633326</v>
      </c>
      <c r="E22" s="5"/>
      <c r="F22" s="5">
        <f>+F9</f>
        <v>959662</v>
      </c>
      <c r="G22" s="5"/>
      <c r="H22" s="5">
        <f>IF(ISERROR(D22*F22), 0, ROUND(D22*F22, 2))</f>
        <v>352240.16</v>
      </c>
      <c r="I22" s="75">
        <f t="shared" si="0"/>
        <v>0.47751138488080674</v>
      </c>
      <c r="J22" s="5">
        <f>I22*'Forecast 2018'!$K$23</f>
        <v>352239.98537695163</v>
      </c>
      <c r="K22" s="83">
        <f>IF(ISERROR(J22/F22), 0, J22/F22)</f>
        <v>0.36704588217200601</v>
      </c>
      <c r="M22" s="4"/>
    </row>
    <row r="23" spans="2:13" x14ac:dyDescent="0.25">
      <c r="B23" s="73" t="s">
        <v>51</v>
      </c>
      <c r="C23" s="74" t="s">
        <v>9</v>
      </c>
      <c r="D23" s="77">
        <f t="shared" si="1"/>
        <v>9.4599783941817707E-4</v>
      </c>
      <c r="E23" s="5">
        <f>+E10</f>
        <v>1759728</v>
      </c>
      <c r="F23" s="5" t="s">
        <v>38</v>
      </c>
      <c r="G23" s="5"/>
      <c r="H23" s="5">
        <f>IF(ISERROR(D23*E23), 0, ROUND(D23*E23, 2))</f>
        <v>1664.7</v>
      </c>
      <c r="I23" s="75">
        <f t="shared" si="0"/>
        <v>2.2567364334920782E-3</v>
      </c>
      <c r="J23" s="5">
        <f>I23*'Forecast 2018'!$K$23</f>
        <v>1664.6991747250268</v>
      </c>
      <c r="K23" s="83">
        <f>IF(ISERROR(J23/E23), 0, J23/E23)</f>
        <v>9.4599800351248986E-4</v>
      </c>
      <c r="M23" s="4"/>
    </row>
    <row r="24" spans="2:13" x14ac:dyDescent="0.25">
      <c r="B24" s="73" t="s">
        <v>52</v>
      </c>
      <c r="C24" s="74" t="s">
        <v>12</v>
      </c>
      <c r="D24" s="77">
        <f t="shared" si="1"/>
        <v>0</v>
      </c>
      <c r="E24" s="5"/>
      <c r="F24" s="5">
        <f>+F11</f>
        <v>92</v>
      </c>
      <c r="G24" s="5"/>
      <c r="H24" s="5">
        <f>IF(ISERROR(D24*F24), 0, ROUND(D24*F24, 2))</f>
        <v>0</v>
      </c>
      <c r="I24" s="75">
        <f t="shared" si="0"/>
        <v>0</v>
      </c>
      <c r="J24" s="5">
        <f>I24*'Forecast 2018'!$K$23</f>
        <v>0</v>
      </c>
      <c r="K24" s="83">
        <f>IF(ISERROR(J24/F24), 0, J24/F24)</f>
        <v>0</v>
      </c>
      <c r="M24" s="4"/>
    </row>
    <row r="25" spans="2:13" x14ac:dyDescent="0.25">
      <c r="B25" s="73" t="s">
        <v>53</v>
      </c>
      <c r="C25" s="74" t="s">
        <v>12</v>
      </c>
      <c r="D25" s="77">
        <f t="shared" si="1"/>
        <v>0.28411298340773122</v>
      </c>
      <c r="E25" s="5"/>
      <c r="F25" s="5">
        <f>+F12</f>
        <v>16143</v>
      </c>
      <c r="G25" s="5"/>
      <c r="H25" s="5">
        <f>IF(ISERROR(D25*F25), 0, ROUND(D25*F25, 2))</f>
        <v>4586.4399999999996</v>
      </c>
      <c r="I25" s="75">
        <f t="shared" si="0"/>
        <v>6.2175684796211975E-3</v>
      </c>
      <c r="J25" s="5">
        <f>I25*'Forecast 2018'!$K$23</f>
        <v>4586.4377262725129</v>
      </c>
      <c r="K25" s="83">
        <f>IF(ISERROR(J25/F25), 0, J25/F25)</f>
        <v>0.28411309708681859</v>
      </c>
      <c r="M25" s="4"/>
    </row>
    <row r="26" spans="2:13" ht="15.75" thickBot="1" x14ac:dyDescent="0.3">
      <c r="B26" s="78"/>
      <c r="C26" s="79"/>
      <c r="D26" s="79"/>
      <c r="E26" s="79"/>
      <c r="F26" s="79"/>
      <c r="G26" s="79"/>
      <c r="H26" s="80">
        <f>SUM(H20:H25)</f>
        <v>737658.1399999999</v>
      </c>
      <c r="I26" s="79"/>
      <c r="J26" s="80">
        <f>SUM(J20:J25)</f>
        <v>737657.77430599998</v>
      </c>
      <c r="K26" s="81"/>
      <c r="M26" s="4"/>
    </row>
    <row r="27" spans="2:13" x14ac:dyDescent="0.25">
      <c r="E27" s="3"/>
      <c r="F27" s="3"/>
      <c r="G27" s="3"/>
      <c r="H27" s="3"/>
      <c r="I27" s="3"/>
      <c r="J27" s="3"/>
      <c r="K27" s="3"/>
      <c r="M27" s="4"/>
    </row>
  </sheetData>
  <mergeCells count="2">
    <mergeCell ref="B3:K3"/>
    <mergeCell ref="B17:K17"/>
  </mergeCells>
  <pageMargins left="0.7" right="0.7" top="0.75" bottom="0.75" header="0.3" footer="0.3"/>
  <pageSetup orientation="portrait" r:id="rId1"/>
  <ignoredErrors>
    <ignoredError sqref="H7 H9:H10 H22:H23 K22:K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Current WH rates</vt:lpstr>
      <vt:lpstr>Current HONI rates</vt:lpstr>
      <vt:lpstr>Historical 2016</vt:lpstr>
      <vt:lpstr>Current 2017</vt:lpstr>
      <vt:lpstr>Forecast 2018</vt:lpstr>
      <vt:lpstr>LV rates to Forecast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Perrin</dc:creator>
  <cp:lastModifiedBy>Cindy Perrin</cp:lastModifiedBy>
  <dcterms:created xsi:type="dcterms:W3CDTF">2017-07-19T16:12:29Z</dcterms:created>
  <dcterms:modified xsi:type="dcterms:W3CDTF">2017-09-05T19:37:26Z</dcterms:modified>
</cp:coreProperties>
</file>