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2.xml" ContentType="application/vnd.openxmlformats-officedocument.spreadsheetml.comments+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BE7F" lockStructure="1"/>
  <bookViews>
    <workbookView xWindow="-135" yWindow="-75" windowWidth="15720" windowHeight="11655" tabRatio="831" firstSheet="19"/>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oric" sheetId="25" r:id="rId7"/>
    <sheet name="H1 Adj. Taxable Income Historic" sheetId="4" r:id="rId8"/>
    <sheet name="H4 Sch 4 Loss Cfwd Hist" sheetId="19" r:id="rId9"/>
    <sheet name="H8 Sch 8 Historical" sheetId="5" r:id="rId10"/>
    <sheet name="H10 Schedule 10 CEC Hist" sheetId="23" r:id="rId11"/>
    <sheet name="H13 Sch 13 Tax Reserves Histori" sheetId="17" r:id="rId12"/>
    <sheet name="B0 PILs,Tax Provision Bridge" sheetId="24" r:id="rId13"/>
    <sheet name="B1 Adj. Taxable Income Bridge" sheetId="18" r:id="rId14"/>
    <sheet name="B4 Sch 4 Loss Cfwd Bridge" sheetId="20" r:id="rId15"/>
    <sheet name="B8 Schedule 8 CCA Bridge Year" sheetId="15" r:id="rId16"/>
    <sheet name="B13 Sch 13 Tax Reserves Bridge" sheetId="8" r:id="rId17"/>
    <sheet name="T0 PILs,Tax Provision " sheetId="13" r:id="rId18"/>
    <sheet name="T1 Taxable Income Test Year" sheetId="27" r:id="rId19"/>
    <sheet name="T4 Sch 4 Loss Cfwd" sheetId="9" r:id="rId20"/>
    <sheet name="T8 Schedule 8 CCA Test Year  " sheetId="6" r:id="rId21"/>
    <sheet name="T13 Sch 13 Reserve Test Year" sheetId="22" r:id="rId22"/>
  </sheets>
  <externalReferences>
    <externalReference r:id="rId23"/>
    <externalReference r:id="rId24"/>
  </externalReferences>
  <definedNames>
    <definedName name="___INDEX_SHEET___ASAP_Utilities" localSheetId="2">#REF!</definedName>
    <definedName name="___INDEX_SHEET___ASAP_Utilities">#REF!</definedName>
    <definedName name="Fed_SB">'B. Tax Rates &amp; Exemptions'!$J$29</definedName>
    <definedName name="Fed_SM">'B. Tax Rates &amp; Exemptions'!$J$29</definedName>
    <definedName name="FedTax">'B. Tax Rates &amp; Exemptions'!$J$19</definedName>
    <definedName name="Index">'Table of Contents'!#REF!</definedName>
    <definedName name="LDC_LIST">[1]lists!$AM$1:$AM$80</definedName>
    <definedName name="ontario_SB">'B. Tax Rates &amp; Exemptions'!$J$31</definedName>
    <definedName name="ontariotax">'B. Tax Rates &amp; Exemptions'!$J$21</definedName>
    <definedName name="_xlnm.Print_Area" localSheetId="4">'A. Data Input Sheet'!$A$1:$I$43</definedName>
    <definedName name="_xlnm.Print_Area" localSheetId="5">'B. Tax Rates &amp; Exemptions'!$A$1:$J$39</definedName>
    <definedName name="_xlnm.Print_Area" localSheetId="12">'B0 PILs,Tax Provision Bridge'!$A$1:$L$36</definedName>
    <definedName name="_xlnm.Print_Area" localSheetId="13">'B1 Adj. Taxable Income Bridge'!$A$1:$H$113</definedName>
    <definedName name="_xlnm.Print_Area" localSheetId="14">'B4 Sch 4 Loss Cfwd Bridge'!$A$1:$K$26</definedName>
    <definedName name="_xlnm.Print_Area" localSheetId="15">'B8 Schedule 8 CCA Bridge Year'!$B$1:$O$43</definedName>
    <definedName name="_xlnm.Print_Area" localSheetId="6">'H0 PILs,Tax Provision Historic'!$A$1:$K$45</definedName>
    <definedName name="_xlnm.Print_Area" localSheetId="7">'H1 Adj. Taxable Income Historic'!$A$1:$G$119</definedName>
    <definedName name="_xlnm.Print_Area" localSheetId="10">'H10 Schedule 10 CEC Hist'!$A$1:$K$41</definedName>
    <definedName name="_xlnm.Print_Area" localSheetId="11">'H13 Sch 13 Tax Reserves Histori'!$A$1:$F$51</definedName>
    <definedName name="_xlnm.Print_Area" localSheetId="8">'H4 Sch 4 Loss Cfwd Hist'!$A$1:$J$18</definedName>
    <definedName name="_xlnm.Print_Area" localSheetId="9">'H8 Sch 8 Historical'!$A$1:$G$44</definedName>
    <definedName name="_xlnm.Print_Area" localSheetId="2">'S. Summary '!$A$1:$K$7</definedName>
    <definedName name="_xlnm.Print_Area" localSheetId="17">'T0 PILs,Tax Provision '!$A$1:$L$36</definedName>
    <definedName name="_xlnm.Print_Area" localSheetId="19">'T4 Sch 4 Loss Cfwd'!$A$1:$L$29</definedName>
    <definedName name="_xlnm.Print_Area" localSheetId="1">'Table of Contents'!$A$1:$H$52</definedName>
    <definedName name="_xlnm.Print_Titles" localSheetId="13">'B1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#REF!</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#REF!</definedName>
    <definedName name="Start_20">'T13 Sch 13 Reserve Test Year'!$A$1</definedName>
    <definedName name="Start_21">'T4 Sch 4 Loss Cfwd'!$A$1</definedName>
    <definedName name="Start_22">#REF!</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'H10 Schedule 10 CEC Hist'!$A$1</definedName>
    <definedName name="Start_8">'H13 Sch 13 Tax Reserves Histori'!$A$1</definedName>
    <definedName name="Start_9">'H4 Sch 4 Loss Cfwd Hist'!$A$1</definedName>
    <definedName name="units">[2]hidden1!$J$3:$J$8</definedName>
  </definedNames>
  <calcPr calcId="145621"/>
</workbook>
</file>

<file path=xl/calcChain.xml><?xml version="1.0" encoding="utf-8"?>
<calcChain xmlns="http://schemas.openxmlformats.org/spreadsheetml/2006/main">
  <c r="H9" i="2" l="1"/>
  <c r="G29" i="6" l="1"/>
  <c r="G28" i="15"/>
  <c r="D33" i="6" l="1"/>
  <c r="F110" i="18" l="1"/>
  <c r="G25" i="9" l="1"/>
  <c r="F120" i="27" s="1"/>
  <c r="I27" i="9" l="1"/>
  <c r="I17" i="9"/>
  <c r="I26" i="9" l="1"/>
  <c r="I25" i="9"/>
  <c r="D34" i="6" l="1"/>
  <c r="C34" i="6"/>
  <c r="C33" i="6"/>
  <c r="I23" i="9" l="1"/>
  <c r="L34" i="6" l="1"/>
  <c r="L33" i="6"/>
  <c r="L32" i="6"/>
  <c r="J22" i="6" l="1"/>
  <c r="L31" i="6"/>
  <c r="L24" i="6"/>
  <c r="F11" i="15" l="1"/>
  <c r="E13" i="24"/>
  <c r="I16" i="3" l="1"/>
  <c r="I19" i="3" s="1"/>
  <c r="I23" i="3" s="1"/>
  <c r="E13" i="13" l="1"/>
  <c r="I25" i="25" l="1"/>
  <c r="I20" i="25"/>
  <c r="J23" i="24"/>
  <c r="H16" i="3" l="1"/>
  <c r="H19" i="3" s="1"/>
  <c r="H23" i="3" s="1"/>
  <c r="E19" i="3"/>
  <c r="E23" i="3" s="1"/>
  <c r="G16" i="3"/>
  <c r="G19" i="3" s="1"/>
  <c r="G23" i="3" s="1"/>
  <c r="F16" i="3"/>
  <c r="F19" i="3" s="1"/>
  <c r="F23" i="3" s="1"/>
  <c r="E16" i="3"/>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c r="G27" i="8" s="1"/>
  <c r="K27" i="8" s="1"/>
  <c r="I11" i="15"/>
  <c r="F12" i="15"/>
  <c r="I12" i="15" s="1"/>
  <c r="J13" i="15"/>
  <c r="J14" i="6"/>
  <c r="J14" i="15"/>
  <c r="J15" i="6"/>
  <c r="J16" i="15"/>
  <c r="J17" i="6"/>
  <c r="F22" i="15"/>
  <c r="I22" i="15" s="1"/>
  <c r="J28" i="15"/>
  <c r="J29" i="6"/>
  <c r="I33" i="15"/>
  <c r="G14" i="2"/>
  <c r="G18" i="2" s="1"/>
  <c r="F12" i="27" s="1"/>
  <c r="H23" i="26" s="1"/>
  <c r="H14" i="19"/>
  <c r="G12" i="20" s="1"/>
  <c r="H17" i="19"/>
  <c r="G19" i="20"/>
  <c r="G23" i="20" s="1"/>
  <c r="G22" i="9" s="1"/>
  <c r="G28" i="9" s="1"/>
  <c r="J16" i="3"/>
  <c r="J19" i="3" s="1"/>
  <c r="F15" i="15"/>
  <c r="I15" i="15" s="1"/>
  <c r="F18" i="15"/>
  <c r="I18" i="15" s="1"/>
  <c r="K18" i="15" s="1"/>
  <c r="M18" i="15" s="1"/>
  <c r="F19" i="15"/>
  <c r="I19" i="15" s="1"/>
  <c r="F20" i="15"/>
  <c r="I20" i="15" s="1"/>
  <c r="F21" i="15"/>
  <c r="I21" i="15" s="1"/>
  <c r="F23" i="15"/>
  <c r="I23" i="15" s="1"/>
  <c r="F24" i="15"/>
  <c r="I24" i="15"/>
  <c r="F27" i="15"/>
  <c r="I27" i="15" s="1"/>
  <c r="F30" i="15"/>
  <c r="I30" i="15" s="1"/>
  <c r="I34" i="15"/>
  <c r="F35" i="15"/>
  <c r="I35" i="15"/>
  <c r="F36" i="15"/>
  <c r="I36" i="15"/>
  <c r="F37" i="15"/>
  <c r="I37" i="15" s="1"/>
  <c r="F38" i="15"/>
  <c r="I38" i="15" s="1"/>
  <c r="F39" i="15"/>
  <c r="I39" i="15" s="1"/>
  <c r="F40" i="15"/>
  <c r="I40" i="15" s="1"/>
  <c r="F41" i="15"/>
  <c r="I41" i="15" s="1"/>
  <c r="F37" i="17"/>
  <c r="E32" i="8"/>
  <c r="G32" i="8" s="1"/>
  <c r="K32" i="8" s="1"/>
  <c r="F21" i="17"/>
  <c r="E19" i="8"/>
  <c r="G19" i="8" s="1"/>
  <c r="K19" i="8" s="1"/>
  <c r="F17" i="17"/>
  <c r="E15" i="8" s="1"/>
  <c r="G15" i="8" s="1"/>
  <c r="F31" i="17"/>
  <c r="E26" i="8"/>
  <c r="G26" i="8" s="1"/>
  <c r="K26" i="8" s="1"/>
  <c r="G12" i="5"/>
  <c r="F10" i="15" s="1"/>
  <c r="I10" i="15" s="1"/>
  <c r="G24" i="5"/>
  <c r="J22" i="15"/>
  <c r="G30" i="5"/>
  <c r="F28" i="15" s="1"/>
  <c r="I28" i="15" s="1"/>
  <c r="K28" i="15" s="1"/>
  <c r="M28" i="15" s="1"/>
  <c r="D51" i="17"/>
  <c r="G34" i="4"/>
  <c r="G15" i="4"/>
  <c r="G78" i="4"/>
  <c r="D27" i="17"/>
  <c r="G82" i="4"/>
  <c r="G76" i="4"/>
  <c r="G83"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c r="G34" i="8" s="1"/>
  <c r="K34" i="8" s="1"/>
  <c r="E34" i="22" s="1"/>
  <c r="G34" i="22" s="1"/>
  <c r="K34" i="22" s="1"/>
  <c r="M34" i="22" s="1"/>
  <c r="F40" i="17"/>
  <c r="E35" i="8"/>
  <c r="G35" i="8" s="1"/>
  <c r="K35" i="8" s="1"/>
  <c r="F41" i="17"/>
  <c r="E36" i="8"/>
  <c r="G36" i="8" s="1"/>
  <c r="K36" i="8" s="1"/>
  <c r="E36" i="22" s="1"/>
  <c r="G36" i="22" s="1"/>
  <c r="K36" i="22" s="1"/>
  <c r="M36" i="22" s="1"/>
  <c r="F42" i="17"/>
  <c r="E37" i="8"/>
  <c r="G37" i="8" s="1"/>
  <c r="K37" i="8" s="1"/>
  <c r="F43" i="17"/>
  <c r="E38" i="8"/>
  <c r="G38" i="8" s="1"/>
  <c r="K38" i="8" s="1"/>
  <c r="E38" i="22" s="1"/>
  <c r="G38" i="22" s="1"/>
  <c r="K38" i="22" s="1"/>
  <c r="M38" i="22" s="1"/>
  <c r="F44" i="17"/>
  <c r="E39" i="8"/>
  <c r="G39" i="8" s="1"/>
  <c r="K39" i="8" s="1"/>
  <c r="F45" i="17"/>
  <c r="E40" i="8"/>
  <c r="G40" i="8" s="1"/>
  <c r="K40" i="8" s="1"/>
  <c r="E40" i="22" s="1"/>
  <c r="G40" i="22" s="1"/>
  <c r="K40" i="22" s="1"/>
  <c r="M40" i="22" s="1"/>
  <c r="F49" i="17"/>
  <c r="E41" i="8" s="1"/>
  <c r="G41" i="8" s="1"/>
  <c r="K41" i="8" s="1"/>
  <c r="E41" i="22" s="1"/>
  <c r="G41" i="22" s="1"/>
  <c r="K41" i="22" s="1"/>
  <c r="M41" i="22" s="1"/>
  <c r="F50" i="17"/>
  <c r="E42" i="8" s="1"/>
  <c r="G42" i="8" s="1"/>
  <c r="K42" i="8" s="1"/>
  <c r="J42" i="6"/>
  <c r="J41" i="6"/>
  <c r="J40" i="6"/>
  <c r="J39" i="6"/>
  <c r="J38" i="6"/>
  <c r="J37" i="6"/>
  <c r="J36" i="6"/>
  <c r="J35" i="6"/>
  <c r="J34" i="6"/>
  <c r="J33" i="6"/>
  <c r="J32" i="6"/>
  <c r="J31" i="6"/>
  <c r="J30" i="6"/>
  <c r="J28" i="6"/>
  <c r="J27" i="6"/>
  <c r="J26" i="6"/>
  <c r="J25" i="6"/>
  <c r="J24" i="6"/>
  <c r="J23" i="6"/>
  <c r="J21" i="6"/>
  <c r="J20" i="6"/>
  <c r="J19" i="6"/>
  <c r="J18" i="6"/>
  <c r="J16" i="6"/>
  <c r="J13" i="6"/>
  <c r="J12" i="6"/>
  <c r="J11" i="6"/>
  <c r="J41" i="15"/>
  <c r="J40" i="15"/>
  <c r="J39" i="15"/>
  <c r="J38" i="15"/>
  <c r="J37" i="15"/>
  <c r="J36" i="15"/>
  <c r="J35" i="15"/>
  <c r="J34" i="15"/>
  <c r="J33" i="15"/>
  <c r="J32" i="15"/>
  <c r="J31" i="15"/>
  <c r="J30" i="15"/>
  <c r="J29" i="15"/>
  <c r="J27" i="15"/>
  <c r="J26" i="15"/>
  <c r="J25" i="15"/>
  <c r="J24" i="15"/>
  <c r="J23" i="15"/>
  <c r="J21" i="15"/>
  <c r="J20" i="15"/>
  <c r="K20" i="15" s="1"/>
  <c r="M20" i="15" s="1"/>
  <c r="O20" i="15" s="1"/>
  <c r="F21" i="6" s="1"/>
  <c r="I21" i="6" s="1"/>
  <c r="K21" i="6" s="1"/>
  <c r="M21" i="6" s="1"/>
  <c r="J19" i="15"/>
  <c r="J18" i="15"/>
  <c r="J17" i="15"/>
  <c r="J15" i="15"/>
  <c r="J12" i="15"/>
  <c r="J11" i="15"/>
  <c r="J10" i="15"/>
  <c r="L16" i="6"/>
  <c r="L23" i="6"/>
  <c r="L25" i="6"/>
  <c r="L26" i="6"/>
  <c r="L27" i="6"/>
  <c r="L28" i="6"/>
  <c r="L29" i="6"/>
  <c r="L30" i="6"/>
  <c r="L35" i="6"/>
  <c r="L36" i="6"/>
  <c r="L37" i="6"/>
  <c r="L38" i="6"/>
  <c r="L39" i="6"/>
  <c r="L40" i="6"/>
  <c r="L41" i="6"/>
  <c r="L42" i="6"/>
  <c r="L12" i="6"/>
  <c r="L13" i="6"/>
  <c r="L14" i="6"/>
  <c r="L15" i="6"/>
  <c r="G13" i="5"/>
  <c r="G32" i="5"/>
  <c r="G29" i="5"/>
  <c r="G27" i="5"/>
  <c r="F25" i="15" s="1"/>
  <c r="I25" i="15" s="1"/>
  <c r="G26" i="5"/>
  <c r="G25" i="5"/>
  <c r="G23" i="5"/>
  <c r="G22" i="5"/>
  <c r="G21" i="5"/>
  <c r="G20" i="5"/>
  <c r="G17" i="5"/>
  <c r="G14" i="5"/>
  <c r="G16" i="23"/>
  <c r="J16" i="23" s="1"/>
  <c r="G33" i="23"/>
  <c r="K33" i="23" s="1"/>
  <c r="L11" i="6"/>
  <c r="G36" i="5"/>
  <c r="F19" i="17"/>
  <c r="E17" i="8" s="1"/>
  <c r="G17" i="8" s="1"/>
  <c r="K17" i="8" s="1"/>
  <c r="F109" i="4"/>
  <c r="G74" i="4"/>
  <c r="F71" i="4"/>
  <c r="G22" i="4"/>
  <c r="G29" i="4"/>
  <c r="G54" i="4"/>
  <c r="G107" i="4"/>
  <c r="G106" i="4"/>
  <c r="G105" i="4"/>
  <c r="G104" i="4"/>
  <c r="G103" i="4"/>
  <c r="G102" i="4"/>
  <c r="G101" i="4"/>
  <c r="G100" i="4"/>
  <c r="G99" i="4"/>
  <c r="G98" i="4"/>
  <c r="G97" i="4"/>
  <c r="G96" i="4"/>
  <c r="G95" i="4"/>
  <c r="G94" i="4"/>
  <c r="G56" i="4"/>
  <c r="G57" i="4"/>
  <c r="G58" i="4"/>
  <c r="G59" i="4"/>
  <c r="G60" i="4"/>
  <c r="G61" i="4"/>
  <c r="G62" i="4"/>
  <c r="G63" i="4"/>
  <c r="G64" i="4"/>
  <c r="G65" i="4"/>
  <c r="G66" i="4"/>
  <c r="G67" i="4"/>
  <c r="G68" i="4"/>
  <c r="G69" i="4"/>
  <c r="G70" i="4"/>
  <c r="G55" i="4"/>
  <c r="L17" i="6"/>
  <c r="C30" i="15"/>
  <c r="C31" i="6" s="1"/>
  <c r="D30" i="15"/>
  <c r="D31" i="6" s="1"/>
  <c r="C31" i="15"/>
  <c r="C32" i="6" s="1"/>
  <c r="D31" i="15"/>
  <c r="D32" i="6" s="1"/>
  <c r="C34" i="15"/>
  <c r="C35" i="6" s="1"/>
  <c r="D34" i="15"/>
  <c r="D35" i="6" s="1"/>
  <c r="C35" i="15"/>
  <c r="C36" i="6"/>
  <c r="D35" i="15"/>
  <c r="D36" i="6"/>
  <c r="C36" i="15"/>
  <c r="C37" i="6" s="1"/>
  <c r="D36" i="15"/>
  <c r="D37" i="6" s="1"/>
  <c r="C37" i="15"/>
  <c r="C38" i="6" s="1"/>
  <c r="D37" i="15"/>
  <c r="D38" i="6" s="1"/>
  <c r="C38" i="15"/>
  <c r="C39" i="6" s="1"/>
  <c r="D38" i="15"/>
  <c r="D39" i="6" s="1"/>
  <c r="C39" i="15"/>
  <c r="C40" i="6" s="1"/>
  <c r="D39" i="15"/>
  <c r="D40" i="6"/>
  <c r="C40" i="15"/>
  <c r="C41" i="6" s="1"/>
  <c r="D40" i="15"/>
  <c r="D41" i="6" s="1"/>
  <c r="C41" i="15"/>
  <c r="C42" i="6" s="1"/>
  <c r="D41" i="15"/>
  <c r="D42" i="6"/>
  <c r="C11" i="15"/>
  <c r="C12" i="6" s="1"/>
  <c r="D11" i="15"/>
  <c r="D12" i="6" s="1"/>
  <c r="C12" i="15"/>
  <c r="C13" i="6" s="1"/>
  <c r="D12" i="15"/>
  <c r="D13" i="6" s="1"/>
  <c r="C13" i="15"/>
  <c r="C14" i="6" s="1"/>
  <c r="D13" i="15"/>
  <c r="D14" i="6" s="1"/>
  <c r="C14" i="15"/>
  <c r="C15" i="6" s="1"/>
  <c r="D14" i="15"/>
  <c r="D15" i="6"/>
  <c r="C15" i="15"/>
  <c r="C16" i="6" s="1"/>
  <c r="D15" i="15"/>
  <c r="D16" i="6" s="1"/>
  <c r="C16" i="15"/>
  <c r="C17" i="6" s="1"/>
  <c r="D16" i="15"/>
  <c r="D17" i="6" s="1"/>
  <c r="C17" i="15"/>
  <c r="C18" i="6" s="1"/>
  <c r="D17" i="15"/>
  <c r="D18" i="6" s="1"/>
  <c r="C18" i="15"/>
  <c r="C19" i="6" s="1"/>
  <c r="D18" i="15"/>
  <c r="D19" i="6" s="1"/>
  <c r="C19" i="15"/>
  <c r="C20" i="6" s="1"/>
  <c r="D19" i="15"/>
  <c r="D20" i="6"/>
  <c r="C20" i="15"/>
  <c r="C21" i="6" s="1"/>
  <c r="D20" i="15"/>
  <c r="D21" i="6" s="1"/>
  <c r="C21" i="15"/>
  <c r="C22" i="6" s="1"/>
  <c r="D21" i="15"/>
  <c r="D22" i="6" s="1"/>
  <c r="C22" i="15"/>
  <c r="C23" i="6" s="1"/>
  <c r="D22" i="15"/>
  <c r="D23" i="6"/>
  <c r="C23" i="15"/>
  <c r="C24" i="6" s="1"/>
  <c r="D23" i="15"/>
  <c r="D24" i="6" s="1"/>
  <c r="C24" i="15"/>
  <c r="C25" i="6" s="1"/>
  <c r="D24" i="15"/>
  <c r="D25" i="6" s="1"/>
  <c r="C25" i="15"/>
  <c r="C26" i="6" s="1"/>
  <c r="D25" i="15"/>
  <c r="D26" i="6" s="1"/>
  <c r="C26" i="15"/>
  <c r="C27" i="6" s="1"/>
  <c r="D26" i="15"/>
  <c r="D27" i="6"/>
  <c r="C27" i="15"/>
  <c r="C28" i="6" s="1"/>
  <c r="D27" i="15"/>
  <c r="D28" i="6" s="1"/>
  <c r="C28" i="15"/>
  <c r="C29" i="6" s="1"/>
  <c r="D28" i="15"/>
  <c r="D29" i="6" s="1"/>
  <c r="C29" i="15"/>
  <c r="C30" i="6" s="1"/>
  <c r="D29" i="15"/>
  <c r="D30" i="6"/>
  <c r="D10" i="15"/>
  <c r="D11" i="6" s="1"/>
  <c r="C10" i="15"/>
  <c r="C11" i="6" s="1"/>
  <c r="F22" i="17"/>
  <c r="F23" i="17"/>
  <c r="F24" i="17"/>
  <c r="G35" i="5"/>
  <c r="G37" i="5"/>
  <c r="G38" i="5"/>
  <c r="G39" i="5"/>
  <c r="G34" i="5"/>
  <c r="G40" i="5"/>
  <c r="J18" i="23"/>
  <c r="K22" i="23"/>
  <c r="F26" i="17"/>
  <c r="E21" i="8"/>
  <c r="G21" i="8" s="1"/>
  <c r="K21" i="8" s="1"/>
  <c r="F25" i="17"/>
  <c r="E20" i="8" s="1"/>
  <c r="G20" i="8" s="1"/>
  <c r="K20" i="8" s="1"/>
  <c r="F20" i="17"/>
  <c r="E18" i="8" s="1"/>
  <c r="G18" i="8" s="1"/>
  <c r="K18" i="8" s="1"/>
  <c r="M18" i="8" s="1"/>
  <c r="F18" i="17"/>
  <c r="E16" i="8" s="1"/>
  <c r="G16" i="8" s="1"/>
  <c r="K16" i="8" s="1"/>
  <c r="M16" i="8" s="1"/>
  <c r="F15" i="17"/>
  <c r="E13" i="8"/>
  <c r="G13" i="8" s="1"/>
  <c r="K13" i="8" s="1"/>
  <c r="E13" i="22" s="1"/>
  <c r="G13" i="22" s="1"/>
  <c r="K13" i="22" s="1"/>
  <c r="M13" i="22" s="1"/>
  <c r="G15" i="5"/>
  <c r="F13" i="15" s="1"/>
  <c r="I13" i="15" s="1"/>
  <c r="G16" i="5"/>
  <c r="F14" i="15" s="1"/>
  <c r="I14" i="15" s="1"/>
  <c r="G18" i="5"/>
  <c r="F16" i="15" s="1"/>
  <c r="I16" i="15" s="1"/>
  <c r="G28" i="5"/>
  <c r="F26" i="15" s="1"/>
  <c r="I26" i="15" s="1"/>
  <c r="G31" i="5"/>
  <c r="F29" i="15" s="1"/>
  <c r="I29" i="15" s="1"/>
  <c r="G33" i="5"/>
  <c r="F31" i="15" s="1"/>
  <c r="I31" i="15" s="1"/>
  <c r="G41" i="5"/>
  <c r="G42" i="5"/>
  <c r="G43" i="5"/>
  <c r="G19" i="5"/>
  <c r="F17" i="15" s="1"/>
  <c r="I17" i="15" s="1"/>
  <c r="K17" i="15" s="1"/>
  <c r="M17" i="15" s="1"/>
  <c r="E27" i="17"/>
  <c r="F22" i="22"/>
  <c r="I22" i="22"/>
  <c r="J22" i="22"/>
  <c r="N22" i="22"/>
  <c r="F43" i="22"/>
  <c r="I43" i="22"/>
  <c r="J43" i="22"/>
  <c r="N43" i="22"/>
  <c r="J23" i="13"/>
  <c r="H43" i="6"/>
  <c r="G43" i="6"/>
  <c r="G42" i="15"/>
  <c r="H42" i="15"/>
  <c r="F30" i="17"/>
  <c r="E25" i="8" s="1"/>
  <c r="G25" i="8" s="1"/>
  <c r="F27" i="17"/>
  <c r="E51" i="17"/>
  <c r="F22" i="8"/>
  <c r="I22" i="8"/>
  <c r="J22" i="8"/>
  <c r="N22" i="8"/>
  <c r="F43" i="8"/>
  <c r="I43" i="8"/>
  <c r="J43" i="8"/>
  <c r="N43" i="8"/>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9" i="4"/>
  <c r="G80" i="4"/>
  <c r="G81" i="4"/>
  <c r="G84" i="4"/>
  <c r="G85" i="4"/>
  <c r="G86" i="4"/>
  <c r="G89" i="4"/>
  <c r="G90" i="4"/>
  <c r="G91" i="4"/>
  <c r="G92" i="4"/>
  <c r="G93" i="4"/>
  <c r="F111" i="4"/>
  <c r="F119" i="4" s="1"/>
  <c r="G113" i="4"/>
  <c r="G114" i="4"/>
  <c r="G115" i="4"/>
  <c r="G116" i="4"/>
  <c r="G117" i="4"/>
  <c r="G12" i="2"/>
  <c r="G16" i="2" s="1"/>
  <c r="G13" i="2"/>
  <c r="G17" i="2" s="1"/>
  <c r="E71" i="4"/>
  <c r="E109" i="4"/>
  <c r="F51" i="17"/>
  <c r="J23" i="3" l="1"/>
  <c r="E14" i="24"/>
  <c r="E14" i="13"/>
  <c r="J20" i="23"/>
  <c r="K20" i="23" s="1"/>
  <c r="K24" i="23" s="1"/>
  <c r="K36" i="23" s="1"/>
  <c r="K30" i="15"/>
  <c r="M30" i="15" s="1"/>
  <c r="O30" i="15" s="1"/>
  <c r="F31" i="6" s="1"/>
  <c r="I31" i="6" s="1"/>
  <c r="K37" i="15"/>
  <c r="M37" i="15" s="1"/>
  <c r="O37" i="15" s="1"/>
  <c r="F38" i="6" s="1"/>
  <c r="I38" i="6" s="1"/>
  <c r="K15" i="15"/>
  <c r="M15" i="15" s="1"/>
  <c r="O15" i="15" s="1"/>
  <c r="F16" i="6" s="1"/>
  <c r="I16" i="6" s="1"/>
  <c r="K16" i="6" s="1"/>
  <c r="M16" i="6" s="1"/>
  <c r="O16" i="6" s="1"/>
  <c r="K36" i="15"/>
  <c r="M36" i="15" s="1"/>
  <c r="O36" i="15" s="1"/>
  <c r="F37" i="6" s="1"/>
  <c r="I37" i="6" s="1"/>
  <c r="K23" i="15"/>
  <c r="M23" i="15" s="1"/>
  <c r="O23" i="15" s="1"/>
  <c r="F24" i="6" s="1"/>
  <c r="I24" i="6" s="1"/>
  <c r="K38" i="15"/>
  <c r="M38" i="15" s="1"/>
  <c r="O38" i="15" s="1"/>
  <c r="F39" i="6" s="1"/>
  <c r="I39" i="6" s="1"/>
  <c r="K25" i="15"/>
  <c r="M25" i="15" s="1"/>
  <c r="O25" i="15" s="1"/>
  <c r="F26" i="6" s="1"/>
  <c r="I26" i="6" s="1"/>
  <c r="K21" i="15"/>
  <c r="M21" i="15" s="1"/>
  <c r="O21" i="15" s="1"/>
  <c r="F22" i="6" s="1"/>
  <c r="I22" i="6" s="1"/>
  <c r="K41" i="15"/>
  <c r="M41" i="15" s="1"/>
  <c r="O41" i="15" s="1"/>
  <c r="F42" i="6" s="1"/>
  <c r="I42" i="6" s="1"/>
  <c r="K24" i="15"/>
  <c r="M24" i="15" s="1"/>
  <c r="K11" i="15"/>
  <c r="M11" i="15" s="1"/>
  <c r="K26" i="15"/>
  <c r="M26" i="15" s="1"/>
  <c r="O26" i="15" s="1"/>
  <c r="F27" i="6" s="1"/>
  <c r="I27" i="6" s="1"/>
  <c r="G109" i="4"/>
  <c r="E111" i="4"/>
  <c r="E119" i="4" s="1"/>
  <c r="G71" i="4"/>
  <c r="I28" i="9"/>
  <c r="I22" i="9"/>
  <c r="K34" i="15"/>
  <c r="M34" i="15" s="1"/>
  <c r="O34" i="15" s="1"/>
  <c r="F35" i="6" s="1"/>
  <c r="I35" i="6" s="1"/>
  <c r="K35" i="6" s="1"/>
  <c r="M35" i="6" s="1"/>
  <c r="O35" i="6" s="1"/>
  <c r="K27" i="15"/>
  <c r="M27" i="15" s="1"/>
  <c r="O27" i="15" s="1"/>
  <c r="J42" i="15"/>
  <c r="J43" i="6"/>
  <c r="G44" i="5"/>
  <c r="I38" i="23"/>
  <c r="K38" i="23" s="1"/>
  <c r="K40" i="23" s="1"/>
  <c r="F32" i="15" s="1"/>
  <c r="I32" i="15" s="1"/>
  <c r="I42" i="15" s="1"/>
  <c r="E32" i="22"/>
  <c r="G32" i="22" s="1"/>
  <c r="K32" i="22" s="1"/>
  <c r="M32" i="22" s="1"/>
  <c r="M32" i="8"/>
  <c r="E42" i="22"/>
  <c r="G42" i="22" s="1"/>
  <c r="K42" i="22" s="1"/>
  <c r="M42" i="22" s="1"/>
  <c r="M42" i="8"/>
  <c r="M27" i="8"/>
  <c r="E27" i="22"/>
  <c r="G27" i="22" s="1"/>
  <c r="K27" i="22" s="1"/>
  <c r="M27" i="22" s="1"/>
  <c r="E43" i="8"/>
  <c r="M34" i="8"/>
  <c r="G43" i="8"/>
  <c r="F78" i="18" s="1"/>
  <c r="E22" i="8"/>
  <c r="K33" i="15"/>
  <c r="M33" i="15" s="1"/>
  <c r="O33" i="15" s="1"/>
  <c r="K22" i="15"/>
  <c r="M22" i="15" s="1"/>
  <c r="O22" i="15" s="1"/>
  <c r="F23" i="6" s="1"/>
  <c r="I23" i="6" s="1"/>
  <c r="K40" i="15"/>
  <c r="M40" i="15" s="1"/>
  <c r="O40" i="15"/>
  <c r="F41" i="6" s="1"/>
  <c r="I41" i="6" s="1"/>
  <c r="K41" i="6" s="1"/>
  <c r="M41" i="6" s="1"/>
  <c r="O41" i="6" s="1"/>
  <c r="K39" i="15"/>
  <c r="M39" i="15" s="1"/>
  <c r="O39" i="15" s="1"/>
  <c r="F40" i="6" s="1"/>
  <c r="I40" i="6" s="1"/>
  <c r="K40" i="6" s="1"/>
  <c r="M40" i="6" s="1"/>
  <c r="O40" i="6" s="1"/>
  <c r="K14" i="15"/>
  <c r="M14" i="15" s="1"/>
  <c r="O14" i="15" s="1"/>
  <c r="F15" i="6" s="1"/>
  <c r="I15" i="6" s="1"/>
  <c r="O28" i="15"/>
  <c r="F29" i="6" s="1"/>
  <c r="I29" i="6" s="1"/>
  <c r="K29" i="6" s="1"/>
  <c r="M29" i="6" s="1"/>
  <c r="O29" i="6" s="1"/>
  <c r="K37" i="6"/>
  <c r="M37" i="6" s="1"/>
  <c r="O37"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38" i="6"/>
  <c r="M38" i="6" s="1"/>
  <c r="O38" i="6" s="1"/>
  <c r="K19" i="15"/>
  <c r="M19" i="15" s="1"/>
  <c r="O19" i="15" s="1"/>
  <c r="F20" i="6" s="1"/>
  <c r="I20" i="6" s="1"/>
  <c r="K12" i="15"/>
  <c r="M12" i="15" s="1"/>
  <c r="O12" i="15" s="1"/>
  <c r="F13" i="6" s="1"/>
  <c r="I13" i="6" s="1"/>
  <c r="K39" i="6"/>
  <c r="M39" i="6" s="1"/>
  <c r="O39" i="6" s="1"/>
  <c r="K22" i="6"/>
  <c r="M22" i="6" s="1"/>
  <c r="O22" i="6" s="1"/>
  <c r="K31" i="6"/>
  <c r="M31" i="6" s="1"/>
  <c r="O31" i="6" s="1"/>
  <c r="O17" i="15"/>
  <c r="F18" i="6" s="1"/>
  <c r="I18" i="6" s="1"/>
  <c r="K24" i="6"/>
  <c r="M24" i="6" s="1"/>
  <c r="O24" i="6" s="1"/>
  <c r="K31" i="15"/>
  <c r="M31" i="15" s="1"/>
  <c r="O31" i="15" s="1"/>
  <c r="K29" i="15"/>
  <c r="M29" i="15" s="1"/>
  <c r="O29" i="15" s="1"/>
  <c r="F30" i="6" s="1"/>
  <c r="I30" i="6" s="1"/>
  <c r="K42" i="6"/>
  <c r="M42" i="6" s="1"/>
  <c r="O42" i="6" s="1"/>
  <c r="K16" i="15"/>
  <c r="M16" i="15" s="1"/>
  <c r="O16" i="15" s="1"/>
  <c r="F17" i="6" s="1"/>
  <c r="I17" i="6" s="1"/>
  <c r="O21" i="6"/>
  <c r="O11" i="15"/>
  <c r="F12" i="6" s="1"/>
  <c r="I12" i="6" s="1"/>
  <c r="K10" i="15"/>
  <c r="F42" i="15"/>
  <c r="O24" i="15"/>
  <c r="F25" i="6" s="1"/>
  <c r="I25" i="6" s="1"/>
  <c r="K35" i="15"/>
  <c r="M35" i="15" s="1"/>
  <c r="O35" i="15" s="1"/>
  <c r="O18" i="15"/>
  <c r="F19" i="6" s="1"/>
  <c r="I19" i="6" s="1"/>
  <c r="K13" i="15"/>
  <c r="M13" i="15" s="1"/>
  <c r="O13" i="15" s="1"/>
  <c r="F14" i="6" s="1"/>
  <c r="I14" i="6" s="1"/>
  <c r="G19" i="2"/>
  <c r="K23" i="6" l="1"/>
  <c r="M23" i="6" s="1"/>
  <c r="O23" i="6"/>
  <c r="K32" i="15"/>
  <c r="M32" i="15" s="1"/>
  <c r="O32" i="15" s="1"/>
  <c r="F33" i="6" s="1"/>
  <c r="K27" i="6"/>
  <c r="M27" i="6" s="1"/>
  <c r="O27" i="6" s="1"/>
  <c r="G111" i="4"/>
  <c r="G119" i="4" s="1"/>
  <c r="I10" i="25" s="1"/>
  <c r="E15" i="25" s="1"/>
  <c r="F36" i="6"/>
  <c r="I36" i="6" s="1"/>
  <c r="K36" i="6" s="1"/>
  <c r="M36" i="6" s="1"/>
  <c r="O36" i="6" s="1"/>
  <c r="F28" i="6"/>
  <c r="I28" i="6" s="1"/>
  <c r="K28" i="6" s="1"/>
  <c r="M28" i="6" s="1"/>
  <c r="O28" i="6" s="1"/>
  <c r="F32" i="6"/>
  <c r="I32" i="6" s="1"/>
  <c r="K32" i="6" s="1"/>
  <c r="M32" i="6" s="1"/>
  <c r="O32" i="6" s="1"/>
  <c r="F34" i="6"/>
  <c r="I34" i="6" s="1"/>
  <c r="K34" i="6" s="1"/>
  <c r="M34" i="6" s="1"/>
  <c r="O34" i="6" s="1"/>
  <c r="K15" i="6"/>
  <c r="M15" i="6" s="1"/>
  <c r="O15" i="6" s="1"/>
  <c r="K43" i="8"/>
  <c r="F31" i="18" s="1"/>
  <c r="F68" i="18" s="1"/>
  <c r="E25" i="22"/>
  <c r="M25" i="8"/>
  <c r="M43" i="8" s="1"/>
  <c r="E15" i="22"/>
  <c r="M15" i="8"/>
  <c r="M22" i="8" s="1"/>
  <c r="K22" i="8"/>
  <c r="F77" i="18" s="1"/>
  <c r="K14" i="6"/>
  <c r="M14" i="6" s="1"/>
  <c r="O14" i="6" s="1"/>
  <c r="K30" i="6"/>
  <c r="M30" i="6" s="1"/>
  <c r="O30" i="6" s="1"/>
  <c r="K18" i="6"/>
  <c r="M18" i="6" s="1"/>
  <c r="O18" i="6" s="1"/>
  <c r="K12" i="6"/>
  <c r="M12" i="6" s="1"/>
  <c r="O12" i="6" s="1"/>
  <c r="K13" i="6"/>
  <c r="M13" i="6" s="1"/>
  <c r="O13" i="6" s="1"/>
  <c r="K26" i="6"/>
  <c r="M26" i="6" s="1"/>
  <c r="O26" i="6" s="1"/>
  <c r="M10" i="15"/>
  <c r="K17" i="6"/>
  <c r="M17" i="6" s="1"/>
  <c r="O17" i="6" s="1"/>
  <c r="K19" i="6"/>
  <c r="M19" i="6" s="1"/>
  <c r="O19" i="6" s="1"/>
  <c r="K20" i="6"/>
  <c r="M20" i="6" s="1"/>
  <c r="O20" i="6" s="1"/>
  <c r="K25" i="6"/>
  <c r="M25" i="6" s="1"/>
  <c r="O25" i="6" s="1"/>
  <c r="K42" i="15" l="1"/>
  <c r="I28" i="25"/>
  <c r="I34" i="25" s="1"/>
  <c r="G15" i="22"/>
  <c r="E22" i="22"/>
  <c r="E43" i="22"/>
  <c r="G25" i="22"/>
  <c r="M42" i="15"/>
  <c r="F72" i="18" s="1"/>
  <c r="F104" i="18" s="1"/>
  <c r="F106" i="18" s="1"/>
  <c r="O10" i="15"/>
  <c r="G14" i="20" l="1"/>
  <c r="G13" i="20"/>
  <c r="G16" i="20" s="1"/>
  <c r="I33" i="6"/>
  <c r="K33" i="6" s="1"/>
  <c r="M33" i="6" s="1"/>
  <c r="O33" i="6" s="1"/>
  <c r="K25" i="22"/>
  <c r="G43" i="22"/>
  <c r="F85" i="27" s="1"/>
  <c r="K15" i="22"/>
  <c r="G22" i="22"/>
  <c r="F35" i="27" s="1"/>
  <c r="F11" i="6"/>
  <c r="O42" i="15"/>
  <c r="F109" i="18" l="1"/>
  <c r="F113" i="18" s="1"/>
  <c r="J10" i="24" s="1"/>
  <c r="K22" i="22"/>
  <c r="F84" i="27" s="1"/>
  <c r="M15" i="22"/>
  <c r="M22" i="22" s="1"/>
  <c r="K43" i="22"/>
  <c r="F36" i="27" s="1"/>
  <c r="F75" i="27" s="1"/>
  <c r="M25" i="22"/>
  <c r="M43" i="22" s="1"/>
  <c r="I11" i="6"/>
  <c r="F43" i="6"/>
  <c r="F14" i="24" l="1"/>
  <c r="G14" i="24" s="1"/>
  <c r="F13" i="24"/>
  <c r="G13" i="24" s="1"/>
  <c r="G12" i="9"/>
  <c r="K11" i="6"/>
  <c r="I43" i="6"/>
  <c r="I12" i="9" l="1"/>
  <c r="J16" i="24"/>
  <c r="J19" i="24" s="1"/>
  <c r="J25" i="24" s="1"/>
  <c r="M11" i="6"/>
  <c r="K43" i="6"/>
  <c r="M43" i="6" l="1"/>
  <c r="F79" i="27" s="1"/>
  <c r="F113" i="27" s="1"/>
  <c r="F115" i="27" s="1"/>
  <c r="O11" i="6"/>
  <c r="O43" i="6" s="1"/>
  <c r="G16" i="9" l="1"/>
  <c r="I16" i="9" s="1"/>
  <c r="G13" i="9"/>
  <c r="G15" i="9" l="1"/>
  <c r="I15" i="9" s="1"/>
  <c r="F119" i="27" s="1"/>
  <c r="F123"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authors>
    <author>Grant Thornton PEM</author>
  </authors>
  <commentList>
    <comment ref="D14" author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<sst xmlns="http://schemas.openxmlformats.org/spreadsheetml/2006/main" count="1115" uniqueCount="520">
  <si>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</si>
  <si>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</si>
  <si>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</si>
  <si>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</si>
  <si>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</si>
  <si>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</si>
  <si>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</si>
  <si>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</si>
  <si>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</si>
  <si>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</si>
  <si>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</si>
  <si>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</si>
  <si>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</si>
  <si>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</si>
  <si>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</si>
  <si>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</si>
  <si>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</si>
  <si>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</si>
  <si>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</si>
  <si>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</si>
  <si>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</si>
  <si>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</si>
  <si>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</si>
  <si>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</si>
  <si>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</si>
  <si>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</si>
  <si>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</si>
  <si>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</si>
  <si>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</si>
  <si>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</si>
  <si>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</si>
  <si>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</si>
  <si>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</si>
  <si>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</si>
  <si>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</si>
  <si>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</si>
  <si>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</si>
  <si>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</si>
  <si>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</si>
  <si>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</si>
  <si>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</si>
  <si>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</si>
  <si>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</si>
  <si>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</si>
  <si>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</si>
  <si>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</si>
  <si>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</si>
  <si>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</si>
  <si>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</si>
  <si>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</si>
  <si>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</si>
  <si>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</si>
  <si>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</si>
  <si>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</si>
  <si>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</si>
  <si>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Cumulative eligible capital deduction from Schedule 10</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</si>
  <si>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</si>
  <si>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</si>
  <si>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</si>
  <si>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</si>
  <si>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</si>
  <si>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</si>
  <si>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</si>
  <si>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</si>
  <si>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</si>
  <si>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</si>
  <si>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</si>
  <si>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</si>
  <si>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</si>
  <si>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</si>
  <si>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</si>
  <si>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</si>
  <si>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</si>
  <si>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</si>
  <si>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</si>
  <si>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</si>
  <si>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</si>
  <si>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</si>
  <si>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</si>
  <si>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</si>
  <si>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</si>
  <si>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</si>
  <si>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</si>
  <si>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</si>
  <si>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</si>
  <si>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</si>
  <si>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</si>
  <si>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</si>
  <si>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</si>
  <si>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</si>
  <si>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</si>
  <si>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</si>
  <si>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</si>
  <si>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</si>
  <si>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</si>
  <si>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</si>
  <si>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</si>
  <si>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</si>
  <si>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</si>
  <si>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</si>
  <si>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</si>
  <si>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</si>
  <si>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</si>
  <si>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</si>
  <si>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</si>
  <si>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</si>
  <si>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Cumulative Eligible Capital</t>
  </si>
  <si>
    <t>Additions</t>
  </si>
  <si>
    <t>Cost of Eligible Capital Property Acquired during Test Year</t>
  </si>
  <si>
    <t>Other Adjustments</t>
  </si>
  <si>
    <t>Subtotal</t>
  </si>
  <si>
    <t>x 3/4 =</t>
  </si>
  <si>
    <t>Non-taxable portion of a non-arm's length transferor's gain realized on the</t>
  </si>
  <si>
    <t>x 1/2 =</t>
  </si>
  <si>
    <t>transfer of an ECP to the Corporation after Friday, December 20, 2002</t>
  </si>
  <si>
    <t>Amount transferred on amalgamation or wind-up of subsidiary</t>
  </si>
  <si>
    <t>Deductions</t>
  </si>
  <si>
    <t>Proceeds of sale (less outlays and expenses not otherwise deductible)</t>
  </si>
  <si>
    <t>from the disposition of all ECP during Test Year</t>
  </si>
  <si>
    <t>Cumulative Eligible Capital Balance</t>
  </si>
  <si>
    <t>x 7% =</t>
  </si>
  <si>
    <t>Cumulative Eligible Capital - Closing Balance</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</si>
  <si>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</si>
  <si>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</si>
  <si>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</si>
  <si>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</si>
  <si>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</si>
  <si>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</si>
  <si>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</si>
  <si>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</si>
  <si>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</si>
  <si>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</si>
  <si>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</si>
  <si>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</si>
  <si>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</si>
  <si>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</si>
  <si>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</si>
  <si>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</si>
  <si>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</si>
  <si>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</si>
  <si>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</si>
  <si>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</si>
  <si>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</si>
  <si>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</si>
  <si>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</si>
  <si>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</si>
  <si>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</si>
  <si>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</si>
  <si>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</si>
  <si>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</si>
  <si>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</si>
  <si>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</si>
  <si>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</si>
  <si>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</si>
  <si>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</si>
  <si>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</si>
  <si>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</si>
  <si>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</si>
  <si>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</si>
  <si>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</si>
  <si>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</si>
  <si>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</si>
  <si>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</si>
  <si>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</si>
  <si>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</si>
  <si>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</si>
  <si>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</si>
  <si>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</si>
  <si>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</si>
  <si>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</si>
  <si>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</si>
  <si>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</si>
  <si>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</si>
  <si>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</si>
  <si>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</si>
  <si>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</si>
  <si>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</si>
  <si>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</si>
  <si>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</si>
  <si>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</si>
  <si>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</si>
  <si>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</si>
  <si>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</si>
  <si>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</si>
  <si>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</si>
  <si>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</si>
  <si>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</si>
  <si>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</si>
  <si>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</si>
  <si>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</si>
  <si>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</si>
  <si>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</si>
  <si>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</si>
  <si>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</si>
  <si>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</si>
  <si>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</si>
  <si>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</si>
  <si>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</si>
  <si>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</si>
  <si>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</si>
  <si>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</si>
  <si>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</si>
  <si>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</si>
  <si>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</si>
  <si>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</si>
  <si>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</si>
  <si>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</si>
  <si>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</si>
  <si>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</si>
  <si>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</si>
  <si>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</si>
  <si>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</si>
  <si>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</si>
  <si>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</si>
  <si>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</si>
  <si>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</si>
  <si>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</si>
  <si>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</si>
  <si>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</si>
  <si>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</si>
  <si>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</si>
  <si>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</si>
  <si>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</si>
  <si>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</si>
  <si>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</si>
  <si>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</si>
  <si>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</si>
  <si>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</si>
  <si>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</si>
  <si>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</si>
  <si>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</si>
  <si>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Current Year Deduction</t>
  </si>
  <si>
    <t>UCC End of Bridge Year</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</si>
  <si>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</si>
  <si>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</si>
  <si>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</si>
  <si>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</si>
  <si>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</si>
  <si>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</si>
  <si>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</si>
  <si>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</si>
  <si>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</si>
  <si>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</si>
  <si>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</si>
  <si>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</si>
  <si>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</si>
  <si>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</si>
  <si>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</si>
  <si>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</si>
  <si>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</si>
  <si>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</si>
  <si>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</si>
  <si>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</si>
  <si>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</si>
  <si>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</si>
  <si>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</si>
  <si>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</si>
  <si>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</si>
  <si>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</si>
  <si>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Albany Power Corporation</t>
  </si>
  <si>
    <t>Fort Frances Power Corporation</t>
  </si>
  <si>
    <t>Greater Sudbury Hydro Inc.</t>
  </si>
  <si>
    <t>Haldimand County Hydro Inc.</t>
  </si>
  <si>
    <t>Hydro Hawkesbury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</si>
  <si>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</si>
  <si>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</si>
  <si>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</si>
  <si>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</si>
  <si>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</si>
  <si>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</si>
  <si>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</si>
  <si>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</si>
  <si>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</si>
  <si>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</si>
  <si>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</si>
  <si>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</si>
  <si>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</si>
  <si>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</si>
  <si>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</si>
  <si>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</si>
  <si>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</si>
  <si>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</si>
  <si>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</si>
  <si>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</si>
  <si>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</si>
  <si>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</si>
  <si>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Woodstock Hydro Services Inc.</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</si>
  <si>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</si>
  <si>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</si>
  <si>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</si>
  <si>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</si>
  <si>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</si>
  <si>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</si>
  <si>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</si>
  <si>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</si>
  <si>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</si>
  <si>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</si>
  <si>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</si>
  <si>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</si>
  <si>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</si>
  <si>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</si>
  <si>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</si>
  <si>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</si>
  <si>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</si>
  <si>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</si>
  <si>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</si>
  <si>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</si>
  <si>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</si>
  <si>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</si>
  <si>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</si>
  <si>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</si>
  <si>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</si>
  <si>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</si>
  <si>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</si>
  <si>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</si>
  <si>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</si>
  <si>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</si>
  <si>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</si>
  <si>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</si>
  <si>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</si>
  <si>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</si>
  <si>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</si>
  <si>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</si>
  <si>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</si>
  <si>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</si>
  <si>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</si>
  <si>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</si>
  <si>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</si>
  <si>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</si>
  <si>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</si>
  <si>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</si>
  <si>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</si>
  <si>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</si>
  <si>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</si>
  <si>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</si>
  <si>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</si>
  <si>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</si>
  <si>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</si>
  <si>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</si>
  <si>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</si>
  <si>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</si>
  <si>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</si>
  <si>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10 CEC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</si>
  <si>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</si>
  <si>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</si>
  <si>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</si>
  <si>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</si>
  <si>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</si>
  <si>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</si>
  <si>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</si>
  <si>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</si>
  <si>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</si>
  <si>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</si>
  <si>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Schedule 7-1 Loss Carry Forward - Test Year</t>
  </si>
  <si>
    <t>Taxable Income - Test Year</t>
  </si>
  <si>
    <t>PILs Tax Provision - Test Year</t>
  </si>
  <si>
    <t>Version</t>
  </si>
  <si>
    <t>Bluewater Power Distribution Corporation</t>
  </si>
  <si>
    <t>Erie Thames Powerlines Corporation</t>
  </si>
  <si>
    <t>Hearst Power Distribution Company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</si>
  <si>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</si>
  <si>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</si>
  <si>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</si>
  <si>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</si>
  <si>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</si>
  <si>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</si>
  <si>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</si>
  <si>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</si>
  <si>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</si>
  <si>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</si>
  <si>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</si>
  <si>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</si>
  <si>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</si>
  <si>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</si>
  <si>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</si>
  <si>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</si>
  <si>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</si>
  <si>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</si>
  <si>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</si>
  <si>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</si>
  <si>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Innpower Corporation</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</si>
  <si>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</si>
  <si>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</si>
  <si>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</si>
  <si>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</si>
  <si>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</si>
  <si>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</si>
  <si>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</si>
  <si>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</si>
  <si>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</si>
  <si>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</si>
  <si>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</si>
  <si>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</si>
  <si>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</si>
  <si>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</si>
  <si>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</si>
  <si>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</si>
  <si>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H10</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</si>
  <si>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</si>
  <si>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</si>
  <si>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</si>
  <si>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</si>
  <si>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</si>
  <si>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</si>
  <si>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</si>
  <si>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</si>
  <si>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</si>
  <si>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</si>
  <si>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</si>
  <si>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</si>
  <si>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</si>
  <si>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</si>
  <si>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</si>
  <si>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</si>
  <si>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</si>
  <si>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</si>
  <si>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</si>
  <si>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</si>
  <si>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</si>
  <si>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</si>
  <si>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</si>
  <si>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</si>
  <si>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H10 - Schedule 10 CEC Historical Year</t>
  </si>
  <si>
    <t>H13 - Schedule 13 Tax Reserves Historical</t>
  </si>
  <si>
    <t>B0 - PILs,Tax Provision Bridge Year</t>
  </si>
  <si>
    <t>B1 - Adj. Taxable Income Bridge Year</t>
  </si>
  <si>
    <t>B4 - Schedule 4 Loss Carry Forward Bridge Year</t>
  </si>
  <si>
    <t>B8 - Schedule 8 CCA Bridge Year</t>
  </si>
  <si>
    <t>B10 - Schedule 10 CEC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</si>
  <si>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</si>
  <si>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</si>
  <si>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</si>
  <si>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</si>
  <si>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</si>
  <si>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</si>
  <si>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</si>
  <si>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</si>
  <si>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</si>
  <si>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</si>
  <si>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</si>
  <si>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</si>
  <si>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</si>
  <si>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</si>
  <si>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</si>
  <si>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</si>
  <si>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As of May 16, 2016</t>
  </si>
  <si>
    <t xml:space="preserve">2. Regarding the small business deduction, if applicable, </t>
  </si>
  <si>
    <t xml:space="preserve">     a.  If taxable capital exceeds $15 million, the small business rate will not be applicable.</t>
  </si>
  <si>
    <t xml:space="preserve">     b. If taxable capital is below $10 million, the small business rate would be applicable.</t>
  </si>
  <si>
    <t xml:space="preserve">     c. If taxable capital is between $10 million and $15 million, the appropriate small business rate will be calculated.</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</si>
  <si>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</si>
  <si>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</si>
  <si>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</si>
  <si>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</si>
  <si>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</si>
  <si>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</si>
  <si>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</si>
  <si>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</si>
  <si>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</si>
  <si>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</si>
  <si>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</si>
  <si>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</si>
  <si>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</si>
  <si>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H8 - Schedule 8 Historical</t>
  </si>
  <si>
    <t>Balance available for use in Future Years</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</si>
  <si>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</si>
  <si>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</si>
  <si>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1. New CCA class 14.1 effective January 1, 2017. The class includes property that was eligible capital property immediately before January 1, 2017. For tax years that end prior to 2027, transitional rules apply to class 14.1 that were acquired before January 1, 2017</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</si>
  <si>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</si>
  <si>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</si>
  <si>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</si>
  <si>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</si>
  <si>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The capital additions and deductions in the UCC/ CCA Schedule 8 agree with the rate base section for historical, bridge and test years</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</si>
  <si>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 distribution tax amounts on Schedule 8.</t>
  </si>
  <si>
    <t>The CCA deductions in the application’s PILs tax model for historical, bridge and test years (as applicable) agree with the numbers in the UCC schedules for the same years filed in the application</t>
  </si>
  <si>
    <t>Loss carry-forwards, if any, from the tax returns (Schedule 4) agree with those disclosed in the application</t>
  </si>
  <si>
    <t>CCA is maximized even if there are tax loss carry-forwards</t>
  </si>
  <si>
    <t>A discussion  is included in the application as to when the loss carry-forwards, if any, will be fully utilized</t>
  </si>
  <si>
    <t>Accounting OPEB and pension amounts added back on Schedule 1 to reconcile accounting income to net income for tax purposes, must agree with the OM&amp;A analysis for compensation. The amounts deducted must be reasonable when compared with the notes in the audited financial statements, FSCO reports, and the actuarial valuations.</t>
  </si>
  <si>
    <t>The income tax rate used to calculate the tax expense must be consistent with the utility’s actual tax facts and evidence filed in the application.</t>
  </si>
  <si>
    <t>The applicant must ensure the following integrity checks have been completed and confirm this is the case in the table below, or provide an explanation if this is not the case:</t>
  </si>
  <si>
    <t xml:space="preserve">Attawapiskat Power Corp. </t>
  </si>
  <si>
    <t>Canadian Niagara Power Inc. - Eastern Ontario Power</t>
  </si>
  <si>
    <t>Canadian Niagara Power Inc. - Fort Erie</t>
  </si>
  <si>
    <t>Canadian Niagara Power Inc. - Port Colborne Hydro Inc.</t>
  </si>
  <si>
    <t>Entegrus Powerlines Inc. - Chatham-Kent</t>
  </si>
  <si>
    <t>Clinton Power Corporation</t>
  </si>
  <si>
    <t>COLLUS Power Corporation</t>
  </si>
  <si>
    <t>ENWIN Utilities Ltd.</t>
  </si>
  <si>
    <t>Festival Hydro Inc. - Hensall</t>
  </si>
  <si>
    <t>Entegrus Powerlines Inc. - Strathroy, Mount Brydges &amp; Parkhill</t>
  </si>
  <si>
    <t>Entegrus Powerlines Inc. - Dutton</t>
  </si>
  <si>
    <t>Entegrus Powerlines Inc. - Newbury</t>
  </si>
  <si>
    <t>Milton Hydro Distribution inc.</t>
  </si>
  <si>
    <t>Newmarket - Tay Power Distribution Ltd. - Newmarket</t>
  </si>
  <si>
    <t>Newmarket - Tay Power Distribution Ltd. - Tay</t>
  </si>
  <si>
    <t>Lakeland Power Distribution Ltd. - Parry Sound Service Territory</t>
  </si>
  <si>
    <t>West Perth Power Inc.</t>
  </si>
  <si>
    <t>Energy Plus Inc. - Brant County</t>
  </si>
  <si>
    <t>Energy Plus Inc. - Cambridge and North Dumfries</t>
  </si>
  <si>
    <t>Alectra Utilities Corporation - Enersource Hydro Mississauga Inc.</t>
  </si>
  <si>
    <t>Alectra Utilities Corporation - Horizon Utilities Corporation</t>
  </si>
  <si>
    <t>Alectra Utilities Corporation - Hydro One Brampton Networks Inc.</t>
  </si>
  <si>
    <t>Alectra Utilities Corporation - PowerStream Inc.</t>
  </si>
  <si>
    <t>Loss Carry Forward Generated in Bridge Year (if any)</t>
  </si>
  <si>
    <t>Loss Carry Forward Generated in Test Year (if any)</t>
  </si>
  <si>
    <t>Actual/Estimated Bridge Year Carried Forward</t>
  </si>
  <si>
    <t>Utility Confirmation (Y/N)</t>
  </si>
  <si>
    <t>EB-2017-0038</t>
  </si>
  <si>
    <t>Graig Pettit, Director - Regulatory, Finance &amp; Customer Relations</t>
  </si>
  <si>
    <t>519-485-1820</t>
  </si>
  <si>
    <t>gpettit@eriethamespower.com</t>
  </si>
  <si>
    <t>Yes</t>
  </si>
  <si>
    <t>No</t>
  </si>
  <si>
    <t>Amortization of MIFRS</t>
  </si>
  <si>
    <t>Smart Meter Recovery for tax purposes</t>
  </si>
  <si>
    <t>Capital Items expensed for tax</t>
  </si>
  <si>
    <t>Sale of Scrap/COOP Credit/Post Retirement Adj</t>
  </si>
  <si>
    <t>Capital Items Expensed for Tax</t>
  </si>
  <si>
    <t>Includes transfer of CEC balance from Schedule 10 to Class 14.1 on January 1,2017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</si>
</sst>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_);_(* \(#,##0\);_(* &quot;-&quot;_);_(@_)"/>
    <numFmt numFmtId="165" formatCode="_-&quot;$&quot;* #,##0_-;\-&quot;$&quot;* #,##0_-;_-&quot;$&quot;* &quot;-&quot;??_-;_-@_-"/>
    <numFmt numFmtId="166" formatCode="0.0"/>
    <numFmt numFmtId="167" formatCode="[$-F800]dddd\,\ mmmm\ dd\,\ yyyy"/>
    <numFmt numFmtId="168" formatCode="[$-1009]mmmm\ d\,\ yyyy;@"/>
    <numFmt numFmtId="169" formatCode="_-* #,##0_-;\-* #,##0_-;_-* &quot;-&quot;??_-;_-@_-"/>
    <numFmt numFmtId="170" formatCode="0.0%"/>
    <numFmt numFmtId="171" formatCode="mmmm\ d\,\ yyyy"/>
    <numFmt numFmtId="172" formatCode="_-&quot;$&quot;* #,##0_-;\-&quot;$&quot;* #,##0_-;_-&quot;$&quot;* &quot;-&quot;?_-;_-@_-"/>
  </numFmts>
  <fonts count="89"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name val="Arial"/>
      <family val="2"/>
    </font>
    <font>
      <b/>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perscript"/>
      <sz val="10"/>
      <name val="Arial"/>
      <family val="2"/>
    </font>
    <font>
      <sz val="11"/>
      <color indexed="8"/>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s>
  <cellStyleXfs count="62">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5" borderId="0" applyNumberFormat="0" applyBorder="0" applyAlignment="0" applyProtection="0"/>
    <xf numFmtId="0" fontId="48" fillId="8" borderId="0" applyNumberFormat="0" applyBorder="0" applyAlignment="0" applyProtection="0"/>
    <xf numFmtId="0" fontId="48" fillId="11" borderId="0" applyNumberFormat="0" applyBorder="0" applyAlignment="0" applyProtection="0"/>
    <xf numFmtId="0" fontId="49" fillId="12"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3" borderId="0" applyNumberFormat="0" applyBorder="0" applyAlignment="0" applyProtection="0"/>
    <xf numFmtId="0" fontId="49" fillId="14" borderId="0" applyNumberFormat="0" applyBorder="0" applyAlignment="0" applyProtection="0"/>
    <xf numFmtId="0" fontId="49" fillId="19" borderId="0" applyNumberFormat="0" applyBorder="0" applyAlignment="0" applyProtection="0"/>
    <xf numFmtId="0" fontId="50" fillId="3" borderId="0" applyNumberFormat="0" applyBorder="0" applyAlignment="0" applyProtection="0"/>
    <xf numFmtId="0" fontId="51" fillId="20" borderId="1" applyNumberFormat="0" applyAlignment="0" applyProtection="0"/>
    <xf numFmtId="0" fontId="1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2" fillId="0" borderId="0" applyNumberFormat="0" applyFill="0" applyBorder="0" applyAlignment="0" applyProtection="0"/>
    <xf numFmtId="0" fontId="53" fillId="4"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2" fillId="0" borderId="0" applyNumberFormat="0" applyFill="0" applyBorder="0" applyAlignment="0" applyProtection="0">
      <alignment vertical="top"/>
      <protection locked="0"/>
    </xf>
    <xf numFmtId="0" fontId="57" fillId="7" borderId="1" applyNumberFormat="0" applyAlignment="0" applyProtection="0"/>
    <xf numFmtId="0" fontId="58" fillId="0" borderId="6" applyNumberFormat="0" applyFill="0" applyAlignment="0" applyProtection="0"/>
    <xf numFmtId="0" fontId="59"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0" borderId="0" applyNumberFormat="0" applyFill="0" applyBorder="0" applyAlignment="0" applyProtection="0"/>
    <xf numFmtId="0" fontId="88" fillId="0" borderId="0"/>
    <xf numFmtId="0" fontId="41" fillId="12"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9" borderId="0" applyNumberFormat="0" applyBorder="0" applyAlignment="0" applyProtection="0"/>
    <xf numFmtId="0" fontId="1" fillId="23" borderId="7" applyNumberFormat="0" applyFont="0" applyAlignment="0" applyProtection="0"/>
  </cellStyleXfs>
  <cellXfs count="642">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24" borderId="0" xfId="0" applyFill="1" applyBorder="1" applyAlignment="1" applyProtection="1"/>
    <xf numFmtId="0" fontId="0" fillId="0" borderId="0" xfId="0" applyProtection="1"/>
    <xf numFmtId="0" fontId="0" fillId="24" borderId="0" xfId="0" applyFill="1" applyProtection="1"/>
    <xf numFmtId="0" fontId="0" fillId="24" borderId="0" xfId="0" applyFill="1" applyAlignment="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7" fillId="25" borderId="10" xfId="40" applyFont="1" applyFill="1" applyBorder="1" applyAlignment="1" applyProtection="1">
      <alignment vertical="center" wrapText="1"/>
    </xf>
    <xf numFmtId="3" fontId="13" fillId="25" borderId="11" xfId="40" applyNumberFormat="1" applyFont="1" applyFill="1" applyBorder="1" applyAlignment="1" applyProtection="1">
      <alignment horizontal="center" vertical="center" wrapText="1"/>
    </xf>
    <xf numFmtId="3" fontId="13" fillId="25" borderId="12" xfId="40" applyNumberFormat="1" applyFont="1" applyFill="1" applyBorder="1" applyAlignment="1" applyProtection="1">
      <alignment horizontal="center" vertical="center" wrapText="1"/>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0" fontId="20" fillId="25" borderId="16"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0" xfId="40" applyFont="1" applyFill="1" applyBorder="1" applyAlignment="1" applyProtection="1">
      <alignment horizontal="left" vertical="center" wrapText="1" inden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xf>
    <xf numFmtId="0" fontId="18"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xf>
    <xf numFmtId="0" fontId="18" fillId="24" borderId="10" xfId="0" applyFont="1" applyFill="1" applyBorder="1" applyAlignment="1" applyProtection="1">
      <alignment wrapText="1"/>
    </xf>
    <xf numFmtId="0" fontId="6" fillId="24" borderId="10" xfId="0" applyFont="1" applyFill="1" applyBorder="1" applyAlignment="1" applyProtection="1">
      <alignment horizontal="center"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12" fillId="24" borderId="10" xfId="0" applyFont="1" applyFill="1" applyBorder="1" applyAlignment="1" applyProtection="1">
      <alignment horizontal="center" vertical="center"/>
    </xf>
    <xf numFmtId="0" fontId="12" fillId="24" borderId="10" xfId="0" applyFont="1" applyFill="1" applyBorder="1" applyAlignment="1" applyProtection="1">
      <alignment horizontal="center" vertical="center" wrapText="1"/>
    </xf>
    <xf numFmtId="0" fontId="12" fillId="24" borderId="14" xfId="0" applyFont="1" applyFill="1" applyBorder="1" applyProtection="1"/>
    <xf numFmtId="0" fontId="28" fillId="24" borderId="0" xfId="0" applyFont="1" applyFill="1" applyProtection="1"/>
    <xf numFmtId="0" fontId="0" fillId="24" borderId="0" xfId="0" applyFill="1" applyAlignment="1" applyProtection="1">
      <alignment horizontal="right"/>
    </xf>
    <xf numFmtId="3" fontId="13" fillId="24" borderId="0" xfId="0" applyNumberFormat="1" applyFont="1" applyFill="1" applyAlignment="1" applyProtection="1">
      <alignment horizontal="right"/>
    </xf>
    <xf numFmtId="0" fontId="11" fillId="24" borderId="0" xfId="0" applyFont="1" applyFill="1" applyAlignment="1" applyProtection="1">
      <alignment horizontal="left"/>
    </xf>
    <xf numFmtId="0" fontId="28" fillId="24" borderId="0" xfId="0" applyFont="1" applyFill="1" applyAlignment="1" applyProtection="1">
      <alignment horizontal="right"/>
    </xf>
    <xf numFmtId="0" fontId="0" fillId="24" borderId="0" xfId="0" applyFill="1" applyBorder="1" applyAlignment="1" applyProtection="1">
      <alignment horizontal="right"/>
    </xf>
    <xf numFmtId="0" fontId="6" fillId="24" borderId="0" xfId="0" applyFont="1" applyFill="1" applyAlignment="1" applyProtection="1">
      <alignment horizontal="right"/>
    </xf>
    <xf numFmtId="3" fontId="0" fillId="24" borderId="0" xfId="0" applyNumberFormat="1" applyFill="1" applyAlignment="1" applyProtection="1">
      <alignment horizontal="right"/>
    </xf>
    <xf numFmtId="3" fontId="0" fillId="24" borderId="0" xfId="0" applyNumberFormat="1" applyFill="1" applyAlignment="1" applyProtection="1">
      <alignment horizontal="center"/>
    </xf>
    <xf numFmtId="3" fontId="0" fillId="24" borderId="0" xfId="0" applyNumberFormat="1" applyFill="1" applyAlignment="1" applyProtection="1">
      <alignment horizontal="right" vertical="center"/>
    </xf>
    <xf numFmtId="3" fontId="6" fillId="24" borderId="0" xfId="0" applyNumberFormat="1" applyFont="1" applyFill="1" applyProtection="1"/>
    <xf numFmtId="3" fontId="6" fillId="24" borderId="12" xfId="0" applyNumberFormat="1" applyFont="1" applyFill="1" applyBorder="1" applyProtection="1"/>
    <xf numFmtId="0" fontId="0" fillId="24" borderId="0" xfId="0" applyFill="1" applyAlignment="1" applyProtection="1">
      <alignment horizontal="center"/>
    </xf>
    <xf numFmtId="3" fontId="13" fillId="24" borderId="0" xfId="0" applyNumberFormat="1" applyFont="1" applyFill="1" applyProtection="1"/>
    <xf numFmtId="3" fontId="6" fillId="24" borderId="16" xfId="0" applyNumberFormat="1" applyFont="1" applyFill="1" applyBorder="1" applyProtection="1"/>
    <xf numFmtId="0" fontId="0" fillId="24" borderId="16" xfId="0" applyFill="1" applyBorder="1" applyProtection="1"/>
    <xf numFmtId="0" fontId="6" fillId="24" borderId="0" xfId="0" applyFont="1" applyFill="1" applyProtection="1"/>
    <xf numFmtId="0" fontId="31" fillId="25" borderId="0" xfId="40" applyFont="1" applyFill="1" applyAlignment="1" applyProtection="1">
      <alignment horizontal="center" vertical="top"/>
    </xf>
    <xf numFmtId="0" fontId="32" fillId="25" borderId="0" xfId="40" applyFont="1" applyFill="1" applyProtection="1">
      <alignment vertical="top"/>
    </xf>
    <xf numFmtId="0" fontId="31" fillId="25" borderId="0" xfId="40" applyFont="1" applyFill="1" applyProtection="1">
      <alignment vertical="top"/>
    </xf>
    <xf numFmtId="0" fontId="33" fillId="25" borderId="14" xfId="40" applyFont="1" applyFill="1" applyBorder="1" applyAlignment="1" applyProtection="1">
      <alignment horizontal="center" vertical="center" wrapText="1"/>
    </xf>
    <xf numFmtId="0" fontId="33" fillId="25" borderId="15" xfId="40" applyFont="1" applyFill="1" applyBorder="1" applyAlignment="1" applyProtection="1">
      <alignment horizontal="center" vertical="center" wrapText="1"/>
    </xf>
    <xf numFmtId="0" fontId="34" fillId="25" borderId="15" xfId="40" applyFont="1" applyFill="1" applyBorder="1" applyAlignment="1" applyProtection="1">
      <alignment horizontal="center" vertical="center" wrapText="1"/>
    </xf>
    <xf numFmtId="0" fontId="33" fillId="25" borderId="17" xfId="40" applyFont="1" applyFill="1" applyBorder="1" applyAlignment="1" applyProtection="1">
      <alignment horizontal="center" vertical="center" wrapText="1"/>
    </xf>
    <xf numFmtId="0" fontId="35" fillId="25" borderId="0" xfId="40" applyFont="1" applyFill="1" applyBorder="1" applyAlignment="1" applyProtection="1">
      <alignment horizontal="right" vertical="center"/>
    </xf>
    <xf numFmtId="0" fontId="35" fillId="25" borderId="0" xfId="40" applyFont="1" applyFill="1" applyBorder="1" applyAlignment="1" applyProtection="1">
      <alignment horizontal="center" vertical="center"/>
    </xf>
    <xf numFmtId="3" fontId="35" fillId="25" borderId="10" xfId="40" applyNumberFormat="1" applyFont="1" applyFill="1" applyBorder="1" applyAlignment="1" applyProtection="1">
      <alignment vertical="center"/>
    </xf>
    <xf numFmtId="3" fontId="35" fillId="25" borderId="10" xfId="40" applyNumberFormat="1" applyFont="1" applyFill="1" applyBorder="1" applyAlignment="1" applyProtection="1">
      <alignment horizontal="right" vertical="center"/>
    </xf>
    <xf numFmtId="3" fontId="35" fillId="24" borderId="10" xfId="40" applyNumberFormat="1" applyFont="1" applyFill="1" applyBorder="1" applyAlignment="1" applyProtection="1">
      <alignment horizontal="right" vertical="center"/>
    </xf>
    <xf numFmtId="3" fontId="35" fillId="24" borderId="10" xfId="40" applyNumberFormat="1" applyFont="1" applyFill="1" applyBorder="1" applyAlignment="1" applyProtection="1">
      <alignment horizontal="center" vertical="center"/>
    </xf>
    <xf numFmtId="3" fontId="35" fillId="24" borderId="10" xfId="40" applyNumberFormat="1" applyFont="1" applyFill="1" applyBorder="1" applyAlignment="1" applyProtection="1">
      <alignment vertical="center"/>
    </xf>
    <xf numFmtId="0" fontId="37" fillId="25" borderId="14" xfId="40" applyFont="1" applyFill="1" applyBorder="1" applyAlignment="1" applyProtection="1">
      <alignment vertical="center"/>
    </xf>
    <xf numFmtId="3" fontId="33" fillId="25" borderId="15" xfId="40" applyNumberFormat="1" applyFont="1" applyFill="1" applyBorder="1" applyAlignment="1" applyProtection="1">
      <alignment horizontal="right" vertical="center"/>
    </xf>
    <xf numFmtId="3" fontId="33" fillId="25" borderId="17" xfId="40" applyNumberFormat="1" applyFont="1" applyFill="1" applyBorder="1" applyAlignment="1" applyProtection="1">
      <alignment horizontal="right" vertical="center"/>
    </xf>
    <xf numFmtId="3" fontId="38" fillId="25" borderId="19" xfId="40" applyNumberFormat="1" applyFont="1" applyFill="1" applyBorder="1" applyAlignment="1" applyProtection="1">
      <alignment horizontal="right" vertical="center"/>
    </xf>
    <xf numFmtId="3" fontId="35" fillId="25" borderId="19" xfId="40" applyNumberFormat="1" applyFont="1" applyFill="1" applyBorder="1" applyAlignment="1" applyProtection="1">
      <alignment horizontal="right" vertical="center"/>
    </xf>
    <xf numFmtId="3" fontId="35" fillId="25" borderId="19" xfId="40" applyNumberFormat="1" applyFont="1" applyFill="1" applyBorder="1" applyAlignment="1" applyProtection="1">
      <alignment horizontal="center" vertical="center"/>
    </xf>
    <xf numFmtId="3" fontId="35" fillId="25" borderId="19" xfId="40" applyNumberFormat="1" applyFont="1" applyFill="1" applyBorder="1" applyAlignment="1" applyProtection="1">
      <alignment vertical="center"/>
    </xf>
    <xf numFmtId="3" fontId="33" fillId="25" borderId="15" xfId="40" applyNumberFormat="1" applyFont="1" applyFill="1" applyBorder="1" applyAlignment="1" applyProtection="1">
      <alignment vertical="center"/>
    </xf>
    <xf numFmtId="3" fontId="33" fillId="25" borderId="17" xfId="40" applyNumberFormat="1" applyFont="1" applyFill="1" applyBorder="1" applyAlignment="1" applyProtection="1">
      <alignment vertical="center"/>
    </xf>
    <xf numFmtId="0" fontId="36" fillId="25" borderId="0" xfId="40" applyFont="1" applyFill="1" applyProtection="1">
      <alignment vertical="top"/>
    </xf>
    <xf numFmtId="3" fontId="38" fillId="25" borderId="0" xfId="40" applyNumberFormat="1" applyFont="1" applyFill="1" applyBorder="1" applyAlignment="1" applyProtection="1">
      <alignment horizontal="right" vertical="top"/>
    </xf>
    <xf numFmtId="3" fontId="35" fillId="25" borderId="0" xfId="40" applyNumberFormat="1" applyFont="1" applyFill="1" applyBorder="1" applyAlignment="1" applyProtection="1">
      <alignment horizontal="right" vertical="top"/>
    </xf>
    <xf numFmtId="3" fontId="35" fillId="25" borderId="0" xfId="40" applyNumberFormat="1" applyFont="1" applyFill="1" applyBorder="1" applyAlignment="1" applyProtection="1">
      <alignment horizontal="center" vertical="top"/>
    </xf>
    <xf numFmtId="3" fontId="35"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164"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20" xfId="0" applyFont="1" applyFill="1" applyBorder="1" applyProtection="1"/>
    <xf numFmtId="0" fontId="18" fillId="24" borderId="10" xfId="0" applyFont="1" applyFill="1" applyBorder="1" applyProtection="1"/>
    <xf numFmtId="0" fontId="23"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2"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40" fillId="24" borderId="0" xfId="0" applyFont="1" applyFill="1" applyProtection="1"/>
    <xf numFmtId="165" fontId="42" fillId="24" borderId="0" xfId="29" applyNumberFormat="1" applyFont="1" applyFill="1" applyProtection="1"/>
    <xf numFmtId="0" fontId="10" fillId="24" borderId="0" xfId="0" applyFont="1" applyFill="1" applyProtection="1"/>
    <xf numFmtId="165" fontId="10" fillId="24" borderId="0" xfId="0" applyNumberFormat="1" applyFont="1" applyFill="1" applyBorder="1" applyProtection="1"/>
    <xf numFmtId="0" fontId="39" fillId="24" borderId="0" xfId="0" applyFont="1" applyFill="1" applyAlignment="1" applyProtection="1">
      <alignment horizontal="center" wrapText="1"/>
    </xf>
    <xf numFmtId="0" fontId="6" fillId="24" borderId="19" xfId="0" applyFont="1" applyFill="1" applyBorder="1" applyAlignment="1" applyProtection="1">
      <alignment horizontal="center" vertical="center"/>
    </xf>
    <xf numFmtId="0" fontId="18" fillId="24" borderId="19" xfId="0" applyFont="1" applyFill="1" applyBorder="1" applyAlignment="1" applyProtection="1">
      <alignment horizontal="center" vertical="center"/>
    </xf>
    <xf numFmtId="0" fontId="18" fillId="24" borderId="19" xfId="0" applyFont="1" applyFill="1" applyBorder="1" applyAlignment="1" applyProtection="1">
      <alignment horizontal="center" vertical="center" wrapText="1"/>
    </xf>
    <xf numFmtId="0" fontId="45" fillId="24" borderId="0" xfId="0" applyFont="1" applyFill="1" applyBorder="1" applyAlignment="1" applyProtection="1">
      <alignment horizontal="center"/>
    </xf>
    <xf numFmtId="0" fontId="6" fillId="26" borderId="1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6"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6" fontId="9" fillId="0" borderId="0" xfId="0" applyNumberFormat="1" applyFont="1" applyFill="1" applyBorder="1" applyAlignment="1" applyProtection="1">
      <alignment horizontal="left"/>
    </xf>
    <xf numFmtId="0" fontId="10" fillId="0" borderId="0" xfId="0" applyFont="1" applyFill="1" applyBorder="1" applyAlignment="1" applyProtection="1"/>
    <xf numFmtId="165" fontId="10" fillId="24" borderId="16" xfId="29" applyNumberFormat="1" applyFont="1" applyFill="1" applyBorder="1" applyProtection="1"/>
    <xf numFmtId="165" fontId="10" fillId="24" borderId="23" xfId="29" applyNumberFormat="1" applyFont="1" applyFill="1" applyBorder="1" applyProtection="1"/>
    <xf numFmtId="0" fontId="35" fillId="25" borderId="16" xfId="40" applyFont="1" applyFill="1" applyBorder="1" applyAlignment="1" applyProtection="1">
      <alignment horizontal="right" vertical="center"/>
    </xf>
    <xf numFmtId="0" fontId="35" fillId="25" borderId="16" xfId="40" applyFont="1" applyFill="1" applyBorder="1" applyAlignment="1" applyProtection="1">
      <alignment vertical="center"/>
    </xf>
    <xf numFmtId="0" fontId="35" fillId="25" borderId="24" xfId="40" applyFont="1" applyFill="1" applyBorder="1" applyAlignment="1" applyProtection="1">
      <alignment vertical="center" wrapText="1"/>
    </xf>
    <xf numFmtId="0" fontId="35" fillId="25" borderId="25" xfId="40" applyFont="1" applyFill="1" applyBorder="1" applyAlignment="1" applyProtection="1">
      <alignment vertical="center"/>
    </xf>
    <xf numFmtId="0" fontId="35" fillId="25" borderId="26" xfId="40" applyFont="1" applyFill="1" applyBorder="1" applyAlignment="1" applyProtection="1">
      <alignment vertical="center" wrapText="1"/>
    </xf>
    <xf numFmtId="3" fontId="35" fillId="25" borderId="27" xfId="40" applyNumberFormat="1" applyFont="1" applyFill="1" applyBorder="1" applyAlignment="1" applyProtection="1">
      <alignment vertical="center"/>
    </xf>
    <xf numFmtId="0" fontId="35" fillId="25" borderId="26" xfId="40" applyFont="1" applyFill="1" applyBorder="1" applyAlignment="1" applyProtection="1">
      <alignment horizontal="left" vertical="center" wrapText="1"/>
    </xf>
    <xf numFmtId="0" fontId="35" fillId="25" borderId="28" xfId="40" applyFont="1" applyFill="1" applyBorder="1" applyAlignment="1" applyProtection="1">
      <alignment vertical="center" wrapText="1"/>
    </xf>
    <xf numFmtId="3" fontId="38" fillId="25" borderId="29" xfId="40" applyNumberFormat="1" applyFont="1" applyFill="1" applyBorder="1" applyAlignment="1" applyProtection="1">
      <alignment horizontal="right" vertical="center"/>
    </xf>
    <xf numFmtId="0" fontId="35" fillId="25" borderId="26" xfId="40" quotePrefix="1" applyFont="1" applyFill="1" applyBorder="1" applyAlignment="1" applyProtection="1">
      <alignment horizontal="left" vertical="center" wrapText="1" indent="1"/>
    </xf>
    <xf numFmtId="165" fontId="40" fillId="24" borderId="0" xfId="29" applyNumberFormat="1" applyFont="1" applyFill="1" applyAlignment="1" applyProtection="1">
      <alignment horizontal="center"/>
    </xf>
    <xf numFmtId="0" fontId="40" fillId="24" borderId="0" xfId="0" applyFont="1" applyFill="1" applyAlignment="1" applyProtection="1">
      <alignment horizontal="center"/>
    </xf>
    <xf numFmtId="0" fontId="40" fillId="24" borderId="0" xfId="0" applyFont="1" applyFill="1" applyAlignment="1" applyProtection="1">
      <alignment horizontal="right"/>
    </xf>
    <xf numFmtId="165" fontId="3" fillId="24" borderId="0" xfId="29" applyNumberFormat="1" applyFont="1" applyFill="1" applyAlignment="1" applyProtection="1">
      <alignment horizontal="center"/>
    </xf>
    <xf numFmtId="165"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5" fontId="3" fillId="24" borderId="0" xfId="29" applyNumberFormat="1" applyFont="1" applyFill="1" applyBorder="1" applyAlignment="1" applyProtection="1">
      <alignment horizontal="center"/>
    </xf>
    <xf numFmtId="0" fontId="9" fillId="25" borderId="31" xfId="40" applyFont="1" applyFill="1" applyBorder="1" applyProtection="1">
      <alignment vertical="top"/>
    </xf>
    <xf numFmtId="0" fontId="17" fillId="25" borderId="32"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5" borderId="33" xfId="40" applyFont="1" applyFill="1" applyBorder="1" applyAlignment="1" applyProtection="1">
      <alignment horizontal="center" vertical="center" wrapText="1"/>
    </xf>
    <xf numFmtId="0" fontId="18" fillId="24" borderId="26" xfId="40" applyFont="1" applyFill="1" applyBorder="1" applyAlignment="1" applyProtection="1">
      <alignment vertical="center"/>
    </xf>
    <xf numFmtId="3" fontId="19" fillId="0" borderId="27" xfId="40" applyNumberFormat="1" applyFont="1" applyFill="1" applyBorder="1" applyAlignment="1" applyProtection="1">
      <alignment horizontal="right" vertical="top"/>
    </xf>
    <xf numFmtId="0" fontId="18" fillId="25" borderId="26" xfId="40" applyFont="1" applyFill="1" applyBorder="1" applyAlignment="1" applyProtection="1">
      <alignment vertical="center" wrapText="1"/>
    </xf>
    <xf numFmtId="3" fontId="19" fillId="25" borderId="34" xfId="40" applyNumberFormat="1" applyFont="1" applyFill="1" applyBorder="1" applyAlignment="1" applyProtection="1">
      <alignment horizontal="center" vertical="center" wrapText="1"/>
    </xf>
    <xf numFmtId="0" fontId="19" fillId="25" borderId="26" xfId="40" applyFont="1" applyFill="1" applyBorder="1" applyAlignment="1" applyProtection="1">
      <alignment horizontal="left" vertical="center" wrapText="1" indent="1"/>
    </xf>
    <xf numFmtId="0" fontId="19" fillId="24" borderId="26" xfId="40" applyFont="1" applyFill="1" applyBorder="1" applyAlignment="1" applyProtection="1">
      <alignment horizontal="left" vertical="center" wrapText="1" indent="1"/>
    </xf>
    <xf numFmtId="3" fontId="19" fillId="0" borderId="27" xfId="40" applyNumberFormat="1" applyFont="1" applyFill="1" applyBorder="1" applyAlignment="1" applyProtection="1">
      <alignment vertical="center" wrapText="1"/>
    </xf>
    <xf numFmtId="3" fontId="19" fillId="24" borderId="27" xfId="40" applyNumberFormat="1" applyFont="1" applyFill="1" applyBorder="1" applyAlignment="1" applyProtection="1">
      <alignment horizontal="right" vertical="top"/>
    </xf>
    <xf numFmtId="0" fontId="18" fillId="25" borderId="35" xfId="40" applyFont="1" applyFill="1" applyBorder="1" applyAlignment="1" applyProtection="1">
      <alignment horizontal="center" vertical="center" wrapText="1"/>
    </xf>
    <xf numFmtId="0" fontId="18" fillId="25" borderId="36" xfId="40" applyFont="1" applyFill="1" applyBorder="1" applyAlignment="1" applyProtection="1">
      <alignment horizontal="center" vertical="center" wrapText="1"/>
    </xf>
    <xf numFmtId="0" fontId="18" fillId="25" borderId="24" xfId="40" applyFont="1" applyFill="1" applyBorder="1" applyAlignment="1" applyProtection="1">
      <alignment vertical="center" wrapText="1"/>
    </xf>
    <xf numFmtId="0" fontId="20" fillId="25" borderId="25" xfId="40" applyFont="1" applyFill="1" applyBorder="1" applyAlignment="1" applyProtection="1">
      <alignment horizontal="center" vertical="center" wrapText="1"/>
    </xf>
    <xf numFmtId="3" fontId="19" fillId="24" borderId="27" xfId="40" applyNumberFormat="1" applyFont="1" applyFill="1" applyBorder="1" applyAlignment="1" applyProtection="1">
      <alignment horizontal="right" vertical="center"/>
    </xf>
    <xf numFmtId="0" fontId="22" fillId="25" borderId="26" xfId="40" applyFont="1" applyFill="1" applyBorder="1" applyAlignment="1" applyProtection="1">
      <alignment horizontal="left" vertical="center" wrapText="1" indent="1"/>
    </xf>
    <xf numFmtId="0" fontId="18" fillId="25" borderId="26" xfId="40" applyFont="1" applyFill="1" applyBorder="1" applyAlignment="1" applyProtection="1">
      <alignment horizontal="left" vertical="center" wrapText="1"/>
    </xf>
    <xf numFmtId="0" fontId="19" fillId="25" borderId="26" xfId="40" applyFont="1" applyFill="1" applyBorder="1" applyAlignment="1" applyProtection="1">
      <alignment vertical="center" wrapText="1"/>
    </xf>
    <xf numFmtId="3" fontId="0" fillId="24" borderId="27" xfId="0" applyNumberFormat="1" applyFill="1" applyBorder="1" applyProtection="1"/>
    <xf numFmtId="0" fontId="6" fillId="25" borderId="26" xfId="40" applyFont="1" applyFill="1" applyBorder="1" applyAlignment="1" applyProtection="1">
      <alignment vertical="center" wrapText="1"/>
    </xf>
    <xf numFmtId="3" fontId="6" fillId="24" borderId="27" xfId="40" applyNumberFormat="1" applyFont="1" applyFill="1" applyBorder="1" applyAlignment="1" applyProtection="1">
      <alignment vertical="center" wrapText="1"/>
    </xf>
    <xf numFmtId="0" fontId="6" fillId="24" borderId="37" xfId="40" applyFont="1" applyFill="1" applyBorder="1" applyAlignment="1" applyProtection="1">
      <alignment vertical="center" wrapText="1"/>
    </xf>
    <xf numFmtId="0" fontId="20" fillId="25" borderId="38" xfId="40"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3" fontId="6" fillId="24" borderId="39" xfId="40" applyNumberFormat="1" applyFont="1" applyFill="1" applyBorder="1" applyAlignment="1" applyProtection="1">
      <alignment vertical="center" wrapText="1"/>
    </xf>
    <xf numFmtId="0" fontId="6" fillId="24" borderId="16" xfId="0" applyFont="1" applyFill="1" applyBorder="1" applyProtection="1"/>
    <xf numFmtId="0" fontId="29" fillId="24" borderId="16" xfId="0" applyFont="1" applyFill="1" applyBorder="1" applyProtection="1"/>
    <xf numFmtId="0" fontId="30" fillId="24" borderId="16" xfId="0" applyFont="1" applyFill="1" applyBorder="1" applyProtection="1"/>
    <xf numFmtId="3" fontId="29" fillId="24" borderId="16" xfId="0" applyNumberFormat="1" applyFont="1" applyFill="1" applyBorder="1" applyProtection="1"/>
    <xf numFmtId="0" fontId="6" fillId="24" borderId="16" xfId="0" applyFont="1" applyFill="1" applyBorder="1" applyAlignment="1" applyProtection="1">
      <alignment horizontal="right"/>
    </xf>
    <xf numFmtId="0" fontId="28" fillId="24" borderId="16" xfId="0" applyFont="1" applyFill="1" applyBorder="1" applyProtection="1"/>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35" fillId="25" borderId="40" xfId="40" applyFont="1" applyFill="1" applyBorder="1" applyAlignment="1" applyProtection="1">
      <alignment vertical="center" wrapText="1"/>
    </xf>
    <xf numFmtId="0" fontId="35" fillId="25" borderId="0" xfId="40" applyFont="1" applyFill="1" applyBorder="1" applyAlignment="1" applyProtection="1">
      <alignment vertical="center"/>
    </xf>
    <xf numFmtId="0" fontId="35" fillId="25" borderId="41" xfId="40" applyFont="1" applyFill="1" applyBorder="1" applyAlignment="1" applyProtection="1">
      <alignment vertical="center"/>
    </xf>
    <xf numFmtId="0" fontId="33" fillId="25" borderId="26" xfId="40" applyFont="1" applyFill="1" applyBorder="1" applyAlignment="1" applyProtection="1">
      <alignment horizontal="left" vertical="center" wrapText="1"/>
    </xf>
    <xf numFmtId="3" fontId="35" fillId="25" borderId="29" xfId="40" applyNumberFormat="1" applyFont="1" applyFill="1" applyBorder="1" applyAlignment="1" applyProtection="1">
      <alignment vertical="center"/>
    </xf>
    <xf numFmtId="0" fontId="35" fillId="25" borderId="26"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9" xfId="40" applyFont="1" applyFill="1" applyBorder="1" applyAlignment="1" applyProtection="1">
      <alignment horizontal="center" vertical="center" wrapText="1"/>
    </xf>
    <xf numFmtId="0" fontId="21" fillId="25" borderId="43"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1"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9"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2"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6"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0" fontId="6" fillId="0" borderId="10" xfId="0" applyFont="1" applyFill="1" applyBorder="1" applyAlignment="1" applyProtection="1">
      <alignment horizontal="center"/>
    </xf>
    <xf numFmtId="0" fontId="18" fillId="0" borderId="10" xfId="0" applyFont="1" applyFill="1" applyBorder="1" applyAlignment="1" applyProtection="1">
      <alignment wrapText="1"/>
    </xf>
    <xf numFmtId="0" fontId="6" fillId="0" borderId="10" xfId="0" applyFont="1" applyFill="1" applyBorder="1" applyAlignment="1" applyProtection="1">
      <alignment horizontal="left"/>
    </xf>
    <xf numFmtId="165" fontId="19" fillId="0" borderId="10" xfId="29" applyNumberFormat="1" applyFont="1" applyFill="1" applyBorder="1" applyProtection="1"/>
    <xf numFmtId="0" fontId="6" fillId="26" borderId="10" xfId="0" applyFont="1" applyFill="1" applyBorder="1" applyAlignment="1" applyProtection="1">
      <alignment horizontal="left"/>
    </xf>
    <xf numFmtId="165" fontId="19" fillId="24"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5"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5"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165" fontId="6" fillId="0" borderId="10" xfId="29" applyNumberFormat="1" applyFont="1" applyFill="1" applyBorder="1" applyAlignment="1" applyProtection="1">
      <alignment horizontal="right"/>
    </xf>
    <xf numFmtId="0" fontId="40"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41" fillId="24" borderId="0" xfId="0" applyFont="1" applyFill="1" applyAlignment="1" applyProtection="1">
      <alignment horizontal="center"/>
    </xf>
    <xf numFmtId="0" fontId="0" fillId="0" borderId="0" xfId="0" applyAlignment="1" applyProtection="1"/>
    <xf numFmtId="0" fontId="41" fillId="24" borderId="0" xfId="0" applyFont="1" applyFill="1" applyProtection="1"/>
    <xf numFmtId="0" fontId="43" fillId="24" borderId="0" xfId="0" applyFont="1" applyFill="1" applyProtection="1"/>
    <xf numFmtId="3" fontId="19" fillId="24" borderId="26" xfId="40" applyNumberFormat="1" applyFont="1" applyFill="1" applyBorder="1" applyAlignment="1" applyProtection="1">
      <alignment vertical="center" wrapText="1"/>
    </xf>
    <xf numFmtId="0" fontId="43"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2" xfId="40" applyFont="1" applyFill="1" applyBorder="1" applyAlignment="1" applyProtection="1">
      <alignment horizontal="left" vertical="center" wrapText="1"/>
    </xf>
    <xf numFmtId="0" fontId="20" fillId="25" borderId="32" xfId="40" applyFont="1" applyFill="1" applyBorder="1" applyAlignment="1" applyProtection="1">
      <alignment horizontal="center" vertical="center" wrapText="1"/>
    </xf>
    <xf numFmtId="3" fontId="6" fillId="24" borderId="32" xfId="40" applyNumberFormat="1" applyFont="1" applyFill="1" applyBorder="1" applyAlignment="1" applyProtection="1">
      <alignment vertical="center" wrapText="1"/>
    </xf>
    <xf numFmtId="0" fontId="23" fillId="25" borderId="32"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65"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5"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33" fillId="0" borderId="15" xfId="40" applyNumberFormat="1" applyFont="1" applyFill="1" applyBorder="1" applyAlignment="1" applyProtection="1">
      <alignment horizontal="right" vertical="center"/>
    </xf>
    <xf numFmtId="165"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5"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 fillId="24" borderId="50" xfId="41" applyNumberFormat="1" applyFill="1" applyBorder="1" applyAlignment="1" applyProtection="1">
      <alignment horizontal="center"/>
    </xf>
    <xf numFmtId="10" fontId="13" fillId="24" borderId="50" xfId="41" applyNumberFormat="1" applyFont="1" applyFill="1" applyBorder="1" applyAlignment="1" applyProtection="1">
      <alignment horizontal="center"/>
    </xf>
    <xf numFmtId="0" fontId="13" fillId="24" borderId="0" xfId="41" applyFont="1" applyFill="1" applyProtection="1"/>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1" xfId="40" applyFont="1" applyFill="1" applyBorder="1" applyAlignment="1" applyProtection="1">
      <alignment vertical="center" wrapText="1"/>
    </xf>
    <xf numFmtId="0" fontId="21" fillId="25" borderId="20" xfId="40" applyFont="1" applyFill="1" applyBorder="1" applyAlignment="1" applyProtection="1">
      <alignment horizontal="center" vertical="center" wrapText="1"/>
    </xf>
    <xf numFmtId="3" fontId="33" fillId="0" borderId="17" xfId="40" applyNumberFormat="1" applyFont="1" applyFill="1" applyBorder="1" applyAlignment="1" applyProtection="1">
      <alignment horizontal="right" vertical="center"/>
    </xf>
    <xf numFmtId="3" fontId="33" fillId="0" borderId="15" xfId="40" applyNumberFormat="1" applyFont="1" applyFill="1" applyBorder="1" applyAlignment="1" applyProtection="1">
      <alignment vertical="center"/>
    </xf>
    <xf numFmtId="3" fontId="33"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6" fillId="0" borderId="0" xfId="0" applyFont="1" applyProtection="1"/>
    <xf numFmtId="0" fontId="67" fillId="0" borderId="0" xfId="0" applyFont="1" applyAlignment="1" applyProtection="1">
      <alignment horizontal="left" vertical="center" wrapText="1"/>
    </xf>
    <xf numFmtId="168" fontId="63"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8"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63" fillId="0" borderId="0" xfId="0" applyFont="1" applyFill="1" applyBorder="1" applyAlignment="1" applyProtection="1"/>
    <xf numFmtId="0" fontId="64" fillId="0" borderId="0" xfId="0" applyFont="1" applyFill="1" applyBorder="1" applyAlignment="1" applyProtection="1">
      <alignment horizontal="left"/>
    </xf>
    <xf numFmtId="0" fontId="46" fillId="0" borderId="0" xfId="0" applyFont="1" applyFill="1" applyBorder="1" applyAlignment="1" applyProtection="1">
      <alignment horizontal="left"/>
    </xf>
    <xf numFmtId="168" fontId="63" fillId="0" borderId="0" xfId="0" applyNumberFormat="1" applyFont="1" applyFill="1" applyBorder="1" applyAlignment="1" applyProtection="1"/>
    <xf numFmtId="168" fontId="63"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42" fillId="29" borderId="0" xfId="44" applyNumberFormat="1" applyFont="1" applyFill="1" applyAlignment="1" applyProtection="1">
      <alignment horizontal="center"/>
      <protection locked="0"/>
    </xf>
    <xf numFmtId="165"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3" fontId="6" fillId="29" borderId="0" xfId="0" applyNumberFormat="1" applyFont="1" applyFill="1" applyBorder="1" applyAlignment="1" applyProtection="1">
      <alignment horizontal="right"/>
      <protection locked="0"/>
    </xf>
    <xf numFmtId="0" fontId="68" fillId="25" borderId="0" xfId="40" applyFont="1" applyFill="1" applyAlignment="1" applyProtection="1">
      <alignment horizontal="left" vertical="top"/>
    </xf>
    <xf numFmtId="3" fontId="35" fillId="29" borderId="10" xfId="40" applyNumberFormat="1" applyFont="1" applyFill="1" applyBorder="1" applyAlignment="1" applyProtection="1">
      <alignment horizontal="right" vertical="center"/>
      <protection locked="0"/>
    </xf>
    <xf numFmtId="3" fontId="35" fillId="29" borderId="10" xfId="40" applyNumberFormat="1" applyFont="1" applyFill="1" applyBorder="1" applyAlignment="1" applyProtection="1">
      <alignment vertical="center"/>
      <protection locked="0"/>
    </xf>
    <xf numFmtId="0" fontId="35" fillId="29" borderId="26" xfId="40" applyFont="1" applyFill="1" applyBorder="1" applyAlignment="1" applyProtection="1">
      <alignment vertical="center" wrapText="1"/>
      <protection locked="0"/>
    </xf>
    <xf numFmtId="0" fontId="36" fillId="29" borderId="37" xfId="40" applyFont="1" applyFill="1" applyBorder="1" applyAlignment="1" applyProtection="1">
      <alignment vertical="center"/>
      <protection locked="0"/>
    </xf>
    <xf numFmtId="0" fontId="69"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5" fontId="1" fillId="29" borderId="0" xfId="29" applyNumberFormat="1" applyFont="1" applyFill="1" applyProtection="1">
      <protection locked="0"/>
    </xf>
    <xf numFmtId="165" fontId="13" fillId="30" borderId="0" xfId="29" applyNumberFormat="1" applyFont="1" applyFill="1" applyBorder="1" applyAlignment="1" applyProtection="1">
      <alignment vertical="top"/>
      <protection locked="0"/>
    </xf>
    <xf numFmtId="165" fontId="1" fillId="29" borderId="0" xfId="29" applyNumberFormat="1" applyFont="1" applyFill="1" applyBorder="1" applyProtection="1">
      <protection locked="0"/>
    </xf>
    <xf numFmtId="165" fontId="13" fillId="29" borderId="10" xfId="29" applyNumberFormat="1" applyFont="1" applyFill="1" applyBorder="1" applyAlignment="1" applyProtection="1">
      <alignment vertical="top"/>
      <protection locked="0"/>
    </xf>
    <xf numFmtId="165" fontId="18" fillId="0" borderId="15" xfId="29" applyNumberFormat="1" applyFont="1" applyFill="1" applyBorder="1" applyProtection="1"/>
    <xf numFmtId="3" fontId="18" fillId="0" borderId="15" xfId="0" applyNumberFormat="1" applyFont="1" applyFill="1" applyBorder="1" applyProtection="1"/>
    <xf numFmtId="165" fontId="18" fillId="0" borderId="17" xfId="29" applyNumberFormat="1" applyFont="1" applyFill="1" applyBorder="1" applyProtection="1"/>
    <xf numFmtId="0" fontId="7" fillId="24" borderId="0" xfId="0" applyFont="1" applyFill="1" applyAlignment="1" applyProtection="1">
      <alignment horizontal="left" vertical="center"/>
    </xf>
    <xf numFmtId="0" fontId="68" fillId="25" borderId="0" xfId="40" applyFont="1" applyFill="1" applyAlignment="1" applyProtection="1">
      <alignment horizontal="left" vertical="center"/>
    </xf>
    <xf numFmtId="0" fontId="35" fillId="30" borderId="26" xfId="40" applyFont="1" applyFill="1" applyBorder="1" applyAlignment="1" applyProtection="1">
      <alignment vertical="center" wrapText="1"/>
      <protection locked="0"/>
    </xf>
    <xf numFmtId="0" fontId="36" fillId="30" borderId="35" xfId="40" applyFont="1" applyFill="1" applyBorder="1" applyAlignment="1" applyProtection="1">
      <alignment vertical="center"/>
      <protection locked="0"/>
    </xf>
    <xf numFmtId="0" fontId="35" fillId="30" borderId="30" xfId="40" applyFont="1" applyFill="1" applyBorder="1" applyAlignment="1" applyProtection="1">
      <alignment vertical="center" wrapText="1"/>
      <protection locked="0"/>
    </xf>
    <xf numFmtId="3" fontId="35" fillId="30" borderId="10" xfId="40" applyNumberFormat="1" applyFont="1" applyFill="1" applyBorder="1" applyAlignment="1" applyProtection="1">
      <alignment horizontal="right" vertical="center"/>
      <protection locked="0"/>
    </xf>
    <xf numFmtId="3" fontId="35" fillId="30" borderId="10" xfId="40" applyNumberFormat="1" applyFont="1" applyFill="1" applyBorder="1" applyAlignment="1" applyProtection="1">
      <alignment horizontal="center" vertical="center"/>
      <protection locked="0"/>
    </xf>
    <xf numFmtId="3" fontId="35" fillId="29" borderId="10" xfId="40" applyNumberFormat="1" applyFont="1" applyFill="1" applyBorder="1" applyAlignment="1" applyProtection="1">
      <alignment horizontal="center" vertical="center"/>
      <protection locked="0"/>
    </xf>
    <xf numFmtId="3" fontId="35" fillId="30" borderId="27"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70" fillId="24" borderId="0" xfId="0" applyFont="1" applyFill="1" applyBorder="1" applyProtection="1"/>
    <xf numFmtId="0" fontId="71" fillId="24" borderId="0" xfId="0" applyFont="1" applyFill="1" applyProtection="1"/>
    <xf numFmtId="0" fontId="43"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3" fontId="13" fillId="29" borderId="10" xfId="0" applyNumberFormat="1" applyFont="1" applyFill="1" applyBorder="1" applyAlignment="1" applyProtection="1">
      <alignment horizontal="right"/>
      <protection locked="0"/>
    </xf>
    <xf numFmtId="0" fontId="18" fillId="0" borderId="15" xfId="0" applyFont="1" applyFill="1" applyBorder="1" applyAlignment="1" applyProtection="1">
      <alignment wrapText="1"/>
    </xf>
    <xf numFmtId="0" fontId="72" fillId="24" borderId="0" xfId="0" applyFont="1" applyFill="1" applyProtection="1"/>
    <xf numFmtId="0" fontId="28" fillId="30" borderId="19" xfId="40" applyFont="1" applyFill="1" applyBorder="1" applyAlignment="1" applyProtection="1">
      <alignment horizontal="left" vertical="center" wrapText="1"/>
      <protection locked="0"/>
    </xf>
    <xf numFmtId="0" fontId="28" fillId="30" borderId="21"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9" fontId="12" fillId="29" borderId="10" xfId="44" applyFont="1" applyFill="1" applyBorder="1" applyAlignment="1" applyProtection="1">
      <alignment horizontal="center"/>
      <protection locked="0"/>
    </xf>
    <xf numFmtId="0" fontId="43"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5" fontId="0" fillId="0" borderId="0" xfId="29" applyNumberFormat="1" applyFont="1" applyProtection="1"/>
    <xf numFmtId="9" fontId="0" fillId="0" borderId="0" xfId="44" applyFont="1" applyProtection="1"/>
    <xf numFmtId="165"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4" xfId="36" quotePrefix="1" applyFill="1" applyBorder="1" applyAlignment="1" applyProtection="1">
      <alignment horizontal="center" vertical="top"/>
    </xf>
    <xf numFmtId="0" fontId="33" fillId="25" borderId="42" xfId="40" applyFont="1" applyFill="1" applyBorder="1" applyAlignment="1" applyProtection="1">
      <alignment horizontal="center" vertical="center" wrapText="1"/>
    </xf>
    <xf numFmtId="0" fontId="35" fillId="25" borderId="0" xfId="40" applyFont="1" applyFill="1" applyBorder="1" applyAlignment="1" applyProtection="1">
      <alignment vertical="center" wrapText="1"/>
    </xf>
    <xf numFmtId="0" fontId="33" fillId="25" borderId="20" xfId="40" applyFont="1" applyFill="1" applyBorder="1" applyAlignment="1" applyProtection="1">
      <alignment horizontal="left" vertical="center" wrapText="1"/>
    </xf>
    <xf numFmtId="0" fontId="35" fillId="30" borderId="20" xfId="40" applyFont="1" applyFill="1" applyBorder="1" applyAlignment="1" applyProtection="1">
      <alignment vertical="center" wrapText="1"/>
      <protection locked="0"/>
    </xf>
    <xf numFmtId="0" fontId="36" fillId="30" borderId="0" xfId="40" applyFont="1" applyFill="1" applyBorder="1" applyAlignment="1" applyProtection="1">
      <alignment vertical="center"/>
      <protection locked="0"/>
    </xf>
    <xf numFmtId="0" fontId="37" fillId="25" borderId="42" xfId="40" applyFont="1" applyFill="1" applyBorder="1" applyAlignment="1" applyProtection="1">
      <alignment vertical="center"/>
    </xf>
    <xf numFmtId="0" fontId="35" fillId="25" borderId="61" xfId="40" applyFont="1" applyFill="1" applyBorder="1" applyAlignment="1" applyProtection="1">
      <alignment vertical="center" wrapText="1"/>
    </xf>
    <xf numFmtId="0" fontId="35" fillId="30" borderId="62" xfId="40" applyFont="1" applyFill="1" applyBorder="1" applyAlignment="1" applyProtection="1">
      <alignment vertical="center" wrapText="1"/>
      <protection locked="0"/>
    </xf>
    <xf numFmtId="0" fontId="2" fillId="25" borderId="20" xfId="36" quotePrefix="1" applyFill="1" applyBorder="1" applyAlignment="1" applyProtection="1">
      <alignment horizontal="center" vertical="center" wrapText="1"/>
    </xf>
    <xf numFmtId="0" fontId="1" fillId="25" borderId="0" xfId="40" applyFont="1" applyFill="1" applyBorder="1" applyProtection="1">
      <alignment vertical="top"/>
    </xf>
    <xf numFmtId="0" fontId="2" fillId="0" borderId="10" xfId="36" quotePrefix="1" applyFill="1" applyBorder="1" applyAlignment="1" applyProtection="1">
      <alignment horizontal="center"/>
    </xf>
    <xf numFmtId="0" fontId="18" fillId="0" borderId="10" xfId="0" applyFont="1" applyFill="1" applyBorder="1" applyAlignment="1" applyProtection="1">
      <alignment horizontal="center" vertical="center" wrapText="1"/>
    </xf>
    <xf numFmtId="0" fontId="18" fillId="24" borderId="0" xfId="0" applyFont="1" applyFill="1" applyBorder="1" applyAlignment="1" applyProtection="1">
      <alignment horizontal="center" vertical="center" wrapText="1"/>
    </xf>
    <xf numFmtId="0" fontId="18" fillId="24" borderId="32" xfId="0" applyFont="1" applyFill="1" applyBorder="1" applyAlignment="1" applyProtection="1">
      <alignment horizontal="center" vertical="center" wrapText="1"/>
    </xf>
    <xf numFmtId="0" fontId="18" fillId="0" borderId="46"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73" fillId="25" borderId="10" xfId="40" applyFont="1" applyFill="1" applyBorder="1" applyAlignment="1" applyProtection="1">
      <alignment horizontal="center" vertical="center" wrapText="1"/>
    </xf>
    <xf numFmtId="0" fontId="2" fillId="24" borderId="20" xfId="36" quotePrefix="1" applyFill="1" applyBorder="1" applyAlignment="1" applyProtection="1">
      <alignment horizontal="center"/>
    </xf>
    <xf numFmtId="0" fontId="2" fillId="24" borderId="10" xfId="36" quotePrefix="1" applyFill="1" applyBorder="1" applyAlignment="1" applyProtection="1">
      <alignment horizontal="center"/>
    </xf>
    <xf numFmtId="0" fontId="73" fillId="24" borderId="20" xfId="0" applyFont="1" applyFill="1" applyBorder="1" applyAlignment="1" applyProtection="1">
      <alignment horizontal="center"/>
    </xf>
    <xf numFmtId="0" fontId="33" fillId="25" borderId="63"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33" fillId="25" borderId="64"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5" xfId="36" quotePrefix="1" applyFill="1" applyBorder="1" applyAlignment="1" applyProtection="1">
      <alignment horizontal="center" vertical="center" wrapText="1"/>
    </xf>
    <xf numFmtId="0" fontId="74" fillId="25" borderId="63" xfId="40" applyFont="1" applyFill="1" applyBorder="1" applyAlignment="1" applyProtection="1">
      <alignment horizontal="center" vertical="center" wrapText="1"/>
    </xf>
    <xf numFmtId="0" fontId="18" fillId="24" borderId="20" xfId="0" applyFont="1" applyFill="1" applyBorder="1" applyAlignment="1" applyProtection="1">
      <alignment horizontal="center" wrapText="1"/>
    </xf>
    <xf numFmtId="165" fontId="2" fillId="0" borderId="17" xfId="36" quotePrefix="1" applyNumberFormat="1" applyFill="1" applyBorder="1" applyAlignment="1" applyProtection="1">
      <alignment horizontal="center"/>
    </xf>
    <xf numFmtId="0" fontId="18" fillId="24" borderId="46" xfId="0" applyFont="1" applyFill="1" applyBorder="1" applyAlignment="1" applyProtection="1">
      <alignment horizontal="center" vertical="center" wrapText="1"/>
    </xf>
    <xf numFmtId="164" fontId="2" fillId="24" borderId="0" xfId="36" quotePrefix="1" applyNumberFormat="1" applyFill="1" applyAlignment="1" applyProtection="1">
      <alignment horizontal="center"/>
    </xf>
    <xf numFmtId="0" fontId="74"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9" fillId="25" borderId="0" xfId="40" applyFont="1" applyFill="1" applyBorder="1" applyProtection="1">
      <alignment vertical="top"/>
    </xf>
    <xf numFmtId="0" fontId="1" fillId="24" borderId="50" xfId="0" applyFont="1" applyFill="1" applyBorder="1" applyProtection="1"/>
    <xf numFmtId="0" fontId="6" fillId="24" borderId="50" xfId="0" applyFont="1" applyFill="1" applyBorder="1" applyAlignment="1" applyProtection="1">
      <alignment horizontal="center" wrapText="1"/>
    </xf>
    <xf numFmtId="0" fontId="0" fillId="24" borderId="50" xfId="0" applyFill="1" applyBorder="1" applyProtection="1"/>
    <xf numFmtId="0" fontId="74" fillId="24" borderId="0" xfId="0" applyFont="1" applyFill="1" applyProtection="1"/>
    <xf numFmtId="0" fontId="74" fillId="24" borderId="0" xfId="0" applyFont="1" applyFill="1" applyAlignment="1" applyProtection="1">
      <alignment horizontal="center"/>
    </xf>
    <xf numFmtId="0" fontId="75" fillId="25" borderId="0" xfId="40" applyFont="1" applyFill="1" applyBorder="1" applyProtection="1">
      <alignment vertical="top"/>
    </xf>
    <xf numFmtId="0" fontId="6" fillId="24" borderId="50" xfId="0" applyFont="1" applyFill="1" applyBorder="1" applyProtection="1"/>
    <xf numFmtId="0" fontId="74"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0" fontId="2" fillId="24" borderId="0" xfId="36" quotePrefix="1" applyFont="1" applyFill="1" applyAlignment="1" applyProtection="1">
      <alignment horizontal="center"/>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76"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42" fillId="24" borderId="0" xfId="0" applyFont="1" applyFill="1" applyBorder="1" applyAlignment="1" applyProtection="1"/>
    <xf numFmtId="0" fontId="42" fillId="24" borderId="0" xfId="0" applyFont="1" applyFill="1" applyBorder="1" applyProtection="1"/>
    <xf numFmtId="0" fontId="42" fillId="24" borderId="0" xfId="0" applyFont="1" applyFill="1" applyBorder="1" applyAlignment="1" applyProtection="1">
      <alignment horizontal="left"/>
    </xf>
    <xf numFmtId="0" fontId="1" fillId="0" borderId="0" xfId="0" applyFont="1" applyProtection="1"/>
    <xf numFmtId="0" fontId="78"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9" fillId="0" borderId="0" xfId="0" applyFont="1" applyAlignment="1" applyProtection="1">
      <alignment horizontal="right"/>
    </xf>
    <xf numFmtId="0" fontId="81" fillId="0" borderId="0" xfId="0" applyFont="1" applyAlignment="1" applyProtection="1">
      <alignment horizontal="right" vertical="center"/>
    </xf>
    <xf numFmtId="0" fontId="81" fillId="0" borderId="0" xfId="0" applyFont="1" applyAlignment="1" applyProtection="1">
      <alignment horizontal="right" vertical="center" indent="1"/>
    </xf>
    <xf numFmtId="0" fontId="1" fillId="29" borderId="58" xfId="0" applyFont="1" applyFill="1" applyBorder="1" applyAlignment="1" applyProtection="1">
      <alignment horizontal="center" vertical="center"/>
      <protection locked="0"/>
    </xf>
    <xf numFmtId="0" fontId="1" fillId="29" borderId="58"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82" fillId="24" borderId="0" xfId="0" applyFont="1" applyFill="1" applyAlignment="1" applyProtection="1">
      <alignment horizontal="center"/>
    </xf>
    <xf numFmtId="0" fontId="83" fillId="25" borderId="12" xfId="40" applyFont="1" applyFill="1" applyBorder="1" applyAlignment="1" applyProtection="1">
      <alignment horizontal="center" vertical="top"/>
    </xf>
    <xf numFmtId="0" fontId="84" fillId="25" borderId="10" xfId="40" applyFont="1" applyFill="1" applyBorder="1" applyAlignment="1" applyProtection="1">
      <alignment horizontal="center" vertical="center" wrapText="1"/>
    </xf>
    <xf numFmtId="0" fontId="83" fillId="25" borderId="19" xfId="40" applyFont="1" applyFill="1" applyBorder="1" applyAlignment="1" applyProtection="1">
      <alignment horizontal="center" vertical="center" wrapText="1"/>
    </xf>
    <xf numFmtId="0" fontId="82" fillId="25" borderId="10" xfId="40" applyFont="1" applyFill="1" applyBorder="1" applyAlignment="1" applyProtection="1">
      <alignment horizontal="center" vertical="center" wrapText="1"/>
    </xf>
    <xf numFmtId="0" fontId="82" fillId="25" borderId="11" xfId="40" applyFont="1" applyFill="1" applyBorder="1" applyAlignment="1" applyProtection="1">
      <alignment horizontal="center" vertical="center" wrapText="1"/>
    </xf>
    <xf numFmtId="0" fontId="85" fillId="25" borderId="13" xfId="40" applyFont="1" applyFill="1" applyBorder="1" applyAlignment="1" applyProtection="1">
      <alignment vertical="center" wrapText="1"/>
    </xf>
    <xf numFmtId="0" fontId="82" fillId="25" borderId="15" xfId="40" applyFont="1" applyFill="1" applyBorder="1" applyAlignment="1" applyProtection="1">
      <alignment horizontal="center" vertical="center" wrapText="1"/>
    </xf>
    <xf numFmtId="0" fontId="82" fillId="25" borderId="19" xfId="40" applyFont="1" applyFill="1" applyBorder="1" applyAlignment="1" applyProtection="1">
      <alignment horizontal="center" vertical="center" wrapText="1"/>
    </xf>
    <xf numFmtId="0" fontId="82" fillId="25" borderId="42" xfId="40" applyFont="1" applyFill="1" applyBorder="1" applyAlignment="1" applyProtection="1">
      <alignment horizontal="center" vertical="center" wrapText="1"/>
    </xf>
    <xf numFmtId="0" fontId="82" fillId="25" borderId="43" xfId="40" applyFont="1" applyFill="1" applyBorder="1" applyAlignment="1" applyProtection="1">
      <alignment horizontal="center" vertical="center" wrapText="1"/>
    </xf>
    <xf numFmtId="0" fontId="86" fillId="25" borderId="45" xfId="40" applyFont="1" applyFill="1" applyBorder="1" applyAlignment="1" applyProtection="1">
      <alignment horizontal="center" vertical="center" wrapText="1"/>
    </xf>
    <xf numFmtId="0" fontId="82" fillId="25" borderId="20" xfId="40" applyFont="1" applyFill="1" applyBorder="1" applyAlignment="1" applyProtection="1">
      <alignment horizontal="center" vertical="center" wrapText="1"/>
    </xf>
    <xf numFmtId="0" fontId="83" fillId="24" borderId="15" xfId="0" applyFont="1" applyFill="1" applyBorder="1" applyAlignment="1" applyProtection="1">
      <alignment horizontal="center"/>
    </xf>
    <xf numFmtId="0" fontId="82"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5"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4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9" fontId="12" fillId="0" borderId="10" xfId="44" applyNumberFormat="1" applyFont="1" applyFill="1" applyBorder="1" applyAlignment="1" applyProtection="1">
      <alignment horizontal="center"/>
    </xf>
    <xf numFmtId="0" fontId="2" fillId="0" borderId="0" xfId="36" quotePrefix="1" applyAlignment="1" applyProtection="1">
      <alignment horizontal="center"/>
    </xf>
    <xf numFmtId="9" fontId="12" fillId="24" borderId="10" xfId="44" applyNumberFormat="1" applyFont="1" applyFill="1" applyBorder="1" applyAlignment="1" applyProtection="1">
      <alignment horizontal="center"/>
    </xf>
    <xf numFmtId="3" fontId="19" fillId="31" borderId="10" xfId="28" applyNumberFormat="1" applyFont="1" applyFill="1" applyBorder="1" applyProtection="1"/>
    <xf numFmtId="2" fontId="80" fillId="0" borderId="0" xfId="0" applyNumberFormat="1" applyFont="1" applyAlignment="1" applyProtection="1">
      <alignment horizontal="right"/>
    </xf>
    <xf numFmtId="3" fontId="1" fillId="25" borderId="47"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9"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1" xfId="0" applyNumberFormat="1" applyFont="1" applyFill="1" applyBorder="1" applyAlignment="1" applyProtection="1">
      <alignment horizontal="right" vertical="center"/>
    </xf>
    <xf numFmtId="0" fontId="2" fillId="25" borderId="66" xfId="40" applyFont="1" applyFill="1" applyBorder="1" applyAlignment="1" applyProtection="1">
      <alignment horizontal="center" vertical="center" wrapText="1"/>
    </xf>
    <xf numFmtId="3" fontId="1" fillId="24" borderId="33" xfId="40" applyNumberFormat="1" applyFont="1" applyFill="1" applyBorder="1" applyAlignment="1" applyProtection="1">
      <alignment horizontal="right" vertical="center" wrapText="1"/>
    </xf>
    <xf numFmtId="44" fontId="6" fillId="0" borderId="10" xfId="29" applyFont="1" applyFill="1" applyBorder="1" applyAlignment="1" applyProtection="1">
      <alignment horizontal="left"/>
    </xf>
    <xf numFmtId="44" fontId="6" fillId="29" borderId="10" xfId="29" applyFont="1" applyFill="1" applyBorder="1" applyAlignment="1" applyProtection="1">
      <alignment horizontal="left"/>
      <protection locked="0"/>
    </xf>
    <xf numFmtId="44" fontId="13" fillId="24" borderId="10" xfId="29" applyFont="1" applyFill="1" applyBorder="1" applyProtection="1"/>
    <xf numFmtId="44" fontId="13" fillId="29" borderId="10" xfId="29" applyFont="1" applyFill="1" applyBorder="1" applyProtection="1">
      <protection locked="0"/>
    </xf>
    <xf numFmtId="44" fontId="19" fillId="29" borderId="10" xfId="29" applyFont="1" applyFill="1" applyBorder="1" applyProtection="1">
      <protection locked="0"/>
    </xf>
    <xf numFmtId="44" fontId="19" fillId="29" borderId="13" xfId="29" applyFont="1" applyFill="1" applyBorder="1" applyProtection="1">
      <protection locked="0"/>
    </xf>
    <xf numFmtId="44" fontId="6" fillId="24" borderId="16" xfId="29" applyFont="1" applyFill="1" applyBorder="1" applyProtection="1"/>
    <xf numFmtId="0" fontId="73" fillId="24" borderId="0" xfId="0" applyFont="1" applyFill="1" applyBorder="1" applyAlignment="1" applyProtection="1">
      <alignment horizontal="center"/>
    </xf>
    <xf numFmtId="3" fontId="19" fillId="24" borderId="0" xfId="28" applyNumberFormat="1" applyFont="1" applyFill="1" applyBorder="1" applyProtection="1"/>
    <xf numFmtId="0" fontId="73"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0" xfId="36" applyFill="1" applyBorder="1" applyAlignment="1" applyProtection="1">
      <alignment horizontal="center" vertical="center" wrapText="1"/>
    </xf>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76"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20" xfId="0" applyFont="1" applyFill="1" applyBorder="1" applyAlignment="1" applyProtection="1">
      <alignment horizontal="left"/>
    </xf>
    <xf numFmtId="0" fontId="19" fillId="24" borderId="20" xfId="0" applyFont="1" applyFill="1" applyBorder="1" applyAlignment="1" applyProtection="1">
      <alignment horizontal="left"/>
    </xf>
    <xf numFmtId="3" fontId="0" fillId="24" borderId="18" xfId="0" applyNumberFormat="1" applyFill="1" applyBorder="1" applyAlignment="1" applyProtection="1">
      <alignment horizontal="right"/>
    </xf>
    <xf numFmtId="3" fontId="0" fillId="24" borderId="0" xfId="0" applyNumberFormat="1" applyFill="1" applyAlignment="1" applyProtection="1"/>
    <xf numFmtId="0" fontId="28" fillId="24" borderId="0" xfId="0" applyFont="1" applyFill="1" applyAlignment="1" applyProtection="1">
      <alignment horizontal="left"/>
    </xf>
    <xf numFmtId="0" fontId="33" fillId="25" borderId="12" xfId="40" applyFont="1" applyFill="1" applyBorder="1" applyAlignment="1" applyProtection="1">
      <alignment horizontal="left" vertical="center" wrapText="1"/>
    </xf>
    <xf numFmtId="0" fontId="18" fillId="25" borderId="19"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88" fillId="24" borderId="10" xfId="48" applyFont="1" applyFill="1" applyBorder="1" applyProtection="1"/>
    <xf numFmtId="0" fontId="0" fillId="24" borderId="10" xfId="48" applyFont="1" applyFill="1" applyBorder="1" applyProtection="1"/>
    <xf numFmtId="0" fontId="77" fillId="0" borderId="0" xfId="36" applyFont="1" applyAlignment="1" applyProtection="1"/>
    <xf numFmtId="0" fontId="42" fillId="0" borderId="0" xfId="0" applyFont="1" applyProtection="1"/>
    <xf numFmtId="0" fontId="42" fillId="0" borderId="0" xfId="0" applyFont="1" applyAlignment="1" applyProtection="1">
      <alignment wrapText="1"/>
    </xf>
    <xf numFmtId="0" fontId="10" fillId="0" borderId="0" xfId="0" applyFont="1" applyAlignment="1" applyProtection="1">
      <alignment vertical="center"/>
    </xf>
    <xf numFmtId="0" fontId="42" fillId="0" borderId="0" xfId="0" applyFont="1" applyAlignment="1" applyProtection="1">
      <alignment vertical="center" wrapText="1"/>
    </xf>
    <xf numFmtId="0" fontId="42" fillId="0" borderId="0" xfId="0" applyFont="1" applyAlignment="1" applyProtection="1">
      <alignment horizontal="center" vertical="center" wrapText="1"/>
    </xf>
    <xf numFmtId="0" fontId="10" fillId="0" borderId="14" xfId="0" applyFont="1" applyBorder="1" applyProtection="1"/>
    <xf numFmtId="0" fontId="10" fillId="0" borderId="15" xfId="0" applyFont="1" applyBorder="1" applyAlignment="1" applyProtection="1">
      <alignment wrapText="1"/>
    </xf>
    <xf numFmtId="0" fontId="10" fillId="0" borderId="17" xfId="0" applyFont="1" applyBorder="1" applyAlignment="1" applyProtection="1">
      <alignment wrapText="1"/>
    </xf>
    <xf numFmtId="0" fontId="42" fillId="0" borderId="28" xfId="0" applyFont="1" applyBorder="1" applyProtection="1"/>
    <xf numFmtId="0" fontId="42" fillId="0" borderId="19" xfId="0" applyFont="1" applyBorder="1" applyAlignment="1" applyProtection="1">
      <alignment wrapText="1"/>
    </xf>
    <xf numFmtId="0" fontId="42" fillId="29" borderId="19" xfId="0" applyFont="1" applyFill="1" applyBorder="1" applyProtection="1">
      <protection locked="0"/>
    </xf>
    <xf numFmtId="0" fontId="42" fillId="29" borderId="29" xfId="0" applyFont="1" applyFill="1" applyBorder="1" applyAlignment="1" applyProtection="1">
      <alignment wrapText="1"/>
      <protection locked="0"/>
    </xf>
    <xf numFmtId="0" fontId="42" fillId="0" borderId="26" xfId="0" applyFont="1" applyBorder="1" applyProtection="1"/>
    <xf numFmtId="0" fontId="42" fillId="0" borderId="10" xfId="0" applyFont="1" applyBorder="1" applyAlignment="1" applyProtection="1">
      <alignment wrapText="1"/>
    </xf>
    <xf numFmtId="0" fontId="42" fillId="29" borderId="10" xfId="0" applyFont="1" applyFill="1" applyBorder="1" applyProtection="1">
      <protection locked="0"/>
    </xf>
    <xf numFmtId="0" fontId="42" fillId="29" borderId="27" xfId="0" applyFont="1" applyFill="1" applyBorder="1" applyAlignment="1" applyProtection="1">
      <alignment wrapText="1"/>
      <protection locked="0"/>
    </xf>
    <xf numFmtId="0" fontId="42" fillId="0" borderId="10" xfId="0" applyFont="1" applyBorder="1" applyProtection="1"/>
    <xf numFmtId="0" fontId="42" fillId="0" borderId="37" xfId="0" applyFont="1" applyBorder="1" applyProtection="1"/>
    <xf numFmtId="0" fontId="42" fillId="0" borderId="38" xfId="0" applyFont="1" applyBorder="1" applyProtection="1"/>
    <xf numFmtId="0" fontId="42" fillId="29" borderId="38" xfId="0" applyFont="1" applyFill="1" applyBorder="1" applyProtection="1">
      <protection locked="0"/>
    </xf>
    <xf numFmtId="0" fontId="42" fillId="29" borderId="39" xfId="0" applyFont="1" applyFill="1" applyBorder="1" applyAlignment="1" applyProtection="1">
      <alignment wrapText="1"/>
      <protection locked="0"/>
    </xf>
    <xf numFmtId="0" fontId="20" fillId="25" borderId="13" xfId="40" applyFont="1" applyFill="1" applyBorder="1" applyAlignment="1" applyProtection="1">
      <alignment horizontal="center" vertical="center" wrapText="1"/>
    </xf>
    <xf numFmtId="0" fontId="85" fillId="25" borderId="10" xfId="40" applyFont="1" applyFill="1" applyBorder="1" applyAlignment="1" applyProtection="1">
      <alignment vertical="center" wrapText="1"/>
    </xf>
    <xf numFmtId="0" fontId="85" fillId="25" borderId="21" xfId="40" applyFont="1" applyFill="1" applyBorder="1" applyAlignment="1" applyProtection="1">
      <alignment vertical="center" wrapText="1"/>
    </xf>
    <xf numFmtId="0" fontId="82" fillId="25" borderId="13" xfId="40" applyFont="1" applyFill="1" applyBorder="1" applyAlignment="1" applyProtection="1">
      <alignment horizontal="center" vertical="center" wrapText="1"/>
    </xf>
    <xf numFmtId="0" fontId="6" fillId="24" borderId="38" xfId="40" applyFont="1" applyFill="1" applyBorder="1" applyAlignment="1" applyProtection="1">
      <alignment horizontal="left" vertical="center" wrapText="1"/>
    </xf>
    <xf numFmtId="3" fontId="6" fillId="24" borderId="38"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164" fontId="19" fillId="29" borderId="10" xfId="28" applyNumberFormat="1" applyFont="1" applyFill="1" applyBorder="1" applyProtection="1">
      <protection locked="0"/>
    </xf>
    <xf numFmtId="0" fontId="0" fillId="29" borderId="10" xfId="0" applyFill="1" applyBorder="1" applyProtection="1">
      <protection locked="0"/>
    </xf>
    <xf numFmtId="3" fontId="13" fillId="31" borderId="10" xfId="0" applyNumberFormat="1" applyFont="1" applyFill="1" applyBorder="1" applyAlignment="1" applyProtection="1">
      <alignment horizontal="right"/>
    </xf>
    <xf numFmtId="3" fontId="13" fillId="29" borderId="10" xfId="40" applyNumberFormat="1" applyFont="1" applyFill="1" applyBorder="1" applyAlignment="1" applyProtection="1">
      <alignment vertical="center" wrapText="1"/>
    </xf>
    <xf numFmtId="3" fontId="19" fillId="29" borderId="26" xfId="40" applyNumberFormat="1" applyFont="1" applyFill="1" applyBorder="1" applyAlignment="1" applyProtection="1">
      <alignment vertical="center" wrapText="1"/>
    </xf>
    <xf numFmtId="3" fontId="1" fillId="29" borderId="10" xfId="40" applyNumberFormat="1" applyFont="1" applyFill="1" applyBorder="1" applyAlignment="1" applyProtection="1">
      <alignment vertical="center" wrapText="1"/>
    </xf>
    <xf numFmtId="3" fontId="19" fillId="29" borderId="10" xfId="40" applyNumberFormat="1" applyFont="1" applyFill="1" applyBorder="1" applyAlignment="1" applyProtection="1">
      <alignment vertical="center" wrapText="1"/>
    </xf>
    <xf numFmtId="3" fontId="1" fillId="29" borderId="10" xfId="40" applyNumberFormat="1" applyFont="1" applyFill="1" applyBorder="1" applyAlignment="1" applyProtection="1">
      <alignment horizontal="right" vertical="center" wrapText="1"/>
    </xf>
    <xf numFmtId="3" fontId="13" fillId="29" borderId="10" xfId="40" applyNumberFormat="1" applyFont="1" applyFill="1" applyBorder="1" applyAlignment="1" applyProtection="1">
      <alignment horizontal="right" vertical="top"/>
      <protection locked="0"/>
    </xf>
    <xf numFmtId="3" fontId="13" fillId="29" borderId="20" xfId="40" applyNumberFormat="1" applyFont="1" applyFill="1" applyBorder="1" applyAlignment="1" applyProtection="1">
      <alignment horizontal="right" vertical="top"/>
      <protection locked="0"/>
    </xf>
    <xf numFmtId="3" fontId="19" fillId="29" borderId="26" xfId="40" applyNumberFormat="1" applyFont="1" applyFill="1" applyBorder="1" applyAlignment="1" applyProtection="1">
      <alignment vertical="center" wrapText="1"/>
      <protection locked="0"/>
    </xf>
    <xf numFmtId="3" fontId="19" fillId="29" borderId="48" xfId="40" applyNumberFormat="1" applyFont="1" applyFill="1" applyBorder="1" applyAlignment="1" applyProtection="1">
      <alignment vertical="center" wrapText="1"/>
      <protection locked="0"/>
    </xf>
    <xf numFmtId="3" fontId="13" fillId="29" borderId="21"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1" xfId="40" applyNumberFormat="1" applyFont="1" applyFill="1" applyBorder="1" applyAlignment="1" applyProtection="1">
      <alignment vertical="center" wrapText="1"/>
      <protection locked="0"/>
    </xf>
    <xf numFmtId="3" fontId="13" fillId="29" borderId="49" xfId="40" applyNumberFormat="1" applyFont="1" applyFill="1" applyBorder="1" applyAlignment="1" applyProtection="1">
      <alignment vertical="center" wrapText="1"/>
      <protection locked="0"/>
    </xf>
    <xf numFmtId="165" fontId="19" fillId="29" borderId="10" xfId="29" applyNumberFormat="1" applyFont="1" applyFill="1" applyBorder="1" applyProtection="1">
      <protection locked="0"/>
    </xf>
    <xf numFmtId="9" fontId="12" fillId="29" borderId="10" xfId="44" applyNumberFormat="1" applyFont="1" applyFill="1" applyBorder="1" applyAlignment="1" applyProtection="1">
      <alignment horizontal="center"/>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9" xfId="40" applyNumberFormat="1" applyFont="1" applyFill="1" applyBorder="1" applyAlignment="1" applyProtection="1">
      <alignment vertical="center" wrapText="1"/>
      <protection locked="0"/>
    </xf>
    <xf numFmtId="165" fontId="19" fillId="0" borderId="10" xfId="29" applyNumberFormat="1" applyFont="1" applyFill="1" applyBorder="1" applyProtection="1">
      <protection locked="0"/>
    </xf>
    <xf numFmtId="3" fontId="1" fillId="29" borderId="10" xfId="0" applyNumberFormat="1" applyFont="1" applyFill="1" applyBorder="1" applyAlignment="1" applyProtection="1">
      <alignment horizontal="right"/>
      <protection locked="0"/>
    </xf>
    <xf numFmtId="0" fontId="1" fillId="29" borderId="59" xfId="0" applyFont="1" applyFill="1" applyBorder="1" applyAlignment="1" applyProtection="1">
      <alignment horizontal="left" vertical="center"/>
      <protection locked="0"/>
    </xf>
    <xf numFmtId="0" fontId="1" fillId="29" borderId="60" xfId="0" applyFont="1" applyFill="1" applyBorder="1" applyAlignment="1" applyProtection="1">
      <alignment horizontal="left" vertical="center"/>
      <protection locked="0"/>
    </xf>
    <xf numFmtId="0" fontId="1" fillId="28" borderId="56" xfId="0" applyFont="1" applyFill="1" applyBorder="1" applyAlignment="1" applyProtection="1">
      <alignment horizontal="left" vertical="center" wrapText="1"/>
      <protection locked="0"/>
    </xf>
    <xf numFmtId="0" fontId="1" fillId="28" borderId="57"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76"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42" fillId="0" borderId="0" xfId="0" applyFont="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44" fillId="27" borderId="0" xfId="0" applyFont="1" applyFill="1" applyAlignment="1" applyProtection="1">
      <alignment horizontal="left" wrapText="1"/>
    </xf>
    <xf numFmtId="0" fontId="9" fillId="25" borderId="51"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4" xfId="40" applyFont="1" applyFill="1" applyBorder="1" applyAlignment="1" applyProtection="1">
      <alignment horizontal="left" vertical="center" wrapText="1"/>
    </xf>
    <xf numFmtId="0" fontId="23" fillId="25" borderId="52" xfId="40" applyFont="1" applyFill="1" applyBorder="1" applyAlignment="1" applyProtection="1">
      <alignment horizontal="center" vertical="center" wrapText="1"/>
    </xf>
    <xf numFmtId="0" fontId="23" fillId="25" borderId="22" xfId="40" applyFont="1" applyFill="1" applyBorder="1" applyAlignment="1" applyProtection="1">
      <alignment horizontal="center" vertical="center" wrapText="1"/>
    </xf>
    <xf numFmtId="0" fontId="23" fillId="25" borderId="53" xfId="40" applyFont="1" applyFill="1" applyBorder="1" applyAlignment="1" applyProtection="1">
      <alignment horizontal="center"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20"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20" xfId="0" applyFont="1" applyFill="1" applyBorder="1" applyAlignment="1" applyProtection="1">
      <alignment horizontal="left"/>
    </xf>
    <xf numFmtId="0" fontId="43" fillId="24" borderId="50" xfId="0" applyFont="1" applyFill="1" applyBorder="1" applyAlignment="1" applyProtection="1">
      <alignment horizontal="center"/>
    </xf>
    <xf numFmtId="3" fontId="0" fillId="29" borderId="0" xfId="0" applyNumberFormat="1" applyFill="1" applyBorder="1" applyAlignment="1" applyProtection="1">
      <alignment horizontal="right"/>
      <protection locked="0"/>
    </xf>
    <xf numFmtId="3" fontId="0" fillId="24" borderId="18" xfId="0" applyNumberFormat="1" applyFill="1" applyBorder="1" applyAlignment="1" applyProtection="1">
      <alignment horizontal="right"/>
    </xf>
    <xf numFmtId="3" fontId="0" fillId="24" borderId="0" xfId="0" applyNumberFormat="1" applyFill="1" applyAlignment="1" applyProtection="1"/>
    <xf numFmtId="3" fontId="0" fillId="29" borderId="0" xfId="0" applyNumberFormat="1" applyFill="1" applyBorder="1" applyAlignment="1" applyProtection="1">
      <alignment horizontal="right" vertical="center"/>
      <protection locked="0"/>
    </xf>
    <xf numFmtId="0" fontId="0" fillId="29" borderId="0" xfId="0" applyFill="1" applyBorder="1" applyAlignment="1" applyProtection="1">
      <alignment horizontal="right" vertical="center"/>
      <protection locked="0"/>
    </xf>
    <xf numFmtId="3" fontId="0" fillId="24" borderId="0" xfId="0" applyNumberFormat="1" applyFill="1" applyBorder="1" applyAlignment="1" applyProtection="1">
      <alignment horizontal="right" vertical="center"/>
    </xf>
    <xf numFmtId="3" fontId="0" fillId="24" borderId="16" xfId="0" applyNumberFormat="1" applyFill="1" applyBorder="1" applyAlignment="1" applyProtection="1">
      <alignment horizontal="right" vertical="center"/>
    </xf>
    <xf numFmtId="167" fontId="0" fillId="24" borderId="0" xfId="0" applyNumberFormat="1" applyFill="1" applyAlignment="1" applyProtection="1">
      <alignment horizontal="left"/>
    </xf>
    <xf numFmtId="0" fontId="28" fillId="24" borderId="0" xfId="0" applyFont="1" applyFill="1" applyAlignment="1" applyProtection="1">
      <alignment horizontal="left"/>
    </xf>
    <xf numFmtId="3" fontId="0" fillId="24" borderId="18" xfId="0" applyNumberFormat="1" applyFill="1" applyBorder="1" applyAlignment="1" applyProtection="1"/>
    <xf numFmtId="3" fontId="0" fillId="29" borderId="0" xfId="0" applyNumberFormat="1" applyFill="1" applyAlignment="1" applyProtection="1">
      <alignment horizontal="right" vertical="center"/>
      <protection locked="0"/>
    </xf>
    <xf numFmtId="0" fontId="6" fillId="24" borderId="0" xfId="0" applyFont="1" applyFill="1" applyAlignment="1" applyProtection="1">
      <alignment horizontal="right" vertical="center"/>
    </xf>
    <xf numFmtId="0" fontId="10" fillId="24" borderId="0" xfId="0" applyFont="1" applyFill="1" applyAlignment="1" applyProtection="1">
      <alignment horizontal="left"/>
    </xf>
    <xf numFmtId="3" fontId="0" fillId="29" borderId="0" xfId="0" applyNumberFormat="1" applyFill="1" applyBorder="1" applyAlignment="1" applyProtection="1">
      <protection locked="0"/>
    </xf>
    <xf numFmtId="0" fontId="0" fillId="29" borderId="0" xfId="0" applyFill="1" applyBorder="1" applyAlignment="1" applyProtection="1">
      <protection locked="0"/>
    </xf>
    <xf numFmtId="0" fontId="33" fillId="25" borderId="51" xfId="40" applyFont="1" applyFill="1" applyBorder="1" applyAlignment="1" applyProtection="1">
      <alignment horizontal="left" vertical="center" wrapText="1"/>
    </xf>
    <xf numFmtId="0" fontId="33" fillId="25" borderId="12" xfId="40" applyFont="1" applyFill="1" applyBorder="1" applyAlignment="1" applyProtection="1">
      <alignment horizontal="left" vertical="center" wrapText="1"/>
    </xf>
    <xf numFmtId="0" fontId="33" fillId="25" borderId="34" xfId="40" applyFont="1" applyFill="1" applyBorder="1" applyAlignment="1" applyProtection="1">
      <alignment horizontal="left" vertical="center" wrapText="1"/>
    </xf>
    <xf numFmtId="0" fontId="18" fillId="25" borderId="19"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20"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20"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20"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31" fillId="25" borderId="54" xfId="40" applyFont="1" applyFill="1" applyBorder="1" applyAlignment="1" applyProtection="1">
      <alignment horizontal="center" vertical="top"/>
    </xf>
    <xf numFmtId="0" fontId="31" fillId="25" borderId="55" xfId="40" applyFont="1" applyFill="1" applyBorder="1" applyAlignment="1" applyProtection="1">
      <alignment horizontal="center" vertical="top"/>
    </xf>
    <xf numFmtId="0" fontId="1" fillId="24" borderId="0" xfId="0" applyFont="1" applyFill="1" applyAlignment="1" applyProtection="1">
      <alignment horizontal="left" wrapText="1"/>
    </xf>
    <xf numFmtId="3" fontId="35" fillId="0" borderId="11" xfId="40" applyNumberFormat="1" applyFont="1" applyFill="1" applyBorder="1" applyAlignment="1" applyProtection="1">
      <alignment horizontal="center" vertical="center"/>
    </xf>
    <xf numFmtId="3" fontId="35" fillId="0" borderId="12" xfId="40" applyNumberFormat="1" applyFont="1" applyFill="1" applyBorder="1" applyAlignment="1" applyProtection="1">
      <alignment horizontal="center" vertical="center"/>
    </xf>
    <xf numFmtId="3" fontId="35" fillId="0" borderId="34" xfId="40" applyNumberFormat="1" applyFont="1" applyFill="1" applyBorder="1" applyAlignment="1" applyProtection="1">
      <alignment horizontal="center" vertical="center"/>
    </xf>
    <xf numFmtId="15" fontId="1" fillId="29" borderId="58" xfId="0" applyNumberFormat="1" applyFont="1" applyFill="1" applyBorder="1" applyAlignment="1" applyProtection="1">
      <alignment vertical="center"/>
      <protection locked="0"/>
    </xf>
  </cellXfs>
  <cellStyles count="6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1 2" xfId="49"/>
    <cellStyle name="60% - Accent2" xfId="14" builtinId="36" customBuiltin="1"/>
    <cellStyle name="60% - Accent2 2" xfId="50"/>
    <cellStyle name="60% - Accent3" xfId="15" builtinId="40" customBuiltin="1"/>
    <cellStyle name="60% - Accent3 2" xfId="51"/>
    <cellStyle name="60% - Accent4" xfId="16" builtinId="44" customBuiltin="1"/>
    <cellStyle name="60% - Accent4 2" xfId="52"/>
    <cellStyle name="60% - Accent5" xfId="17" builtinId="48" customBuiltin="1"/>
    <cellStyle name="60% - Accent5 2" xfId="53"/>
    <cellStyle name="60% - Accent6" xfId="18" builtinId="52" customBuiltin="1"/>
    <cellStyle name="60% - Accent6 2" xfId="54"/>
    <cellStyle name="Accent1" xfId="19" builtinId="29" customBuiltin="1"/>
    <cellStyle name="Accent1 2" xfId="55"/>
    <cellStyle name="Accent2" xfId="20" builtinId="33" customBuiltin="1"/>
    <cellStyle name="Accent2 2" xfId="56"/>
    <cellStyle name="Accent3" xfId="21" builtinId="37" customBuiltin="1"/>
    <cellStyle name="Accent3 2" xfId="57"/>
    <cellStyle name="Accent4" xfId="22" builtinId="41" customBuiltin="1"/>
    <cellStyle name="Accent4 2" xfId="58"/>
    <cellStyle name="Accent5" xfId="23" builtinId="45" customBuiltin="1"/>
    <cellStyle name="Accent5 2" xfId="59"/>
    <cellStyle name="Accent6" xfId="24" builtinId="49" customBuiltin="1"/>
    <cellStyle name="Accent6 2" xfId="60"/>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heet3" xfId="48"/>
    <cellStyle name="Normal_SIMPIL_MODEL_2004_ver2.6 (for rates application)" xfId="40"/>
    <cellStyle name="Normal_Tax Rates for 2006-2012_Sep42008" xfId="41"/>
    <cellStyle name="Note" xfId="42" builtinId="10" customBuiltin="1"/>
    <cellStyle name="Note 2" xfId="6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39">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xdr:cNvGrpSpPr/>
      </xdr:nvGrpSpPr>
      <xdr:grpSpPr>
        <a:xfrm>
          <a:off x="38100" y="47625"/>
          <a:ext cx="9066970" cy="1915766"/>
          <a:chOff x="-7962901" y="-2409824"/>
          <a:chExt cx="8857420" cy="1915766"/>
        </a:xfrm>
      </xdr:grpSpPr>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H1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xdr:cNvGrpSpPr/>
      </xdr:nvGrpSpPr>
      <xdr:grpSpPr>
        <a:xfrm>
          <a:off x="0" y="0"/>
          <a:ext cx="9093640" cy="191005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237295</xdr:colOff>
      <xdr:row>4</xdr:row>
      <xdr:rowOff>363191</xdr:rowOff>
    </xdr:to>
    <xdr:grpSp>
      <xdr:nvGrpSpPr>
        <xdr:cNvPr id="10" name="Group 9"/>
        <xdr:cNvGrpSpPr/>
      </xdr:nvGrpSpPr>
      <xdr:grpSpPr>
        <a:xfrm>
          <a:off x="0" y="0"/>
          <a:ext cx="9091735" cy="191005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xdr:cNvGrpSpPr/>
      </xdr:nvGrpSpPr>
      <xdr:grpSpPr>
        <a:xfrm>
          <a:off x="0" y="0"/>
          <a:ext cx="9099355" cy="191576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xdr:cNvGrpSpPr/>
      </xdr:nvGrpSpPr>
      <xdr:grpSpPr>
        <a:xfrm>
          <a:off x="0" y="0"/>
          <a:ext cx="10482385" cy="190814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xdr:cNvGrpSpPr/>
      </xdr:nvGrpSpPr>
      <xdr:grpSpPr>
        <a:xfrm>
          <a:off x="38100" y="28575"/>
          <a:ext cx="9865165" cy="191005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xdr:cNvGrpSpPr/>
      </xdr:nvGrpSpPr>
      <xdr:grpSpPr>
        <a:xfrm>
          <a:off x="0" y="0"/>
          <a:ext cx="10006135" cy="191386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xdr:cNvGrpSpPr/>
      </xdr:nvGrpSpPr>
      <xdr:grpSpPr>
        <a:xfrm>
          <a:off x="0" y="0"/>
          <a:ext cx="9830875" cy="192910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xdr:cNvGrpSpPr/>
      </xdr:nvGrpSpPr>
      <xdr:grpSpPr>
        <a:xfrm>
          <a:off x="0" y="0"/>
          <a:ext cx="10413805" cy="190243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xdr:cNvGrpSpPr/>
      </xdr:nvGrpSpPr>
      <xdr:grpSpPr>
        <a:xfrm>
          <a:off x="0" y="0"/>
          <a:ext cx="8905045" cy="1908146"/>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xdr:cNvGrpSpPr/>
      </xdr:nvGrpSpPr>
      <xdr:grpSpPr>
        <a:xfrm>
          <a:off x="0" y="0"/>
          <a:ext cx="9808015" cy="1931006"/>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xdr:cNvGrpSpPr/>
      </xdr:nvGrpSpPr>
      <xdr:grpSpPr>
        <a:xfrm>
          <a:off x="28575" y="47625"/>
          <a:ext cx="9089830" cy="1864331"/>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xdr:cNvGrpSpPr/>
      </xdr:nvGrpSpPr>
      <xdr:grpSpPr>
        <a:xfrm>
          <a:off x="0" y="0"/>
          <a:ext cx="10015660" cy="192148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xdr:cNvGrpSpPr/>
      </xdr:nvGrpSpPr>
      <xdr:grpSpPr>
        <a:xfrm>
          <a:off x="0" y="0"/>
          <a:ext cx="10209970" cy="191005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xdr:cNvGrpSpPr/>
      </xdr:nvGrpSpPr>
      <xdr:grpSpPr>
        <a:xfrm>
          <a:off x="0" y="0"/>
          <a:ext cx="10669075" cy="191767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xdr:cNvGrpSpPr/>
      </xdr:nvGrpSpPr>
      <xdr:grpSpPr>
        <a:xfrm>
          <a:off x="0" y="0"/>
          <a:ext cx="8542020" cy="1898621"/>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xdr:cNvGrpSpPr/>
      </xdr:nvGrpSpPr>
      <xdr:grpSpPr>
        <a:xfrm>
          <a:off x="0" y="0"/>
          <a:ext cx="9089830" cy="1898621"/>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xdr:cNvGrpSpPr/>
      </xdr:nvGrpSpPr>
      <xdr:grpSpPr>
        <a:xfrm>
          <a:off x="0" y="0"/>
          <a:ext cx="11165204" cy="191386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xdr:cNvGrpSpPr/>
      </xdr:nvGrpSpPr>
      <xdr:grpSpPr>
        <a:xfrm>
          <a:off x="0" y="0"/>
          <a:ext cx="9103165" cy="1913861"/>
          <a:chOff x="-7962901" y="-2409824"/>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xdr:cNvGrpSpPr/>
      </xdr:nvGrpSpPr>
      <xdr:grpSpPr>
        <a:xfrm>
          <a:off x="0" y="0"/>
          <a:ext cx="9082210" cy="191386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xdr:cNvGrpSpPr/>
      </xdr:nvGrpSpPr>
      <xdr:grpSpPr>
        <a:xfrm>
          <a:off x="0" y="0"/>
          <a:ext cx="9093640" cy="1898621"/>
          <a:chOff x="-7962901" y="-2409824"/>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2018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1.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H400"/>
  <sheetViews>
    <sheetView showGridLines="0" tabSelected="1" topLeftCell="A19" workbookViewId="0">
      <selection activeCell="F25" sqref="F25"/>
    </sheetView>
  </sheetViews>
  <sheetFormatPr defaultColWidth="9.140625" defaultRowHeight="0" customHeight="1" zeroHeight="1" x14ac:dyDescent="0.25"/>
  <cols>
    <col min="1" max="1" width="14.7109375" style="420" customWidth="1"/>
    <col min="2" max="2" width="11.42578125" style="420" hidden="1" customWidth="1"/>
    <col min="3" max="3" width="29.85546875" style="420" customWidth="1"/>
    <col min="4" max="4" width="34.42578125" style="420" customWidth="1"/>
    <col min="5" max="5" width="30.7109375" style="289" customWidth="1"/>
    <col min="6" max="6" width="13.5703125" style="420" customWidth="1"/>
    <col min="7" max="25" width="9.140625" style="420"/>
    <col min="26" max="26" width="8.5703125" style="420" customWidth="1"/>
    <col min="27" max="27" width="3.85546875" style="423" customWidth="1"/>
    <col min="28" max="28" width="67.7109375" style="423" hidden="1" customWidth="1"/>
    <col min="29" max="29" width="17" style="423" hidden="1" customWidth="1"/>
    <col min="30" max="30" width="16.28515625" style="423" customWidth="1"/>
    <col min="31" max="31" width="16.140625" style="423" customWidth="1"/>
    <col min="32" max="32" width="13.7109375" style="424" customWidth="1"/>
    <col min="33" max="33" width="24.42578125" style="424" customWidth="1"/>
    <col min="34" max="34" width="6.28515625" style="420" customWidth="1"/>
    <col min="35" max="35" width="9.140625" style="420" customWidth="1"/>
    <col min="36" max="36" width="45.140625" style="420" customWidth="1"/>
    <col min="37" max="16384" width="9.140625" style="420"/>
  </cols>
  <sheetData>
    <row r="1" spans="1:34" ht="12.75" customHeight="1" x14ac:dyDescent="0.25">
      <c r="AB1" s="500" t="s">
        <v>500</v>
      </c>
      <c r="AC1" s="500"/>
    </row>
    <row r="2" spans="1:34" ht="12.75" customHeight="1" x14ac:dyDescent="0.25">
      <c r="C2" s="505"/>
      <c r="D2" s="505"/>
      <c r="E2" s="505"/>
      <c r="F2" s="505"/>
      <c r="G2" s="505"/>
      <c r="H2" s="505"/>
      <c r="I2" s="505"/>
      <c r="J2" s="505"/>
      <c r="AB2" s="500" t="s">
        <v>501</v>
      </c>
      <c r="AC2" s="500"/>
      <c r="AF2" s="423"/>
      <c r="AG2" s="423"/>
      <c r="AH2" s="423"/>
    </row>
    <row r="3" spans="1:34" ht="12.75" customHeight="1" x14ac:dyDescent="0.25">
      <c r="C3" s="505"/>
      <c r="D3" s="505"/>
      <c r="E3" s="505"/>
      <c r="F3" s="505"/>
      <c r="G3" s="505"/>
      <c r="H3" s="505"/>
      <c r="I3" s="505"/>
      <c r="J3" s="505"/>
      <c r="AB3" s="500" t="s">
        <v>502</v>
      </c>
      <c r="AC3" s="500"/>
    </row>
    <row r="4" spans="1:34" ht="12.75" customHeight="1" x14ac:dyDescent="0.25">
      <c r="C4" s="505"/>
      <c r="D4" s="505"/>
      <c r="E4" s="505"/>
      <c r="F4" s="505"/>
      <c r="G4" s="505"/>
      <c r="H4" s="505"/>
      <c r="I4" s="505"/>
      <c r="J4" s="505"/>
      <c r="AB4" s="500" t="s">
        <v>503</v>
      </c>
      <c r="AC4" s="500"/>
    </row>
    <row r="5" spans="1:34" ht="18" x14ac:dyDescent="0.25">
      <c r="C5" s="505"/>
      <c r="D5" s="505"/>
      <c r="E5" s="505"/>
      <c r="F5" s="505"/>
      <c r="G5" s="505"/>
      <c r="H5" s="505"/>
      <c r="I5" s="505"/>
      <c r="J5" s="505"/>
      <c r="AB5" s="500" t="s">
        <v>251</v>
      </c>
      <c r="AC5" s="500"/>
    </row>
    <row r="6" spans="1:34" ht="15.75" x14ac:dyDescent="0.25">
      <c r="AB6" s="500" t="s">
        <v>287</v>
      </c>
      <c r="AC6" s="500"/>
    </row>
    <row r="7" spans="1:34" ht="15.75" x14ac:dyDescent="0.25">
      <c r="AB7" s="500" t="s">
        <v>481</v>
      </c>
      <c r="AC7" s="500"/>
    </row>
    <row r="8" spans="1:34" ht="15.75" x14ac:dyDescent="0.25">
      <c r="AB8" s="500" t="s">
        <v>357</v>
      </c>
      <c r="AC8" s="500"/>
    </row>
    <row r="9" spans="1:34" ht="15.75" x14ac:dyDescent="0.25">
      <c r="AB9" s="500" t="s">
        <v>252</v>
      </c>
      <c r="AC9" s="500"/>
    </row>
    <row r="10" spans="1:34" ht="26.25" x14ac:dyDescent="0.4">
      <c r="C10" s="290"/>
      <c r="AB10" s="500" t="s">
        <v>253</v>
      </c>
      <c r="AC10" s="500"/>
    </row>
    <row r="11" spans="1:34" ht="15.75" x14ac:dyDescent="0.25">
      <c r="AB11" s="500" t="s">
        <v>482</v>
      </c>
      <c r="AC11" s="500"/>
    </row>
    <row r="12" spans="1:34" ht="20.25" x14ac:dyDescent="0.3">
      <c r="F12" s="425" t="s">
        <v>356</v>
      </c>
      <c r="G12" s="478">
        <v>1</v>
      </c>
      <c r="AB12" s="2" t="s">
        <v>483</v>
      </c>
      <c r="AC12" s="500"/>
    </row>
    <row r="13" spans="1:34" ht="16.5" thickBot="1" x14ac:dyDescent="0.3">
      <c r="F13" s="289"/>
      <c r="G13" s="289"/>
      <c r="H13" s="289"/>
      <c r="AB13" s="500" t="s">
        <v>484</v>
      </c>
      <c r="AC13" s="500"/>
    </row>
    <row r="14" spans="1:34" ht="17.25" thickTop="1" thickBot="1" x14ac:dyDescent="0.3">
      <c r="A14" s="346"/>
      <c r="B14" s="346"/>
      <c r="C14" s="426" t="s">
        <v>331</v>
      </c>
      <c r="D14" s="578" t="s">
        <v>358</v>
      </c>
      <c r="E14" s="579"/>
      <c r="F14" s="289"/>
      <c r="G14" s="289"/>
      <c r="H14" s="289"/>
      <c r="AB14" s="500" t="s">
        <v>254</v>
      </c>
      <c r="AC14" s="500"/>
    </row>
    <row r="15" spans="1:34" ht="16.5" thickBot="1" x14ac:dyDescent="0.3">
      <c r="A15" s="346"/>
      <c r="B15" s="346"/>
      <c r="C15" s="346"/>
      <c r="AB15" s="500" t="s">
        <v>375</v>
      </c>
      <c r="AC15" s="500"/>
    </row>
    <row r="16" spans="1:34" ht="16.5" thickTop="1" x14ac:dyDescent="0.25">
      <c r="A16" s="346"/>
      <c r="B16" s="346"/>
      <c r="C16" s="427" t="s">
        <v>332</v>
      </c>
      <c r="D16" s="428" t="s">
        <v>508</v>
      </c>
      <c r="AB16" s="500" t="s">
        <v>486</v>
      </c>
      <c r="AC16" s="500"/>
    </row>
    <row r="17" spans="1:33" ht="16.5" thickBot="1" x14ac:dyDescent="0.3">
      <c r="A17" s="346"/>
      <c r="B17" s="346"/>
      <c r="C17" s="346"/>
      <c r="AB17" s="500" t="s">
        <v>487</v>
      </c>
      <c r="AC17" s="519"/>
    </row>
    <row r="18" spans="1:33" ht="16.5" customHeight="1" thickTop="1" x14ac:dyDescent="0.2">
      <c r="A18" s="346"/>
      <c r="B18" s="346"/>
      <c r="C18" s="427" t="s">
        <v>333</v>
      </c>
      <c r="D18" s="576" t="s">
        <v>509</v>
      </c>
      <c r="E18" s="577"/>
      <c r="F18" s="291"/>
      <c r="G18" s="291"/>
      <c r="H18" s="291"/>
      <c r="AB18" s="500" t="s">
        <v>255</v>
      </c>
      <c r="AC18" s="519"/>
    </row>
    <row r="19" spans="1:33" ht="16.5" thickBot="1" x14ac:dyDescent="0.3">
      <c r="A19" s="346"/>
      <c r="B19" s="346"/>
      <c r="C19" s="346"/>
      <c r="AA19" s="220"/>
      <c r="AB19" s="2" t="s">
        <v>256</v>
      </c>
      <c r="AC19" s="500"/>
      <c r="AD19" s="220"/>
      <c r="AE19" s="220"/>
      <c r="AF19" s="221"/>
      <c r="AG19" s="221"/>
    </row>
    <row r="20" spans="1:33" ht="16.5" thickTop="1" x14ac:dyDescent="0.25">
      <c r="A20" s="346"/>
      <c r="B20" s="346"/>
      <c r="C20" s="427" t="s">
        <v>334</v>
      </c>
      <c r="D20" s="429" t="s">
        <v>510</v>
      </c>
      <c r="AB20" s="520" t="s">
        <v>498</v>
      </c>
      <c r="AC20" s="500"/>
      <c r="AE20" s="420"/>
      <c r="AF20" s="430"/>
      <c r="AG20" s="431"/>
    </row>
    <row r="21" spans="1:33" ht="15" customHeight="1" thickBot="1" x14ac:dyDescent="0.3">
      <c r="A21" s="346"/>
      <c r="B21" s="346"/>
      <c r="C21" s="346"/>
      <c r="E21" s="291"/>
      <c r="AB21" s="520" t="s">
        <v>499</v>
      </c>
      <c r="AC21" s="500"/>
      <c r="AE21" s="420"/>
      <c r="AF21" s="430"/>
      <c r="AG21" s="431"/>
    </row>
    <row r="22" spans="1:33" ht="15.75" customHeight="1" thickTop="1" x14ac:dyDescent="0.25">
      <c r="A22" s="346"/>
      <c r="B22" s="346"/>
      <c r="C22" s="427" t="s">
        <v>335</v>
      </c>
      <c r="D22" s="576" t="s">
        <v>511</v>
      </c>
      <c r="E22" s="577"/>
      <c r="AB22" s="520" t="s">
        <v>485</v>
      </c>
      <c r="AC22" s="500"/>
      <c r="AE22" s="420"/>
      <c r="AF22" s="430"/>
      <c r="AG22" s="431"/>
    </row>
    <row r="23" spans="1:33" ht="16.5" thickBot="1" x14ac:dyDescent="0.3">
      <c r="A23" s="346"/>
      <c r="B23" s="346"/>
      <c r="C23" s="346"/>
      <c r="AB23" s="500" t="s">
        <v>491</v>
      </c>
      <c r="AC23" s="500"/>
      <c r="AE23" s="420"/>
      <c r="AF23" s="430"/>
      <c r="AG23" s="431"/>
    </row>
    <row r="24" spans="1:33" ht="16.5" thickTop="1" x14ac:dyDescent="0.25">
      <c r="A24" s="346"/>
      <c r="B24" s="346"/>
      <c r="C24" s="427" t="s">
        <v>336</v>
      </c>
      <c r="D24" s="641">
        <v>42991</v>
      </c>
      <c r="F24" s="292"/>
      <c r="G24" s="292"/>
      <c r="H24" s="292"/>
      <c r="AB24" s="500" t="s">
        <v>492</v>
      </c>
      <c r="AC24" s="500"/>
      <c r="AE24" s="420"/>
      <c r="AF24" s="430"/>
      <c r="AG24" s="431"/>
    </row>
    <row r="25" spans="1:33" ht="16.5" thickBot="1" x14ac:dyDescent="0.3">
      <c r="A25" s="346"/>
      <c r="B25" s="346"/>
      <c r="C25" s="347"/>
      <c r="D25" s="293"/>
      <c r="F25" s="432"/>
      <c r="I25" s="432"/>
      <c r="AB25" s="521" t="s">
        <v>490</v>
      </c>
      <c r="AC25" s="500"/>
      <c r="AE25" s="420"/>
      <c r="AF25" s="430"/>
      <c r="AG25" s="431"/>
    </row>
    <row r="26" spans="1:33" ht="16.5" thickTop="1" x14ac:dyDescent="0.25">
      <c r="A26" s="346"/>
      <c r="B26" s="346"/>
      <c r="C26" s="433" t="s">
        <v>337</v>
      </c>
      <c r="D26" s="294">
        <v>2012</v>
      </c>
      <c r="AB26" s="500" t="s">
        <v>488</v>
      </c>
      <c r="AC26" s="500"/>
      <c r="AE26" s="420"/>
      <c r="AF26" s="430"/>
      <c r="AG26" s="431"/>
    </row>
    <row r="27" spans="1:33" ht="15.75" x14ac:dyDescent="0.25">
      <c r="AB27" s="500" t="s">
        <v>358</v>
      </c>
      <c r="AC27" s="500"/>
      <c r="AE27" s="420"/>
      <c r="AF27" s="430"/>
      <c r="AG27" s="431"/>
    </row>
    <row r="28" spans="1:33" ht="15.75" x14ac:dyDescent="0.25">
      <c r="C28" s="433"/>
      <c r="AB28" s="500" t="s">
        <v>288</v>
      </c>
      <c r="AC28" s="500"/>
      <c r="AE28" s="420"/>
      <c r="AF28" s="430"/>
      <c r="AG28" s="431"/>
    </row>
    <row r="29" spans="1:33" ht="15.75" x14ac:dyDescent="0.25">
      <c r="A29" s="295" t="s">
        <v>338</v>
      </c>
      <c r="C29" s="433"/>
      <c r="AB29" s="500" t="s">
        <v>257</v>
      </c>
      <c r="AC29" s="500"/>
      <c r="AE29" s="420"/>
      <c r="AF29" s="430"/>
      <c r="AG29" s="431"/>
    </row>
    <row r="30" spans="1:33" ht="15.75" x14ac:dyDescent="0.25">
      <c r="C30" s="433"/>
      <c r="AB30" s="500" t="s">
        <v>258</v>
      </c>
      <c r="AC30" s="500"/>
      <c r="AE30" s="420"/>
      <c r="AF30" s="430"/>
      <c r="AG30" s="431"/>
    </row>
    <row r="31" spans="1:33" ht="15.75" x14ac:dyDescent="0.25">
      <c r="AB31" s="500" t="s">
        <v>489</v>
      </c>
      <c r="AC31" s="500"/>
      <c r="AE31" s="420"/>
      <c r="AF31" s="430"/>
      <c r="AG31" s="431"/>
    </row>
    <row r="32" spans="1:33" ht="15.75" x14ac:dyDescent="0.25">
      <c r="C32" s="434"/>
      <c r="AB32" s="500" t="s">
        <v>259</v>
      </c>
      <c r="AC32" s="500"/>
      <c r="AE32" s="420"/>
      <c r="AF32" s="430"/>
      <c r="AG32" s="431"/>
    </row>
    <row r="33" spans="3:33" ht="15.75" x14ac:dyDescent="0.25">
      <c r="F33" s="435"/>
      <c r="G33" s="435"/>
      <c r="H33" s="435"/>
      <c r="I33" s="435"/>
      <c r="J33" s="435"/>
      <c r="K33" s="435"/>
      <c r="AB33" s="500" t="s">
        <v>260</v>
      </c>
      <c r="AC33" s="500"/>
      <c r="AE33" s="420"/>
      <c r="AF33" s="430"/>
      <c r="AG33" s="431"/>
    </row>
    <row r="34" spans="3:33" ht="15.75" x14ac:dyDescent="0.25">
      <c r="F34" s="435"/>
      <c r="G34" s="435"/>
      <c r="H34" s="435"/>
      <c r="I34" s="435"/>
      <c r="J34" s="435"/>
      <c r="K34" s="435"/>
      <c r="AB34" s="2" t="s">
        <v>261</v>
      </c>
      <c r="AC34" s="500"/>
      <c r="AE34" s="420"/>
      <c r="AF34" s="430"/>
      <c r="AG34" s="431"/>
    </row>
    <row r="35" spans="3:33" ht="15.75" x14ac:dyDescent="0.25">
      <c r="F35" s="435"/>
      <c r="G35" s="435"/>
      <c r="H35" s="435"/>
      <c r="I35" s="435"/>
      <c r="J35" s="435"/>
      <c r="K35" s="435"/>
      <c r="AB35" s="500" t="s">
        <v>289</v>
      </c>
      <c r="AC35" s="500"/>
      <c r="AE35" s="420"/>
      <c r="AF35" s="430"/>
      <c r="AG35" s="431"/>
    </row>
    <row r="36" spans="3:33" ht="15.75" x14ac:dyDescent="0.25">
      <c r="D36" s="436"/>
      <c r="E36" s="420"/>
      <c r="F36" s="297"/>
      <c r="G36" s="297"/>
      <c r="H36" s="297"/>
      <c r="I36" s="297"/>
      <c r="J36" s="297"/>
      <c r="K36" s="297"/>
      <c r="AB36" s="500" t="s">
        <v>290</v>
      </c>
      <c r="AC36" s="500"/>
      <c r="AE36" s="420"/>
      <c r="AF36" s="430"/>
      <c r="AG36" s="431"/>
    </row>
    <row r="37" spans="3:33" ht="15.75" x14ac:dyDescent="0.25">
      <c r="D37" s="295"/>
      <c r="E37" s="420"/>
      <c r="F37" s="298"/>
      <c r="G37" s="435"/>
      <c r="H37" s="435"/>
      <c r="I37" s="435"/>
      <c r="J37" s="435"/>
      <c r="K37" s="435"/>
      <c r="AB37" s="2" t="s">
        <v>262</v>
      </c>
      <c r="AC37" s="500"/>
      <c r="AE37" s="420"/>
      <c r="AF37" s="430"/>
      <c r="AG37" s="431"/>
    </row>
    <row r="38" spans="3:33" ht="15.75" x14ac:dyDescent="0.25">
      <c r="D38" s="436"/>
      <c r="E38" s="420"/>
      <c r="F38" s="297"/>
      <c r="G38" s="297"/>
      <c r="H38" s="297"/>
      <c r="I38" s="297"/>
      <c r="J38" s="297"/>
      <c r="K38" s="297"/>
      <c r="AB38" s="500" t="s">
        <v>291</v>
      </c>
      <c r="AC38" s="500"/>
      <c r="AE38" s="420"/>
      <c r="AF38" s="430"/>
      <c r="AG38" s="431"/>
    </row>
    <row r="39" spans="3:33" ht="15.75" x14ac:dyDescent="0.25">
      <c r="D39" s="295"/>
      <c r="E39" s="420"/>
      <c r="F39" s="298"/>
      <c r="G39" s="435"/>
      <c r="H39" s="435"/>
      <c r="I39" s="435"/>
      <c r="J39" s="435"/>
      <c r="K39" s="435"/>
      <c r="AB39" s="500" t="s">
        <v>359</v>
      </c>
      <c r="AC39" s="500"/>
      <c r="AE39" s="420"/>
      <c r="AF39" s="430"/>
      <c r="AG39" s="431"/>
    </row>
    <row r="40" spans="3:33" ht="15.75" x14ac:dyDescent="0.25">
      <c r="D40" s="436"/>
      <c r="E40" s="437"/>
      <c r="F40" s="297"/>
      <c r="G40" s="297"/>
      <c r="H40" s="297"/>
      <c r="I40" s="297"/>
      <c r="J40" s="297"/>
      <c r="K40" s="297"/>
      <c r="AB40" s="500" t="s">
        <v>292</v>
      </c>
      <c r="AC40" s="500"/>
      <c r="AE40" s="420"/>
      <c r="AF40" s="430"/>
      <c r="AG40" s="431"/>
    </row>
    <row r="41" spans="3:33" ht="12.75" customHeight="1" x14ac:dyDescent="0.25">
      <c r="D41" s="295"/>
      <c r="E41" s="420"/>
      <c r="F41" s="299"/>
      <c r="G41" s="435"/>
      <c r="H41" s="435"/>
      <c r="I41" s="435"/>
      <c r="J41" s="435"/>
      <c r="K41" s="435"/>
      <c r="AB41" s="500" t="s">
        <v>263</v>
      </c>
      <c r="AC41" s="500"/>
      <c r="AE41" s="420"/>
      <c r="AF41" s="430"/>
      <c r="AG41" s="431"/>
    </row>
    <row r="42" spans="3:33" ht="15.75" x14ac:dyDescent="0.25">
      <c r="D42" s="438"/>
      <c r="E42" s="439"/>
      <c r="F42" s="297"/>
      <c r="G42" s="297"/>
      <c r="H42" s="297"/>
      <c r="I42" s="297"/>
      <c r="J42" s="297"/>
      <c r="K42" s="297"/>
      <c r="AB42" s="500" t="s">
        <v>379</v>
      </c>
      <c r="AC42" s="500"/>
      <c r="AE42" s="420"/>
      <c r="AF42" s="430"/>
      <c r="AG42" s="431"/>
    </row>
    <row r="43" spans="3:33" ht="12.75" x14ac:dyDescent="0.2">
      <c r="E43" s="420"/>
      <c r="F43" s="435"/>
      <c r="G43" s="435"/>
      <c r="H43" s="435"/>
      <c r="I43" s="435"/>
      <c r="J43" s="435"/>
      <c r="K43" s="435"/>
      <c r="AB43" s="500" t="s">
        <v>293</v>
      </c>
      <c r="AC43" s="500"/>
      <c r="AE43" s="420"/>
      <c r="AF43" s="430"/>
      <c r="AG43" s="431"/>
    </row>
    <row r="44" spans="3:33" ht="15.75" x14ac:dyDescent="0.25">
      <c r="D44" s="438"/>
      <c r="E44" s="438"/>
      <c r="F44" s="440"/>
      <c r="G44" s="440"/>
      <c r="H44" s="300"/>
      <c r="I44" s="300"/>
      <c r="J44" s="300"/>
      <c r="K44" s="300"/>
      <c r="AB44" s="521" t="s">
        <v>380</v>
      </c>
      <c r="AC44" s="500"/>
      <c r="AE44" s="420"/>
      <c r="AF44" s="430"/>
      <c r="AG44" s="431"/>
    </row>
    <row r="45" spans="3:33" ht="12.75" x14ac:dyDescent="0.2">
      <c r="E45" s="420"/>
      <c r="F45" s="435"/>
      <c r="G45" s="435"/>
      <c r="H45" s="435"/>
      <c r="I45" s="435"/>
      <c r="J45" s="435"/>
      <c r="K45" s="435"/>
      <c r="AB45" s="500" t="s">
        <v>294</v>
      </c>
      <c r="AC45" s="500"/>
      <c r="AE45" s="420"/>
      <c r="AF45" s="430"/>
      <c r="AG45" s="431"/>
    </row>
    <row r="46" spans="3:33" ht="15.75" x14ac:dyDescent="0.2">
      <c r="D46" s="441"/>
      <c r="E46" s="441"/>
      <c r="F46" s="442"/>
      <c r="G46" s="442"/>
      <c r="H46" s="442"/>
      <c r="I46" s="301"/>
      <c r="J46" s="301"/>
      <c r="K46" s="301"/>
      <c r="AB46" s="500" t="s">
        <v>264</v>
      </c>
      <c r="AC46" s="500"/>
      <c r="AE46" s="420"/>
      <c r="AF46" s="430"/>
      <c r="AG46" s="431"/>
    </row>
    <row r="47" spans="3:33" ht="15.75" x14ac:dyDescent="0.2">
      <c r="C47" s="441"/>
      <c r="D47" s="441"/>
      <c r="E47" s="441"/>
      <c r="F47" s="442"/>
      <c r="G47" s="442"/>
      <c r="H47" s="442"/>
      <c r="I47" s="301"/>
      <c r="J47" s="301"/>
      <c r="K47" s="301"/>
      <c r="AB47" s="2" t="s">
        <v>265</v>
      </c>
      <c r="AC47" s="500"/>
      <c r="AE47" s="420"/>
      <c r="AF47" s="430"/>
      <c r="AG47" s="431"/>
    </row>
    <row r="48" spans="3:33" ht="12.75" x14ac:dyDescent="0.2">
      <c r="E48" s="420"/>
      <c r="F48" s="435"/>
      <c r="G48" s="435"/>
      <c r="H48" s="435"/>
      <c r="I48" s="435"/>
      <c r="J48" s="435"/>
      <c r="K48" s="435"/>
      <c r="AB48" s="2" t="s">
        <v>266</v>
      </c>
      <c r="AC48" s="500"/>
      <c r="AE48" s="420"/>
      <c r="AF48" s="430"/>
      <c r="AG48" s="431"/>
    </row>
    <row r="49" spans="5:33" ht="12.75" x14ac:dyDescent="0.2">
      <c r="E49" s="420"/>
      <c r="F49" s="435"/>
      <c r="G49" s="435"/>
      <c r="H49" s="435"/>
      <c r="I49" s="435"/>
      <c r="J49" s="435"/>
      <c r="K49" s="435"/>
      <c r="AB49" s="2" t="s">
        <v>295</v>
      </c>
      <c r="AC49" s="500"/>
      <c r="AE49" s="420"/>
      <c r="AF49" s="430"/>
      <c r="AG49" s="431"/>
    </row>
    <row r="50" spans="5:33" ht="12.75" x14ac:dyDescent="0.2">
      <c r="E50" s="420"/>
      <c r="AB50" s="500" t="s">
        <v>267</v>
      </c>
      <c r="AC50" s="500"/>
      <c r="AE50" s="420"/>
      <c r="AF50" s="430"/>
      <c r="AG50" s="431"/>
    </row>
    <row r="51" spans="5:33" ht="12.75" x14ac:dyDescent="0.2">
      <c r="E51" s="420"/>
      <c r="AB51" s="521" t="s">
        <v>496</v>
      </c>
      <c r="AC51" s="500"/>
      <c r="AE51" s="420"/>
      <c r="AF51" s="430"/>
      <c r="AG51" s="431"/>
    </row>
    <row r="52" spans="5:33" ht="12.75" x14ac:dyDescent="0.2">
      <c r="E52" s="420"/>
      <c r="AB52" s="500" t="s">
        <v>268</v>
      </c>
      <c r="AC52" s="500"/>
      <c r="AE52" s="420"/>
      <c r="AF52" s="430"/>
      <c r="AG52" s="431"/>
    </row>
    <row r="53" spans="5:33" ht="12.75" x14ac:dyDescent="0.2">
      <c r="E53" s="420"/>
      <c r="AB53" s="500" t="s">
        <v>269</v>
      </c>
      <c r="AC53" s="500"/>
      <c r="AE53" s="420"/>
      <c r="AF53" s="430"/>
      <c r="AG53" s="431"/>
    </row>
    <row r="54" spans="5:33" ht="12.75" x14ac:dyDescent="0.2">
      <c r="E54" s="420"/>
      <c r="AB54" s="500" t="s">
        <v>493</v>
      </c>
      <c r="AC54" s="500"/>
      <c r="AE54" s="420"/>
      <c r="AF54" s="430"/>
      <c r="AG54" s="431"/>
    </row>
    <row r="55" spans="5:33" ht="12.75" x14ac:dyDescent="0.2">
      <c r="E55" s="420"/>
      <c r="AB55" s="500" t="s">
        <v>494</v>
      </c>
      <c r="AC55" s="500"/>
      <c r="AE55" s="420"/>
      <c r="AF55" s="430"/>
      <c r="AG55" s="431"/>
    </row>
    <row r="56" spans="5:33" ht="12.75" x14ac:dyDescent="0.2">
      <c r="E56" s="420"/>
      <c r="AB56" s="500" t="s">
        <v>495</v>
      </c>
      <c r="AC56" s="500"/>
      <c r="AE56" s="420"/>
      <c r="AF56" s="430"/>
      <c r="AG56" s="431"/>
    </row>
    <row r="57" spans="5:33" ht="12.75" x14ac:dyDescent="0.2">
      <c r="E57" s="420"/>
      <c r="AB57" s="500" t="s">
        <v>376</v>
      </c>
      <c r="AC57" s="500"/>
      <c r="AE57" s="420"/>
      <c r="AF57" s="430"/>
      <c r="AG57" s="431"/>
    </row>
    <row r="58" spans="5:33" ht="12.75" x14ac:dyDescent="0.2">
      <c r="E58" s="420"/>
      <c r="AB58" s="500" t="s">
        <v>270</v>
      </c>
      <c r="AC58" s="500"/>
      <c r="AE58" s="420"/>
      <c r="AF58" s="430"/>
      <c r="AG58" s="431"/>
    </row>
    <row r="59" spans="5:33" ht="12.75" x14ac:dyDescent="0.2">
      <c r="E59" s="420"/>
      <c r="AB59" s="500" t="s">
        <v>360</v>
      </c>
      <c r="AC59" s="500"/>
      <c r="AE59" s="420"/>
      <c r="AF59" s="430"/>
      <c r="AG59" s="431"/>
    </row>
    <row r="60" spans="5:33" ht="12.75" x14ac:dyDescent="0.2">
      <c r="E60" s="420"/>
      <c r="AB60" s="500" t="s">
        <v>271</v>
      </c>
      <c r="AC60" s="500"/>
      <c r="AE60" s="420"/>
      <c r="AF60" s="430"/>
      <c r="AG60" s="431"/>
    </row>
    <row r="61" spans="5:33" ht="12.75" x14ac:dyDescent="0.2">
      <c r="E61" s="420"/>
      <c r="AB61" s="500" t="s">
        <v>272</v>
      </c>
      <c r="AC61" s="500"/>
      <c r="AE61" s="420"/>
      <c r="AF61" s="430"/>
      <c r="AG61" s="431"/>
    </row>
    <row r="62" spans="5:33" ht="12.75" x14ac:dyDescent="0.2">
      <c r="E62" s="420"/>
      <c r="AB62" s="500" t="s">
        <v>361</v>
      </c>
      <c r="AC62" s="500"/>
      <c r="AE62" s="420"/>
      <c r="AF62" s="430"/>
      <c r="AG62" s="431"/>
    </row>
    <row r="63" spans="5:33" ht="12.75" x14ac:dyDescent="0.2">
      <c r="E63" s="420"/>
      <c r="AB63" s="500" t="s">
        <v>273</v>
      </c>
      <c r="AC63" s="500"/>
      <c r="AE63" s="420"/>
      <c r="AF63" s="430"/>
      <c r="AG63" s="431"/>
    </row>
    <row r="64" spans="5:33" ht="12.75" x14ac:dyDescent="0.2">
      <c r="E64" s="420"/>
      <c r="AA64" s="420"/>
      <c r="AB64" s="500" t="s">
        <v>362</v>
      </c>
      <c r="AC64" s="500"/>
      <c r="AE64" s="420"/>
      <c r="AF64" s="430"/>
      <c r="AG64" s="431"/>
    </row>
    <row r="65" spans="5:33" ht="12.75" x14ac:dyDescent="0.2">
      <c r="E65" s="420"/>
      <c r="AA65" s="420"/>
      <c r="AB65" s="500" t="s">
        <v>296</v>
      </c>
      <c r="AC65" s="500"/>
      <c r="AE65" s="420"/>
      <c r="AF65" s="430"/>
      <c r="AG65" s="431"/>
    </row>
    <row r="66" spans="5:33" ht="12.75" x14ac:dyDescent="0.2">
      <c r="E66" s="420"/>
      <c r="AA66" s="420"/>
      <c r="AB66" s="2" t="s">
        <v>274</v>
      </c>
      <c r="AC66" s="500"/>
      <c r="AE66" s="420"/>
      <c r="AF66" s="430"/>
      <c r="AG66" s="431"/>
    </row>
    <row r="67" spans="5:33" ht="12.75" x14ac:dyDescent="0.2">
      <c r="E67" s="420"/>
      <c r="AA67" s="420"/>
      <c r="AB67" s="2" t="s">
        <v>363</v>
      </c>
      <c r="AC67" s="500"/>
      <c r="AE67" s="420"/>
      <c r="AF67" s="430"/>
      <c r="AG67" s="431"/>
    </row>
    <row r="68" spans="5:33" ht="12.75" x14ac:dyDescent="0.2">
      <c r="E68" s="420"/>
      <c r="AA68" s="420"/>
      <c r="AB68" s="500" t="s">
        <v>275</v>
      </c>
      <c r="AC68" s="500"/>
      <c r="AE68" s="420"/>
      <c r="AF68" s="430"/>
      <c r="AG68" s="431"/>
    </row>
    <row r="69" spans="5:33" ht="12.75" x14ac:dyDescent="0.2">
      <c r="E69" s="420"/>
      <c r="AA69" s="420"/>
      <c r="AB69" s="500" t="s">
        <v>276</v>
      </c>
      <c r="AC69" s="500"/>
      <c r="AE69" s="420"/>
      <c r="AF69" s="430"/>
      <c r="AG69" s="431"/>
    </row>
    <row r="70" spans="5:33" ht="12.75" x14ac:dyDescent="0.2">
      <c r="E70" s="420"/>
      <c r="AA70" s="420"/>
      <c r="AB70" s="500" t="s">
        <v>297</v>
      </c>
      <c r="AC70" s="500"/>
      <c r="AE70" s="420"/>
      <c r="AF70" s="430"/>
      <c r="AG70" s="431"/>
    </row>
    <row r="71" spans="5:33" ht="12.75" x14ac:dyDescent="0.2">
      <c r="E71" s="420"/>
      <c r="AA71" s="420"/>
      <c r="AB71" s="500" t="s">
        <v>277</v>
      </c>
      <c r="AC71" s="500"/>
      <c r="AE71" s="420"/>
      <c r="AF71" s="430"/>
      <c r="AG71" s="431"/>
    </row>
    <row r="72" spans="5:33" ht="12.75" x14ac:dyDescent="0.2">
      <c r="E72" s="420"/>
      <c r="AA72" s="420"/>
      <c r="AB72" s="500" t="s">
        <v>278</v>
      </c>
      <c r="AC72" s="500"/>
      <c r="AE72" s="420"/>
      <c r="AF72" s="430"/>
      <c r="AG72" s="431"/>
    </row>
    <row r="73" spans="5:33" ht="12.75" x14ac:dyDescent="0.2">
      <c r="E73" s="420"/>
      <c r="AA73" s="420"/>
      <c r="AB73" s="500" t="s">
        <v>364</v>
      </c>
      <c r="AC73" s="500"/>
      <c r="AE73" s="420"/>
      <c r="AF73" s="430"/>
      <c r="AG73" s="431"/>
    </row>
    <row r="74" spans="5:33" ht="12.75" x14ac:dyDescent="0.2">
      <c r="E74" s="420"/>
      <c r="AA74" s="420"/>
      <c r="AB74" s="500" t="s">
        <v>279</v>
      </c>
      <c r="AC74" s="500"/>
      <c r="AE74" s="420"/>
      <c r="AF74" s="430"/>
      <c r="AG74" s="431"/>
    </row>
    <row r="75" spans="5:33" ht="12.75" x14ac:dyDescent="0.2">
      <c r="E75" s="420"/>
      <c r="AA75" s="420"/>
      <c r="AB75" s="500" t="s">
        <v>298</v>
      </c>
      <c r="AC75" s="500"/>
      <c r="AE75" s="420"/>
      <c r="AF75" s="430"/>
      <c r="AG75" s="431"/>
    </row>
    <row r="76" spans="5:33" ht="12.75" x14ac:dyDescent="0.2">
      <c r="E76" s="420"/>
      <c r="AA76" s="420"/>
      <c r="AB76" s="500" t="s">
        <v>280</v>
      </c>
      <c r="AC76" s="500"/>
      <c r="AE76" s="420"/>
      <c r="AF76" s="430"/>
      <c r="AG76" s="431"/>
    </row>
    <row r="77" spans="5:33" ht="12.75" x14ac:dyDescent="0.2">
      <c r="E77" s="420"/>
      <c r="AA77" s="420"/>
      <c r="AB77" s="500" t="s">
        <v>281</v>
      </c>
      <c r="AC77" s="500"/>
      <c r="AE77" s="420"/>
      <c r="AF77" s="430"/>
      <c r="AG77" s="431"/>
    </row>
    <row r="78" spans="5:33" ht="12.75" x14ac:dyDescent="0.2">
      <c r="E78" s="420"/>
      <c r="AA78" s="420"/>
      <c r="AB78" s="500" t="s">
        <v>282</v>
      </c>
      <c r="AC78" s="500"/>
      <c r="AE78" s="420"/>
      <c r="AF78" s="430"/>
      <c r="AG78" s="431"/>
    </row>
    <row r="79" spans="5:33" ht="12.75" x14ac:dyDescent="0.2">
      <c r="E79" s="420"/>
      <c r="AA79" s="420"/>
      <c r="AB79" s="500" t="s">
        <v>365</v>
      </c>
      <c r="AC79" s="500"/>
      <c r="AE79" s="420"/>
      <c r="AF79" s="430"/>
      <c r="AG79" s="431"/>
    </row>
    <row r="80" spans="5:33" ht="12.75" x14ac:dyDescent="0.2">
      <c r="E80" s="420"/>
      <c r="AA80" s="420"/>
      <c r="AB80" s="500" t="s">
        <v>299</v>
      </c>
      <c r="AC80" s="500"/>
      <c r="AE80" s="420"/>
      <c r="AF80" s="430"/>
      <c r="AG80" s="431"/>
    </row>
    <row r="81" spans="5:33" ht="12.75" x14ac:dyDescent="0.2">
      <c r="E81" s="420"/>
      <c r="AA81" s="420"/>
      <c r="AB81" s="500" t="s">
        <v>283</v>
      </c>
      <c r="AC81" s="500"/>
      <c r="AE81" s="420"/>
      <c r="AF81" s="430"/>
      <c r="AG81" s="431"/>
    </row>
    <row r="82" spans="5:33" ht="12.75" x14ac:dyDescent="0.2">
      <c r="E82" s="420"/>
      <c r="AA82" s="420"/>
      <c r="AB82" s="500" t="s">
        <v>497</v>
      </c>
      <c r="AC82" s="500"/>
      <c r="AE82" s="420"/>
      <c r="AF82" s="430"/>
      <c r="AG82" s="431"/>
    </row>
    <row r="83" spans="5:33" ht="12.75" x14ac:dyDescent="0.2">
      <c r="E83" s="420"/>
      <c r="AA83" s="420"/>
      <c r="AB83" s="500" t="s">
        <v>284</v>
      </c>
      <c r="AC83" s="500"/>
      <c r="AE83" s="420"/>
      <c r="AF83" s="430"/>
      <c r="AG83" s="431"/>
    </row>
    <row r="84" spans="5:33" ht="12.75" x14ac:dyDescent="0.2">
      <c r="E84" s="420"/>
      <c r="AA84" s="420"/>
      <c r="AB84" s="500" t="s">
        <v>285</v>
      </c>
      <c r="AC84" s="500"/>
      <c r="AE84" s="420"/>
      <c r="AF84" s="430"/>
      <c r="AG84" s="431"/>
    </row>
    <row r="85" spans="5:33" ht="12.75" x14ac:dyDescent="0.2">
      <c r="E85" s="420"/>
      <c r="AA85" s="420"/>
      <c r="AB85" s="500" t="s">
        <v>286</v>
      </c>
      <c r="AC85" s="500"/>
      <c r="AE85" s="420"/>
      <c r="AF85" s="430"/>
      <c r="AG85" s="431"/>
    </row>
    <row r="86" spans="5:33" ht="12.75" x14ac:dyDescent="0.2">
      <c r="E86" s="420"/>
      <c r="AA86" s="420"/>
      <c r="AB86" s="500"/>
      <c r="AC86" s="500"/>
      <c r="AE86" s="420"/>
      <c r="AF86" s="430"/>
      <c r="AG86" s="431"/>
    </row>
    <row r="87" spans="5:33" ht="12.75" x14ac:dyDescent="0.2">
      <c r="E87" s="420"/>
      <c r="AA87" s="420"/>
      <c r="AB87" s="500"/>
      <c r="AC87" s="500"/>
      <c r="AE87" s="420"/>
      <c r="AF87" s="431"/>
      <c r="AG87" s="431"/>
    </row>
    <row r="88" spans="5:33" ht="12.75" x14ac:dyDescent="0.2">
      <c r="E88" s="420"/>
      <c r="AA88" s="420"/>
      <c r="AB88" s="500"/>
      <c r="AC88" s="500"/>
      <c r="AE88" s="420"/>
      <c r="AF88" s="431"/>
      <c r="AG88" s="431"/>
    </row>
    <row r="89" spans="5:33" ht="12.75" x14ac:dyDescent="0.2">
      <c r="E89" s="420"/>
      <c r="AA89" s="420"/>
      <c r="AB89" s="500"/>
      <c r="AC89" s="500"/>
      <c r="AE89" s="420"/>
      <c r="AF89" s="431"/>
      <c r="AG89" s="431"/>
    </row>
    <row r="90" spans="5:33" ht="12.75" x14ac:dyDescent="0.2">
      <c r="E90" s="420"/>
      <c r="AA90" s="420"/>
      <c r="AB90" s="420"/>
      <c r="AC90" s="443"/>
      <c r="AF90" s="431"/>
      <c r="AG90" s="431"/>
    </row>
    <row r="91" spans="5:33" ht="12.75" x14ac:dyDescent="0.2">
      <c r="E91" s="420"/>
      <c r="AA91" s="420"/>
      <c r="AB91" s="420"/>
      <c r="AC91" s="443"/>
      <c r="AF91" s="431"/>
      <c r="AG91" s="431"/>
    </row>
    <row r="92" spans="5:33" ht="12.75" x14ac:dyDescent="0.2">
      <c r="E92" s="420"/>
      <c r="AA92" s="420"/>
      <c r="AB92" s="420"/>
      <c r="AC92" s="443"/>
      <c r="AF92" s="431"/>
      <c r="AG92" s="431"/>
    </row>
    <row r="93" spans="5:33" ht="12.75" x14ac:dyDescent="0.2">
      <c r="E93" s="420"/>
      <c r="AA93" s="420"/>
      <c r="AB93" s="420"/>
      <c r="AC93" s="443"/>
      <c r="AF93" s="431"/>
      <c r="AG93" s="431"/>
    </row>
    <row r="94" spans="5:33" ht="12.75" x14ac:dyDescent="0.2">
      <c r="E94" s="420"/>
      <c r="AA94" s="420"/>
      <c r="AB94" s="420"/>
      <c r="AC94" s="443"/>
      <c r="AF94" s="431"/>
      <c r="AG94" s="431"/>
    </row>
    <row r="95" spans="5:33" ht="12.75" x14ac:dyDescent="0.2">
      <c r="E95" s="420"/>
      <c r="AA95" s="420"/>
      <c r="AB95" s="420"/>
      <c r="AC95" s="443"/>
      <c r="AF95" s="431"/>
      <c r="AG95" s="431"/>
    </row>
    <row r="96" spans="5:33" ht="12.75" x14ac:dyDescent="0.2">
      <c r="E96" s="420"/>
      <c r="AA96" s="420"/>
      <c r="AB96" s="420"/>
      <c r="AC96" s="443"/>
      <c r="AF96" s="431"/>
      <c r="AG96" s="431"/>
    </row>
    <row r="97" spans="5:33" ht="12.75" x14ac:dyDescent="0.2">
      <c r="E97" s="420"/>
      <c r="AA97" s="420"/>
      <c r="AB97" s="420"/>
      <c r="AC97" s="443"/>
      <c r="AF97" s="431"/>
      <c r="AG97" s="431"/>
    </row>
    <row r="98" spans="5:33" ht="12.75" x14ac:dyDescent="0.2">
      <c r="E98" s="420"/>
      <c r="AA98" s="420"/>
      <c r="AB98" s="420"/>
      <c r="AC98" s="443"/>
      <c r="AF98" s="431"/>
      <c r="AG98" s="431"/>
    </row>
    <row r="99" spans="5:33" ht="12.75" x14ac:dyDescent="0.2">
      <c r="E99" s="420"/>
      <c r="AA99" s="420"/>
      <c r="AB99" s="420"/>
      <c r="AC99" s="443"/>
      <c r="AF99" s="431"/>
      <c r="AG99" s="431"/>
    </row>
    <row r="100" spans="5:33" ht="12.75" x14ac:dyDescent="0.2">
      <c r="E100" s="420"/>
      <c r="AA100" s="420"/>
      <c r="AB100" s="420"/>
      <c r="AC100" s="443"/>
      <c r="AF100" s="431"/>
      <c r="AG100" s="431"/>
    </row>
    <row r="101" spans="5:33" ht="12.75" x14ac:dyDescent="0.2">
      <c r="E101" s="420"/>
      <c r="AA101" s="420"/>
      <c r="AB101" s="420"/>
      <c r="AC101" s="443"/>
      <c r="AF101" s="431"/>
      <c r="AG101" s="431"/>
    </row>
    <row r="102" spans="5:33" ht="12.75" x14ac:dyDescent="0.2">
      <c r="E102" s="420"/>
      <c r="AA102" s="420"/>
      <c r="AB102" s="420"/>
      <c r="AC102" s="443"/>
      <c r="AF102" s="431"/>
      <c r="AG102" s="431"/>
    </row>
    <row r="103" spans="5:33" ht="12.75" x14ac:dyDescent="0.2">
      <c r="E103" s="420"/>
      <c r="AA103" s="420"/>
      <c r="AB103" s="420"/>
      <c r="AC103" s="443"/>
      <c r="AF103" s="431"/>
      <c r="AG103" s="431"/>
    </row>
    <row r="104" spans="5:33" ht="12.75" x14ac:dyDescent="0.2">
      <c r="E104" s="420"/>
      <c r="AA104" s="420"/>
      <c r="AB104" s="420"/>
      <c r="AC104" s="443"/>
      <c r="AF104" s="431"/>
      <c r="AG104" s="431"/>
    </row>
    <row r="105" spans="5:33" ht="12.75" x14ac:dyDescent="0.2">
      <c r="E105" s="420"/>
      <c r="AA105" s="420"/>
      <c r="AB105" s="420"/>
      <c r="AC105" s="443"/>
      <c r="AF105" s="431"/>
      <c r="AG105" s="431"/>
    </row>
    <row r="106" spans="5:33" ht="12.75" x14ac:dyDescent="0.2">
      <c r="E106" s="420"/>
      <c r="AA106" s="420"/>
      <c r="AB106" s="420"/>
      <c r="AC106" s="443"/>
      <c r="AF106" s="431"/>
      <c r="AG106" s="431"/>
    </row>
    <row r="107" spans="5:33" ht="12.75" x14ac:dyDescent="0.2">
      <c r="E107" s="420"/>
      <c r="AA107" s="420"/>
      <c r="AB107" s="420"/>
      <c r="AC107" s="443"/>
      <c r="AF107" s="431"/>
      <c r="AG107" s="431"/>
    </row>
    <row r="108" spans="5:33" ht="12.75" x14ac:dyDescent="0.2">
      <c r="E108" s="420"/>
      <c r="AA108" s="420"/>
      <c r="AB108" s="420"/>
      <c r="AC108" s="443"/>
      <c r="AF108" s="431"/>
      <c r="AG108" s="431"/>
    </row>
    <row r="109" spans="5:33" ht="12.75" x14ac:dyDescent="0.2">
      <c r="E109" s="420"/>
      <c r="AA109" s="420"/>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row r="241" ht="0" hidden="1" customHeight="1" x14ac:dyDescent="0.25"/>
    <row r="242" ht="0" hidden="1" customHeight="1" x14ac:dyDescent="0.25"/>
    <row r="243" ht="0" hidden="1" customHeight="1" x14ac:dyDescent="0.25"/>
    <row r="244" ht="0" hidden="1"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1" ht="0" hidden="1" customHeight="1" x14ac:dyDescent="0.25"/>
    <row r="262"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row r="277" ht="0" hidden="1" customHeight="1" x14ac:dyDescent="0.25"/>
    <row r="278" ht="0" hidden="1" customHeight="1" x14ac:dyDescent="0.25"/>
    <row r="279" ht="0" hidden="1" customHeight="1" x14ac:dyDescent="0.25"/>
    <row r="280" ht="0" hidden="1" customHeight="1" x14ac:dyDescent="0.25"/>
    <row r="281" ht="0" hidden="1" customHeight="1" x14ac:dyDescent="0.25"/>
    <row r="282" ht="0" hidden="1" customHeight="1" x14ac:dyDescent="0.25"/>
    <row r="283" ht="0" hidden="1" customHeight="1" x14ac:dyDescent="0.25"/>
    <row r="284" ht="0" hidden="1" customHeight="1" x14ac:dyDescent="0.25"/>
    <row r="285" ht="0" hidden="1" customHeight="1" x14ac:dyDescent="0.25"/>
    <row r="286" ht="0" hidden="1" customHeight="1" x14ac:dyDescent="0.25"/>
    <row r="287" ht="0" hidden="1" customHeight="1" x14ac:dyDescent="0.25"/>
    <row r="288" ht="0" hidden="1" customHeight="1" x14ac:dyDescent="0.25"/>
    <row r="289" ht="0" hidden="1" customHeight="1" x14ac:dyDescent="0.25"/>
    <row r="290" ht="0" hidden="1" customHeight="1" x14ac:dyDescent="0.25"/>
    <row r="291" ht="0" hidden="1" customHeight="1" x14ac:dyDescent="0.25"/>
    <row r="292" ht="0" hidden="1" customHeight="1" x14ac:dyDescent="0.25"/>
    <row r="293" ht="0" hidden="1" customHeight="1" x14ac:dyDescent="0.25"/>
    <row r="294" ht="0" hidden="1" customHeight="1" x14ac:dyDescent="0.25"/>
    <row r="295" ht="0" hidden="1" customHeight="1" x14ac:dyDescent="0.25"/>
    <row r="296" ht="0" hidden="1" customHeight="1" x14ac:dyDescent="0.25"/>
    <row r="297" ht="0" hidden="1" customHeight="1" x14ac:dyDescent="0.25"/>
    <row r="298" ht="0" hidden="1" customHeight="1" x14ac:dyDescent="0.25"/>
    <row r="299" ht="0" hidden="1" customHeight="1" x14ac:dyDescent="0.25"/>
    <row r="300" ht="0" hidden="1" customHeight="1" x14ac:dyDescent="0.25"/>
    <row r="301" ht="0" hidden="1" customHeight="1" x14ac:dyDescent="0.25"/>
    <row r="302" ht="0" hidden="1" customHeight="1" x14ac:dyDescent="0.25"/>
    <row r="303" ht="0" hidden="1" customHeight="1" x14ac:dyDescent="0.25"/>
    <row r="304" ht="0" hidden="1" customHeight="1" x14ac:dyDescent="0.25"/>
    <row r="305" ht="0" hidden="1" customHeight="1" x14ac:dyDescent="0.25"/>
    <row r="306" ht="0" hidden="1" customHeight="1" x14ac:dyDescent="0.25"/>
    <row r="307" ht="0" hidden="1" customHeight="1" x14ac:dyDescent="0.25"/>
    <row r="308" ht="0" hidden="1" customHeight="1" x14ac:dyDescent="0.25"/>
    <row r="309" ht="0" hidden="1" customHeight="1" x14ac:dyDescent="0.25"/>
    <row r="310" ht="0" hidden="1" customHeight="1" x14ac:dyDescent="0.25"/>
    <row r="311" ht="0" hidden="1" customHeight="1" x14ac:dyDescent="0.25"/>
    <row r="312" ht="0" hidden="1" customHeight="1" x14ac:dyDescent="0.25"/>
    <row r="313" ht="0" hidden="1" customHeight="1" x14ac:dyDescent="0.25"/>
    <row r="314" ht="0" hidden="1" customHeight="1" x14ac:dyDescent="0.25"/>
    <row r="315" ht="0" hidden="1" customHeight="1" x14ac:dyDescent="0.25"/>
    <row r="316" ht="0" hidden="1" customHeight="1" x14ac:dyDescent="0.25"/>
    <row r="317" ht="0" hidden="1" customHeight="1" x14ac:dyDescent="0.25"/>
    <row r="318" ht="0" hidden="1" customHeight="1" x14ac:dyDescent="0.25"/>
    <row r="319" ht="0" hidden="1" customHeight="1" x14ac:dyDescent="0.25"/>
    <row r="320" ht="0" hidden="1" customHeight="1" x14ac:dyDescent="0.25"/>
    <row r="321" ht="0" hidden="1" customHeight="1" x14ac:dyDescent="0.25"/>
    <row r="322" ht="0" hidden="1" customHeight="1" x14ac:dyDescent="0.25"/>
    <row r="323" ht="0" hidden="1" customHeight="1" x14ac:dyDescent="0.25"/>
    <row r="324" ht="0" hidden="1" customHeight="1" x14ac:dyDescent="0.25"/>
    <row r="325" ht="0" hidden="1" customHeight="1" x14ac:dyDescent="0.25"/>
    <row r="326" ht="0" hidden="1" customHeight="1" x14ac:dyDescent="0.25"/>
    <row r="327" ht="0" hidden="1" customHeight="1" x14ac:dyDescent="0.25"/>
    <row r="328" ht="0" hidden="1" customHeight="1" x14ac:dyDescent="0.25"/>
    <row r="329" ht="0" hidden="1" customHeight="1" x14ac:dyDescent="0.25"/>
    <row r="330" ht="0" hidden="1" customHeight="1" x14ac:dyDescent="0.25"/>
    <row r="331" ht="0" hidden="1" customHeight="1" x14ac:dyDescent="0.25"/>
    <row r="332" ht="0" hidden="1" customHeight="1" x14ac:dyDescent="0.25"/>
    <row r="333" ht="0" hidden="1" customHeight="1" x14ac:dyDescent="0.25"/>
    <row r="334" ht="0" hidden="1" customHeight="1" x14ac:dyDescent="0.25"/>
    <row r="335" ht="0" hidden="1" customHeight="1" x14ac:dyDescent="0.25"/>
    <row r="336" ht="0" hidden="1" customHeight="1" x14ac:dyDescent="0.25"/>
    <row r="337" ht="0" hidden="1" customHeight="1" x14ac:dyDescent="0.25"/>
    <row r="338" ht="0" hidden="1" customHeight="1" x14ac:dyDescent="0.25"/>
    <row r="339" ht="0" hidden="1" customHeight="1" x14ac:dyDescent="0.25"/>
    <row r="340" ht="0" hidden="1" customHeight="1" x14ac:dyDescent="0.25"/>
    <row r="341" ht="0" hidden="1" customHeight="1" x14ac:dyDescent="0.25"/>
    <row r="342" ht="0" hidden="1" customHeight="1" x14ac:dyDescent="0.25"/>
    <row r="343" ht="0" hidden="1" customHeight="1" x14ac:dyDescent="0.25"/>
    <row r="344" ht="0" hidden="1" customHeight="1" x14ac:dyDescent="0.25"/>
    <row r="345" ht="0" hidden="1" customHeight="1" x14ac:dyDescent="0.25"/>
    <row r="346" ht="0" hidden="1" customHeight="1" x14ac:dyDescent="0.25"/>
    <row r="347" ht="0" hidden="1" customHeight="1" x14ac:dyDescent="0.25"/>
    <row r="348" ht="0" hidden="1" customHeight="1" x14ac:dyDescent="0.25"/>
    <row r="349" ht="0" hidden="1" customHeight="1" x14ac:dyDescent="0.25"/>
    <row r="350" ht="0" hidden="1" customHeight="1" x14ac:dyDescent="0.25"/>
    <row r="351" ht="0" hidden="1" customHeight="1" x14ac:dyDescent="0.25"/>
    <row r="352" ht="0" hidden="1" customHeight="1" x14ac:dyDescent="0.25"/>
    <row r="353" ht="0" hidden="1" customHeight="1" x14ac:dyDescent="0.25"/>
    <row r="354" ht="0" hidden="1" customHeight="1" x14ac:dyDescent="0.25"/>
    <row r="355" ht="0" hidden="1" customHeight="1" x14ac:dyDescent="0.25"/>
    <row r="356" ht="0" hidden="1" customHeight="1" x14ac:dyDescent="0.25"/>
    <row r="357" ht="0" hidden="1" customHeight="1" x14ac:dyDescent="0.25"/>
    <row r="358" ht="0" hidden="1" customHeight="1" x14ac:dyDescent="0.25"/>
    <row r="359" ht="0" hidden="1" customHeight="1" x14ac:dyDescent="0.25"/>
    <row r="360" ht="0" hidden="1" customHeight="1" x14ac:dyDescent="0.25"/>
    <row r="361" ht="0" hidden="1" customHeight="1" x14ac:dyDescent="0.25"/>
    <row r="362" ht="0" hidden="1" customHeight="1" x14ac:dyDescent="0.25"/>
    <row r="363" ht="0" hidden="1" customHeight="1" x14ac:dyDescent="0.25"/>
    <row r="364" ht="0" hidden="1" customHeight="1" x14ac:dyDescent="0.25"/>
    <row r="365" ht="0" hidden="1" customHeight="1" x14ac:dyDescent="0.25"/>
    <row r="366" ht="0" hidden="1" customHeight="1" x14ac:dyDescent="0.25"/>
    <row r="367" ht="0" hidden="1" customHeight="1" x14ac:dyDescent="0.25"/>
    <row r="368" ht="0" hidden="1" customHeight="1" x14ac:dyDescent="0.25"/>
    <row r="369" ht="0" hidden="1" customHeight="1" x14ac:dyDescent="0.25"/>
    <row r="370" ht="0" hidden="1" customHeight="1" x14ac:dyDescent="0.25"/>
    <row r="371" ht="0" hidden="1" customHeight="1" x14ac:dyDescent="0.25"/>
    <row r="372" ht="0" hidden="1" customHeight="1" x14ac:dyDescent="0.25"/>
    <row r="373" ht="0" hidden="1" customHeight="1" x14ac:dyDescent="0.25"/>
    <row r="374" ht="0" hidden="1" customHeight="1" x14ac:dyDescent="0.25"/>
    <row r="375" ht="0" hidden="1" customHeight="1" x14ac:dyDescent="0.25"/>
    <row r="376" ht="0" hidden="1" customHeight="1" x14ac:dyDescent="0.25"/>
    <row r="377" ht="0" hidden="1" customHeight="1" x14ac:dyDescent="0.25"/>
    <row r="378" ht="0" hidden="1" customHeight="1" x14ac:dyDescent="0.25"/>
    <row r="379" ht="0" hidden="1" customHeight="1" x14ac:dyDescent="0.25"/>
    <row r="380" ht="0" hidden="1" customHeight="1" x14ac:dyDescent="0.25"/>
    <row r="381" ht="0" hidden="1" customHeight="1" x14ac:dyDescent="0.25"/>
    <row r="382" ht="0" hidden="1" customHeight="1" x14ac:dyDescent="0.25"/>
    <row r="383" ht="0" hidden="1" customHeight="1" x14ac:dyDescent="0.25"/>
    <row r="384" ht="0" hidden="1" customHeight="1" x14ac:dyDescent="0.25"/>
    <row r="385" ht="0" hidden="1" customHeight="1" x14ac:dyDescent="0.25"/>
    <row r="386" ht="0" hidden="1" customHeight="1" x14ac:dyDescent="0.25"/>
    <row r="387" ht="0" hidden="1" customHeight="1" x14ac:dyDescent="0.25"/>
    <row r="388" ht="0" hidden="1" customHeight="1" x14ac:dyDescent="0.25"/>
    <row r="389" ht="0" hidden="1" customHeight="1" x14ac:dyDescent="0.25"/>
    <row r="390" ht="0" hidden="1" customHeight="1" x14ac:dyDescent="0.25"/>
    <row r="391" ht="0" hidden="1" customHeight="1" x14ac:dyDescent="0.25"/>
    <row r="392" ht="0" hidden="1" customHeight="1" x14ac:dyDescent="0.25"/>
    <row r="393" ht="0" hidden="1" customHeight="1" x14ac:dyDescent="0.25"/>
    <row r="394" ht="0" hidden="1" customHeight="1" x14ac:dyDescent="0.25"/>
    <row r="395" ht="0" hidden="1" customHeight="1" x14ac:dyDescent="0.25"/>
    <row r="396" ht="0" hidden="1" customHeight="1" x14ac:dyDescent="0.25"/>
    <row r="397" ht="0" hidden="1" customHeight="1" x14ac:dyDescent="0.25"/>
    <row r="398" ht="0" hidden="1" customHeight="1" x14ac:dyDescent="0.25"/>
    <row r="399" ht="0" hidden="1" customHeight="1" x14ac:dyDescent="0.25"/>
    <row r="400" ht="0" hidden="1" customHeight="1" x14ac:dyDescent="0.25"/>
  </sheetData>
  <sheetProtection password="BE7F" sheet="1" objects="1" scenarios="1"/>
  <sortState ref="AB1:AB240">
    <sortCondition ref="AB65"/>
  </sortState>
  <mergeCells count="3">
    <mergeCell ref="D22:E22"/>
    <mergeCell ref="D18:E18"/>
    <mergeCell ref="D14:E14"/>
  </mergeCells>
  <phoneticPr fontId="3" type="noConversion"/>
  <dataValidations count="4">
    <dataValidation type="list" allowBlank="1" showInputMessage="1" showErrorMessage="1" sqref="D26">
      <formula1>"2008,2009,2010,2011,2012, 2013, 2014, 2015"</formula1>
    </dataValidation>
    <dataValidation allowBlank="1" showInputMessage="1" showErrorMessage="1" promptTitle="Inputting Date" prompt="Please Use the following format:_x000a__x000a_E.g:  May 1, 2012" sqref="H44:K44"/>
    <dataValidation type="list" allowBlank="1" showInputMessage="1" showErrorMessage="1" sqref="I46:K47">
      <formula1>"Excel 2000, Excel 2003, Excel 2007, Excel 2010"</formula1>
    </dataValidation>
    <dataValidation type="list" allowBlank="1" showInputMessage="1" showErrorMessage="1" sqref="D14:E14">
      <formula1>$AB$1:$AB$85</formula1>
    </dataValidation>
  </dataValidations>
  <hyperlinks>
    <hyperlink ref="A1" location="Index" display="Back to Index"/>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M44"/>
  <sheetViews>
    <sheetView topLeftCell="A10" zoomScaleNormal="100" workbookViewId="0">
      <selection activeCell="F11" sqref="F1:F1048576"/>
    </sheetView>
  </sheetViews>
  <sheetFormatPr defaultColWidth="9.140625" defaultRowHeight="12.75" x14ac:dyDescent="0.2"/>
  <cols>
    <col min="1" max="1" width="3.7109375" style="10" customWidth="1"/>
    <col min="2" max="2" width="3.28515625" style="10" customWidth="1"/>
    <col min="3" max="3" width="11.5703125" style="10" bestFit="1" customWidth="1"/>
    <col min="4" max="4" width="66.7109375" style="10" customWidth="1"/>
    <col min="5" max="5" width="13.42578125" style="10" customWidth="1"/>
    <col min="6" max="6" width="11.5703125" style="10" customWidth="1"/>
    <col min="7" max="7" width="14.28515625" style="10" customWidth="1"/>
    <col min="8" max="16384" width="9.140625" style="10"/>
  </cols>
  <sheetData>
    <row r="1" spans="1:13" ht="21.75" x14ac:dyDescent="0.2">
      <c r="A1" s="263"/>
      <c r="C1" s="584"/>
      <c r="D1" s="584"/>
      <c r="E1" s="584"/>
      <c r="F1" s="1"/>
    </row>
    <row r="2" spans="1:13" ht="18" x14ac:dyDescent="0.25">
      <c r="C2" s="585"/>
      <c r="D2" s="585"/>
      <c r="E2" s="585"/>
      <c r="F2" s="585"/>
      <c r="G2" s="585"/>
      <c r="H2" s="585"/>
      <c r="I2" s="585"/>
    </row>
    <row r="3" spans="1:13" ht="41.25" customHeight="1" x14ac:dyDescent="0.25">
      <c r="C3" s="585"/>
      <c r="D3" s="585"/>
      <c r="E3" s="585"/>
      <c r="F3" s="585"/>
      <c r="G3" s="585"/>
      <c r="H3" s="585"/>
      <c r="I3" s="585"/>
    </row>
    <row r="4" spans="1:13" ht="41.25" customHeight="1" x14ac:dyDescent="0.25">
      <c r="C4" s="585"/>
      <c r="D4" s="585"/>
      <c r="E4" s="585"/>
      <c r="F4" s="585"/>
      <c r="G4" s="585"/>
      <c r="H4" s="585"/>
      <c r="I4" s="585"/>
    </row>
    <row r="5" spans="1:13" ht="41.25" customHeight="1" x14ac:dyDescent="0.2"/>
    <row r="6" spans="1:13" ht="18" x14ac:dyDescent="0.25">
      <c r="C6" s="305" t="s">
        <v>341</v>
      </c>
    </row>
    <row r="10" spans="1:13" ht="14.25" customHeight="1" thickBot="1" x14ac:dyDescent="0.4">
      <c r="C10" s="603"/>
      <c r="D10" s="603"/>
      <c r="E10" s="603"/>
      <c r="F10" s="603"/>
      <c r="G10" s="603"/>
    </row>
    <row r="11" spans="1:13" ht="48" x14ac:dyDescent="0.2">
      <c r="C11" s="126" t="s">
        <v>75</v>
      </c>
      <c r="D11" s="127" t="s">
        <v>76</v>
      </c>
      <c r="E11" s="128" t="s">
        <v>366</v>
      </c>
      <c r="F11" s="128" t="s">
        <v>77</v>
      </c>
      <c r="G11" s="374" t="s">
        <v>367</v>
      </c>
      <c r="H11" s="373" t="s">
        <v>401</v>
      </c>
      <c r="M11" s="2"/>
    </row>
    <row r="12" spans="1:13" x14ac:dyDescent="0.2">
      <c r="C12" s="40">
        <v>1</v>
      </c>
      <c r="D12" s="41" t="s">
        <v>79</v>
      </c>
      <c r="E12" s="493">
        <v>13117023</v>
      </c>
      <c r="F12" s="494"/>
      <c r="G12" s="492">
        <f>+E12-F12</f>
        <v>13117023</v>
      </c>
      <c r="H12" s="359" t="s">
        <v>400</v>
      </c>
    </row>
    <row r="13" spans="1:13" x14ac:dyDescent="0.2">
      <c r="C13" s="40" t="s">
        <v>306</v>
      </c>
      <c r="D13" s="41" t="s">
        <v>303</v>
      </c>
      <c r="E13" s="493"/>
      <c r="F13" s="494"/>
      <c r="G13" s="492">
        <f>+E13-F13</f>
        <v>0</v>
      </c>
      <c r="H13" s="359" t="s">
        <v>400</v>
      </c>
    </row>
    <row r="14" spans="1:13" x14ac:dyDescent="0.2">
      <c r="C14" s="40">
        <v>2</v>
      </c>
      <c r="D14" s="41" t="s">
        <v>80</v>
      </c>
      <c r="E14" s="493"/>
      <c r="F14" s="494"/>
      <c r="G14" s="492">
        <f t="shared" ref="G14:G43" si="0">+E14-F14</f>
        <v>0</v>
      </c>
      <c r="H14" s="359" t="s">
        <v>400</v>
      </c>
    </row>
    <row r="15" spans="1:13" x14ac:dyDescent="0.2">
      <c r="C15" s="40">
        <v>8</v>
      </c>
      <c r="D15" s="41" t="s">
        <v>81</v>
      </c>
      <c r="E15" s="493">
        <v>1715478</v>
      </c>
      <c r="F15" s="494"/>
      <c r="G15" s="492">
        <f t="shared" si="0"/>
        <v>1715478</v>
      </c>
      <c r="H15" s="359" t="s">
        <v>400</v>
      </c>
    </row>
    <row r="16" spans="1:13" x14ac:dyDescent="0.2">
      <c r="C16" s="40">
        <v>10</v>
      </c>
      <c r="D16" s="41" t="s">
        <v>82</v>
      </c>
      <c r="E16" s="493">
        <v>118021</v>
      </c>
      <c r="F16" s="494"/>
      <c r="G16" s="492">
        <f t="shared" si="0"/>
        <v>118021</v>
      </c>
      <c r="H16" s="359" t="s">
        <v>400</v>
      </c>
    </row>
    <row r="17" spans="3:8" x14ac:dyDescent="0.2">
      <c r="C17" s="40">
        <v>10.1</v>
      </c>
      <c r="D17" s="41" t="s">
        <v>83</v>
      </c>
      <c r="E17" s="493"/>
      <c r="F17" s="494"/>
      <c r="G17" s="492">
        <f t="shared" si="0"/>
        <v>0</v>
      </c>
      <c r="H17" s="359" t="s">
        <v>400</v>
      </c>
    </row>
    <row r="18" spans="3:8" x14ac:dyDescent="0.2">
      <c r="C18" s="40">
        <v>12</v>
      </c>
      <c r="D18" s="41" t="s">
        <v>84</v>
      </c>
      <c r="E18" s="493">
        <v>13500</v>
      </c>
      <c r="F18" s="494"/>
      <c r="G18" s="492">
        <f t="shared" si="0"/>
        <v>13500</v>
      </c>
      <c r="H18" s="359" t="s">
        <v>400</v>
      </c>
    </row>
    <row r="19" spans="3:8" ht="14.25" x14ac:dyDescent="0.25">
      <c r="C19" s="42" t="s">
        <v>85</v>
      </c>
      <c r="D19" s="41" t="s">
        <v>86</v>
      </c>
      <c r="E19" s="493">
        <v>164804</v>
      </c>
      <c r="F19" s="494"/>
      <c r="G19" s="492">
        <f t="shared" si="0"/>
        <v>164804</v>
      </c>
      <c r="H19" s="359" t="s">
        <v>400</v>
      </c>
    </row>
    <row r="20" spans="3:8" ht="14.25" x14ac:dyDescent="0.25">
      <c r="C20" s="42" t="s">
        <v>87</v>
      </c>
      <c r="D20" s="41" t="s">
        <v>88</v>
      </c>
      <c r="E20" s="493"/>
      <c r="F20" s="494"/>
      <c r="G20" s="492">
        <f t="shared" si="0"/>
        <v>0</v>
      </c>
      <c r="H20" s="359" t="s">
        <v>400</v>
      </c>
    </row>
    <row r="21" spans="3:8" ht="14.25" x14ac:dyDescent="0.25">
      <c r="C21" s="42" t="s">
        <v>89</v>
      </c>
      <c r="D21" s="41" t="s">
        <v>90</v>
      </c>
      <c r="E21" s="493"/>
      <c r="F21" s="494"/>
      <c r="G21" s="492">
        <f t="shared" si="0"/>
        <v>0</v>
      </c>
      <c r="H21" s="359" t="s">
        <v>400</v>
      </c>
    </row>
    <row r="22" spans="3:8" ht="14.25" x14ac:dyDescent="0.25">
      <c r="C22" s="42" t="s">
        <v>91</v>
      </c>
      <c r="D22" s="41" t="s">
        <v>92</v>
      </c>
      <c r="E22" s="493"/>
      <c r="F22" s="494"/>
      <c r="G22" s="492">
        <f t="shared" si="0"/>
        <v>0</v>
      </c>
      <c r="H22" s="359" t="s">
        <v>400</v>
      </c>
    </row>
    <row r="23" spans="3:8" x14ac:dyDescent="0.2">
      <c r="C23" s="40">
        <v>14</v>
      </c>
      <c r="D23" s="41" t="s">
        <v>93</v>
      </c>
      <c r="E23" s="493"/>
      <c r="F23" s="494"/>
      <c r="G23" s="492">
        <f t="shared" si="0"/>
        <v>0</v>
      </c>
      <c r="H23" s="359" t="s">
        <v>400</v>
      </c>
    </row>
    <row r="24" spans="3:8" x14ac:dyDescent="0.2">
      <c r="C24" s="40">
        <v>17</v>
      </c>
      <c r="D24" s="41" t="s">
        <v>94</v>
      </c>
      <c r="E24" s="493"/>
      <c r="F24" s="494"/>
      <c r="G24" s="492">
        <f t="shared" si="0"/>
        <v>0</v>
      </c>
      <c r="H24" s="359" t="s">
        <v>400</v>
      </c>
    </row>
    <row r="25" spans="3:8" x14ac:dyDescent="0.2">
      <c r="C25" s="40">
        <v>42</v>
      </c>
      <c r="D25" s="41" t="s">
        <v>304</v>
      </c>
      <c r="E25" s="493"/>
      <c r="F25" s="494"/>
      <c r="G25" s="492">
        <f t="shared" ref="G25:G32" si="1">+E25-F25</f>
        <v>0</v>
      </c>
      <c r="H25" s="359" t="s">
        <v>400</v>
      </c>
    </row>
    <row r="26" spans="3:8" x14ac:dyDescent="0.2">
      <c r="C26" s="40">
        <v>43.1</v>
      </c>
      <c r="D26" s="41" t="s">
        <v>95</v>
      </c>
      <c r="E26" s="493"/>
      <c r="F26" s="494"/>
      <c r="G26" s="492">
        <f t="shared" si="1"/>
        <v>0</v>
      </c>
      <c r="H26" s="359" t="s">
        <v>400</v>
      </c>
    </row>
    <row r="27" spans="3:8" x14ac:dyDescent="0.2">
      <c r="C27" s="40">
        <v>43.2</v>
      </c>
      <c r="D27" s="41" t="s">
        <v>305</v>
      </c>
      <c r="E27" s="493">
        <v>122947</v>
      </c>
      <c r="F27" s="494"/>
      <c r="G27" s="492">
        <f t="shared" si="1"/>
        <v>122947</v>
      </c>
      <c r="H27" s="359" t="s">
        <v>400</v>
      </c>
    </row>
    <row r="28" spans="3:8" x14ac:dyDescent="0.2">
      <c r="C28" s="40">
        <v>45</v>
      </c>
      <c r="D28" s="41" t="s">
        <v>96</v>
      </c>
      <c r="E28" s="493">
        <v>170</v>
      </c>
      <c r="F28" s="494"/>
      <c r="G28" s="492">
        <f t="shared" si="1"/>
        <v>170</v>
      </c>
      <c r="H28" s="359" t="s">
        <v>400</v>
      </c>
    </row>
    <row r="29" spans="3:8" x14ac:dyDescent="0.2">
      <c r="C29" s="40">
        <v>46</v>
      </c>
      <c r="D29" s="41" t="s">
        <v>97</v>
      </c>
      <c r="E29" s="493"/>
      <c r="F29" s="494"/>
      <c r="G29" s="492">
        <f t="shared" si="1"/>
        <v>0</v>
      </c>
      <c r="H29" s="359" t="s">
        <v>400</v>
      </c>
    </row>
    <row r="30" spans="3:8" x14ac:dyDescent="0.2">
      <c r="C30" s="40">
        <v>47</v>
      </c>
      <c r="D30" s="41" t="s">
        <v>243</v>
      </c>
      <c r="E30" s="493">
        <v>14436292</v>
      </c>
      <c r="F30" s="494"/>
      <c r="G30" s="492">
        <f t="shared" si="1"/>
        <v>14436292</v>
      </c>
      <c r="H30" s="359" t="s">
        <v>400</v>
      </c>
    </row>
    <row r="31" spans="3:8" x14ac:dyDescent="0.2">
      <c r="C31" s="40">
        <v>50</v>
      </c>
      <c r="D31" s="41" t="s">
        <v>244</v>
      </c>
      <c r="E31" s="493">
        <v>36602</v>
      </c>
      <c r="F31" s="494"/>
      <c r="G31" s="492">
        <f t="shared" si="1"/>
        <v>36602</v>
      </c>
      <c r="H31" s="359" t="s">
        <v>400</v>
      </c>
    </row>
    <row r="32" spans="3:8" x14ac:dyDescent="0.2">
      <c r="C32" s="222">
        <v>52</v>
      </c>
      <c r="D32" s="223" t="s">
        <v>302</v>
      </c>
      <c r="E32" s="493"/>
      <c r="F32" s="494"/>
      <c r="G32" s="492">
        <f t="shared" si="1"/>
        <v>0</v>
      </c>
      <c r="H32" s="359" t="s">
        <v>400</v>
      </c>
    </row>
    <row r="33" spans="3:8" x14ac:dyDescent="0.2">
      <c r="C33" s="222">
        <v>95</v>
      </c>
      <c r="D33" s="224" t="s">
        <v>310</v>
      </c>
      <c r="E33" s="493">
        <v>990591</v>
      </c>
      <c r="F33" s="494"/>
      <c r="G33" s="492">
        <f t="shared" si="0"/>
        <v>990591</v>
      </c>
      <c r="H33" s="359" t="s">
        <v>400</v>
      </c>
    </row>
    <row r="34" spans="3:8" x14ac:dyDescent="0.2">
      <c r="C34" s="306"/>
      <c r="D34" s="307"/>
      <c r="E34" s="493"/>
      <c r="F34" s="494"/>
      <c r="G34" s="492">
        <f t="shared" si="0"/>
        <v>0</v>
      </c>
    </row>
    <row r="35" spans="3:8" x14ac:dyDescent="0.2">
      <c r="C35" s="306"/>
      <c r="D35" s="307"/>
      <c r="E35" s="493"/>
      <c r="F35" s="494"/>
      <c r="G35" s="492">
        <f t="shared" si="0"/>
        <v>0</v>
      </c>
    </row>
    <row r="36" spans="3:8" x14ac:dyDescent="0.2">
      <c r="C36" s="306"/>
      <c r="D36" s="307"/>
      <c r="E36" s="493"/>
      <c r="F36" s="494"/>
      <c r="G36" s="492">
        <f t="shared" si="0"/>
        <v>0</v>
      </c>
    </row>
    <row r="37" spans="3:8" x14ac:dyDescent="0.2">
      <c r="C37" s="306"/>
      <c r="D37" s="307"/>
      <c r="E37" s="493"/>
      <c r="F37" s="494"/>
      <c r="G37" s="492">
        <f t="shared" si="0"/>
        <v>0</v>
      </c>
    </row>
    <row r="38" spans="3:8" x14ac:dyDescent="0.2">
      <c r="C38" s="306"/>
      <c r="D38" s="307"/>
      <c r="E38" s="493"/>
      <c r="F38" s="494"/>
      <c r="G38" s="492">
        <f t="shared" si="0"/>
        <v>0</v>
      </c>
    </row>
    <row r="39" spans="3:8" x14ac:dyDescent="0.2">
      <c r="C39" s="306"/>
      <c r="D39" s="307"/>
      <c r="E39" s="493"/>
      <c r="F39" s="494"/>
      <c r="G39" s="492">
        <f t="shared" si="0"/>
        <v>0</v>
      </c>
    </row>
    <row r="40" spans="3:8" x14ac:dyDescent="0.2">
      <c r="C40" s="306"/>
      <c r="D40" s="307"/>
      <c r="E40" s="493"/>
      <c r="F40" s="494"/>
      <c r="G40" s="492">
        <f t="shared" si="0"/>
        <v>0</v>
      </c>
    </row>
    <row r="41" spans="3:8" x14ac:dyDescent="0.2">
      <c r="C41" s="306"/>
      <c r="D41" s="307"/>
      <c r="E41" s="493"/>
      <c r="F41" s="494"/>
      <c r="G41" s="492">
        <f t="shared" si="0"/>
        <v>0</v>
      </c>
    </row>
    <row r="42" spans="3:8" x14ac:dyDescent="0.2">
      <c r="C42" s="306"/>
      <c r="D42" s="307"/>
      <c r="E42" s="493"/>
      <c r="F42" s="494"/>
      <c r="G42" s="492">
        <f t="shared" si="0"/>
        <v>0</v>
      </c>
    </row>
    <row r="43" spans="3:8" ht="13.5" thickBot="1" x14ac:dyDescent="0.25">
      <c r="C43" s="306"/>
      <c r="D43" s="307"/>
      <c r="E43" s="495"/>
      <c r="F43" s="495"/>
      <c r="G43" s="34">
        <f t="shared" si="0"/>
        <v>0</v>
      </c>
    </row>
    <row r="44" spans="3:8" ht="13.5" thickBot="1" x14ac:dyDescent="0.25">
      <c r="C44" s="43"/>
      <c r="D44" s="44" t="s">
        <v>98</v>
      </c>
      <c r="E44" s="45">
        <f>SUM(E12:E43)</f>
        <v>30715428</v>
      </c>
      <c r="F44" s="45">
        <f>SUM(F12:F43)</f>
        <v>0</v>
      </c>
      <c r="G44" s="46">
        <f>SUM(G12:G43)</f>
        <v>30715428</v>
      </c>
    </row>
  </sheetData>
  <sheetProtection password="BE7F" sheet="1" objects="1" scenarios="1"/>
  <mergeCells count="5">
    <mergeCell ref="C10:G10"/>
    <mergeCell ref="C1:E1"/>
    <mergeCell ref="C2:I2"/>
    <mergeCell ref="C3:I3"/>
    <mergeCell ref="C4:I4"/>
  </mergeCells>
  <phoneticPr fontId="3" type="noConversion"/>
  <conditionalFormatting sqref="G12:G43">
    <cfRule type="cellIs" dxfId="32" priority="1" stopIfTrue="1" operator="lessThan">
      <formula>0</formula>
    </cfRule>
  </conditionalFormatting>
  <conditionalFormatting sqref="C33:D43">
    <cfRule type="expression" dxfId="31" priority="2" stopIfTrue="1">
      <formula>ISBLANK(C33)</formula>
    </cfRule>
  </conditionalFormatting>
  <conditionalFormatting sqref="E12:F43">
    <cfRule type="expression" dxfId="30" priority="3" stopIfTrue="1">
      <formula>ISBLANK(E12)=FALSE</formula>
    </cfRule>
  </conditionalFormatting>
  <hyperlinks>
    <hyperlink ref="H12" location="'B8 Schedule 8 CCA Bridge Year'!A1" display="'B8"/>
    <hyperlink ref="H13:H33" location="'B8 Schedule 8 CCA Bridge Year'!A1" display="'B8"/>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40"/>
  <sheetViews>
    <sheetView topLeftCell="A19" zoomScaleNormal="100" workbookViewId="0">
      <selection activeCell="G13" sqref="G13"/>
    </sheetView>
  </sheetViews>
  <sheetFormatPr defaultColWidth="9.140625" defaultRowHeight="12.75" x14ac:dyDescent="0.2"/>
  <cols>
    <col min="1" max="1" width="3.85546875" style="10" customWidth="1"/>
    <col min="2" max="2" width="3.7109375" style="10" customWidth="1"/>
    <col min="3" max="3" width="36.140625" style="10" customWidth="1"/>
    <col min="4" max="5" width="9.140625" style="10"/>
    <col min="6" max="6" width="7.85546875" style="10" bestFit="1" customWidth="1"/>
    <col min="7" max="8" width="9.140625" style="10"/>
    <col min="9" max="9" width="11.5703125" style="10" customWidth="1"/>
    <col min="10" max="10" width="9.140625" style="10"/>
    <col min="11" max="11" width="11.28515625" style="10" customWidth="1"/>
    <col min="12" max="16384" width="9.140625" style="10"/>
  </cols>
  <sheetData>
    <row r="1" spans="1:11" ht="21.75" x14ac:dyDescent="0.2">
      <c r="A1" s="263"/>
      <c r="C1" s="584"/>
      <c r="D1" s="584"/>
      <c r="E1" s="584"/>
    </row>
    <row r="2" spans="1:11" ht="18" x14ac:dyDescent="0.25">
      <c r="C2" s="585"/>
      <c r="D2" s="585"/>
      <c r="E2" s="585"/>
      <c r="F2" s="585"/>
      <c r="G2" s="585"/>
      <c r="H2" s="585"/>
      <c r="I2" s="585"/>
    </row>
    <row r="3" spans="1:11" ht="41.25" customHeight="1" x14ac:dyDescent="0.25">
      <c r="C3" s="585"/>
      <c r="D3" s="585"/>
      <c r="E3" s="585"/>
      <c r="F3" s="585"/>
      <c r="G3" s="585"/>
      <c r="H3" s="585"/>
      <c r="I3" s="585"/>
    </row>
    <row r="4" spans="1:11" ht="41.25" customHeight="1" x14ac:dyDescent="0.25">
      <c r="C4" s="585"/>
      <c r="D4" s="585"/>
      <c r="E4" s="585"/>
      <c r="F4" s="585"/>
      <c r="G4" s="585"/>
      <c r="H4" s="585"/>
      <c r="I4" s="585"/>
    </row>
    <row r="5" spans="1:11" ht="41.25" customHeight="1" x14ac:dyDescent="0.2"/>
    <row r="8" spans="1:11" ht="23.25" x14ac:dyDescent="0.35">
      <c r="C8" s="243" t="s">
        <v>342</v>
      </c>
    </row>
    <row r="10" spans="1:11" ht="15.75" x14ac:dyDescent="0.25">
      <c r="C10" s="616" t="s">
        <v>106</v>
      </c>
      <c r="D10" s="616"/>
      <c r="E10" s="616"/>
      <c r="F10" s="616"/>
      <c r="G10" s="50"/>
      <c r="H10" s="50"/>
      <c r="I10" s="50"/>
      <c r="J10" s="52"/>
      <c r="K10" s="308">
        <v>233914</v>
      </c>
    </row>
    <row r="11" spans="1:11" ht="30.75" customHeight="1" x14ac:dyDescent="0.25">
      <c r="C11" s="53" t="s">
        <v>107</v>
      </c>
      <c r="D11" s="51"/>
      <c r="E11" s="54"/>
      <c r="F11" s="54"/>
      <c r="G11" s="50"/>
      <c r="H11" s="50"/>
    </row>
    <row r="12" spans="1:11" ht="15.75" x14ac:dyDescent="0.25">
      <c r="C12" s="587" t="s">
        <v>108</v>
      </c>
      <c r="D12" s="587"/>
      <c r="E12" s="587"/>
      <c r="F12" s="587"/>
      <c r="G12" s="617">
        <v>45679</v>
      </c>
      <c r="H12" s="618"/>
      <c r="I12" s="50"/>
      <c r="J12" s="50"/>
    </row>
    <row r="13" spans="1:11" x14ac:dyDescent="0.2">
      <c r="C13" s="51"/>
      <c r="D13" s="51"/>
      <c r="E13" s="55"/>
      <c r="F13" s="55"/>
      <c r="G13" s="8"/>
      <c r="H13" s="8"/>
      <c r="I13" s="2"/>
    </row>
    <row r="14" spans="1:11" x14ac:dyDescent="0.2">
      <c r="C14" s="587" t="s">
        <v>109</v>
      </c>
      <c r="D14" s="587"/>
      <c r="E14" s="587"/>
      <c r="F14" s="587"/>
      <c r="G14" s="617">
        <v>0</v>
      </c>
      <c r="H14" s="617"/>
    </row>
    <row r="15" spans="1:11" x14ac:dyDescent="0.2">
      <c r="C15" s="509"/>
      <c r="D15" s="509"/>
      <c r="E15" s="509"/>
      <c r="F15" s="509"/>
      <c r="G15" s="11"/>
      <c r="H15" s="11"/>
    </row>
    <row r="16" spans="1:11" ht="16.5" thickBot="1" x14ac:dyDescent="0.3">
      <c r="C16" s="612" t="s">
        <v>110</v>
      </c>
      <c r="D16" s="612"/>
      <c r="E16" s="612"/>
      <c r="F16" s="612"/>
      <c r="G16" s="613">
        <f>SUM(G12,G14)</f>
        <v>45679</v>
      </c>
      <c r="H16" s="613"/>
      <c r="I16" s="56" t="s">
        <v>111</v>
      </c>
      <c r="J16" s="57">
        <f>3/4*G16</f>
        <v>34259.25</v>
      </c>
      <c r="K16" s="58"/>
    </row>
    <row r="17" spans="3:11" ht="13.5" thickTop="1" x14ac:dyDescent="0.2">
      <c r="C17" s="51"/>
      <c r="D17" s="51"/>
      <c r="E17" s="51"/>
      <c r="F17" s="51"/>
      <c r="G17" s="11"/>
      <c r="H17" s="11"/>
      <c r="J17" s="51"/>
    </row>
    <row r="18" spans="3:11" x14ac:dyDescent="0.2">
      <c r="C18" s="587" t="s">
        <v>112</v>
      </c>
      <c r="D18" s="587"/>
      <c r="E18" s="587"/>
      <c r="F18" s="587"/>
      <c r="G18" s="614">
        <v>0</v>
      </c>
      <c r="H18" s="614"/>
      <c r="I18" s="615" t="s">
        <v>113</v>
      </c>
      <c r="J18" s="609">
        <f>IF((G18*0.5)&lt;0, 0, G18*0.5)</f>
        <v>0</v>
      </c>
    </row>
    <row r="19" spans="3:11" x14ac:dyDescent="0.2">
      <c r="C19" s="587" t="s">
        <v>114</v>
      </c>
      <c r="D19" s="587"/>
      <c r="E19" s="587"/>
      <c r="F19" s="587"/>
      <c r="G19" s="614"/>
      <c r="H19" s="614"/>
      <c r="I19" s="615"/>
      <c r="J19" s="610"/>
    </row>
    <row r="20" spans="3:11" ht="13.5" thickBot="1" x14ac:dyDescent="0.25">
      <c r="C20" s="611"/>
      <c r="D20" s="611"/>
      <c r="E20" s="611"/>
      <c r="F20" s="611"/>
      <c r="G20" s="59"/>
      <c r="H20" s="59"/>
      <c r="J20" s="512">
        <f>IF((J16-J18)&lt;0,0,J16-J18)</f>
        <v>34259.25</v>
      </c>
      <c r="K20" s="60">
        <f>J20</f>
        <v>34259.25</v>
      </c>
    </row>
    <row r="21" spans="3:11" ht="13.5" thickTop="1" x14ac:dyDescent="0.2">
      <c r="C21" s="509"/>
      <c r="D21" s="509"/>
      <c r="E21" s="509"/>
      <c r="F21" s="509"/>
      <c r="G21" s="57"/>
      <c r="H21" s="57"/>
    </row>
    <row r="22" spans="3:11" x14ac:dyDescent="0.2">
      <c r="C22" s="587" t="s">
        <v>115</v>
      </c>
      <c r="D22" s="587"/>
      <c r="E22" s="587"/>
      <c r="F22" s="587"/>
      <c r="G22" s="604">
        <v>0</v>
      </c>
      <c r="H22" s="604"/>
      <c r="K22" s="60">
        <f>G22</f>
        <v>0</v>
      </c>
    </row>
    <row r="23" spans="3:11" x14ac:dyDescent="0.2">
      <c r="C23" s="509"/>
      <c r="D23" s="509"/>
      <c r="E23" s="509"/>
      <c r="F23" s="509"/>
      <c r="G23" s="513"/>
      <c r="H23" s="513"/>
    </row>
    <row r="24" spans="3:11" x14ac:dyDescent="0.2">
      <c r="C24" s="509"/>
      <c r="D24" s="509"/>
      <c r="E24" s="509"/>
      <c r="F24" s="192" t="s">
        <v>110</v>
      </c>
      <c r="G24" s="606"/>
      <c r="H24" s="606"/>
      <c r="K24" s="61">
        <f>SUM(K10,K20,K22)</f>
        <v>268173.25</v>
      </c>
    </row>
    <row r="25" spans="3:11" x14ac:dyDescent="0.2">
      <c r="C25" s="509"/>
      <c r="D25" s="509"/>
      <c r="E25" s="509"/>
      <c r="F25" s="509"/>
    </row>
    <row r="26" spans="3:11" x14ac:dyDescent="0.2">
      <c r="C26" s="53" t="s">
        <v>116</v>
      </c>
    </row>
    <row r="28" spans="3:11" x14ac:dyDescent="0.2">
      <c r="C28" s="587" t="s">
        <v>117</v>
      </c>
      <c r="D28" s="587"/>
      <c r="E28" s="587"/>
      <c r="F28" s="587"/>
      <c r="G28" s="607"/>
      <c r="H28" s="608"/>
    </row>
    <row r="29" spans="3:11" x14ac:dyDescent="0.2">
      <c r="C29" s="587" t="s">
        <v>118</v>
      </c>
      <c r="D29" s="587"/>
      <c r="E29" s="587"/>
      <c r="F29" s="587"/>
      <c r="G29" s="608"/>
      <c r="H29" s="608"/>
    </row>
    <row r="30" spans="3:11" x14ac:dyDescent="0.2">
      <c r="C30" s="509"/>
      <c r="D30" s="509"/>
      <c r="E30" s="509"/>
      <c r="F30" s="509"/>
    </row>
    <row r="31" spans="3:11" x14ac:dyDescent="0.2">
      <c r="C31" s="587" t="s">
        <v>109</v>
      </c>
      <c r="D31" s="587"/>
      <c r="E31" s="587"/>
      <c r="F31" s="587"/>
      <c r="G31" s="604">
        <v>0</v>
      </c>
      <c r="H31" s="604"/>
    </row>
    <row r="32" spans="3:11" x14ac:dyDescent="0.2">
      <c r="C32" s="587"/>
      <c r="D32" s="587"/>
      <c r="E32" s="587"/>
      <c r="F32" s="587"/>
      <c r="G32" s="8"/>
      <c r="H32" s="8"/>
    </row>
    <row r="33" spans="3:12" ht="16.5" thickBot="1" x14ac:dyDescent="0.3">
      <c r="C33" s="514"/>
      <c r="D33" s="514"/>
      <c r="E33" s="514"/>
      <c r="F33" s="192" t="s">
        <v>110</v>
      </c>
      <c r="G33" s="605">
        <f>SUM(G31,G28)</f>
        <v>0</v>
      </c>
      <c r="H33" s="605"/>
      <c r="I33" s="193" t="s">
        <v>111</v>
      </c>
      <c r="J33" s="63"/>
      <c r="K33" s="64">
        <f>G33*3/4</f>
        <v>0</v>
      </c>
    </row>
    <row r="34" spans="3:12" ht="13.5" thickTop="1" x14ac:dyDescent="0.2"/>
    <row r="35" spans="3:12" ht="15.75" x14ac:dyDescent="0.25">
      <c r="C35" s="50"/>
      <c r="D35" s="50"/>
      <c r="E35" s="50"/>
    </row>
    <row r="36" spans="3:12" ht="15.75" x14ac:dyDescent="0.25">
      <c r="C36" s="186" t="s">
        <v>119</v>
      </c>
      <c r="D36" s="65"/>
      <c r="E36" s="191"/>
      <c r="F36" s="65"/>
      <c r="G36" s="65"/>
      <c r="H36" s="65"/>
      <c r="I36" s="65"/>
      <c r="J36" s="65"/>
      <c r="K36" s="64">
        <f>K24-K33</f>
        <v>268173.25</v>
      </c>
    </row>
    <row r="37" spans="3:12" x14ac:dyDescent="0.2">
      <c r="C37" s="2"/>
      <c r="D37" s="2"/>
      <c r="E37" s="2"/>
      <c r="F37" s="2"/>
      <c r="G37" s="2"/>
      <c r="H37" s="2"/>
      <c r="I37" s="2"/>
      <c r="J37" s="2"/>
      <c r="K37" s="2"/>
    </row>
    <row r="38" spans="3:12" ht="15.75" x14ac:dyDescent="0.25">
      <c r="C38" s="187" t="s">
        <v>231</v>
      </c>
      <c r="D38" s="187"/>
      <c r="E38" s="188"/>
      <c r="F38" s="188"/>
      <c r="G38" s="188"/>
      <c r="H38" s="187"/>
      <c r="I38" s="189">
        <f>K36</f>
        <v>268173.25</v>
      </c>
      <c r="J38" s="190" t="s">
        <v>120</v>
      </c>
      <c r="K38" s="64">
        <f>I38*0.07</f>
        <v>18772.127500000002</v>
      </c>
      <c r="L38" s="359"/>
    </row>
    <row r="39" spans="3:12" x14ac:dyDescent="0.2">
      <c r="C39" s="2"/>
      <c r="D39" s="2"/>
      <c r="E39" s="2"/>
      <c r="F39" s="2"/>
      <c r="G39" s="2"/>
      <c r="H39" s="2"/>
      <c r="I39" s="2"/>
      <c r="J39" s="2"/>
      <c r="K39" s="2"/>
    </row>
    <row r="40" spans="3:12" x14ac:dyDescent="0.2">
      <c r="C40" s="186" t="s">
        <v>121</v>
      </c>
      <c r="D40" s="186"/>
      <c r="E40" s="186"/>
      <c r="F40" s="186"/>
      <c r="G40" s="65"/>
      <c r="H40" s="65"/>
      <c r="I40" s="65"/>
      <c r="J40" s="65"/>
      <c r="K40" s="496">
        <f>K36-K38</f>
        <v>249401.1225</v>
      </c>
      <c r="L40" s="359" t="s">
        <v>400</v>
      </c>
    </row>
  </sheetData>
  <sheetProtection password="BE7F" sheet="1" objects="1" scenarios="1"/>
  <mergeCells count="27">
    <mergeCell ref="C1:E1"/>
    <mergeCell ref="C2:I2"/>
    <mergeCell ref="C3:I3"/>
    <mergeCell ref="C4:I4"/>
    <mergeCell ref="I18:I19"/>
    <mergeCell ref="C10:F10"/>
    <mergeCell ref="C12:F12"/>
    <mergeCell ref="G12:H12"/>
    <mergeCell ref="C14:F14"/>
    <mergeCell ref="G14:H14"/>
    <mergeCell ref="J18:J19"/>
    <mergeCell ref="C19:F19"/>
    <mergeCell ref="C20:F20"/>
    <mergeCell ref="C16:F16"/>
    <mergeCell ref="G16:H16"/>
    <mergeCell ref="C18:F18"/>
    <mergeCell ref="G18:H19"/>
    <mergeCell ref="C31:F31"/>
    <mergeCell ref="G31:H31"/>
    <mergeCell ref="C32:F32"/>
    <mergeCell ref="G33:H33"/>
    <mergeCell ref="C22:F22"/>
    <mergeCell ref="G22:H22"/>
    <mergeCell ref="G24:H24"/>
    <mergeCell ref="C28:F28"/>
    <mergeCell ref="G28:H29"/>
    <mergeCell ref="C29:F29"/>
  </mergeCells>
  <phoneticPr fontId="3" type="noConversion"/>
  <pageMargins left="0.35433070866141736" right="0.35433070866141736" top="0.39370078740157483" bottom="0.39370078740157483" header="0.31496062992125984" footer="0.31496062992125984"/>
  <pageSetup scale="80" orientation="portrait"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1"/>
  <sheetViews>
    <sheetView topLeftCell="A6" zoomScaleNormal="100" workbookViewId="0">
      <selection activeCell="H48" sqref="H48"/>
    </sheetView>
  </sheetViews>
  <sheetFormatPr defaultColWidth="9.140625" defaultRowHeight="12.75" x14ac:dyDescent="0.2"/>
  <cols>
    <col min="1" max="1" width="2.5703125" style="10" customWidth="1"/>
    <col min="2" max="2" width="4.28515625" style="10" customWidth="1"/>
    <col min="3" max="3" width="35.5703125" style="10" customWidth="1"/>
    <col min="4" max="6" width="18.28515625" style="10" customWidth="1"/>
    <col min="7" max="16384" width="9.140625" style="10"/>
  </cols>
  <sheetData>
    <row r="1" spans="1:9" ht="21.75" x14ac:dyDescent="0.2">
      <c r="A1" s="263"/>
      <c r="C1" s="584"/>
      <c r="D1" s="584"/>
      <c r="E1" s="584"/>
    </row>
    <row r="2" spans="1:9" ht="18" x14ac:dyDescent="0.25">
      <c r="C2" s="585"/>
      <c r="D2" s="585"/>
      <c r="E2" s="585"/>
      <c r="F2" s="585"/>
      <c r="G2" s="585"/>
      <c r="H2" s="585"/>
      <c r="I2" s="585"/>
    </row>
    <row r="3" spans="1:9" ht="18" x14ac:dyDescent="0.25">
      <c r="C3" s="585"/>
      <c r="D3" s="585"/>
      <c r="E3" s="585"/>
      <c r="F3" s="585"/>
      <c r="G3" s="585"/>
      <c r="H3" s="585"/>
      <c r="I3" s="585"/>
    </row>
    <row r="4" spans="1:9" ht="18" x14ac:dyDescent="0.25">
      <c r="C4" s="585"/>
      <c r="D4" s="585"/>
      <c r="E4" s="585"/>
      <c r="F4" s="585"/>
      <c r="G4" s="585"/>
      <c r="H4" s="585"/>
      <c r="I4" s="585"/>
    </row>
    <row r="6" spans="1:9" ht="48.75" customHeight="1" x14ac:dyDescent="0.2"/>
    <row r="8" spans="1:9" ht="18" x14ac:dyDescent="0.25">
      <c r="C8" s="305" t="s">
        <v>343</v>
      </c>
    </row>
    <row r="10" spans="1:9" ht="18" x14ac:dyDescent="0.2">
      <c r="C10" s="309" t="s">
        <v>344</v>
      </c>
      <c r="D10" s="67"/>
      <c r="E10" s="67"/>
      <c r="F10" s="67"/>
    </row>
    <row r="11" spans="1:9" x14ac:dyDescent="0.2">
      <c r="C11" s="69"/>
      <c r="D11" s="67"/>
      <c r="F11" s="67"/>
    </row>
    <row r="12" spans="1:9" ht="13.5" thickBot="1" x14ac:dyDescent="0.25"/>
    <row r="13" spans="1:9" ht="24.75" thickBot="1" x14ac:dyDescent="0.25">
      <c r="C13" s="70" t="s">
        <v>122</v>
      </c>
      <c r="D13" s="71" t="s">
        <v>219</v>
      </c>
      <c r="E13" s="72" t="s">
        <v>123</v>
      </c>
      <c r="F13" s="73" t="s">
        <v>220</v>
      </c>
    </row>
    <row r="14" spans="1:9" x14ac:dyDescent="0.2">
      <c r="C14" s="144"/>
      <c r="D14" s="142"/>
      <c r="E14" s="143"/>
      <c r="F14" s="145"/>
    </row>
    <row r="15" spans="1:9" x14ac:dyDescent="0.2">
      <c r="C15" s="146" t="s">
        <v>127</v>
      </c>
      <c r="D15" s="310"/>
      <c r="E15" s="311"/>
      <c r="F15" s="147">
        <f>D15-E15</f>
        <v>0</v>
      </c>
      <c r="G15" s="359" t="s">
        <v>402</v>
      </c>
    </row>
    <row r="16" spans="1:9" x14ac:dyDescent="0.2">
      <c r="C16" s="619" t="s">
        <v>128</v>
      </c>
      <c r="D16" s="620"/>
      <c r="E16" s="620"/>
      <c r="F16" s="621"/>
    </row>
    <row r="17" spans="3:7" x14ac:dyDescent="0.2">
      <c r="C17" s="148" t="s">
        <v>129</v>
      </c>
      <c r="D17" s="310"/>
      <c r="E17" s="310"/>
      <c r="F17" s="147">
        <f t="shared" ref="F17:F26" si="0">D17-E17</f>
        <v>0</v>
      </c>
      <c r="G17" s="359" t="s">
        <v>402</v>
      </c>
    </row>
    <row r="18" spans="3:7" ht="24" x14ac:dyDescent="0.2">
      <c r="C18" s="146" t="s">
        <v>130</v>
      </c>
      <c r="D18" s="310"/>
      <c r="E18" s="310"/>
      <c r="F18" s="147">
        <f t="shared" si="0"/>
        <v>0</v>
      </c>
      <c r="G18" s="359" t="s">
        <v>402</v>
      </c>
    </row>
    <row r="19" spans="3:7" x14ac:dyDescent="0.2">
      <c r="C19" s="146" t="s">
        <v>131</v>
      </c>
      <c r="D19" s="310"/>
      <c r="E19" s="310"/>
      <c r="F19" s="147">
        <f t="shared" si="0"/>
        <v>0</v>
      </c>
      <c r="G19" s="359" t="s">
        <v>402</v>
      </c>
    </row>
    <row r="20" spans="3:7" x14ac:dyDescent="0.2">
      <c r="C20" s="146" t="s">
        <v>132</v>
      </c>
      <c r="D20" s="310"/>
      <c r="E20" s="310"/>
      <c r="F20" s="147">
        <f t="shared" si="0"/>
        <v>0</v>
      </c>
      <c r="G20" s="359" t="s">
        <v>402</v>
      </c>
    </row>
    <row r="21" spans="3:7" x14ac:dyDescent="0.2">
      <c r="C21" s="146" t="s">
        <v>133</v>
      </c>
      <c r="D21" s="310"/>
      <c r="E21" s="310"/>
      <c r="F21" s="147">
        <f t="shared" si="0"/>
        <v>0</v>
      </c>
      <c r="G21" s="359" t="s">
        <v>402</v>
      </c>
    </row>
    <row r="22" spans="3:7" x14ac:dyDescent="0.2">
      <c r="C22" s="312"/>
      <c r="D22" s="310"/>
      <c r="E22" s="310"/>
      <c r="F22" s="147">
        <f t="shared" si="0"/>
        <v>0</v>
      </c>
    </row>
    <row r="23" spans="3:7" x14ac:dyDescent="0.2">
      <c r="C23" s="312"/>
      <c r="D23" s="310"/>
      <c r="E23" s="310"/>
      <c r="F23" s="147">
        <f t="shared" si="0"/>
        <v>0</v>
      </c>
    </row>
    <row r="24" spans="3:7" x14ac:dyDescent="0.2">
      <c r="C24" s="312"/>
      <c r="D24" s="310"/>
      <c r="E24" s="310"/>
      <c r="F24" s="147">
        <f t="shared" si="0"/>
        <v>0</v>
      </c>
    </row>
    <row r="25" spans="3:7" x14ac:dyDescent="0.2">
      <c r="C25" s="312"/>
      <c r="D25" s="310"/>
      <c r="E25" s="310"/>
      <c r="F25" s="147">
        <f t="shared" si="0"/>
        <v>0</v>
      </c>
    </row>
    <row r="26" spans="3:7" ht="16.5" thickBot="1" x14ac:dyDescent="0.25">
      <c r="C26" s="313"/>
      <c r="D26" s="310"/>
      <c r="E26" s="310"/>
      <c r="F26" s="147">
        <f t="shared" si="0"/>
        <v>0</v>
      </c>
    </row>
    <row r="27" spans="3:7" ht="19.5" thickBot="1" x14ac:dyDescent="0.25">
      <c r="C27" s="81" t="s">
        <v>3</v>
      </c>
      <c r="D27" s="264">
        <f>SUM(D17:D26)</f>
        <v>0</v>
      </c>
      <c r="E27" s="82">
        <f>SUM(E17:E26)</f>
        <v>0</v>
      </c>
      <c r="F27" s="286">
        <f>SUM(F17:F26)</f>
        <v>0</v>
      </c>
    </row>
    <row r="28" spans="3:7" x14ac:dyDescent="0.2">
      <c r="C28" s="149"/>
      <c r="D28" s="84"/>
      <c r="E28" s="84"/>
      <c r="F28" s="150"/>
    </row>
    <row r="29" spans="3:7" x14ac:dyDescent="0.2">
      <c r="C29" s="619" t="s">
        <v>134</v>
      </c>
      <c r="D29" s="620"/>
      <c r="E29" s="620"/>
      <c r="F29" s="621"/>
    </row>
    <row r="30" spans="3:7" ht="24" x14ac:dyDescent="0.2">
      <c r="C30" s="146" t="s">
        <v>135</v>
      </c>
      <c r="D30" s="310"/>
      <c r="E30" s="311"/>
      <c r="F30" s="147">
        <f t="shared" ref="F30:F50" si="1">D30-E30</f>
        <v>0</v>
      </c>
      <c r="G30" s="359" t="s">
        <v>402</v>
      </c>
    </row>
    <row r="31" spans="3:7" x14ac:dyDescent="0.2">
      <c r="C31" s="146" t="s">
        <v>136</v>
      </c>
      <c r="D31" s="310"/>
      <c r="E31" s="311"/>
      <c r="F31" s="147">
        <f t="shared" si="1"/>
        <v>0</v>
      </c>
      <c r="G31" s="359" t="s">
        <v>402</v>
      </c>
    </row>
    <row r="32" spans="3:7" x14ac:dyDescent="0.2">
      <c r="C32" s="146" t="s">
        <v>137</v>
      </c>
      <c r="D32" s="310"/>
      <c r="E32" s="311"/>
      <c r="F32" s="147">
        <f t="shared" si="1"/>
        <v>0</v>
      </c>
      <c r="G32" s="359" t="s">
        <v>402</v>
      </c>
    </row>
    <row r="33" spans="3:7" x14ac:dyDescent="0.2">
      <c r="C33" s="151" t="s">
        <v>138</v>
      </c>
      <c r="D33" s="310"/>
      <c r="E33" s="311"/>
      <c r="F33" s="147">
        <f t="shared" si="1"/>
        <v>0</v>
      </c>
      <c r="G33" s="359" t="s">
        <v>402</v>
      </c>
    </row>
    <row r="34" spans="3:7" x14ac:dyDescent="0.2">
      <c r="C34" s="151" t="s">
        <v>139</v>
      </c>
      <c r="D34" s="310"/>
      <c r="E34" s="311"/>
      <c r="F34" s="147">
        <f t="shared" si="1"/>
        <v>0</v>
      </c>
      <c r="G34" s="359" t="s">
        <v>402</v>
      </c>
    </row>
    <row r="35" spans="3:7" x14ac:dyDescent="0.2">
      <c r="C35" s="151" t="s">
        <v>140</v>
      </c>
      <c r="D35" s="310"/>
      <c r="E35" s="311"/>
      <c r="F35" s="147">
        <f t="shared" si="1"/>
        <v>0</v>
      </c>
      <c r="G35" s="359" t="s">
        <v>402</v>
      </c>
    </row>
    <row r="36" spans="3:7" x14ac:dyDescent="0.2">
      <c r="C36" s="151" t="s">
        <v>141</v>
      </c>
      <c r="D36" s="310"/>
      <c r="E36" s="311"/>
      <c r="F36" s="147">
        <f t="shared" si="1"/>
        <v>0</v>
      </c>
      <c r="G36" s="359" t="s">
        <v>402</v>
      </c>
    </row>
    <row r="37" spans="3:7" x14ac:dyDescent="0.2">
      <c r="C37" s="151" t="s">
        <v>142</v>
      </c>
      <c r="D37" s="310"/>
      <c r="E37" s="311"/>
      <c r="F37" s="147">
        <f t="shared" si="1"/>
        <v>0</v>
      </c>
      <c r="G37" s="359" t="s">
        <v>402</v>
      </c>
    </row>
    <row r="38" spans="3:7" x14ac:dyDescent="0.2">
      <c r="C38" s="146" t="s">
        <v>143</v>
      </c>
      <c r="D38" s="310"/>
      <c r="E38" s="311"/>
      <c r="F38" s="147">
        <f t="shared" si="1"/>
        <v>0</v>
      </c>
      <c r="G38" s="359" t="s">
        <v>402</v>
      </c>
    </row>
    <row r="39" spans="3:7" x14ac:dyDescent="0.2">
      <c r="C39" s="146" t="s">
        <v>144</v>
      </c>
      <c r="D39" s="310"/>
      <c r="E39" s="311"/>
      <c r="F39" s="147">
        <f t="shared" si="1"/>
        <v>0</v>
      </c>
      <c r="G39" s="359" t="s">
        <v>402</v>
      </c>
    </row>
    <row r="40" spans="3:7" x14ac:dyDescent="0.2">
      <c r="C40" s="146" t="s">
        <v>145</v>
      </c>
      <c r="D40" s="310"/>
      <c r="E40" s="311"/>
      <c r="F40" s="147">
        <f t="shared" si="1"/>
        <v>0</v>
      </c>
      <c r="G40" s="359" t="s">
        <v>402</v>
      </c>
    </row>
    <row r="41" spans="3:7" x14ac:dyDescent="0.2">
      <c r="C41" s="146" t="s">
        <v>146</v>
      </c>
      <c r="D41" s="310"/>
      <c r="E41" s="311"/>
      <c r="F41" s="147">
        <f t="shared" si="1"/>
        <v>0</v>
      </c>
      <c r="G41" s="359" t="s">
        <v>402</v>
      </c>
    </row>
    <row r="42" spans="3:7" x14ac:dyDescent="0.2">
      <c r="C42" s="146" t="s">
        <v>147</v>
      </c>
      <c r="D42" s="310"/>
      <c r="E42" s="311"/>
      <c r="F42" s="147">
        <f t="shared" si="1"/>
        <v>0</v>
      </c>
      <c r="G42" s="359" t="s">
        <v>402</v>
      </c>
    </row>
    <row r="43" spans="3:7" ht="24" x14ac:dyDescent="0.2">
      <c r="C43" s="146" t="s">
        <v>148</v>
      </c>
      <c r="D43" s="310"/>
      <c r="E43" s="311"/>
      <c r="F43" s="147">
        <f t="shared" si="1"/>
        <v>0</v>
      </c>
      <c r="G43" s="359" t="s">
        <v>402</v>
      </c>
    </row>
    <row r="44" spans="3:7" ht="24" x14ac:dyDescent="0.2">
      <c r="C44" s="146" t="s">
        <v>149</v>
      </c>
      <c r="D44" s="310"/>
      <c r="E44" s="311"/>
      <c r="F44" s="147">
        <f t="shared" si="1"/>
        <v>0</v>
      </c>
      <c r="G44" s="359" t="s">
        <v>402</v>
      </c>
    </row>
    <row r="45" spans="3:7" x14ac:dyDescent="0.2">
      <c r="C45" s="146" t="s">
        <v>150</v>
      </c>
      <c r="D45" s="310"/>
      <c r="E45" s="311"/>
      <c r="F45" s="147">
        <f t="shared" si="1"/>
        <v>0</v>
      </c>
      <c r="G45" s="359" t="s">
        <v>402</v>
      </c>
    </row>
    <row r="46" spans="3:7" x14ac:dyDescent="0.2">
      <c r="C46" s="312"/>
      <c r="D46" s="310"/>
      <c r="E46" s="311"/>
      <c r="F46" s="147"/>
    </row>
    <row r="47" spans="3:7" x14ac:dyDescent="0.2">
      <c r="C47" s="312"/>
      <c r="D47" s="310"/>
      <c r="E47" s="311"/>
      <c r="F47" s="147"/>
    </row>
    <row r="48" spans="3:7" x14ac:dyDescent="0.2">
      <c r="C48" s="312"/>
      <c r="D48" s="310"/>
      <c r="E48" s="311"/>
      <c r="F48" s="147"/>
    </row>
    <row r="49" spans="3:6" x14ac:dyDescent="0.2">
      <c r="C49" s="312"/>
      <c r="D49" s="310"/>
      <c r="E49" s="311"/>
      <c r="F49" s="147">
        <f t="shared" si="1"/>
        <v>0</v>
      </c>
    </row>
    <row r="50" spans="3:6" ht="16.5" thickBot="1" x14ac:dyDescent="0.25">
      <c r="C50" s="313"/>
      <c r="D50" s="310"/>
      <c r="E50" s="311"/>
      <c r="F50" s="147">
        <f t="shared" si="1"/>
        <v>0</v>
      </c>
    </row>
    <row r="51" spans="3:6" ht="19.5" thickBot="1" x14ac:dyDescent="0.25">
      <c r="C51" s="81" t="s">
        <v>151</v>
      </c>
      <c r="D51" s="287">
        <f>SUM(D30:D50)</f>
        <v>0</v>
      </c>
      <c r="E51" s="88">
        <f>SUM(E30:E50)</f>
        <v>0</v>
      </c>
      <c r="F51" s="288">
        <f>SUM(F30:F50)</f>
        <v>0</v>
      </c>
    </row>
  </sheetData>
  <sheetProtection password="BE7F" sheet="1" objects="1" scenarios="1"/>
  <mergeCells count="6">
    <mergeCell ref="C16:F16"/>
    <mergeCell ref="C29:F29"/>
    <mergeCell ref="C1:E1"/>
    <mergeCell ref="C2:I2"/>
    <mergeCell ref="C3:I3"/>
    <mergeCell ref="C4:I4"/>
  </mergeCells>
  <phoneticPr fontId="3" type="noConversion"/>
  <conditionalFormatting sqref="E27">
    <cfRule type="cellIs" dxfId="29" priority="2" stopIfTrue="1" operator="notEqual">
      <formula>$C$14</formula>
    </cfRule>
  </conditionalFormatting>
  <conditionalFormatting sqref="E51">
    <cfRule type="cellIs" dxfId="28" priority="4" stopIfTrue="1" operator="notEqual">
      <formula>$B$37</formula>
    </cfRule>
  </conditionalFormatting>
  <conditionalFormatting sqref="F15 F30:F50 F17:F26">
    <cfRule type="cellIs" dxfId="27" priority="6" stopIfTrue="1" operator="lessThan">
      <formula>0</formula>
    </cfRule>
  </conditionalFormatting>
  <conditionalFormatting sqref="C22:C26 D17:E26 D15:E15 C46:C50 D30:E50">
    <cfRule type="expression" dxfId="26" priority="7" stopIfTrue="1">
      <formula>ISBLANK(C15)</formula>
    </cfRule>
  </conditionalFormatting>
  <hyperlinks>
    <hyperlink ref="G15" location="'B13 Sch 13 Tax Reserves Bridge'!A1" display="'B13"/>
    <hyperlink ref="G17:G21" location="'B13 Sch 13 Tax Reserves Bridge'!A1" display="'B13"/>
    <hyperlink ref="G30:G45" location="'B13 Sch 13 Tax Reserves Bridge'!A1" display="'B13"/>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M37"/>
  <sheetViews>
    <sheetView zoomScaleNormal="100" workbookViewId="0">
      <selection activeCell="E19" sqref="E19"/>
    </sheetView>
  </sheetViews>
  <sheetFormatPr defaultColWidth="9.140625" defaultRowHeight="12.75" x14ac:dyDescent="0.2"/>
  <cols>
    <col min="1" max="1" width="4.28515625" style="10" customWidth="1"/>
    <col min="2" max="2" width="13.28515625" style="10" customWidth="1"/>
    <col min="3" max="3" width="32.28515625" style="10" customWidth="1"/>
    <col min="4" max="4" width="42.7109375" style="10" customWidth="1"/>
    <col min="5" max="5" width="11.42578125" style="10" bestFit="1" customWidth="1"/>
    <col min="6" max="6" width="10" style="10" customWidth="1"/>
    <col min="7" max="7" width="16.140625" style="10" bestFit="1" customWidth="1"/>
    <col min="8" max="8" width="16.140625" style="10" customWidth="1"/>
    <col min="9" max="9" width="10.42578125" style="10" customWidth="1"/>
    <col min="10" max="10" width="16.28515625" style="10" bestFit="1" customWidth="1"/>
    <col min="11" max="11" width="11.7109375" style="10" bestFit="1" customWidth="1"/>
    <col min="12" max="12" width="4.5703125" style="10" customWidth="1"/>
    <col min="13" max="16384" width="9.140625" style="10"/>
  </cols>
  <sheetData>
    <row r="1" spans="1:13" ht="21.75" x14ac:dyDescent="0.2">
      <c r="A1" s="263"/>
      <c r="C1" s="584"/>
      <c r="D1" s="584"/>
      <c r="E1" s="584"/>
      <c r="F1" s="584"/>
      <c r="G1" s="584"/>
      <c r="H1" s="507"/>
      <c r="I1" s="507"/>
    </row>
    <row r="2" spans="1:13" ht="18" x14ac:dyDescent="0.25">
      <c r="C2" s="585"/>
      <c r="D2" s="585"/>
      <c r="E2" s="585"/>
      <c r="F2" s="585"/>
      <c r="G2" s="585"/>
      <c r="H2" s="585"/>
      <c r="I2" s="585"/>
      <c r="J2" s="585"/>
      <c r="K2" s="585"/>
      <c r="L2" s="585"/>
      <c r="M2" s="585"/>
    </row>
    <row r="3" spans="1:13" ht="18" x14ac:dyDescent="0.25">
      <c r="C3" s="585"/>
      <c r="D3" s="585"/>
      <c r="E3" s="585"/>
      <c r="F3" s="585"/>
      <c r="G3" s="585"/>
      <c r="H3" s="585"/>
      <c r="I3" s="585"/>
      <c r="J3" s="585"/>
      <c r="K3" s="585"/>
      <c r="L3" s="585"/>
      <c r="M3" s="585"/>
    </row>
    <row r="4" spans="1:13" ht="50.25" customHeight="1" x14ac:dyDescent="0.25">
      <c r="C4" s="585"/>
      <c r="D4" s="585"/>
      <c r="E4" s="585"/>
      <c r="F4" s="585"/>
      <c r="G4" s="585"/>
      <c r="H4" s="585"/>
      <c r="I4" s="585"/>
      <c r="J4" s="585"/>
      <c r="K4" s="585"/>
      <c r="L4" s="585"/>
      <c r="M4" s="585"/>
    </row>
    <row r="5" spans="1:13" ht="50.25" customHeight="1" x14ac:dyDescent="0.2"/>
    <row r="6" spans="1:13" ht="18" x14ac:dyDescent="0.25">
      <c r="B6" s="305" t="s">
        <v>350</v>
      </c>
    </row>
    <row r="8" spans="1:13" ht="18" x14ac:dyDescent="0.2">
      <c r="C8" s="114"/>
      <c r="D8" s="114"/>
      <c r="E8" s="109"/>
      <c r="F8" s="109"/>
      <c r="G8" s="109"/>
      <c r="H8" s="109"/>
      <c r="I8" s="109"/>
      <c r="J8" s="338" t="s">
        <v>346</v>
      </c>
      <c r="K8" s="115"/>
    </row>
    <row r="9" spans="1:13" x14ac:dyDescent="0.2">
      <c r="C9" s="114"/>
      <c r="D9" s="114"/>
      <c r="E9" s="109"/>
      <c r="F9" s="109"/>
      <c r="G9" s="109"/>
      <c r="H9" s="109"/>
      <c r="I9" s="370" t="s">
        <v>396</v>
      </c>
      <c r="J9" s="27"/>
      <c r="K9" s="115"/>
    </row>
    <row r="10" spans="1:13" x14ac:dyDescent="0.2">
      <c r="C10" s="116" t="s">
        <v>203</v>
      </c>
      <c r="D10" s="116"/>
      <c r="E10" s="109"/>
      <c r="F10" s="109"/>
      <c r="G10" s="109"/>
      <c r="H10" s="109"/>
      <c r="I10" s="357" t="s">
        <v>399</v>
      </c>
      <c r="J10" s="229">
        <f>'B1 Adj. Taxable Income Bridge'!F113</f>
        <v>428838.04968439369</v>
      </c>
      <c r="K10" s="218" t="s">
        <v>0</v>
      </c>
    </row>
    <row r="11" spans="1:13" x14ac:dyDescent="0.2">
      <c r="C11" s="117"/>
      <c r="D11" s="117"/>
      <c r="E11" s="109"/>
      <c r="F11" s="109"/>
      <c r="G11" s="109"/>
      <c r="H11" s="109"/>
      <c r="I11" s="109"/>
      <c r="J11" s="109"/>
      <c r="K11" s="219"/>
    </row>
    <row r="12" spans="1:13" ht="51" x14ac:dyDescent="0.2">
      <c r="C12" s="462"/>
      <c r="D12" s="467" t="s">
        <v>450</v>
      </c>
      <c r="E12" s="467" t="s">
        <v>454</v>
      </c>
      <c r="F12" s="467" t="s">
        <v>451</v>
      </c>
      <c r="G12" s="468" t="s">
        <v>452</v>
      </c>
      <c r="H12" s="109"/>
      <c r="I12" s="109"/>
      <c r="J12" s="109"/>
      <c r="K12" s="219"/>
    </row>
    <row r="13" spans="1:13" x14ac:dyDescent="0.2">
      <c r="C13" s="462" t="s">
        <v>455</v>
      </c>
      <c r="D13" s="464">
        <v>0.115</v>
      </c>
      <c r="E13" s="464">
        <f>IF('A. Data Input Sheet'!H9&lt;=10000000, ontario_SB, IF('A. Data Input Sheet'!H9&gt;=15000000, ontariotax, IF(AND('A. Data Input Sheet'!H9&gt;10000000, 'A. Data Input Sheet'!H9&lt;15000000), ontario_SB+ ('A. Data Input Sheet'!H9 - 10000000)*(ontariotax - ontario_SB)/(15000000-10000000))))</f>
        <v>0.115</v>
      </c>
      <c r="F13" s="469">
        <f>IF(J10&lt;500000,J10,500000)*E13+IF(J10&gt;500000,J10-500000,0)*D13</f>
        <v>49316.375713705274</v>
      </c>
      <c r="G13" s="464">
        <f>IF(F13=0,0,+F13/J10)</f>
        <v>0.115</v>
      </c>
      <c r="H13" s="216" t="s">
        <v>181</v>
      </c>
      <c r="I13" s="109"/>
      <c r="J13" s="109"/>
      <c r="K13" s="219"/>
    </row>
    <row r="14" spans="1:13" x14ac:dyDescent="0.2">
      <c r="C14" s="462" t="s">
        <v>456</v>
      </c>
      <c r="D14" s="464">
        <v>0.15</v>
      </c>
      <c r="E14" s="470">
        <f>IF('A. Data Input Sheet'!H9&lt;=10000000, Fed_SB, IF('A. Data Input Sheet'!H9&gt;=15000000, FedTax, IF(AND('A. Data Input Sheet'!H9&gt;10000000, 'A. Data Input Sheet'!H9&lt;15000000), Fed_SB+ ('A. Data Input Sheet'!H9 - 10000000)*(FedTax -Fed_SB)/(15000000-10000000))))</f>
        <v>0.15000000000000002</v>
      </c>
      <c r="F14" s="469">
        <f>E14*IF(J10&lt;500000,J10,500000)+IF(J10&gt;500000,J10-500000,0)*D14</f>
        <v>64325.707452659066</v>
      </c>
      <c r="G14" s="464">
        <f>IF(F14=0,0,+F14/J10)</f>
        <v>0.15000000000000002</v>
      </c>
      <c r="H14" s="216" t="s">
        <v>385</v>
      </c>
      <c r="I14" s="109"/>
      <c r="J14" s="109"/>
      <c r="K14" s="219"/>
    </row>
    <row r="15" spans="1:13" ht="12.75" customHeight="1" x14ac:dyDescent="0.2">
      <c r="C15" s="117"/>
      <c r="D15" s="117"/>
      <c r="E15" s="109"/>
      <c r="F15" s="109"/>
      <c r="G15" s="109"/>
      <c r="H15" s="109"/>
      <c r="I15" s="217"/>
      <c r="J15" s="109"/>
      <c r="K15" s="219"/>
    </row>
    <row r="16" spans="1:13" ht="14.25" x14ac:dyDescent="0.2">
      <c r="C16" s="462" t="s">
        <v>457</v>
      </c>
      <c r="D16" s="134"/>
      <c r="E16" s="109"/>
      <c r="F16" s="109"/>
      <c r="I16" s="217"/>
      <c r="J16" s="231">
        <f>SUM(G13:G14)</f>
        <v>0.26500000000000001</v>
      </c>
      <c r="K16" s="218" t="s">
        <v>386</v>
      </c>
    </row>
    <row r="17" spans="3:11" x14ac:dyDescent="0.2">
      <c r="C17" s="117"/>
      <c r="D17" s="117"/>
      <c r="E17" s="109"/>
      <c r="F17" s="109"/>
      <c r="G17" s="109"/>
      <c r="H17" s="109"/>
      <c r="I17" s="217"/>
      <c r="J17" s="109"/>
      <c r="K17" s="219"/>
    </row>
    <row r="18" spans="3:11" x14ac:dyDescent="0.2">
      <c r="C18" s="109"/>
      <c r="D18" s="109"/>
      <c r="E18" s="109"/>
      <c r="F18" s="109"/>
      <c r="G18" s="109"/>
      <c r="H18" s="109"/>
      <c r="I18" s="217"/>
      <c r="J18" s="109"/>
      <c r="K18" s="219"/>
    </row>
    <row r="19" spans="3:11" x14ac:dyDescent="0.2">
      <c r="C19" s="111" t="s">
        <v>166</v>
      </c>
      <c r="D19" s="111"/>
      <c r="E19" s="109"/>
      <c r="F19" s="109"/>
      <c r="G19" s="109"/>
      <c r="H19" s="109"/>
      <c r="I19" s="396"/>
      <c r="J19" s="232">
        <f>IF(J10*J16&lt;0,0,J10*J16)</f>
        <v>113642.08316636433</v>
      </c>
      <c r="K19" s="218" t="s">
        <v>387</v>
      </c>
    </row>
    <row r="20" spans="3:11" ht="6.75" customHeight="1" x14ac:dyDescent="0.2">
      <c r="C20" s="109"/>
      <c r="D20" s="109"/>
      <c r="E20" s="109"/>
      <c r="F20" s="109"/>
      <c r="G20" s="109"/>
      <c r="H20" s="109"/>
      <c r="I20" s="217"/>
      <c r="J20" s="112"/>
      <c r="K20" s="219"/>
    </row>
    <row r="21" spans="3:11" x14ac:dyDescent="0.2">
      <c r="C21" s="117" t="s">
        <v>167</v>
      </c>
      <c r="D21" s="109"/>
      <c r="E21" s="109"/>
      <c r="F21" s="109"/>
      <c r="G21" s="109"/>
      <c r="H21" s="109"/>
      <c r="I21" s="217"/>
      <c r="J21" s="320"/>
      <c r="K21" s="218" t="s">
        <v>388</v>
      </c>
    </row>
    <row r="22" spans="3:11" x14ac:dyDescent="0.2">
      <c r="C22" s="117" t="s">
        <v>168</v>
      </c>
      <c r="D22" s="109"/>
      <c r="E22" s="109"/>
      <c r="F22" s="109"/>
      <c r="G22" s="109"/>
      <c r="H22" s="109"/>
      <c r="I22" s="217"/>
      <c r="J22" s="320"/>
      <c r="K22" s="218" t="s">
        <v>389</v>
      </c>
    </row>
    <row r="23" spans="3:11" x14ac:dyDescent="0.2">
      <c r="C23" s="111" t="s">
        <v>241</v>
      </c>
      <c r="D23" s="109"/>
      <c r="E23" s="109"/>
      <c r="F23" s="109"/>
      <c r="G23" s="109"/>
      <c r="H23" s="109"/>
      <c r="I23" s="217"/>
      <c r="J23" s="232">
        <f>SUM(J21:J22)</f>
        <v>0</v>
      </c>
      <c r="K23" s="218" t="s">
        <v>390</v>
      </c>
    </row>
    <row r="24" spans="3:11" x14ac:dyDescent="0.2">
      <c r="C24" s="109"/>
      <c r="D24" s="109"/>
      <c r="E24" s="109"/>
      <c r="F24" s="109"/>
      <c r="G24" s="109"/>
      <c r="H24" s="109"/>
      <c r="I24" s="217"/>
      <c r="J24" s="118"/>
      <c r="K24" s="219"/>
    </row>
    <row r="25" spans="3:11" x14ac:dyDescent="0.2">
      <c r="C25" s="111" t="s">
        <v>327</v>
      </c>
      <c r="D25" s="111"/>
      <c r="E25" s="109"/>
      <c r="F25" s="109"/>
      <c r="G25" s="109"/>
      <c r="H25" s="109"/>
      <c r="I25" s="217"/>
      <c r="J25" s="232">
        <f>IF(J19-J23&lt;0,0,J19-J23)</f>
        <v>113642.08316636433</v>
      </c>
      <c r="K25" s="218" t="s">
        <v>458</v>
      </c>
    </row>
    <row r="26" spans="3:11" x14ac:dyDescent="0.2">
      <c r="C26" s="109"/>
      <c r="D26" s="109"/>
      <c r="E26" s="109"/>
      <c r="F26" s="109"/>
      <c r="G26" s="109"/>
      <c r="H26" s="109"/>
      <c r="I26" s="217"/>
      <c r="J26" s="119"/>
      <c r="K26" s="219"/>
    </row>
    <row r="27" spans="3:11" x14ac:dyDescent="0.2">
      <c r="C27" s="109"/>
      <c r="D27" s="109"/>
      <c r="E27" s="109"/>
      <c r="F27" s="109"/>
      <c r="G27" s="230"/>
      <c r="H27" s="230"/>
      <c r="I27" s="216"/>
      <c r="J27" s="261"/>
      <c r="K27" s="216"/>
    </row>
    <row r="28" spans="3:11" x14ac:dyDescent="0.2">
      <c r="C28" s="108"/>
      <c r="D28" s="108"/>
      <c r="E28" s="109"/>
      <c r="F28" s="109"/>
      <c r="G28" s="109"/>
      <c r="H28" s="109"/>
      <c r="I28" s="109"/>
      <c r="J28" s="110"/>
      <c r="K28" s="217"/>
    </row>
    <row r="29" spans="3:11" x14ac:dyDescent="0.2">
      <c r="C29" s="66" t="s">
        <v>249</v>
      </c>
      <c r="G29" s="109"/>
      <c r="H29" s="109"/>
      <c r="I29" s="109"/>
      <c r="J29" s="110"/>
      <c r="K29" s="217"/>
    </row>
    <row r="30" spans="3:11" ht="32.25" customHeight="1" x14ac:dyDescent="0.2">
      <c r="C30" s="589" t="s">
        <v>330</v>
      </c>
      <c r="D30" s="589"/>
      <c r="E30" s="589"/>
      <c r="F30" s="589"/>
      <c r="G30" s="109"/>
      <c r="H30" s="109"/>
      <c r="I30" s="109"/>
      <c r="J30" s="261"/>
      <c r="K30" s="216"/>
    </row>
    <row r="31" spans="3:11" x14ac:dyDescent="0.2">
      <c r="C31" s="109"/>
      <c r="D31" s="109"/>
      <c r="E31" s="109"/>
      <c r="F31" s="109"/>
      <c r="G31" s="109"/>
      <c r="H31" s="109"/>
      <c r="I31" s="109"/>
      <c r="J31" s="256"/>
    </row>
    <row r="33" spans="3:10" x14ac:dyDescent="0.2">
      <c r="C33" s="66"/>
    </row>
    <row r="34" spans="3:10" ht="36" customHeight="1" x14ac:dyDescent="0.2">
      <c r="C34" s="589"/>
      <c r="D34" s="589"/>
      <c r="E34" s="589"/>
      <c r="F34" s="589"/>
      <c r="J34" s="260"/>
    </row>
    <row r="35" spans="3:10" x14ac:dyDescent="0.2">
      <c r="J35" s="259"/>
    </row>
    <row r="36" spans="3:10" x14ac:dyDescent="0.2">
      <c r="J36" s="259"/>
    </row>
    <row r="37" spans="3:10" x14ac:dyDescent="0.2">
      <c r="J37" s="258"/>
    </row>
  </sheetData>
  <sheetProtection password="BE7F" sheet="1" objects="1" scenarios="1"/>
  <mergeCells count="6">
    <mergeCell ref="C34:F34"/>
    <mergeCell ref="C1:G1"/>
    <mergeCell ref="C2:M2"/>
    <mergeCell ref="C3:M3"/>
    <mergeCell ref="C4:M4"/>
    <mergeCell ref="C30:F30"/>
  </mergeCells>
  <phoneticPr fontId="3" type="noConversion"/>
  <conditionalFormatting sqref="J21:J22">
    <cfRule type="expression" dxfId="25" priority="1" stopIfTrue="1">
      <formula>ISBLANK(J21)</formula>
    </cfRule>
  </conditionalFormatting>
  <hyperlinks>
    <hyperlink ref="I10" location="'B1 Adj. Taxable Income Bridge'!A1" display="'B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3"/>
  <sheetViews>
    <sheetView topLeftCell="A79" zoomScaleNormal="100" workbookViewId="0">
      <selection activeCell="C88" sqref="C88"/>
    </sheetView>
  </sheetViews>
  <sheetFormatPr defaultColWidth="9.140625" defaultRowHeight="12.75" x14ac:dyDescent="0.2"/>
  <cols>
    <col min="1" max="1" width="1.7109375" style="10" customWidth="1"/>
    <col min="2" max="2" width="16.7109375" style="10" customWidth="1"/>
    <col min="3" max="3" width="35.5703125" style="10" customWidth="1"/>
    <col min="4" max="5" width="11.42578125" style="62" customWidth="1"/>
    <col min="6" max="6" width="13.7109375" style="10" customWidth="1"/>
    <col min="7" max="7" width="9.140625" style="10"/>
    <col min="8" max="8" width="35.5703125" style="10" customWidth="1"/>
    <col min="9" max="9" width="10.140625" style="62" customWidth="1"/>
    <col min="10" max="10" width="14.7109375" style="10" customWidth="1"/>
    <col min="11" max="16384" width="9.140625" style="10"/>
  </cols>
  <sheetData>
    <row r="1" spans="1:10" ht="45.75" customHeight="1" x14ac:dyDescent="0.2">
      <c r="A1" s="263"/>
      <c r="C1" s="584"/>
      <c r="D1" s="584"/>
      <c r="E1" s="584"/>
      <c r="F1" s="584"/>
    </row>
    <row r="2" spans="1:10" ht="45.75" customHeight="1" x14ac:dyDescent="0.25">
      <c r="C2" s="585"/>
      <c r="D2" s="585"/>
      <c r="E2" s="585"/>
      <c r="F2" s="585"/>
      <c r="G2" s="585"/>
      <c r="H2" s="585"/>
      <c r="I2" s="585"/>
      <c r="J2" s="585"/>
    </row>
    <row r="3" spans="1:10" ht="45.75" customHeight="1" x14ac:dyDescent="0.25">
      <c r="C3" s="585"/>
      <c r="D3" s="585"/>
      <c r="E3" s="585"/>
      <c r="F3" s="585"/>
      <c r="G3" s="585"/>
      <c r="H3" s="585"/>
      <c r="I3" s="585"/>
      <c r="J3" s="585"/>
    </row>
    <row r="4" spans="1:10" ht="18" x14ac:dyDescent="0.25">
      <c r="C4" s="585"/>
      <c r="D4" s="585"/>
      <c r="E4" s="585"/>
      <c r="F4" s="585"/>
      <c r="G4" s="585"/>
      <c r="H4" s="585"/>
      <c r="I4" s="585"/>
      <c r="J4" s="585"/>
    </row>
    <row r="5" spans="1:10" ht="23.25" x14ac:dyDescent="0.35">
      <c r="B5" s="336" t="s">
        <v>349</v>
      </c>
    </row>
    <row r="6" spans="1:10" ht="23.25" x14ac:dyDescent="0.35">
      <c r="D6" s="245"/>
      <c r="E6" s="245"/>
      <c r="F6" s="245"/>
    </row>
    <row r="7" spans="1:10" ht="36" x14ac:dyDescent="0.2">
      <c r="C7" s="133"/>
      <c r="D7" s="12" t="s">
        <v>4</v>
      </c>
      <c r="E7" s="12" t="s">
        <v>401</v>
      </c>
      <c r="F7" s="13" t="s">
        <v>248</v>
      </c>
    </row>
    <row r="8" spans="1:10" x14ac:dyDescent="0.2">
      <c r="C8" s="14" t="s">
        <v>7</v>
      </c>
      <c r="D8" s="15" t="s">
        <v>0</v>
      </c>
      <c r="E8" s="15"/>
      <c r="F8" s="350">
        <v>1235176</v>
      </c>
    </row>
    <row r="9" spans="1:10" x14ac:dyDescent="0.2">
      <c r="C9" s="628"/>
      <c r="D9" s="628"/>
      <c r="E9" s="628"/>
      <c r="F9" s="628"/>
    </row>
    <row r="10" spans="1:10" x14ac:dyDescent="0.2">
      <c r="C10" s="629" t="s">
        <v>8</v>
      </c>
      <c r="D10" s="629"/>
      <c r="E10" s="629"/>
      <c r="F10" s="629"/>
    </row>
    <row r="11" spans="1:10" x14ac:dyDescent="0.2">
      <c r="C11" s="19" t="s">
        <v>9</v>
      </c>
      <c r="D11" s="200">
        <v>103</v>
      </c>
      <c r="E11" s="200"/>
      <c r="F11" s="350"/>
    </row>
    <row r="12" spans="1:10" x14ac:dyDescent="0.2">
      <c r="C12" s="19" t="s">
        <v>10</v>
      </c>
      <c r="D12" s="200">
        <v>104</v>
      </c>
      <c r="E12" s="200"/>
      <c r="F12" s="350">
        <v>1649531</v>
      </c>
    </row>
    <row r="13" spans="1:10" x14ac:dyDescent="0.2">
      <c r="C13" s="19" t="s">
        <v>11</v>
      </c>
      <c r="D13" s="200">
        <v>106</v>
      </c>
      <c r="E13" s="200"/>
      <c r="F13" s="350">
        <v>144888</v>
      </c>
    </row>
    <row r="14" spans="1:10" ht="24" x14ac:dyDescent="0.2">
      <c r="C14" s="19" t="s">
        <v>12</v>
      </c>
      <c r="D14" s="200">
        <v>107</v>
      </c>
      <c r="E14" s="200"/>
      <c r="F14" s="350"/>
    </row>
    <row r="15" spans="1:10" ht="24" x14ac:dyDescent="0.2">
      <c r="C15" s="19" t="s">
        <v>13</v>
      </c>
      <c r="D15" s="200">
        <v>108</v>
      </c>
      <c r="E15" s="200"/>
      <c r="F15" s="350"/>
    </row>
    <row r="16" spans="1:10" ht="24" x14ac:dyDescent="0.2">
      <c r="C16" s="19" t="s">
        <v>14</v>
      </c>
      <c r="D16" s="200">
        <v>109</v>
      </c>
      <c r="E16" s="200"/>
      <c r="F16" s="350"/>
    </row>
    <row r="17" spans="3:6" ht="24" x14ac:dyDescent="0.2">
      <c r="C17" s="19" t="s">
        <v>15</v>
      </c>
      <c r="D17" s="200">
        <v>110</v>
      </c>
      <c r="E17" s="200"/>
      <c r="F17" s="350"/>
    </row>
    <row r="18" spans="3:6" x14ac:dyDescent="0.2">
      <c r="C18" s="19" t="s">
        <v>16</v>
      </c>
      <c r="D18" s="200">
        <v>111</v>
      </c>
      <c r="E18" s="200"/>
      <c r="F18" s="350"/>
    </row>
    <row r="19" spans="3:6" x14ac:dyDescent="0.2">
      <c r="C19" s="19" t="s">
        <v>17</v>
      </c>
      <c r="D19" s="200">
        <v>112</v>
      </c>
      <c r="E19" s="200"/>
      <c r="F19" s="350"/>
    </row>
    <row r="20" spans="3:6" x14ac:dyDescent="0.2">
      <c r="C20" s="19" t="s">
        <v>18</v>
      </c>
      <c r="D20" s="200">
        <v>113</v>
      </c>
      <c r="E20" s="200"/>
      <c r="F20" s="350"/>
    </row>
    <row r="21" spans="3:6" x14ac:dyDescent="0.2">
      <c r="C21" s="19" t="s">
        <v>19</v>
      </c>
      <c r="D21" s="200">
        <v>114</v>
      </c>
      <c r="E21" s="200"/>
      <c r="F21" s="350"/>
    </row>
    <row r="22" spans="3:6" x14ac:dyDescent="0.2">
      <c r="C22" s="19" t="s">
        <v>20</v>
      </c>
      <c r="D22" s="200">
        <v>116</v>
      </c>
      <c r="E22" s="200"/>
      <c r="F22" s="350"/>
    </row>
    <row r="23" spans="3:6" ht="24" x14ac:dyDescent="0.2">
      <c r="C23" s="19" t="s">
        <v>21</v>
      </c>
      <c r="D23" s="200">
        <v>118</v>
      </c>
      <c r="E23" s="200"/>
      <c r="F23" s="350"/>
    </row>
    <row r="24" spans="3:6" x14ac:dyDescent="0.2">
      <c r="C24" s="19" t="s">
        <v>22</v>
      </c>
      <c r="D24" s="200">
        <v>119</v>
      </c>
      <c r="E24" s="200"/>
      <c r="F24" s="350"/>
    </row>
    <row r="25" spans="3:6" x14ac:dyDescent="0.2">
      <c r="C25" s="19" t="s">
        <v>23</v>
      </c>
      <c r="D25" s="200">
        <v>120</v>
      </c>
      <c r="E25" s="200"/>
      <c r="F25" s="350"/>
    </row>
    <row r="26" spans="3:6" ht="24" x14ac:dyDescent="0.2">
      <c r="C26" s="19" t="s">
        <v>24</v>
      </c>
      <c r="D26" s="200">
        <v>121</v>
      </c>
      <c r="E26" s="200"/>
      <c r="F26" s="350">
        <v>12000</v>
      </c>
    </row>
    <row r="27" spans="3:6" x14ac:dyDescent="0.2">
      <c r="C27" s="19" t="s">
        <v>25</v>
      </c>
      <c r="D27" s="200">
        <v>122</v>
      </c>
      <c r="E27" s="200"/>
      <c r="F27" s="350"/>
    </row>
    <row r="28" spans="3:6" x14ac:dyDescent="0.2">
      <c r="C28" s="19" t="s">
        <v>26</v>
      </c>
      <c r="D28" s="200">
        <v>123</v>
      </c>
      <c r="E28" s="200"/>
      <c r="F28" s="350"/>
    </row>
    <row r="29" spans="3:6" x14ac:dyDescent="0.2">
      <c r="C29" s="19" t="s">
        <v>27</v>
      </c>
      <c r="D29" s="200">
        <v>124</v>
      </c>
      <c r="E29" s="200"/>
      <c r="F29" s="350"/>
    </row>
    <row r="30" spans="3:6" x14ac:dyDescent="0.2">
      <c r="C30" s="21" t="s">
        <v>28</v>
      </c>
      <c r="D30" s="201">
        <v>125</v>
      </c>
      <c r="E30" s="376" t="s">
        <v>402</v>
      </c>
      <c r="F30" s="36">
        <f>'B13 Sch 13 Tax Reserves Bridge'!G22</f>
        <v>0</v>
      </c>
    </row>
    <row r="31" spans="3:6" ht="24" x14ac:dyDescent="0.2">
      <c r="C31" s="19" t="s">
        <v>29</v>
      </c>
      <c r="D31" s="200">
        <v>126</v>
      </c>
      <c r="E31" s="376" t="s">
        <v>402</v>
      </c>
      <c r="F31" s="36">
        <f>'B13 Sch 13 Tax Reserves Bridge'!K43</f>
        <v>0</v>
      </c>
    </row>
    <row r="32" spans="3:6" ht="24" x14ac:dyDescent="0.2">
      <c r="C32" s="19" t="s">
        <v>30</v>
      </c>
      <c r="D32" s="200">
        <v>127</v>
      </c>
      <c r="E32" s="200"/>
      <c r="F32" s="350"/>
    </row>
    <row r="33" spans="3:6" ht="24" x14ac:dyDescent="0.2">
      <c r="C33" s="19" t="s">
        <v>31</v>
      </c>
      <c r="D33" s="200">
        <v>205</v>
      </c>
      <c r="E33" s="200"/>
      <c r="F33" s="350"/>
    </row>
    <row r="34" spans="3:6" x14ac:dyDescent="0.2">
      <c r="C34" s="19" t="s">
        <v>32</v>
      </c>
      <c r="D34" s="200">
        <v>206</v>
      </c>
      <c r="E34" s="200"/>
      <c r="F34" s="350"/>
    </row>
    <row r="35" spans="3:6" x14ac:dyDescent="0.2">
      <c r="C35" s="19" t="s">
        <v>33</v>
      </c>
      <c r="D35" s="200">
        <v>208</v>
      </c>
      <c r="E35" s="200"/>
      <c r="F35" s="350"/>
    </row>
    <row r="36" spans="3:6" ht="24" x14ac:dyDescent="0.2">
      <c r="C36" s="19" t="s">
        <v>34</v>
      </c>
      <c r="D36" s="200">
        <v>212</v>
      </c>
      <c r="E36" s="200"/>
      <c r="F36" s="350"/>
    </row>
    <row r="37" spans="3:6" x14ac:dyDescent="0.2">
      <c r="C37" s="19" t="s">
        <v>35</v>
      </c>
      <c r="D37" s="200">
        <v>216</v>
      </c>
      <c r="E37" s="200"/>
      <c r="F37" s="350"/>
    </row>
    <row r="38" spans="3:6" x14ac:dyDescent="0.2">
      <c r="C38" s="19" t="s">
        <v>36</v>
      </c>
      <c r="D38" s="200">
        <v>220</v>
      </c>
      <c r="E38" s="200"/>
      <c r="F38" s="350"/>
    </row>
    <row r="39" spans="3:6" x14ac:dyDescent="0.2">
      <c r="C39" s="19" t="s">
        <v>37</v>
      </c>
      <c r="D39" s="200">
        <v>226</v>
      </c>
      <c r="E39" s="200"/>
      <c r="F39" s="350"/>
    </row>
    <row r="40" spans="3:6" x14ac:dyDescent="0.2">
      <c r="C40" s="19" t="s">
        <v>38</v>
      </c>
      <c r="D40" s="200">
        <v>227</v>
      </c>
      <c r="E40" s="200"/>
      <c r="F40" s="350"/>
    </row>
    <row r="41" spans="3:6" ht="24" x14ac:dyDescent="0.2">
      <c r="C41" s="19" t="s">
        <v>39</v>
      </c>
      <c r="D41" s="200">
        <v>228</v>
      </c>
      <c r="E41" s="200"/>
      <c r="F41" s="350"/>
    </row>
    <row r="42" spans="3:6" x14ac:dyDescent="0.2">
      <c r="C42" s="19" t="s">
        <v>40</v>
      </c>
      <c r="D42" s="200">
        <v>231</v>
      </c>
      <c r="E42" s="200"/>
      <c r="F42" s="350"/>
    </row>
    <row r="43" spans="3:6" x14ac:dyDescent="0.2">
      <c r="C43" s="19" t="s">
        <v>41</v>
      </c>
      <c r="D43" s="200">
        <v>235</v>
      </c>
      <c r="E43" s="200"/>
      <c r="F43" s="350"/>
    </row>
    <row r="44" spans="3:6" x14ac:dyDescent="0.2">
      <c r="C44" s="19" t="s">
        <v>42</v>
      </c>
      <c r="D44" s="200">
        <v>236</v>
      </c>
      <c r="E44" s="200"/>
      <c r="F44" s="350"/>
    </row>
    <row r="45" spans="3:6" ht="36" x14ac:dyDescent="0.2">
      <c r="C45" s="19" t="s">
        <v>43</v>
      </c>
      <c r="D45" s="200">
        <v>237</v>
      </c>
      <c r="E45" s="200"/>
      <c r="F45" s="350"/>
    </row>
    <row r="46" spans="3:6" x14ac:dyDescent="0.2">
      <c r="C46" s="623" t="s">
        <v>44</v>
      </c>
      <c r="D46" s="592"/>
      <c r="E46" s="592"/>
      <c r="F46" s="624"/>
    </row>
    <row r="47" spans="3:6" x14ac:dyDescent="0.2">
      <c r="C47" s="19" t="s">
        <v>45</v>
      </c>
      <c r="D47" s="200">
        <v>290</v>
      </c>
      <c r="E47" s="200"/>
      <c r="F47" s="350">
        <v>30946</v>
      </c>
    </row>
    <row r="48" spans="3:6" ht="24" x14ac:dyDescent="0.2">
      <c r="C48" s="19" t="s">
        <v>46</v>
      </c>
      <c r="D48" s="200">
        <v>291</v>
      </c>
      <c r="E48" s="200"/>
      <c r="F48" s="350"/>
    </row>
    <row r="49" spans="3:9" x14ac:dyDescent="0.2">
      <c r="C49" s="19" t="s">
        <v>47</v>
      </c>
      <c r="D49" s="200">
        <v>292</v>
      </c>
      <c r="E49" s="200"/>
      <c r="F49" s="350"/>
    </row>
    <row r="50" spans="3:9" x14ac:dyDescent="0.2">
      <c r="C50" s="19" t="s">
        <v>48</v>
      </c>
      <c r="D50" s="200">
        <v>293</v>
      </c>
      <c r="E50" s="200"/>
      <c r="F50" s="350"/>
    </row>
    <row r="51" spans="3:9" ht="24" customHeight="1" x14ac:dyDescent="0.2">
      <c r="C51" s="337"/>
      <c r="D51" s="200">
        <v>294</v>
      </c>
      <c r="E51" s="200"/>
      <c r="F51" s="350"/>
    </row>
    <row r="52" spans="3:9" ht="24" customHeight="1" x14ac:dyDescent="0.2">
      <c r="C52" s="337"/>
      <c r="D52" s="544">
        <v>295</v>
      </c>
      <c r="E52" s="544"/>
      <c r="F52" s="350"/>
    </row>
    <row r="53" spans="3:9" x14ac:dyDescent="0.2">
      <c r="C53" s="247" t="s">
        <v>311</v>
      </c>
      <c r="D53" s="23"/>
      <c r="E53" s="23"/>
      <c r="F53" s="350"/>
      <c r="G53" s="246"/>
      <c r="H53" s="234"/>
      <c r="I53" s="10"/>
    </row>
    <row r="54" spans="3:9" ht="24" x14ac:dyDescent="0.2">
      <c r="C54" s="247" t="s">
        <v>312</v>
      </c>
      <c r="D54" s="23"/>
      <c r="E54" s="23"/>
      <c r="F54" s="350"/>
      <c r="G54" s="246"/>
      <c r="H54" s="234"/>
      <c r="I54" s="10"/>
    </row>
    <row r="55" spans="3:9" ht="24" x14ac:dyDescent="0.2">
      <c r="C55" s="247" t="s">
        <v>313</v>
      </c>
      <c r="D55" s="23"/>
      <c r="E55" s="23"/>
      <c r="F55" s="350"/>
      <c r="G55" s="246"/>
      <c r="H55" s="234"/>
      <c r="I55" s="10"/>
    </row>
    <row r="56" spans="3:9" x14ac:dyDescent="0.2">
      <c r="C56" s="247" t="s">
        <v>314</v>
      </c>
      <c r="D56" s="23"/>
      <c r="E56" s="23"/>
      <c r="F56" s="350"/>
      <c r="G56" s="246"/>
      <c r="H56" s="234"/>
      <c r="I56" s="10"/>
    </row>
    <row r="57" spans="3:9" x14ac:dyDescent="0.2">
      <c r="C57" s="247" t="s">
        <v>315</v>
      </c>
      <c r="D57" s="23"/>
      <c r="E57" s="23"/>
      <c r="F57" s="350">
        <v>9000</v>
      </c>
      <c r="G57" s="246"/>
      <c r="H57" s="234"/>
      <c r="I57" s="10"/>
    </row>
    <row r="58" spans="3:9" ht="21" customHeight="1" x14ac:dyDescent="0.2">
      <c r="C58" s="337"/>
      <c r="D58" s="23"/>
      <c r="E58" s="23"/>
      <c r="F58" s="350"/>
      <c r="G58" s="246"/>
      <c r="H58" s="234"/>
      <c r="I58" s="10"/>
    </row>
    <row r="59" spans="3:9" ht="21" customHeight="1" x14ac:dyDescent="0.2">
      <c r="C59" s="337"/>
      <c r="D59" s="23"/>
      <c r="E59" s="23"/>
      <c r="F59" s="350"/>
      <c r="G59" s="246"/>
      <c r="H59" s="234"/>
      <c r="I59" s="10"/>
    </row>
    <row r="60" spans="3:9" ht="21" customHeight="1" x14ac:dyDescent="0.2">
      <c r="C60" s="337"/>
      <c r="D60" s="23"/>
      <c r="E60" s="23"/>
      <c r="F60" s="350"/>
      <c r="G60" s="246"/>
      <c r="H60" s="234"/>
      <c r="I60" s="10"/>
    </row>
    <row r="61" spans="3:9" ht="21" customHeight="1" x14ac:dyDescent="0.2">
      <c r="C61" s="337"/>
      <c r="D61" s="23"/>
      <c r="E61" s="23"/>
      <c r="F61" s="350"/>
      <c r="G61" s="246"/>
      <c r="H61" s="234"/>
      <c r="I61" s="10"/>
    </row>
    <row r="62" spans="3:9" ht="21" customHeight="1" x14ac:dyDescent="0.2">
      <c r="C62" s="337"/>
      <c r="D62" s="23"/>
      <c r="E62" s="23"/>
      <c r="F62" s="350"/>
      <c r="G62" s="246"/>
      <c r="H62" s="234"/>
      <c r="I62" s="10"/>
    </row>
    <row r="63" spans="3:9" ht="21" customHeight="1" x14ac:dyDescent="0.2">
      <c r="C63" s="337"/>
      <c r="D63" s="23"/>
      <c r="E63" s="23"/>
      <c r="F63" s="350"/>
      <c r="G63" s="246"/>
      <c r="H63" s="234"/>
      <c r="I63" s="10"/>
    </row>
    <row r="64" spans="3:9" ht="21" customHeight="1" x14ac:dyDescent="0.2">
      <c r="C64" s="337"/>
      <c r="D64" s="23"/>
      <c r="E64" s="23"/>
      <c r="F64" s="350"/>
      <c r="G64" s="246"/>
      <c r="H64" s="234"/>
      <c r="I64" s="10"/>
    </row>
    <row r="65" spans="3:9" ht="21" customHeight="1" x14ac:dyDescent="0.2">
      <c r="C65" s="337"/>
      <c r="D65" s="23"/>
      <c r="E65" s="23"/>
      <c r="F65" s="350"/>
      <c r="G65" s="246"/>
      <c r="H65" s="234"/>
      <c r="I65" s="10"/>
    </row>
    <row r="66" spans="3:9" ht="21" customHeight="1" x14ac:dyDescent="0.2">
      <c r="C66" s="337"/>
      <c r="D66" s="20"/>
      <c r="E66" s="20"/>
      <c r="F66" s="350"/>
      <c r="G66" s="246"/>
      <c r="H66" s="234"/>
      <c r="I66" s="10"/>
    </row>
    <row r="67" spans="3:9" ht="21" customHeight="1" thickBot="1" x14ac:dyDescent="0.25">
      <c r="C67" s="566"/>
      <c r="D67" s="284"/>
      <c r="E67" s="284"/>
      <c r="F67" s="567"/>
      <c r="G67" s="246"/>
      <c r="H67" s="234"/>
      <c r="I67" s="10"/>
    </row>
    <row r="68" spans="3:9" x14ac:dyDescent="0.2">
      <c r="C68" s="248" t="s">
        <v>49</v>
      </c>
      <c r="D68" s="249"/>
      <c r="E68" s="249"/>
      <c r="F68" s="250">
        <f>SUM(F10:F67)</f>
        <v>1846365</v>
      </c>
    </row>
    <row r="69" spans="3:9" x14ac:dyDescent="0.2">
      <c r="C69" s="622" t="s">
        <v>50</v>
      </c>
      <c r="D69" s="622"/>
      <c r="E69" s="622"/>
      <c r="F69" s="622"/>
    </row>
    <row r="70" spans="3:9" ht="24" x14ac:dyDescent="0.2">
      <c r="C70" s="19" t="s">
        <v>51</v>
      </c>
      <c r="D70" s="200">
        <v>401</v>
      </c>
      <c r="E70" s="200"/>
      <c r="F70" s="350"/>
    </row>
    <row r="71" spans="3:9" x14ac:dyDescent="0.2">
      <c r="C71" s="21" t="s">
        <v>52</v>
      </c>
      <c r="D71" s="200">
        <v>402</v>
      </c>
      <c r="E71" s="200"/>
      <c r="F71" s="350"/>
    </row>
    <row r="72" spans="3:9" x14ac:dyDescent="0.2">
      <c r="C72" s="19" t="s">
        <v>53</v>
      </c>
      <c r="D72" s="200">
        <v>403</v>
      </c>
      <c r="E72" s="376" t="s">
        <v>400</v>
      </c>
      <c r="F72" s="36">
        <f>'B8 Schedule 8 CCA Bridge Year'!M42</f>
        <v>2337322.9503156063</v>
      </c>
    </row>
    <row r="73" spans="3:9" x14ac:dyDescent="0.2">
      <c r="C73" s="21" t="s">
        <v>54</v>
      </c>
      <c r="D73" s="200">
        <v>404</v>
      </c>
      <c r="E73" s="200"/>
      <c r="F73" s="350"/>
    </row>
    <row r="74" spans="3:9" x14ac:dyDescent="0.2">
      <c r="C74" s="19" t="s">
        <v>56</v>
      </c>
      <c r="D74" s="200">
        <v>406</v>
      </c>
      <c r="E74" s="200"/>
      <c r="F74" s="350"/>
    </row>
    <row r="75" spans="3:9" x14ac:dyDescent="0.2">
      <c r="C75" s="19" t="s">
        <v>20</v>
      </c>
      <c r="D75" s="200">
        <v>409</v>
      </c>
      <c r="E75" s="200"/>
      <c r="F75" s="350"/>
    </row>
    <row r="76" spans="3:9" ht="24" x14ac:dyDescent="0.2">
      <c r="C76" s="19" t="s">
        <v>57</v>
      </c>
      <c r="D76" s="200">
        <v>411</v>
      </c>
      <c r="E76" s="200"/>
      <c r="F76" s="350"/>
    </row>
    <row r="77" spans="3:9" x14ac:dyDescent="0.2">
      <c r="C77" s="19" t="s">
        <v>58</v>
      </c>
      <c r="D77" s="201">
        <v>413</v>
      </c>
      <c r="E77" s="377" t="s">
        <v>402</v>
      </c>
      <c r="F77" s="36">
        <f>'B13 Sch 13 Tax Reserves Bridge'!K22</f>
        <v>0</v>
      </c>
    </row>
    <row r="78" spans="3:9" ht="24" x14ac:dyDescent="0.2">
      <c r="C78" s="19" t="s">
        <v>59</v>
      </c>
      <c r="D78" s="200">
        <v>414</v>
      </c>
      <c r="E78" s="377" t="s">
        <v>402</v>
      </c>
      <c r="F78" s="36">
        <f>'B13 Sch 13 Tax Reserves Bridge'!G43</f>
        <v>0</v>
      </c>
    </row>
    <row r="79" spans="3:9" x14ac:dyDescent="0.2">
      <c r="C79" s="19" t="s">
        <v>60</v>
      </c>
      <c r="D79" s="200">
        <v>416</v>
      </c>
      <c r="E79" s="200"/>
      <c r="F79" s="350"/>
    </row>
    <row r="80" spans="3:9" ht="24" x14ac:dyDescent="0.2">
      <c r="C80" s="19" t="s">
        <v>61</v>
      </c>
      <c r="D80" s="200">
        <v>305</v>
      </c>
      <c r="E80" s="200"/>
      <c r="F80" s="350"/>
    </row>
    <row r="81" spans="3:9" ht="24" x14ac:dyDescent="0.2">
      <c r="C81" s="19" t="s">
        <v>62</v>
      </c>
      <c r="D81" s="200">
        <v>306</v>
      </c>
      <c r="E81" s="200"/>
      <c r="F81" s="350"/>
    </row>
    <row r="82" spans="3:9" ht="24" x14ac:dyDescent="0.2">
      <c r="C82" s="31" t="s">
        <v>63</v>
      </c>
      <c r="D82" s="200"/>
      <c r="E82" s="200"/>
      <c r="F82" s="350"/>
    </row>
    <row r="83" spans="3:9" x14ac:dyDescent="0.2">
      <c r="C83" s="19"/>
      <c r="D83" s="200"/>
      <c r="E83" s="200"/>
      <c r="F83" s="350"/>
    </row>
    <row r="84" spans="3:9" ht="24" x14ac:dyDescent="0.2">
      <c r="C84" s="21" t="s">
        <v>64</v>
      </c>
      <c r="D84" s="200">
        <v>390</v>
      </c>
      <c r="E84" s="200"/>
      <c r="F84" s="350"/>
    </row>
    <row r="85" spans="3:9" x14ac:dyDescent="0.2">
      <c r="C85" s="21" t="s">
        <v>65</v>
      </c>
      <c r="D85" s="200">
        <v>391</v>
      </c>
      <c r="E85" s="200"/>
      <c r="F85" s="350">
        <v>192380</v>
      </c>
    </row>
    <row r="86" spans="3:9" ht="24" x14ac:dyDescent="0.2">
      <c r="C86" s="19" t="s">
        <v>66</v>
      </c>
      <c r="D86" s="200">
        <v>392</v>
      </c>
      <c r="E86" s="200"/>
      <c r="F86" s="350"/>
    </row>
    <row r="87" spans="3:9" ht="21" customHeight="1" x14ac:dyDescent="0.2">
      <c r="C87" s="337" t="s">
        <v>518</v>
      </c>
      <c r="D87" s="200">
        <v>393</v>
      </c>
      <c r="E87" s="200"/>
      <c r="F87" s="350">
        <v>123000</v>
      </c>
    </row>
    <row r="88" spans="3:9" ht="21" customHeight="1" x14ac:dyDescent="0.2">
      <c r="C88" s="337"/>
      <c r="D88" s="200">
        <v>394</v>
      </c>
      <c r="E88" s="200"/>
      <c r="F88" s="350"/>
    </row>
    <row r="89" spans="3:9" ht="24" x14ac:dyDescent="0.2">
      <c r="C89" s="19" t="s">
        <v>316</v>
      </c>
      <c r="D89" s="23"/>
      <c r="E89" s="23"/>
      <c r="F89" s="350"/>
      <c r="G89" s="246"/>
      <c r="H89" s="234"/>
      <c r="I89" s="10"/>
    </row>
    <row r="90" spans="3:9" ht="24" x14ac:dyDescent="0.2">
      <c r="C90" s="19" t="s">
        <v>317</v>
      </c>
      <c r="D90" s="23"/>
      <c r="E90" s="23"/>
      <c r="F90" s="350"/>
      <c r="G90" s="246"/>
      <c r="H90" s="234"/>
      <c r="I90" s="10"/>
    </row>
    <row r="91" spans="3:9" ht="24" x14ac:dyDescent="0.2">
      <c r="C91" s="19" t="s">
        <v>318</v>
      </c>
      <c r="D91" s="23"/>
      <c r="E91" s="23"/>
      <c r="F91" s="350"/>
      <c r="G91" s="246"/>
      <c r="H91" s="234"/>
      <c r="I91" s="10"/>
    </row>
    <row r="92" spans="3:9" x14ac:dyDescent="0.2">
      <c r="C92" s="19" t="s">
        <v>319</v>
      </c>
      <c r="D92" s="23"/>
      <c r="E92" s="23"/>
      <c r="F92" s="350"/>
      <c r="G92" s="246"/>
      <c r="H92" s="234"/>
      <c r="I92" s="10"/>
    </row>
    <row r="93" spans="3:9" x14ac:dyDescent="0.2">
      <c r="C93" s="19" t="s">
        <v>320</v>
      </c>
      <c r="D93" s="23"/>
      <c r="E93" s="23"/>
      <c r="F93" s="350"/>
      <c r="G93" s="246"/>
      <c r="H93" s="234"/>
      <c r="I93" s="10"/>
    </row>
    <row r="94" spans="3:9" ht="24" x14ac:dyDescent="0.2">
      <c r="C94" s="19" t="s">
        <v>321</v>
      </c>
      <c r="D94" s="23"/>
      <c r="E94" s="23"/>
      <c r="F94" s="350"/>
      <c r="G94" s="246"/>
      <c r="H94" s="234"/>
      <c r="I94" s="10"/>
    </row>
    <row r="95" spans="3:9" ht="24" x14ac:dyDescent="0.2">
      <c r="C95" s="19" t="s">
        <v>322</v>
      </c>
      <c r="D95" s="23"/>
      <c r="E95" s="23"/>
      <c r="F95" s="350"/>
      <c r="G95" s="246"/>
      <c r="H95" s="234"/>
      <c r="I95" s="10"/>
    </row>
    <row r="96" spans="3:9" ht="21" customHeight="1" x14ac:dyDescent="0.2">
      <c r="C96" s="337"/>
      <c r="D96" s="23"/>
      <c r="E96" s="23"/>
      <c r="F96" s="350"/>
      <c r="G96" s="246"/>
      <c r="H96" s="234"/>
      <c r="I96" s="10"/>
    </row>
    <row r="97" spans="3:9" ht="21" customHeight="1" x14ac:dyDescent="0.2">
      <c r="C97" s="337"/>
      <c r="D97" s="23"/>
      <c r="E97" s="23"/>
      <c r="F97" s="350"/>
      <c r="G97" s="246"/>
      <c r="H97" s="234"/>
      <c r="I97" s="10"/>
    </row>
    <row r="98" spans="3:9" ht="21" customHeight="1" x14ac:dyDescent="0.2">
      <c r="C98" s="337"/>
      <c r="D98" s="23"/>
      <c r="E98" s="23"/>
      <c r="F98" s="350"/>
      <c r="G98" s="246"/>
      <c r="H98" s="234"/>
      <c r="I98" s="10"/>
    </row>
    <row r="99" spans="3:9" ht="21" customHeight="1" x14ac:dyDescent="0.2">
      <c r="C99" s="337"/>
      <c r="D99" s="23"/>
      <c r="E99" s="23"/>
      <c r="F99" s="350"/>
      <c r="G99" s="246"/>
      <c r="H99" s="234"/>
      <c r="I99" s="10"/>
    </row>
    <row r="100" spans="3:9" ht="21" customHeight="1" x14ac:dyDescent="0.2">
      <c r="C100" s="337"/>
      <c r="D100" s="23"/>
      <c r="E100" s="23"/>
      <c r="F100" s="350"/>
      <c r="G100" s="246"/>
      <c r="H100" s="234"/>
      <c r="I100" s="10"/>
    </row>
    <row r="101" spans="3:9" ht="21" customHeight="1" x14ac:dyDescent="0.2">
      <c r="C101" s="557"/>
      <c r="D101" s="23"/>
      <c r="E101" s="23"/>
      <c r="F101" s="554"/>
      <c r="G101" s="246"/>
      <c r="H101" s="234"/>
      <c r="I101" s="10"/>
    </row>
    <row r="102" spans="3:9" ht="21" customHeight="1" x14ac:dyDescent="0.2">
      <c r="C102" s="557"/>
      <c r="D102" s="20"/>
      <c r="E102" s="20"/>
      <c r="F102" s="554"/>
      <c r="G102" s="246"/>
      <c r="H102" s="234"/>
      <c r="I102" s="10"/>
    </row>
    <row r="103" spans="3:9" ht="21" customHeight="1" x14ac:dyDescent="0.2">
      <c r="C103" s="554"/>
      <c r="D103" s="20"/>
      <c r="E103" s="20"/>
      <c r="F103" s="554"/>
      <c r="G103" s="246"/>
      <c r="H103" s="235"/>
      <c r="I103" s="10"/>
    </row>
    <row r="104" spans="3:9" x14ac:dyDescent="0.2">
      <c r="C104" s="517" t="s">
        <v>67</v>
      </c>
      <c r="D104" s="200"/>
      <c r="E104" s="378" t="s">
        <v>405</v>
      </c>
      <c r="F104" s="32">
        <f>SUM(F70:F103)</f>
        <v>2652702.9503156063</v>
      </c>
    </row>
    <row r="105" spans="3:9" x14ac:dyDescent="0.2">
      <c r="C105" s="33"/>
      <c r="D105" s="200"/>
      <c r="E105" s="200"/>
      <c r="F105" s="34"/>
    </row>
    <row r="106" spans="3:9" x14ac:dyDescent="0.2">
      <c r="C106" s="35" t="s">
        <v>68</v>
      </c>
      <c r="D106" s="200"/>
      <c r="E106" s="378" t="s">
        <v>405</v>
      </c>
      <c r="F106" s="32">
        <f>+F8+F68-F104</f>
        <v>428838.04968439369</v>
      </c>
    </row>
    <row r="107" spans="3:9" x14ac:dyDescent="0.2">
      <c r="C107" s="33" t="s">
        <v>69</v>
      </c>
      <c r="D107" s="200">
        <v>311</v>
      </c>
      <c r="E107" s="200"/>
      <c r="F107" s="554"/>
    </row>
    <row r="108" spans="3:9" ht="36" x14ac:dyDescent="0.2">
      <c r="C108" s="33" t="s">
        <v>70</v>
      </c>
      <c r="D108" s="200">
        <v>320</v>
      </c>
      <c r="E108" s="200"/>
      <c r="F108" s="554"/>
    </row>
    <row r="109" spans="3:9" ht="24" x14ac:dyDescent="0.2">
      <c r="C109" s="33" t="s">
        <v>71</v>
      </c>
      <c r="D109" s="200">
        <v>331</v>
      </c>
      <c r="E109" s="376" t="s">
        <v>404</v>
      </c>
      <c r="F109" s="36">
        <f>'B4 Sch 4 Loss Cfwd Bridge'!G13*-1</f>
        <v>0</v>
      </c>
    </row>
    <row r="110" spans="3:9" ht="48" x14ac:dyDescent="0.2">
      <c r="C110" s="33" t="s">
        <v>72</v>
      </c>
      <c r="D110" s="200">
        <v>332</v>
      </c>
      <c r="E110" s="502" t="s">
        <v>404</v>
      </c>
      <c r="F110" s="36">
        <f>'B4 Sch 4 Loss Cfwd Bridge'!G20*-1</f>
        <v>0</v>
      </c>
    </row>
    <row r="111" spans="3:9" ht="24" x14ac:dyDescent="0.2">
      <c r="C111" s="33" t="s">
        <v>73</v>
      </c>
      <c r="D111" s="200">
        <v>335</v>
      </c>
      <c r="E111" s="200"/>
      <c r="F111" s="554"/>
    </row>
    <row r="112" spans="3:9" x14ac:dyDescent="0.2">
      <c r="C112" s="625"/>
      <c r="D112" s="626"/>
      <c r="E112" s="626"/>
      <c r="F112" s="627"/>
    </row>
    <row r="113" spans="3:6" x14ac:dyDescent="0.2">
      <c r="C113" s="37" t="s">
        <v>74</v>
      </c>
      <c r="D113" s="200"/>
      <c r="E113" s="378" t="s">
        <v>405</v>
      </c>
      <c r="F113" s="32">
        <f>SUM(F106:F111)</f>
        <v>428838.04968439369</v>
      </c>
    </row>
  </sheetData>
  <sheetProtection password="BE7F" sheet="1" objects="1" scenarios="1"/>
  <mergeCells count="9">
    <mergeCell ref="C69:F69"/>
    <mergeCell ref="C46:F46"/>
    <mergeCell ref="C112:F112"/>
    <mergeCell ref="C9:F9"/>
    <mergeCell ref="C1:F1"/>
    <mergeCell ref="C2:J2"/>
    <mergeCell ref="C3:J3"/>
    <mergeCell ref="C4:J4"/>
    <mergeCell ref="C10:F10"/>
  </mergeCells>
  <phoneticPr fontId="3" type="noConversion"/>
  <conditionalFormatting sqref="F11:F45 F8 F107:F111 F47:F67 C53:C67 C96:C103 F70:F103">
    <cfRule type="expression" dxfId="24" priority="1" stopIfTrue="1">
      <formula>ISBLANK(C8)</formula>
    </cfRule>
  </conditionalFormatting>
  <conditionalFormatting sqref="H53:H67">
    <cfRule type="cellIs" dxfId="23" priority="2" stopIfTrue="1" operator="lessThan">
      <formula>0</formula>
    </cfRule>
  </conditionalFormatting>
  <hyperlinks>
    <hyperlink ref="E72" location="'B8 Schedule 8 CCA Bridge Year'!A1" display="'B8"/>
    <hyperlink ref="E77" location="'B13 Sch 13 Tax Reserves Bridge'!A1" display="'B13"/>
    <hyperlink ref="E78" location="'B13 Sch 13 Tax Reserves Bridge'!A1" display="'B13"/>
    <hyperlink ref="E109" location="'B4 Sch 4 Loss Cfwd Bridge'!A1" display="'B4"/>
    <hyperlink ref="E31" location="'B13 Sch 13 Tax Reserves Bridge'!A1" display="'B13"/>
    <hyperlink ref="E30" location="'B13 Sch 13 Tax Reserves Bridge'!A1" display="'B13"/>
    <hyperlink ref="E110" location="'B4 Sch 4 Loss Cfwd Bridge'!Print_Area" display="B4"/>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5" max="6" man="1"/>
    <brk id="83"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L24"/>
  <sheetViews>
    <sheetView zoomScaleNormal="100" workbookViewId="0">
      <selection activeCell="H33" sqref="H33"/>
    </sheetView>
  </sheetViews>
  <sheetFormatPr defaultColWidth="9.140625" defaultRowHeight="12.75" x14ac:dyDescent="0.2"/>
  <cols>
    <col min="1" max="2" width="3.7109375" style="10" customWidth="1"/>
    <col min="3" max="3" width="25" style="10" customWidth="1"/>
    <col min="4" max="4" width="9.140625" style="10"/>
    <col min="5" max="5" width="28" style="10" customWidth="1"/>
    <col min="6" max="6" width="13.42578125" style="10" customWidth="1"/>
    <col min="7" max="7" width="12.85546875" style="10" customWidth="1"/>
    <col min="8" max="16384" width="9.140625" style="10"/>
  </cols>
  <sheetData>
    <row r="1" spans="1:12" ht="21.75" x14ac:dyDescent="0.2">
      <c r="A1" s="263"/>
      <c r="C1" s="584"/>
      <c r="D1" s="584"/>
      <c r="E1" s="584"/>
      <c r="F1" s="507"/>
    </row>
    <row r="2" spans="1:12" ht="29.25" customHeight="1" x14ac:dyDescent="0.25">
      <c r="C2" s="585"/>
      <c r="D2" s="585"/>
      <c r="E2" s="585"/>
      <c r="F2" s="585"/>
      <c r="G2" s="585"/>
      <c r="H2" s="585"/>
      <c r="I2" s="585"/>
      <c r="J2" s="585"/>
    </row>
    <row r="3" spans="1:12" ht="42.75" customHeight="1" x14ac:dyDescent="0.25">
      <c r="C3" s="585"/>
      <c r="D3" s="585"/>
      <c r="E3" s="585"/>
      <c r="F3" s="585"/>
      <c r="G3" s="585"/>
      <c r="H3" s="585"/>
      <c r="I3" s="585"/>
      <c r="J3" s="585"/>
    </row>
    <row r="4" spans="1:12" ht="18" x14ac:dyDescent="0.25">
      <c r="C4" s="585"/>
      <c r="D4" s="585"/>
      <c r="E4" s="585"/>
      <c r="F4" s="585"/>
      <c r="G4" s="585"/>
      <c r="H4" s="585"/>
      <c r="I4" s="585"/>
      <c r="J4" s="585"/>
    </row>
    <row r="5" spans="1:12" ht="30" customHeight="1" x14ac:dyDescent="0.2"/>
    <row r="7" spans="1:12" ht="18" x14ac:dyDescent="0.25">
      <c r="C7" s="305" t="s">
        <v>345</v>
      </c>
      <c r="D7" s="305"/>
      <c r="E7" s="305"/>
      <c r="F7" s="305"/>
    </row>
    <row r="8" spans="1:12" ht="18" x14ac:dyDescent="0.25">
      <c r="C8" s="305"/>
      <c r="D8" s="305"/>
      <c r="E8" s="305"/>
      <c r="F8" s="305"/>
    </row>
    <row r="9" spans="1:12" ht="18" x14ac:dyDescent="0.25">
      <c r="C9" s="305" t="s">
        <v>407</v>
      </c>
      <c r="D9" s="333"/>
      <c r="E9" s="333"/>
      <c r="F9" s="333"/>
      <c r="G9" s="95"/>
      <c r="H9" s="96"/>
    </row>
    <row r="10" spans="1:12" ht="19.5" x14ac:dyDescent="0.35">
      <c r="C10" s="334"/>
      <c r="D10" s="335"/>
      <c r="E10" s="335"/>
      <c r="F10" s="335"/>
      <c r="G10" s="125"/>
      <c r="H10" s="50"/>
    </row>
    <row r="11" spans="1:12" x14ac:dyDescent="0.2">
      <c r="C11" s="597" t="s">
        <v>152</v>
      </c>
      <c r="D11" s="598"/>
      <c r="E11" s="599"/>
      <c r="F11" s="510"/>
      <c r="G11" s="39" t="s">
        <v>3</v>
      </c>
      <c r="H11" s="97"/>
    </row>
    <row r="12" spans="1:12" x14ac:dyDescent="0.2">
      <c r="C12" s="600" t="s">
        <v>369</v>
      </c>
      <c r="D12" s="601"/>
      <c r="E12" s="602"/>
      <c r="F12" s="379" t="s">
        <v>406</v>
      </c>
      <c r="G12" s="283">
        <f>'H4 Sch 4 Loss Cfwd Hist'!H14</f>
        <v>0</v>
      </c>
      <c r="H12" s="99"/>
      <c r="J12" s="634"/>
      <c r="K12" s="634"/>
      <c r="L12" s="634"/>
    </row>
    <row r="13" spans="1:12" x14ac:dyDescent="0.2">
      <c r="C13" s="103" t="s">
        <v>226</v>
      </c>
      <c r="D13" s="101"/>
      <c r="E13" s="102"/>
      <c r="F13" s="380" t="s">
        <v>399</v>
      </c>
      <c r="G13" s="477">
        <f>IF('B1 Adj. Taxable Income Bridge'!F106&lt;0,0,IF('B1 Adj. Taxable Income Bridge'!F106&gt;G12,G12,'B1 Adj. Taxable Income Bridge'!F106))</f>
        <v>0</v>
      </c>
      <c r="H13" s="99"/>
      <c r="J13" s="473"/>
      <c r="K13" s="472"/>
      <c r="L13" s="472"/>
    </row>
    <row r="14" spans="1:12" x14ac:dyDescent="0.2">
      <c r="C14" s="633" t="s">
        <v>504</v>
      </c>
      <c r="D14" s="633"/>
      <c r="E14" s="633"/>
      <c r="F14" s="380" t="s">
        <v>399</v>
      </c>
      <c r="G14" s="477">
        <f>IF('B1 Adj. Taxable Income Bridge'!F106&lt;0, 'B1 Adj. Taxable Income Bridge'!F106*-1, 0)</f>
        <v>0</v>
      </c>
      <c r="H14" s="99"/>
      <c r="J14" s="634"/>
      <c r="K14" s="634"/>
      <c r="L14" s="634"/>
    </row>
    <row r="15" spans="1:12" x14ac:dyDescent="0.2">
      <c r="C15" s="630" t="s">
        <v>109</v>
      </c>
      <c r="D15" s="631"/>
      <c r="E15" s="632"/>
      <c r="F15" s="379"/>
      <c r="G15" s="345"/>
      <c r="H15" s="99"/>
      <c r="J15" s="518"/>
      <c r="K15" s="518"/>
      <c r="L15" s="518"/>
    </row>
    <row r="16" spans="1:12" x14ac:dyDescent="0.2">
      <c r="C16" s="100" t="s">
        <v>227</v>
      </c>
      <c r="D16" s="101"/>
      <c r="E16" s="102"/>
      <c r="F16" s="381" t="s">
        <v>405</v>
      </c>
      <c r="G16" s="98">
        <f>G12-G13+G14+G15</f>
        <v>0</v>
      </c>
      <c r="H16" s="395" t="s">
        <v>409</v>
      </c>
      <c r="J16" s="472"/>
      <c r="K16" s="472"/>
      <c r="L16" s="472"/>
    </row>
    <row r="17" spans="3:12" x14ac:dyDescent="0.2">
      <c r="C17" s="97"/>
      <c r="D17" s="97"/>
      <c r="E17" s="97"/>
      <c r="F17" s="97"/>
      <c r="G17" s="99"/>
      <c r="H17" s="99"/>
      <c r="J17" s="2"/>
      <c r="K17" s="2"/>
      <c r="L17" s="2"/>
    </row>
    <row r="18" spans="3:12" x14ac:dyDescent="0.2">
      <c r="C18" s="597" t="s">
        <v>155</v>
      </c>
      <c r="D18" s="598"/>
      <c r="E18" s="599"/>
      <c r="F18" s="510"/>
      <c r="G18" s="39" t="s">
        <v>3</v>
      </c>
      <c r="H18" s="99"/>
    </row>
    <row r="19" spans="3:12" x14ac:dyDescent="0.2">
      <c r="C19" s="600" t="s">
        <v>369</v>
      </c>
      <c r="D19" s="601"/>
      <c r="E19" s="602"/>
      <c r="F19" s="379" t="s">
        <v>406</v>
      </c>
      <c r="G19" s="283">
        <f>'H4 Sch 4 Loss Cfwd Hist'!H17</f>
        <v>0</v>
      </c>
      <c r="H19" s="99"/>
    </row>
    <row r="20" spans="3:12" x14ac:dyDescent="0.2">
      <c r="C20" s="103" t="s">
        <v>226</v>
      </c>
      <c r="D20" s="101"/>
      <c r="E20" s="102"/>
      <c r="F20" s="102"/>
      <c r="G20" s="345"/>
      <c r="H20" s="99"/>
    </row>
    <row r="21" spans="3:12" x14ac:dyDescent="0.2">
      <c r="C21" s="633" t="s">
        <v>504</v>
      </c>
      <c r="D21" s="633"/>
      <c r="E21" s="633"/>
      <c r="F21" s="380" t="s">
        <v>399</v>
      </c>
      <c r="G21" s="345"/>
      <c r="H21" s="99"/>
    </row>
    <row r="22" spans="3:12" x14ac:dyDescent="0.2">
      <c r="C22" s="600" t="s">
        <v>109</v>
      </c>
      <c r="D22" s="601"/>
      <c r="E22" s="602"/>
      <c r="F22" s="511"/>
      <c r="G22" s="345"/>
      <c r="H22" s="99"/>
    </row>
    <row r="23" spans="3:12" x14ac:dyDescent="0.2">
      <c r="C23" s="100" t="s">
        <v>227</v>
      </c>
      <c r="D23" s="101"/>
      <c r="E23" s="102"/>
      <c r="F23" s="381" t="s">
        <v>405</v>
      </c>
      <c r="G23" s="98">
        <f>G19-G20+G21+G22</f>
        <v>0</v>
      </c>
      <c r="H23" s="395" t="s">
        <v>409</v>
      </c>
    </row>
    <row r="24" spans="3:12" x14ac:dyDescent="0.2">
      <c r="C24" s="104"/>
      <c r="D24" s="97"/>
      <c r="E24" s="97"/>
      <c r="F24" s="97"/>
      <c r="G24" s="99"/>
      <c r="H24" s="99"/>
    </row>
  </sheetData>
  <sheetProtection password="BE7F"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hyperlink ref="F14" location="'B1 Adj. Taxable Income Bridge'!A1" display="'B1"/>
    <hyperlink ref="F13" location="'B1 Adj. Taxable Income Bridge'!A1" display="'B1"/>
    <hyperlink ref="F19" location="'H4 Sch 4 Loss Cfwd Hist'!A1" display="'H4"/>
    <hyperlink ref="H16" location="'T4 Sch 4 Loss Cfwd'!A1" display="'T4"/>
    <hyperlink ref="H23" location="'T4 Sch 4 Loss Cfwd'!A1" display="'T4"/>
    <hyperlink ref="F21" location="'B1 Adj. Taxable Income Bridge'!A1" display="'B1"/>
  </hyperlinks>
  <pageMargins left="0.75" right="0.75" top="1" bottom="1" header="0.5" footer="0.5"/>
  <pageSetup orientation="landscape" r:id="rId1"/>
  <headerFooter alignWithMargins="0"/>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45"/>
  <sheetViews>
    <sheetView showGridLines="0" topLeftCell="A10" zoomScaleNormal="100" workbookViewId="0">
      <selection activeCell="G29" sqref="G29"/>
    </sheetView>
  </sheetViews>
  <sheetFormatPr defaultColWidth="8.85546875" defaultRowHeight="12.75" x14ac:dyDescent="0.2"/>
  <cols>
    <col min="1" max="1" width="3.5703125" style="10" customWidth="1"/>
    <col min="2" max="2" width="3.85546875" style="10" customWidth="1"/>
    <col min="3" max="3" width="11.5703125" style="10" customWidth="1"/>
    <col min="4" max="4" width="72.85546875" style="10" bestFit="1" customWidth="1"/>
    <col min="5" max="5" width="10.7109375" style="296" customWidth="1"/>
    <col min="6" max="13" width="15.28515625" style="10" customWidth="1"/>
    <col min="14" max="14" width="5.28515625" style="10" customWidth="1"/>
    <col min="15" max="15" width="15.28515625" style="10" customWidth="1"/>
    <col min="16" max="16" width="10.5703125" style="10" customWidth="1"/>
    <col min="17" max="16384" width="8.85546875" style="10"/>
  </cols>
  <sheetData>
    <row r="1" spans="1:16" ht="21.75" x14ac:dyDescent="0.2">
      <c r="A1" s="263"/>
      <c r="C1" s="584"/>
      <c r="D1" s="584"/>
      <c r="E1" s="584"/>
      <c r="F1" s="584"/>
      <c r="G1" s="507"/>
      <c r="H1" s="507"/>
    </row>
    <row r="2" spans="1:16" ht="18" x14ac:dyDescent="0.25">
      <c r="C2" s="585"/>
      <c r="D2" s="585"/>
      <c r="E2" s="585"/>
      <c r="F2" s="585"/>
      <c r="G2" s="585"/>
      <c r="H2" s="585"/>
      <c r="I2" s="585"/>
      <c r="J2" s="585"/>
    </row>
    <row r="3" spans="1:16" ht="27.75" customHeight="1" x14ac:dyDescent="0.25">
      <c r="C3" s="585"/>
      <c r="D3" s="585"/>
      <c r="E3" s="585"/>
      <c r="F3" s="585"/>
      <c r="G3" s="585"/>
      <c r="H3" s="585"/>
      <c r="I3" s="585"/>
      <c r="J3" s="585"/>
    </row>
    <row r="4" spans="1:16" ht="54.75" customHeight="1" x14ac:dyDescent="0.25">
      <c r="C4" s="585"/>
      <c r="D4" s="585"/>
      <c r="E4" s="585"/>
      <c r="F4" s="585"/>
      <c r="G4" s="585"/>
      <c r="H4" s="585"/>
      <c r="I4" s="585"/>
      <c r="J4" s="585"/>
    </row>
    <row r="7" spans="1:16" ht="18" x14ac:dyDescent="0.25">
      <c r="C7" s="305" t="s">
        <v>347</v>
      </c>
    </row>
    <row r="9" spans="1:16" ht="36" x14ac:dyDescent="0.2">
      <c r="C9" s="47" t="s">
        <v>75</v>
      </c>
      <c r="D9" s="38" t="s">
        <v>76</v>
      </c>
      <c r="E9" s="372" t="s">
        <v>401</v>
      </c>
      <c r="F9" s="39" t="s">
        <v>367</v>
      </c>
      <c r="G9" s="39" t="s">
        <v>107</v>
      </c>
      <c r="H9" s="39" t="s">
        <v>325</v>
      </c>
      <c r="I9" s="39" t="s">
        <v>99</v>
      </c>
      <c r="J9" s="39" t="s">
        <v>100</v>
      </c>
      <c r="K9" s="39" t="s">
        <v>101</v>
      </c>
      <c r="L9" s="48" t="s">
        <v>102</v>
      </c>
      <c r="M9" s="39" t="s">
        <v>247</v>
      </c>
      <c r="N9" s="39"/>
      <c r="O9" s="39" t="s">
        <v>232</v>
      </c>
      <c r="P9" s="394" t="s">
        <v>401</v>
      </c>
    </row>
    <row r="10" spans="1:16" x14ac:dyDescent="0.2">
      <c r="C10" s="130">
        <f>IF(ISBLANK('H8 Sch 8 Historical'!C12), "", 'H8 Sch 8 Historical'!C12)</f>
        <v>1</v>
      </c>
      <c r="D10" s="226" t="str">
        <f>IF(ISBLANK('H8 Sch 8 Historical'!D12), "", 'H8 Sch 8 Historical'!D12)</f>
        <v>Distribution System - post 1987</v>
      </c>
      <c r="E10" s="371" t="s">
        <v>395</v>
      </c>
      <c r="F10" s="490">
        <f>IF(ISBLANK('H8 Sch 8 Historical'!E12), "", 'H8 Sch 8 Historical'!G12)</f>
        <v>13117023</v>
      </c>
      <c r="G10" s="568"/>
      <c r="H10" s="568"/>
      <c r="I10" s="225">
        <f>MAX((SUM(F10:H10)),0)</f>
        <v>13117023</v>
      </c>
      <c r="J10" s="225">
        <f>IF((G10+H10)&lt;=0, 0,(G10+H10)*0.5)</f>
        <v>0</v>
      </c>
      <c r="K10" s="225">
        <f>+I10-J10</f>
        <v>13117023</v>
      </c>
      <c r="L10" s="474">
        <v>0.04</v>
      </c>
      <c r="M10" s="225">
        <f t="shared" ref="M10:M15" si="0">IF(+K10&lt;0,+K10,+K10*L10)</f>
        <v>524680.92000000004</v>
      </c>
      <c r="N10" s="225"/>
      <c r="O10" s="225">
        <f t="shared" ref="O10:O41" si="1">MAX(0,+I10-M10)</f>
        <v>12592342.08</v>
      </c>
      <c r="P10" s="359" t="s">
        <v>403</v>
      </c>
    </row>
    <row r="11" spans="1:16" x14ac:dyDescent="0.2">
      <c r="C11" s="130" t="str">
        <f>IF(ISBLANK('H8 Sch 8 Historical'!C13), "", 'H8 Sch 8 Historical'!C13)</f>
        <v>1 Enhanced</v>
      </c>
      <c r="D11" s="226" t="str">
        <f>IF(ISBLANK('H8 Sch 8 Historical'!D13), "", 'H8 Sch 8 Historical'!D13)</f>
        <v xml:space="preserve">Non-residential Buildings Reg. 1100(1)(a.1) election </v>
      </c>
      <c r="E11" s="371" t="s">
        <v>395</v>
      </c>
      <c r="F11" s="490" t="str">
        <f>IF(ISBLANK('H8 Sch 8 Historical'!E13), "", 'H8 Sch 8 Historical'!G13)</f>
        <v/>
      </c>
      <c r="G11" s="574">
        <v>797343</v>
      </c>
      <c r="H11" s="568"/>
      <c r="I11" s="225">
        <f t="shared" ref="I11:I41" si="2">MAX((SUM(F11:H11)),0)</f>
        <v>797343</v>
      </c>
      <c r="J11" s="225">
        <f t="shared" ref="J11:J41" si="3">IF((G11+H11)&lt;=0, 0,(G11+H11)*0.5)</f>
        <v>398671.5</v>
      </c>
      <c r="K11" s="225">
        <f t="shared" ref="K11:K41" si="4">+I11-J11</f>
        <v>398671.5</v>
      </c>
      <c r="L11" s="474">
        <v>0.06</v>
      </c>
      <c r="M11" s="225">
        <f t="shared" si="0"/>
        <v>23920.29</v>
      </c>
      <c r="N11" s="225"/>
      <c r="O11" s="225">
        <f t="shared" si="1"/>
        <v>773422.71</v>
      </c>
      <c r="P11" s="359" t="s">
        <v>403</v>
      </c>
    </row>
    <row r="12" spans="1:16" x14ac:dyDescent="0.2">
      <c r="C12" s="130">
        <f>IF(ISBLANK('H8 Sch 8 Historical'!C14), "", 'H8 Sch 8 Historical'!C14)</f>
        <v>2</v>
      </c>
      <c r="D12" s="226" t="str">
        <f>IF(ISBLANK('H8 Sch 8 Historical'!D14), "", 'H8 Sch 8 Historical'!D14)</f>
        <v>Distribution System - pre 1988</v>
      </c>
      <c r="E12" s="371" t="s">
        <v>395</v>
      </c>
      <c r="F12" s="490" t="str">
        <f>IF(ISBLANK('H8 Sch 8 Historical'!E14), "", 'H8 Sch 8 Historical'!G14)</f>
        <v/>
      </c>
      <c r="G12" s="574"/>
      <c r="H12" s="568"/>
      <c r="I12" s="225">
        <f t="shared" si="2"/>
        <v>0</v>
      </c>
      <c r="J12" s="225">
        <f t="shared" si="3"/>
        <v>0</v>
      </c>
      <c r="K12" s="225">
        <f t="shared" si="4"/>
        <v>0</v>
      </c>
      <c r="L12" s="474">
        <v>0.06</v>
      </c>
      <c r="M12" s="225">
        <f t="shared" si="0"/>
        <v>0</v>
      </c>
      <c r="N12" s="225"/>
      <c r="O12" s="225">
        <f t="shared" si="1"/>
        <v>0</v>
      </c>
      <c r="P12" s="359" t="s">
        <v>403</v>
      </c>
    </row>
    <row r="13" spans="1:16" x14ac:dyDescent="0.2">
      <c r="C13" s="130">
        <f>IF(ISBLANK('H8 Sch 8 Historical'!C15), "", 'H8 Sch 8 Historical'!C15)</f>
        <v>8</v>
      </c>
      <c r="D13" s="226" t="str">
        <f>IF(ISBLANK('H8 Sch 8 Historical'!D15), "", 'H8 Sch 8 Historical'!D15)</f>
        <v>General Office/Stores Equip</v>
      </c>
      <c r="E13" s="371" t="s">
        <v>395</v>
      </c>
      <c r="F13" s="490">
        <f>IF(ISBLANK('H8 Sch 8 Historical'!E15), "", 'H8 Sch 8 Historical'!G15)</f>
        <v>1715478</v>
      </c>
      <c r="G13" s="574">
        <v>35000</v>
      </c>
      <c r="H13" s="568"/>
      <c r="I13" s="225">
        <f t="shared" si="2"/>
        <v>1750478</v>
      </c>
      <c r="J13" s="225">
        <f t="shared" si="3"/>
        <v>17500</v>
      </c>
      <c r="K13" s="225">
        <f t="shared" si="4"/>
        <v>1732978</v>
      </c>
      <c r="L13" s="474">
        <v>0.2</v>
      </c>
      <c r="M13" s="225">
        <f t="shared" si="0"/>
        <v>346595.60000000003</v>
      </c>
      <c r="N13" s="225"/>
      <c r="O13" s="225">
        <f t="shared" si="1"/>
        <v>1403882.4</v>
      </c>
      <c r="P13" s="359" t="s">
        <v>403</v>
      </c>
    </row>
    <row r="14" spans="1:16" x14ac:dyDescent="0.2">
      <c r="C14" s="130">
        <f>IF(ISBLANK('H8 Sch 8 Historical'!C16), "", 'H8 Sch 8 Historical'!C16)</f>
        <v>10</v>
      </c>
      <c r="D14" s="226" t="str">
        <f>IF(ISBLANK('H8 Sch 8 Historical'!D16), "", 'H8 Sch 8 Historical'!D16)</f>
        <v>Computer Hardware/  Vehicles</v>
      </c>
      <c r="E14" s="371" t="s">
        <v>395</v>
      </c>
      <c r="F14" s="490">
        <f>IF(ISBLANK('H8 Sch 8 Historical'!E16), "", 'H8 Sch 8 Historical'!G16)</f>
        <v>118021</v>
      </c>
      <c r="G14" s="574">
        <v>214950</v>
      </c>
      <c r="H14" s="568"/>
      <c r="I14" s="225">
        <f t="shared" si="2"/>
        <v>332971</v>
      </c>
      <c r="J14" s="225">
        <f t="shared" si="3"/>
        <v>107475</v>
      </c>
      <c r="K14" s="225">
        <f t="shared" si="4"/>
        <v>225496</v>
      </c>
      <c r="L14" s="474">
        <v>0.3</v>
      </c>
      <c r="M14" s="225">
        <f t="shared" si="0"/>
        <v>67648.800000000003</v>
      </c>
      <c r="N14" s="225"/>
      <c r="O14" s="225">
        <f t="shared" si="1"/>
        <v>265322.2</v>
      </c>
      <c r="P14" s="359" t="s">
        <v>403</v>
      </c>
    </row>
    <row r="15" spans="1:16" x14ac:dyDescent="0.2">
      <c r="C15" s="130">
        <f>IF(ISBLANK('H8 Sch 8 Historical'!C17), "", 'H8 Sch 8 Historical'!C17)</f>
        <v>10.1</v>
      </c>
      <c r="D15" s="226" t="str">
        <f>IF(ISBLANK('H8 Sch 8 Historical'!D17), "", 'H8 Sch 8 Historical'!D17)</f>
        <v>Certain Automobiles</v>
      </c>
      <c r="E15" s="371" t="s">
        <v>395</v>
      </c>
      <c r="F15" s="490" t="str">
        <f>IF(ISBLANK('H8 Sch 8 Historical'!E17), "", 'H8 Sch 8 Historical'!G17)</f>
        <v/>
      </c>
      <c r="G15" s="574"/>
      <c r="H15" s="568"/>
      <c r="I15" s="225">
        <f t="shared" si="2"/>
        <v>0</v>
      </c>
      <c r="J15" s="225">
        <f t="shared" si="3"/>
        <v>0</v>
      </c>
      <c r="K15" s="225">
        <f t="shared" si="4"/>
        <v>0</v>
      </c>
      <c r="L15" s="474">
        <v>0.3</v>
      </c>
      <c r="M15" s="225">
        <f t="shared" si="0"/>
        <v>0</v>
      </c>
      <c r="N15" s="225"/>
      <c r="O15" s="225">
        <f t="shared" si="1"/>
        <v>0</v>
      </c>
      <c r="P15" s="359" t="s">
        <v>403</v>
      </c>
    </row>
    <row r="16" spans="1:16" x14ac:dyDescent="0.2">
      <c r="C16" s="130">
        <f>IF(ISBLANK('H8 Sch 8 Historical'!C18), "", 'H8 Sch 8 Historical'!C18)</f>
        <v>12</v>
      </c>
      <c r="D16" s="226" t="str">
        <f>IF(ISBLANK('H8 Sch 8 Historical'!D18), "", 'H8 Sch 8 Historical'!D18)</f>
        <v>Computer Software</v>
      </c>
      <c r="E16" s="371" t="s">
        <v>395</v>
      </c>
      <c r="F16" s="490">
        <f>IF(ISBLANK('H8 Sch 8 Historical'!E18), "", 'H8 Sch 8 Historical'!G18)</f>
        <v>13500</v>
      </c>
      <c r="G16" s="574"/>
      <c r="H16" s="568"/>
      <c r="I16" s="225">
        <f t="shared" si="2"/>
        <v>13500</v>
      </c>
      <c r="J16" s="225">
        <f t="shared" si="3"/>
        <v>0</v>
      </c>
      <c r="K16" s="225">
        <f t="shared" si="4"/>
        <v>13500</v>
      </c>
      <c r="L16" s="474">
        <v>1</v>
      </c>
      <c r="M16" s="225">
        <f t="shared" ref="M16:M21" si="5">IF(+K16&lt;0,+K16,+K16*L16)</f>
        <v>13500</v>
      </c>
      <c r="N16" s="225"/>
      <c r="O16" s="225">
        <f t="shared" ref="O16:O21" si="6">MAX(0,+I16-M16)</f>
        <v>0</v>
      </c>
      <c r="P16" s="359" t="s">
        <v>403</v>
      </c>
    </row>
    <row r="17" spans="3:16" x14ac:dyDescent="0.2">
      <c r="C17" s="130" t="str">
        <f>IF(ISBLANK('H8 Sch 8 Historical'!C19), "", 'H8 Sch 8 Historical'!C19)</f>
        <v>13 1</v>
      </c>
      <c r="D17" s="226" t="str">
        <f>IF(ISBLANK('H8 Sch 8 Historical'!D19), "", 'H8 Sch 8 Historical'!D19)</f>
        <v>Lease # 1</v>
      </c>
      <c r="E17" s="371" t="s">
        <v>395</v>
      </c>
      <c r="F17" s="490">
        <f>IF(ISBLANK('H8 Sch 8 Historical'!E19), "", 'H8 Sch 8 Historical'!G19)</f>
        <v>164804</v>
      </c>
      <c r="G17" s="574"/>
      <c r="H17" s="568"/>
      <c r="I17" s="225">
        <f t="shared" si="2"/>
        <v>164804</v>
      </c>
      <c r="J17" s="225">
        <f t="shared" si="3"/>
        <v>0</v>
      </c>
      <c r="K17" s="225">
        <f t="shared" si="4"/>
        <v>164804</v>
      </c>
      <c r="L17" s="348"/>
      <c r="M17" s="225">
        <f t="shared" si="5"/>
        <v>0</v>
      </c>
      <c r="N17" s="225"/>
      <c r="O17" s="225">
        <f t="shared" si="6"/>
        <v>164804</v>
      </c>
      <c r="P17" s="359" t="s">
        <v>403</v>
      </c>
    </row>
    <row r="18" spans="3:16" x14ac:dyDescent="0.2">
      <c r="C18" s="130" t="str">
        <f>IF(ISBLANK('H8 Sch 8 Historical'!C20), "", 'H8 Sch 8 Historical'!C20)</f>
        <v>13 2</v>
      </c>
      <c r="D18" s="226" t="str">
        <f>IF(ISBLANK('H8 Sch 8 Historical'!D20), "", 'H8 Sch 8 Historical'!D20)</f>
        <v>Lease #2</v>
      </c>
      <c r="E18" s="371" t="s">
        <v>395</v>
      </c>
      <c r="F18" s="490" t="str">
        <f>IF(ISBLANK('H8 Sch 8 Historical'!E20), "", 'H8 Sch 8 Historical'!G20)</f>
        <v/>
      </c>
      <c r="G18" s="574"/>
      <c r="H18" s="568"/>
      <c r="I18" s="225">
        <f t="shared" si="2"/>
        <v>0</v>
      </c>
      <c r="J18" s="225">
        <f t="shared" si="3"/>
        <v>0</v>
      </c>
      <c r="K18" s="225">
        <f t="shared" si="4"/>
        <v>0</v>
      </c>
      <c r="L18" s="348"/>
      <c r="M18" s="225">
        <f t="shared" si="5"/>
        <v>0</v>
      </c>
      <c r="N18" s="225"/>
      <c r="O18" s="225">
        <f t="shared" si="6"/>
        <v>0</v>
      </c>
      <c r="P18" s="359" t="s">
        <v>403</v>
      </c>
    </row>
    <row r="19" spans="3:16" x14ac:dyDescent="0.2">
      <c r="C19" s="130" t="str">
        <f>IF(ISBLANK('H8 Sch 8 Historical'!C21), "", 'H8 Sch 8 Historical'!C21)</f>
        <v>13 3</v>
      </c>
      <c r="D19" s="226" t="str">
        <f>IF(ISBLANK('H8 Sch 8 Historical'!D21), "", 'H8 Sch 8 Historical'!D21)</f>
        <v>Lease # 3</v>
      </c>
      <c r="E19" s="371" t="s">
        <v>395</v>
      </c>
      <c r="F19" s="490" t="str">
        <f>IF(ISBLANK('H8 Sch 8 Historical'!E21), "", 'H8 Sch 8 Historical'!G21)</f>
        <v/>
      </c>
      <c r="G19" s="574"/>
      <c r="H19" s="568"/>
      <c r="I19" s="225">
        <f t="shared" si="2"/>
        <v>0</v>
      </c>
      <c r="J19" s="225">
        <f t="shared" si="3"/>
        <v>0</v>
      </c>
      <c r="K19" s="225">
        <f t="shared" si="4"/>
        <v>0</v>
      </c>
      <c r="L19" s="348"/>
      <c r="M19" s="225">
        <f t="shared" si="5"/>
        <v>0</v>
      </c>
      <c r="N19" s="225"/>
      <c r="O19" s="225">
        <f t="shared" si="6"/>
        <v>0</v>
      </c>
      <c r="P19" s="359" t="s">
        <v>403</v>
      </c>
    </row>
    <row r="20" spans="3:16" x14ac:dyDescent="0.2">
      <c r="C20" s="130" t="str">
        <f>IF(ISBLANK('H8 Sch 8 Historical'!C22), "", 'H8 Sch 8 Historical'!C22)</f>
        <v>13 4</v>
      </c>
      <c r="D20" s="226" t="str">
        <f>IF(ISBLANK('H8 Sch 8 Historical'!D22), "", 'H8 Sch 8 Historical'!D22)</f>
        <v>Lease # 4</v>
      </c>
      <c r="E20" s="371" t="s">
        <v>395</v>
      </c>
      <c r="F20" s="490" t="str">
        <f>IF(ISBLANK('H8 Sch 8 Historical'!E22), "", 'H8 Sch 8 Historical'!G22)</f>
        <v/>
      </c>
      <c r="G20" s="574"/>
      <c r="H20" s="568"/>
      <c r="I20" s="225">
        <f t="shared" si="2"/>
        <v>0</v>
      </c>
      <c r="J20" s="225">
        <f t="shared" si="3"/>
        <v>0</v>
      </c>
      <c r="K20" s="225">
        <f t="shared" si="4"/>
        <v>0</v>
      </c>
      <c r="L20" s="348"/>
      <c r="M20" s="225">
        <f t="shared" si="5"/>
        <v>0</v>
      </c>
      <c r="N20" s="225"/>
      <c r="O20" s="225">
        <f t="shared" si="6"/>
        <v>0</v>
      </c>
      <c r="P20" s="359" t="s">
        <v>403</v>
      </c>
    </row>
    <row r="21" spans="3:16" x14ac:dyDescent="0.2">
      <c r="C21" s="130">
        <f>IF(ISBLANK('H8 Sch 8 Historical'!C23), "", 'H8 Sch 8 Historical'!C23)</f>
        <v>14</v>
      </c>
      <c r="D21" s="226" t="str">
        <f>IF(ISBLANK('H8 Sch 8 Historical'!D23), "", 'H8 Sch 8 Historical'!D23)</f>
        <v>Franchise</v>
      </c>
      <c r="E21" s="371" t="s">
        <v>395</v>
      </c>
      <c r="F21" s="490" t="str">
        <f>IF(ISBLANK('H8 Sch 8 Historical'!E23), "", 'H8 Sch 8 Historical'!G23)</f>
        <v/>
      </c>
      <c r="G21" s="574"/>
      <c r="H21" s="568"/>
      <c r="I21" s="225">
        <f t="shared" si="2"/>
        <v>0</v>
      </c>
      <c r="J21" s="225">
        <f t="shared" si="3"/>
        <v>0</v>
      </c>
      <c r="K21" s="225">
        <f t="shared" si="4"/>
        <v>0</v>
      </c>
      <c r="L21" s="348"/>
      <c r="M21" s="225">
        <f t="shared" si="5"/>
        <v>0</v>
      </c>
      <c r="N21" s="225"/>
      <c r="O21" s="225">
        <f t="shared" si="6"/>
        <v>0</v>
      </c>
      <c r="P21" s="359" t="s">
        <v>403</v>
      </c>
    </row>
    <row r="22" spans="3:16" x14ac:dyDescent="0.2">
      <c r="C22" s="130">
        <f>IF(ISBLANK('H8 Sch 8 Historical'!C24), "", 'H8 Sch 8 Historical'!C24)</f>
        <v>17</v>
      </c>
      <c r="D22" s="226" t="str">
        <f>IF(ISBLANK('H8 Sch 8 Historical'!D24), "", 'H8 Sch 8 Historical'!D24)</f>
        <v>New Electrical Generating Equipment Acq'd after Feb 27/00 Other Than Bldgs</v>
      </c>
      <c r="E22" s="371" t="s">
        <v>395</v>
      </c>
      <c r="F22" s="490" t="str">
        <f>IF(ISBLANK('H8 Sch 8 Historical'!E24), "", 'H8 Sch 8 Historical'!G24)</f>
        <v/>
      </c>
      <c r="G22" s="574"/>
      <c r="H22" s="568"/>
      <c r="I22" s="225">
        <f t="shared" si="2"/>
        <v>0</v>
      </c>
      <c r="J22" s="225">
        <f t="shared" si="3"/>
        <v>0</v>
      </c>
      <c r="K22" s="225">
        <f t="shared" si="4"/>
        <v>0</v>
      </c>
      <c r="L22" s="474">
        <v>0.08</v>
      </c>
      <c r="M22" s="225">
        <f>IF(+K22&lt;0,+K22,+K22*L22)</f>
        <v>0</v>
      </c>
      <c r="N22" s="225"/>
      <c r="O22" s="225">
        <f t="shared" si="1"/>
        <v>0</v>
      </c>
      <c r="P22" s="359" t="s">
        <v>403</v>
      </c>
    </row>
    <row r="23" spans="3:16" x14ac:dyDescent="0.2">
      <c r="C23" s="130">
        <f>IF(ISBLANK('H8 Sch 8 Historical'!C25), "", 'H8 Sch 8 Historical'!C25)</f>
        <v>42</v>
      </c>
      <c r="D23" s="226" t="str">
        <f>IF(ISBLANK('H8 Sch 8 Historical'!D25), "", 'H8 Sch 8 Historical'!D25)</f>
        <v>Fibre Optic Cable</v>
      </c>
      <c r="E23" s="371" t="s">
        <v>395</v>
      </c>
      <c r="F23" s="490" t="str">
        <f>IF(ISBLANK('H8 Sch 8 Historical'!E25), "", 'H8 Sch 8 Historical'!G25)</f>
        <v/>
      </c>
      <c r="G23" s="574"/>
      <c r="H23" s="568"/>
      <c r="I23" s="225">
        <f t="shared" si="2"/>
        <v>0</v>
      </c>
      <c r="J23" s="225">
        <f t="shared" si="3"/>
        <v>0</v>
      </c>
      <c r="K23" s="225">
        <f t="shared" si="4"/>
        <v>0</v>
      </c>
      <c r="L23" s="474">
        <v>0.12</v>
      </c>
      <c r="M23" s="225">
        <f t="shared" ref="M23:M41" si="7">IF(+K23&lt;0,+K23,+K23*L23)</f>
        <v>0</v>
      </c>
      <c r="N23" s="225"/>
      <c r="O23" s="225">
        <f t="shared" si="1"/>
        <v>0</v>
      </c>
      <c r="P23" s="359" t="s">
        <v>403</v>
      </c>
    </row>
    <row r="24" spans="3:16" x14ac:dyDescent="0.2">
      <c r="C24" s="130">
        <f>IF(ISBLANK('H8 Sch 8 Historical'!C26), "", 'H8 Sch 8 Historical'!C26)</f>
        <v>43.1</v>
      </c>
      <c r="D24" s="226" t="str">
        <f>IF(ISBLANK('H8 Sch 8 Historical'!D26), "", 'H8 Sch 8 Historical'!D26)</f>
        <v>Certain Energy-Efficient Electrical Generating Equipment</v>
      </c>
      <c r="E24" s="371" t="s">
        <v>395</v>
      </c>
      <c r="F24" s="490" t="str">
        <f>IF(ISBLANK('H8 Sch 8 Historical'!E26), "", 'H8 Sch 8 Historical'!G26)</f>
        <v/>
      </c>
      <c r="G24" s="574"/>
      <c r="H24" s="568"/>
      <c r="I24" s="225">
        <f t="shared" si="2"/>
        <v>0</v>
      </c>
      <c r="J24" s="225">
        <f t="shared" si="3"/>
        <v>0</v>
      </c>
      <c r="K24" s="225">
        <f t="shared" si="4"/>
        <v>0</v>
      </c>
      <c r="L24" s="474">
        <v>0.3</v>
      </c>
      <c r="M24" s="225">
        <f t="shared" si="7"/>
        <v>0</v>
      </c>
      <c r="N24" s="225"/>
      <c r="O24" s="225">
        <f t="shared" si="1"/>
        <v>0</v>
      </c>
      <c r="P24" s="359" t="s">
        <v>403</v>
      </c>
    </row>
    <row r="25" spans="3:16" x14ac:dyDescent="0.2">
      <c r="C25" s="130">
        <f>IF(ISBLANK('H8 Sch 8 Historical'!C27), "", 'H8 Sch 8 Historical'!C27)</f>
        <v>43.2</v>
      </c>
      <c r="D25" s="226" t="str">
        <f>IF(ISBLANK('H8 Sch 8 Historical'!D27), "", 'H8 Sch 8 Historical'!D27)</f>
        <v xml:space="preserve">Certain Clean Energy Generation Equipment </v>
      </c>
      <c r="E25" s="371" t="s">
        <v>395</v>
      </c>
      <c r="F25" s="490">
        <f>IF(ISBLANK('H8 Sch 8 Historical'!E27), "", 'H8 Sch 8 Historical'!G27)</f>
        <v>122947</v>
      </c>
      <c r="G25" s="574"/>
      <c r="H25" s="568"/>
      <c r="I25" s="225">
        <f t="shared" si="2"/>
        <v>122947</v>
      </c>
      <c r="J25" s="225">
        <f t="shared" si="3"/>
        <v>0</v>
      </c>
      <c r="K25" s="225">
        <f t="shared" si="4"/>
        <v>122947</v>
      </c>
      <c r="L25" s="474">
        <v>0.5</v>
      </c>
      <c r="M25" s="225">
        <f t="shared" si="7"/>
        <v>61473.5</v>
      </c>
      <c r="N25" s="225"/>
      <c r="O25" s="225">
        <f t="shared" si="1"/>
        <v>61473.5</v>
      </c>
      <c r="P25" s="359" t="s">
        <v>403</v>
      </c>
    </row>
    <row r="26" spans="3:16" x14ac:dyDescent="0.2">
      <c r="C26" s="130">
        <f>IF(ISBLANK('H8 Sch 8 Historical'!C28), "", 'H8 Sch 8 Historical'!C28)</f>
        <v>45</v>
      </c>
      <c r="D26" s="226" t="str">
        <f>IF(ISBLANK('H8 Sch 8 Historical'!D28), "", 'H8 Sch 8 Historical'!D28)</f>
        <v>Computers &amp; Systems Software acq'd post Mar 22/04</v>
      </c>
      <c r="E26" s="371" t="s">
        <v>395</v>
      </c>
      <c r="F26" s="490">
        <f>IF(ISBLANK('H8 Sch 8 Historical'!E28), "", 'H8 Sch 8 Historical'!G28)</f>
        <v>170</v>
      </c>
      <c r="G26" s="574"/>
      <c r="H26" s="568"/>
      <c r="I26" s="225">
        <f t="shared" si="2"/>
        <v>170</v>
      </c>
      <c r="J26" s="225">
        <f t="shared" si="3"/>
        <v>0</v>
      </c>
      <c r="K26" s="225">
        <f t="shared" si="4"/>
        <v>170</v>
      </c>
      <c r="L26" s="474">
        <v>0.45</v>
      </c>
      <c r="M26" s="225">
        <f t="shared" si="7"/>
        <v>76.5</v>
      </c>
      <c r="N26" s="225"/>
      <c r="O26" s="225">
        <f t="shared" si="1"/>
        <v>93.5</v>
      </c>
      <c r="P26" s="359" t="s">
        <v>403</v>
      </c>
    </row>
    <row r="27" spans="3:16" x14ac:dyDescent="0.2">
      <c r="C27" s="130">
        <f>IF(ISBLANK('H8 Sch 8 Historical'!C29), "", 'H8 Sch 8 Historical'!C29)</f>
        <v>46</v>
      </c>
      <c r="D27" s="226" t="str">
        <f>IF(ISBLANK('H8 Sch 8 Historical'!D29), "", 'H8 Sch 8 Historical'!D29)</f>
        <v>Data Network Infrastructure Equipment (acq'd post Mar 22/04)</v>
      </c>
      <c r="E27" s="371" t="s">
        <v>395</v>
      </c>
      <c r="F27" s="490" t="str">
        <f>IF(ISBLANK('H8 Sch 8 Historical'!E29), "", 'H8 Sch 8 Historical'!G29)</f>
        <v/>
      </c>
      <c r="G27" s="574"/>
      <c r="H27" s="568"/>
      <c r="I27" s="225">
        <f t="shared" si="2"/>
        <v>0</v>
      </c>
      <c r="J27" s="225">
        <f t="shared" si="3"/>
        <v>0</v>
      </c>
      <c r="K27" s="225">
        <f t="shared" si="4"/>
        <v>0</v>
      </c>
      <c r="L27" s="474">
        <v>0.3</v>
      </c>
      <c r="M27" s="225">
        <f t="shared" si="7"/>
        <v>0</v>
      </c>
      <c r="N27" s="225"/>
      <c r="O27" s="225">
        <f t="shared" si="1"/>
        <v>0</v>
      </c>
      <c r="P27" s="359" t="s">
        <v>403</v>
      </c>
    </row>
    <row r="28" spans="3:16" x14ac:dyDescent="0.2">
      <c r="C28" s="130">
        <f>IF(ISBLANK('H8 Sch 8 Historical'!C30), "", 'H8 Sch 8 Historical'!C30)</f>
        <v>47</v>
      </c>
      <c r="D28" s="226" t="str">
        <f>IF(ISBLANK('H8 Sch 8 Historical'!D30), "", 'H8 Sch 8 Historical'!D30)</f>
        <v>Distribution System - post February 2005</v>
      </c>
      <c r="E28" s="371" t="s">
        <v>395</v>
      </c>
      <c r="F28" s="490">
        <f>IF(ISBLANK('H8 Sch 8 Historical'!E30), "", 'H8 Sch 8 Historical'!G30)</f>
        <v>14436292</v>
      </c>
      <c r="G28" s="574">
        <f>2452620.04351515-123000</f>
        <v>2329620.04351515</v>
      </c>
      <c r="H28" s="568"/>
      <c r="I28" s="225">
        <f t="shared" si="2"/>
        <v>16765912.04351515</v>
      </c>
      <c r="J28" s="225">
        <f t="shared" si="3"/>
        <v>1164810.021757575</v>
      </c>
      <c r="K28" s="225">
        <f t="shared" si="4"/>
        <v>15601102.021757575</v>
      </c>
      <c r="L28" s="474">
        <v>0.08</v>
      </c>
      <c r="M28" s="225">
        <f t="shared" si="7"/>
        <v>1248088.161740606</v>
      </c>
      <c r="N28" s="225"/>
      <c r="O28" s="225">
        <f t="shared" si="1"/>
        <v>15517823.881774543</v>
      </c>
      <c r="P28" s="359" t="s">
        <v>403</v>
      </c>
    </row>
    <row r="29" spans="3:16" x14ac:dyDescent="0.2">
      <c r="C29" s="130">
        <f>IF(ISBLANK('H8 Sch 8 Historical'!C31), "", 'H8 Sch 8 Historical'!C31)</f>
        <v>50</v>
      </c>
      <c r="D29" s="226" t="str">
        <f>IF(ISBLANK('H8 Sch 8 Historical'!D31), "", 'H8 Sch 8 Historical'!D31)</f>
        <v>Data Network Infrastructure Equipment - post Mar 2007</v>
      </c>
      <c r="E29" s="371" t="s">
        <v>395</v>
      </c>
      <c r="F29" s="490">
        <f>IF(ISBLANK('H8 Sch 8 Historical'!E31), "", 'H8 Sch 8 Historical'!G31)</f>
        <v>36602</v>
      </c>
      <c r="G29" s="574">
        <v>50000</v>
      </c>
      <c r="H29" s="568"/>
      <c r="I29" s="225">
        <f t="shared" si="2"/>
        <v>86602</v>
      </c>
      <c r="J29" s="225">
        <f t="shared" si="3"/>
        <v>25000</v>
      </c>
      <c r="K29" s="225">
        <f t="shared" si="4"/>
        <v>61602</v>
      </c>
      <c r="L29" s="474">
        <v>0.55000000000000004</v>
      </c>
      <c r="M29" s="225">
        <f t="shared" si="7"/>
        <v>33881.100000000006</v>
      </c>
      <c r="N29" s="225"/>
      <c r="O29" s="225">
        <f t="shared" si="1"/>
        <v>52720.899999999994</v>
      </c>
      <c r="P29" s="359" t="s">
        <v>403</v>
      </c>
    </row>
    <row r="30" spans="3:16" x14ac:dyDescent="0.2">
      <c r="C30" s="130">
        <f>IF(ISBLANK('H8 Sch 8 Historical'!C32), "", 'H8 Sch 8 Historical'!C32)</f>
        <v>52</v>
      </c>
      <c r="D30" s="226" t="str">
        <f>IF(ISBLANK('H8 Sch 8 Historical'!D32), "", 'H8 Sch 8 Historical'!D32)</f>
        <v xml:space="preserve">Computer Hardware and system software </v>
      </c>
      <c r="E30" s="371" t="s">
        <v>395</v>
      </c>
      <c r="F30" s="490" t="str">
        <f>IF(ISBLANK('H8 Sch 8 Historical'!E32), "", 'H8 Sch 8 Historical'!G32)</f>
        <v/>
      </c>
      <c r="G30" s="574"/>
      <c r="H30" s="568"/>
      <c r="I30" s="225">
        <f t="shared" si="2"/>
        <v>0</v>
      </c>
      <c r="J30" s="225">
        <f t="shared" si="3"/>
        <v>0</v>
      </c>
      <c r="K30" s="225">
        <f t="shared" si="4"/>
        <v>0</v>
      </c>
      <c r="L30" s="474">
        <v>1</v>
      </c>
      <c r="M30" s="225">
        <f t="shared" si="7"/>
        <v>0</v>
      </c>
      <c r="N30" s="225"/>
      <c r="O30" s="225">
        <f t="shared" si="1"/>
        <v>0</v>
      </c>
      <c r="P30" s="359" t="s">
        <v>403</v>
      </c>
    </row>
    <row r="31" spans="3:16" x14ac:dyDescent="0.2">
      <c r="C31" s="130">
        <f>IF(ISBLANK('H8 Sch 8 Historical'!C33), "", 'H8 Sch 8 Historical'!C33)</f>
        <v>95</v>
      </c>
      <c r="D31" s="226" t="str">
        <f>IF(ISBLANK('H8 Sch 8 Historical'!D33), "", 'H8 Sch 8 Historical'!D33)</f>
        <v>CWIP</v>
      </c>
      <c r="E31" s="371" t="s">
        <v>395</v>
      </c>
      <c r="F31" s="490">
        <f>IF(ISBLANK('H8 Sch 8 Historical'!E33), "", 'H8 Sch 8 Historical'!G33)</f>
        <v>990591</v>
      </c>
      <c r="G31" s="574"/>
      <c r="H31" s="568"/>
      <c r="I31" s="225">
        <f t="shared" si="2"/>
        <v>990591</v>
      </c>
      <c r="J31" s="225">
        <f t="shared" si="3"/>
        <v>0</v>
      </c>
      <c r="K31" s="225">
        <f t="shared" si="4"/>
        <v>990591</v>
      </c>
      <c r="L31" s="474">
        <v>0</v>
      </c>
      <c r="M31" s="225">
        <f t="shared" si="7"/>
        <v>0</v>
      </c>
      <c r="N31" s="225"/>
      <c r="O31" s="225">
        <f t="shared" si="1"/>
        <v>990591</v>
      </c>
      <c r="P31" s="359" t="s">
        <v>403</v>
      </c>
    </row>
    <row r="32" spans="3:16" ht="14.25" x14ac:dyDescent="0.2">
      <c r="C32" s="306">
        <v>14.1</v>
      </c>
      <c r="D32" s="307" t="s">
        <v>465</v>
      </c>
      <c r="E32" s="475" t="s">
        <v>397</v>
      </c>
      <c r="F32" s="490">
        <f>'H10 Schedule 10 CEC Hist'!K40</f>
        <v>249401.1225</v>
      </c>
      <c r="G32" s="490"/>
      <c r="H32" s="568"/>
      <c r="I32" s="225">
        <f t="shared" si="2"/>
        <v>249401.1225</v>
      </c>
      <c r="J32" s="225">
        <f t="shared" si="3"/>
        <v>0</v>
      </c>
      <c r="K32" s="225">
        <f t="shared" si="4"/>
        <v>249401.1225</v>
      </c>
      <c r="L32" s="474">
        <v>7.0000000000000007E-2</v>
      </c>
      <c r="M32" s="225">
        <f t="shared" si="7"/>
        <v>17458.078575000003</v>
      </c>
      <c r="N32" s="225"/>
      <c r="O32" s="225">
        <f t="shared" si="1"/>
        <v>231943.04392500001</v>
      </c>
      <c r="P32" s="359" t="s">
        <v>403</v>
      </c>
    </row>
    <row r="33" spans="3:16" ht="14.25" x14ac:dyDescent="0.2">
      <c r="C33" s="306">
        <v>14.1</v>
      </c>
      <c r="D33" s="307" t="s">
        <v>466</v>
      </c>
      <c r="E33" s="224"/>
      <c r="F33" s="491">
        <v>0</v>
      </c>
      <c r="G33" s="568"/>
      <c r="H33" s="568"/>
      <c r="I33" s="225">
        <f t="shared" si="2"/>
        <v>0</v>
      </c>
      <c r="J33" s="225">
        <f t="shared" si="3"/>
        <v>0</v>
      </c>
      <c r="K33" s="225">
        <f t="shared" si="4"/>
        <v>0</v>
      </c>
      <c r="L33" s="474">
        <v>0.05</v>
      </c>
      <c r="M33" s="225">
        <f t="shared" si="7"/>
        <v>0</v>
      </c>
      <c r="N33" s="225"/>
      <c r="O33" s="225">
        <f t="shared" si="1"/>
        <v>0</v>
      </c>
      <c r="P33" s="359" t="s">
        <v>403</v>
      </c>
    </row>
    <row r="34" spans="3:16" x14ac:dyDescent="0.2">
      <c r="C34" s="306" t="str">
        <f>IF(ISBLANK('H8 Sch 8 Historical'!C36), "", 'H8 Sch 8 Historical'!C36)</f>
        <v/>
      </c>
      <c r="D34" s="307" t="str">
        <f>IF(ISBLANK('H8 Sch 8 Historical'!D36), "", 'H8 Sch 8 Historical'!D36)</f>
        <v/>
      </c>
      <c r="E34" s="224"/>
      <c r="F34" s="491"/>
      <c r="G34" s="568"/>
      <c r="H34" s="568"/>
      <c r="I34" s="225">
        <f>MAX((SUM(F34:H34)),0)</f>
        <v>0</v>
      </c>
      <c r="J34" s="225">
        <f t="shared" si="3"/>
        <v>0</v>
      </c>
      <c r="K34" s="225">
        <f>+I34-J34</f>
        <v>0</v>
      </c>
      <c r="L34" s="569"/>
      <c r="M34" s="225">
        <f t="shared" si="7"/>
        <v>0</v>
      </c>
      <c r="N34" s="225"/>
      <c r="O34" s="225">
        <f t="shared" si="1"/>
        <v>0</v>
      </c>
      <c r="P34" s="359"/>
    </row>
    <row r="35" spans="3:16" x14ac:dyDescent="0.2">
      <c r="C35" s="306" t="str">
        <f>IF(ISBLANK('H8 Sch 8 Historical'!C37), "", 'H8 Sch 8 Historical'!C37)</f>
        <v/>
      </c>
      <c r="D35" s="307" t="str">
        <f>IF(ISBLANK('H8 Sch 8 Historical'!D37), "", 'H8 Sch 8 Historical'!D37)</f>
        <v/>
      </c>
      <c r="E35" s="224"/>
      <c r="F35" s="491" t="str">
        <f>IF(ISBLANK('H8 Sch 8 Historical'!E37), "", 'H8 Sch 8 Historical'!G37)</f>
        <v/>
      </c>
      <c r="G35" s="568"/>
      <c r="H35" s="568"/>
      <c r="I35" s="225">
        <f>MAX((SUM(F35:H35)),0)</f>
        <v>0</v>
      </c>
      <c r="J35" s="225">
        <f t="shared" si="3"/>
        <v>0</v>
      </c>
      <c r="K35" s="225">
        <f>+I35-J35</f>
        <v>0</v>
      </c>
      <c r="L35" s="569"/>
      <c r="M35" s="225">
        <f t="shared" si="7"/>
        <v>0</v>
      </c>
      <c r="N35" s="225"/>
      <c r="O35" s="225">
        <f t="shared" si="1"/>
        <v>0</v>
      </c>
    </row>
    <row r="36" spans="3:16" x14ac:dyDescent="0.2">
      <c r="C36" s="306" t="str">
        <f>IF(ISBLANK('H8 Sch 8 Historical'!C38), "", 'H8 Sch 8 Historical'!C38)</f>
        <v/>
      </c>
      <c r="D36" s="307" t="str">
        <f>IF(ISBLANK('H8 Sch 8 Historical'!D38), "", 'H8 Sch 8 Historical'!D38)</f>
        <v/>
      </c>
      <c r="E36" s="224"/>
      <c r="F36" s="491" t="str">
        <f>IF(ISBLANK('H8 Sch 8 Historical'!E38), "", 'H8 Sch 8 Historical'!G38)</f>
        <v/>
      </c>
      <c r="G36" s="568"/>
      <c r="H36" s="568"/>
      <c r="I36" s="225">
        <f>MAX((SUM(F36:H36)),0)</f>
        <v>0</v>
      </c>
      <c r="J36" s="225">
        <f t="shared" si="3"/>
        <v>0</v>
      </c>
      <c r="K36" s="225">
        <f>+I36-J36</f>
        <v>0</v>
      </c>
      <c r="L36" s="569"/>
      <c r="M36" s="225">
        <f t="shared" si="7"/>
        <v>0</v>
      </c>
      <c r="N36" s="225"/>
      <c r="O36" s="225">
        <f t="shared" si="1"/>
        <v>0</v>
      </c>
    </row>
    <row r="37" spans="3:16" x14ac:dyDescent="0.2">
      <c r="C37" s="306" t="str">
        <f>IF(ISBLANK('H8 Sch 8 Historical'!C39), "", 'H8 Sch 8 Historical'!C39)</f>
        <v/>
      </c>
      <c r="D37" s="307" t="str">
        <f>IF(ISBLANK('H8 Sch 8 Historical'!D39), "", 'H8 Sch 8 Historical'!D39)</f>
        <v/>
      </c>
      <c r="E37" s="224"/>
      <c r="F37" s="491" t="str">
        <f>IF(ISBLANK('H8 Sch 8 Historical'!E39), "", 'H8 Sch 8 Historical'!G39)</f>
        <v/>
      </c>
      <c r="G37" s="568"/>
      <c r="H37" s="568"/>
      <c r="I37" s="225">
        <f t="shared" si="2"/>
        <v>0</v>
      </c>
      <c r="J37" s="225">
        <f t="shared" si="3"/>
        <v>0</v>
      </c>
      <c r="K37" s="225">
        <f t="shared" si="4"/>
        <v>0</v>
      </c>
      <c r="L37" s="569"/>
      <c r="M37" s="225">
        <f t="shared" si="7"/>
        <v>0</v>
      </c>
      <c r="N37" s="225"/>
      <c r="O37" s="225">
        <f t="shared" si="1"/>
        <v>0</v>
      </c>
    </row>
    <row r="38" spans="3:16" x14ac:dyDescent="0.2">
      <c r="C38" s="306" t="str">
        <f>IF(ISBLANK('H8 Sch 8 Historical'!C40), "", 'H8 Sch 8 Historical'!C40)</f>
        <v/>
      </c>
      <c r="D38" s="307" t="str">
        <f>IF(ISBLANK('H8 Sch 8 Historical'!D40), "", 'H8 Sch 8 Historical'!D40)</f>
        <v/>
      </c>
      <c r="E38" s="224"/>
      <c r="F38" s="491" t="str">
        <f>IF(ISBLANK('H8 Sch 8 Historical'!E40), "", 'H8 Sch 8 Historical'!G40)</f>
        <v/>
      </c>
      <c r="G38" s="568"/>
      <c r="H38" s="568"/>
      <c r="I38" s="225">
        <f t="shared" si="2"/>
        <v>0</v>
      </c>
      <c r="J38" s="225">
        <f t="shared" si="3"/>
        <v>0</v>
      </c>
      <c r="K38" s="225">
        <f t="shared" si="4"/>
        <v>0</v>
      </c>
      <c r="L38" s="569"/>
      <c r="M38" s="225">
        <f t="shared" si="7"/>
        <v>0</v>
      </c>
      <c r="N38" s="225"/>
      <c r="O38" s="225">
        <f t="shared" si="1"/>
        <v>0</v>
      </c>
    </row>
    <row r="39" spans="3:16" x14ac:dyDescent="0.2">
      <c r="C39" s="306" t="str">
        <f>IF(ISBLANK('H8 Sch 8 Historical'!C41), "", 'H8 Sch 8 Historical'!C41)</f>
        <v/>
      </c>
      <c r="D39" s="307" t="str">
        <f>IF(ISBLANK('H8 Sch 8 Historical'!D41), "", 'H8 Sch 8 Historical'!D41)</f>
        <v/>
      </c>
      <c r="E39" s="224"/>
      <c r="F39" s="491" t="str">
        <f>IF(ISBLANK('H8 Sch 8 Historical'!E41), "", 'H8 Sch 8 Historical'!G41)</f>
        <v/>
      </c>
      <c r="G39" s="568"/>
      <c r="H39" s="568"/>
      <c r="I39" s="225">
        <f t="shared" si="2"/>
        <v>0</v>
      </c>
      <c r="J39" s="225">
        <f t="shared" si="3"/>
        <v>0</v>
      </c>
      <c r="K39" s="225">
        <f t="shared" si="4"/>
        <v>0</v>
      </c>
      <c r="L39" s="569"/>
      <c r="M39" s="225">
        <f t="shared" si="7"/>
        <v>0</v>
      </c>
      <c r="N39" s="225"/>
      <c r="O39" s="225">
        <f t="shared" si="1"/>
        <v>0</v>
      </c>
    </row>
    <row r="40" spans="3:16" x14ac:dyDescent="0.2">
      <c r="C40" s="306" t="str">
        <f>IF(ISBLANK('H8 Sch 8 Historical'!C42), "", 'H8 Sch 8 Historical'!C42)</f>
        <v/>
      </c>
      <c r="D40" s="307" t="str">
        <f>IF(ISBLANK('H8 Sch 8 Historical'!D42), "", 'H8 Sch 8 Historical'!D42)</f>
        <v/>
      </c>
      <c r="E40" s="224"/>
      <c r="F40" s="491" t="str">
        <f>IF(ISBLANK('H8 Sch 8 Historical'!E42), "", 'H8 Sch 8 Historical'!G42)</f>
        <v/>
      </c>
      <c r="G40" s="568"/>
      <c r="H40" s="568"/>
      <c r="I40" s="225">
        <f t="shared" si="2"/>
        <v>0</v>
      </c>
      <c r="J40" s="225">
        <f t="shared" si="3"/>
        <v>0</v>
      </c>
      <c r="K40" s="225">
        <f t="shared" si="4"/>
        <v>0</v>
      </c>
      <c r="L40" s="569"/>
      <c r="M40" s="225">
        <f t="shared" si="7"/>
        <v>0</v>
      </c>
      <c r="N40" s="225"/>
      <c r="O40" s="225">
        <f t="shared" si="1"/>
        <v>0</v>
      </c>
    </row>
    <row r="41" spans="3:16" ht="13.5" thickBot="1" x14ac:dyDescent="0.25">
      <c r="C41" s="306" t="str">
        <f>IF(ISBLANK('H8 Sch 8 Historical'!C43), "", 'H8 Sch 8 Historical'!C43)</f>
        <v/>
      </c>
      <c r="D41" s="307" t="str">
        <f>IF(ISBLANK('H8 Sch 8 Historical'!D43), "", 'H8 Sch 8 Historical'!D43)</f>
        <v/>
      </c>
      <c r="E41" s="224"/>
      <c r="F41" s="491" t="str">
        <f>IF(ISBLANK('H8 Sch 8 Historical'!E43), "", 'H8 Sch 8 Historical'!G43)</f>
        <v/>
      </c>
      <c r="G41" s="568"/>
      <c r="H41" s="568"/>
      <c r="I41" s="225">
        <f t="shared" si="2"/>
        <v>0</v>
      </c>
      <c r="J41" s="225">
        <f t="shared" si="3"/>
        <v>0</v>
      </c>
      <c r="K41" s="225">
        <f t="shared" si="4"/>
        <v>0</v>
      </c>
      <c r="L41" s="569"/>
      <c r="M41" s="225">
        <f t="shared" si="7"/>
        <v>0</v>
      </c>
      <c r="N41" s="225"/>
      <c r="O41" s="225">
        <f t="shared" si="1"/>
        <v>0</v>
      </c>
    </row>
    <row r="42" spans="3:16" ht="13.5" thickBot="1" x14ac:dyDescent="0.25">
      <c r="C42" s="49"/>
      <c r="D42" s="44" t="s">
        <v>105</v>
      </c>
      <c r="E42" s="340"/>
      <c r="F42" s="321">
        <f t="shared" ref="F42:K42" si="8">SUM(F10:F41)</f>
        <v>30964829.122499999</v>
      </c>
      <c r="G42" s="321">
        <f t="shared" si="8"/>
        <v>3426913.04351515</v>
      </c>
      <c r="H42" s="321">
        <f t="shared" si="8"/>
        <v>0</v>
      </c>
      <c r="I42" s="321">
        <f t="shared" si="8"/>
        <v>34391742.166015148</v>
      </c>
      <c r="J42" s="321">
        <f t="shared" si="8"/>
        <v>1713456.521757575</v>
      </c>
      <c r="K42" s="321">
        <f t="shared" si="8"/>
        <v>32678285.644257572</v>
      </c>
      <c r="L42" s="322"/>
      <c r="M42" s="323">
        <f>SUM(M10:M41)</f>
        <v>2337322.9503156063</v>
      </c>
      <c r="N42" s="393" t="s">
        <v>399</v>
      </c>
      <c r="O42" s="323">
        <f>SUM(O10:O41)</f>
        <v>32054419.215699539</v>
      </c>
    </row>
    <row r="45" spans="3:16" x14ac:dyDescent="0.2">
      <c r="C45" s="355" t="s">
        <v>467</v>
      </c>
    </row>
  </sheetData>
  <sheetProtection password="BE7F" sheet="1" objects="1" scenarios="1"/>
  <mergeCells count="4">
    <mergeCell ref="C1:F1"/>
    <mergeCell ref="C2:J2"/>
    <mergeCell ref="C3:J3"/>
    <mergeCell ref="C4:J4"/>
  </mergeCells>
  <phoneticPr fontId="3" type="noConversion"/>
  <conditionalFormatting sqref="L31:L41 G10:H31 G33:H41 H32">
    <cfRule type="expression" dxfId="22" priority="3" stopIfTrue="1">
      <formula>ISBLANK(G10)</formula>
    </cfRule>
  </conditionalFormatting>
  <conditionalFormatting sqref="C10:F31 C34:F41 C32:C33 E32:F33">
    <cfRule type="expression" dxfId="21" priority="4" stopIfTrue="1">
      <formula>LEN(C10)&gt;0</formula>
    </cfRule>
  </conditionalFormatting>
  <conditionalFormatting sqref="D32:D33">
    <cfRule type="expression" dxfId="20" priority="2" stopIfTrue="1">
      <formula>LEN(D32)&gt;0</formula>
    </cfRule>
  </conditionalFormatting>
  <conditionalFormatting sqref="G32">
    <cfRule type="expression" dxfId="19" priority="1" stopIfTrue="1">
      <formula>LEN(G32)&gt;0</formula>
    </cfRule>
  </conditionalFormatting>
  <hyperlinks>
    <hyperlink ref="E10" location="'H8 Sch 8 Historical'!A1" display="'H8"/>
    <hyperlink ref="E11:E31" location="'H8 Sch 8 Historical'!A1" display="'H8"/>
    <hyperlink ref="P10" location="'T8 Schedule 8 CCA Test Year  '!A1" display="'T8"/>
    <hyperlink ref="P11:P31" location="'T8 Schedule 8 CCA Test Year  '!A1" display="'T8"/>
    <hyperlink ref="N42" location="'B1 Adj. Taxable Income Bridge'!A1" display="'B1"/>
    <hyperlink ref="E32" location="'H10 Schedule 10 CEC Hist'!Print_Area" display="H10"/>
    <hyperlink ref="P32" location="'T8 Schedule 8 CCA Test Year  '!A1" display="'T8"/>
    <hyperlink ref="P33" location="'T8 Schedule 8 CCA Test Year  '!A1" display="'T8"/>
  </hyperlinks>
  <pageMargins left="0.35433070866141736" right="0.35433070866141736" top="0.39370078740157483" bottom="0.39370078740157483" header="0.51181102362204722" footer="0.51181102362204722"/>
  <pageSetup scale="7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44"/>
  <sheetViews>
    <sheetView topLeftCell="A10" zoomScaleNormal="100" workbookViewId="0"/>
  </sheetViews>
  <sheetFormatPr defaultColWidth="9.140625" defaultRowHeight="12.75" x14ac:dyDescent="0.2"/>
  <cols>
    <col min="1" max="1" width="3.85546875" style="10" customWidth="1"/>
    <col min="2" max="2" width="3.5703125" style="10" customWidth="1"/>
    <col min="3" max="3" width="56.42578125" style="10" customWidth="1"/>
    <col min="4" max="4" width="13.5703125" style="10" customWidth="1"/>
    <col min="5" max="7" width="18.28515625" style="10" customWidth="1"/>
    <col min="8" max="8" width="5.7109375" style="10" customWidth="1"/>
    <col min="9" max="11" width="18.28515625" style="10" customWidth="1"/>
    <col min="12" max="12" width="5.7109375" style="10" customWidth="1"/>
    <col min="13" max="14" width="18.28515625" style="10" customWidth="1"/>
    <col min="15" max="16384" width="9.140625" style="10"/>
  </cols>
  <sheetData>
    <row r="1" spans="1:14" ht="21.75" x14ac:dyDescent="0.2">
      <c r="A1" s="263"/>
      <c r="C1" s="507"/>
      <c r="D1" s="507"/>
    </row>
    <row r="2" spans="1:14" ht="18" x14ac:dyDescent="0.25">
      <c r="C2" s="585"/>
      <c r="D2" s="585"/>
      <c r="E2" s="585"/>
      <c r="F2" s="585"/>
      <c r="G2" s="585"/>
      <c r="H2" s="585"/>
      <c r="I2" s="585"/>
      <c r="J2" s="585"/>
      <c r="K2" s="585"/>
      <c r="L2" s="508"/>
    </row>
    <row r="3" spans="1:14" ht="18" x14ac:dyDescent="0.25">
      <c r="C3" s="585"/>
      <c r="D3" s="585"/>
      <c r="E3" s="585"/>
      <c r="F3" s="585"/>
      <c r="G3" s="585"/>
      <c r="H3" s="585"/>
      <c r="I3" s="585"/>
      <c r="J3" s="585"/>
      <c r="K3" s="585"/>
      <c r="L3" s="508"/>
    </row>
    <row r="4" spans="1:14" ht="18" x14ac:dyDescent="0.25">
      <c r="C4" s="585"/>
      <c r="D4" s="585"/>
      <c r="E4" s="585"/>
      <c r="F4" s="585"/>
      <c r="G4" s="585"/>
      <c r="H4" s="585"/>
      <c r="I4" s="585"/>
      <c r="J4" s="585"/>
      <c r="K4" s="585"/>
      <c r="L4" s="508"/>
    </row>
    <row r="5" spans="1:14" ht="40.5" customHeight="1" x14ac:dyDescent="0.2"/>
    <row r="6" spans="1:14" ht="40.5" customHeight="1" x14ac:dyDescent="0.2"/>
    <row r="7" spans="1:14" ht="40.5" customHeight="1" x14ac:dyDescent="0.2">
      <c r="C7" s="324" t="s">
        <v>348</v>
      </c>
      <c r="D7" s="324"/>
    </row>
    <row r="8" spans="1:14" ht="18" x14ac:dyDescent="0.2">
      <c r="C8" s="324"/>
      <c r="D8" s="324"/>
    </row>
    <row r="9" spans="1:14" ht="18.75" thickBot="1" x14ac:dyDescent="0.25">
      <c r="C9" s="325" t="s">
        <v>344</v>
      </c>
      <c r="D9" s="325"/>
      <c r="F9" s="67"/>
      <c r="G9" s="67"/>
      <c r="H9" s="67"/>
      <c r="I9" s="67"/>
      <c r="J9" s="67"/>
      <c r="K9" s="68"/>
      <c r="L9" s="68"/>
      <c r="M9" s="68"/>
      <c r="N9" s="68"/>
    </row>
    <row r="10" spans="1:14" ht="13.5" thickBot="1" x14ac:dyDescent="0.25">
      <c r="C10" s="69"/>
      <c r="D10" s="69"/>
      <c r="E10" s="67"/>
      <c r="F10" s="67"/>
      <c r="G10" s="67"/>
      <c r="H10" s="67"/>
      <c r="I10" s="635" t="s">
        <v>223</v>
      </c>
      <c r="J10" s="636"/>
      <c r="K10" s="68"/>
      <c r="L10" s="68"/>
      <c r="M10" s="68"/>
      <c r="N10" s="68"/>
    </row>
    <row r="11" spans="1:14" ht="27.75" thickBot="1" x14ac:dyDescent="0.25">
      <c r="C11" s="70" t="s">
        <v>122</v>
      </c>
      <c r="D11" s="361" t="s">
        <v>396</v>
      </c>
      <c r="E11" s="71" t="s">
        <v>374</v>
      </c>
      <c r="F11" s="72" t="s">
        <v>221</v>
      </c>
      <c r="G11" s="73" t="s">
        <v>222</v>
      </c>
      <c r="H11" s="384"/>
      <c r="I11" s="71" t="s">
        <v>107</v>
      </c>
      <c r="J11" s="71" t="s">
        <v>124</v>
      </c>
      <c r="K11" s="73" t="s">
        <v>224</v>
      </c>
      <c r="L11" s="382"/>
      <c r="M11" s="70" t="s">
        <v>125</v>
      </c>
      <c r="N11" s="73" t="s">
        <v>126</v>
      </c>
    </row>
    <row r="12" spans="1:14" x14ac:dyDescent="0.2">
      <c r="C12" s="194"/>
      <c r="D12" s="362"/>
      <c r="E12" s="195"/>
      <c r="F12" s="74"/>
      <c r="G12" s="74"/>
      <c r="H12" s="74"/>
      <c r="I12" s="74"/>
      <c r="J12" s="75"/>
      <c r="K12" s="195"/>
      <c r="L12" s="195"/>
      <c r="M12" s="195"/>
      <c r="N12" s="196"/>
    </row>
    <row r="13" spans="1:14" x14ac:dyDescent="0.2">
      <c r="C13" s="146" t="s">
        <v>127</v>
      </c>
      <c r="D13" s="369" t="s">
        <v>398</v>
      </c>
      <c r="E13" s="76">
        <f>'H13 Sch 13 Tax Reserves Histori'!F15</f>
        <v>0</v>
      </c>
      <c r="F13" s="329"/>
      <c r="G13" s="77">
        <f>SUM(E13:F13)</f>
        <v>0</v>
      </c>
      <c r="H13" s="77"/>
      <c r="I13" s="329"/>
      <c r="J13" s="330"/>
      <c r="K13" s="76">
        <f>G13+I13-J13</f>
        <v>0</v>
      </c>
      <c r="L13" s="383" t="s">
        <v>408</v>
      </c>
      <c r="M13" s="76">
        <f>+K13-G13</f>
        <v>0</v>
      </c>
      <c r="N13" s="332"/>
    </row>
    <row r="14" spans="1:14" x14ac:dyDescent="0.2">
      <c r="C14" s="197" t="s">
        <v>128</v>
      </c>
      <c r="D14" s="363"/>
      <c r="E14" s="76"/>
      <c r="F14" s="78"/>
      <c r="G14" s="78"/>
      <c r="H14" s="78"/>
      <c r="I14" s="78"/>
      <c r="J14" s="79"/>
      <c r="K14" s="80"/>
      <c r="L14" s="80"/>
      <c r="M14" s="76"/>
      <c r="N14" s="147"/>
    </row>
    <row r="15" spans="1:14" x14ac:dyDescent="0.2">
      <c r="C15" s="148" t="s">
        <v>129</v>
      </c>
      <c r="D15" s="369" t="s">
        <v>398</v>
      </c>
      <c r="E15" s="76">
        <f>'H13 Sch 13 Tax Reserves Histori'!F17</f>
        <v>0</v>
      </c>
      <c r="F15" s="310"/>
      <c r="G15" s="78">
        <f t="shared" ref="G15:G21" si="0">SUM(E15:F15)</f>
        <v>0</v>
      </c>
      <c r="H15" s="78"/>
      <c r="I15" s="310"/>
      <c r="J15" s="331"/>
      <c r="K15" s="76">
        <f t="shared" ref="K15:K21" si="1">G15+I15-J15</f>
        <v>0</v>
      </c>
      <c r="L15" s="383" t="s">
        <v>408</v>
      </c>
      <c r="M15" s="76">
        <f t="shared" ref="M15:M21" si="2">+K15-G15</f>
        <v>0</v>
      </c>
      <c r="N15" s="332"/>
    </row>
    <row r="16" spans="1:14" x14ac:dyDescent="0.2">
      <c r="C16" s="146" t="s">
        <v>130</v>
      </c>
      <c r="D16" s="369" t="s">
        <v>398</v>
      </c>
      <c r="E16" s="76">
        <f>'H13 Sch 13 Tax Reserves Histori'!F18</f>
        <v>0</v>
      </c>
      <c r="F16" s="329"/>
      <c r="G16" s="77">
        <f t="shared" si="0"/>
        <v>0</v>
      </c>
      <c r="H16" s="77"/>
      <c r="I16" s="329"/>
      <c r="J16" s="330"/>
      <c r="K16" s="76">
        <f t="shared" si="1"/>
        <v>0</v>
      </c>
      <c r="L16" s="383" t="s">
        <v>408</v>
      </c>
      <c r="M16" s="76">
        <f t="shared" si="2"/>
        <v>0</v>
      </c>
      <c r="N16" s="332"/>
    </row>
    <row r="17" spans="3:14" x14ac:dyDescent="0.2">
      <c r="C17" s="146" t="s">
        <v>131</v>
      </c>
      <c r="D17" s="369" t="s">
        <v>398</v>
      </c>
      <c r="E17" s="76">
        <f>'H13 Sch 13 Tax Reserves Histori'!F19</f>
        <v>0</v>
      </c>
      <c r="F17" s="329"/>
      <c r="G17" s="77">
        <f t="shared" si="0"/>
        <v>0</v>
      </c>
      <c r="H17" s="77"/>
      <c r="I17" s="329"/>
      <c r="J17" s="330"/>
      <c r="K17" s="76">
        <f t="shared" si="1"/>
        <v>0</v>
      </c>
      <c r="L17" s="383" t="s">
        <v>408</v>
      </c>
      <c r="M17" s="76">
        <f t="shared" si="2"/>
        <v>0</v>
      </c>
      <c r="N17" s="332"/>
    </row>
    <row r="18" spans="3:14" x14ac:dyDescent="0.2">
      <c r="C18" s="146" t="s">
        <v>132</v>
      </c>
      <c r="D18" s="369" t="s">
        <v>398</v>
      </c>
      <c r="E18" s="76">
        <f>'H13 Sch 13 Tax Reserves Histori'!F20</f>
        <v>0</v>
      </c>
      <c r="F18" s="329"/>
      <c r="G18" s="77">
        <f t="shared" si="0"/>
        <v>0</v>
      </c>
      <c r="H18" s="77"/>
      <c r="I18" s="329"/>
      <c r="J18" s="330"/>
      <c r="K18" s="76">
        <f t="shared" si="1"/>
        <v>0</v>
      </c>
      <c r="L18" s="383" t="s">
        <v>408</v>
      </c>
      <c r="M18" s="76">
        <f t="shared" si="2"/>
        <v>0</v>
      </c>
      <c r="N18" s="332"/>
    </row>
    <row r="19" spans="3:14" x14ac:dyDescent="0.2">
      <c r="C19" s="146" t="s">
        <v>133</v>
      </c>
      <c r="D19" s="369" t="s">
        <v>398</v>
      </c>
      <c r="E19" s="76">
        <f>'H13 Sch 13 Tax Reserves Histori'!F21</f>
        <v>0</v>
      </c>
      <c r="F19" s="329"/>
      <c r="G19" s="77">
        <f t="shared" si="0"/>
        <v>0</v>
      </c>
      <c r="H19" s="77"/>
      <c r="I19" s="329"/>
      <c r="J19" s="330"/>
      <c r="K19" s="76">
        <f t="shared" si="1"/>
        <v>0</v>
      </c>
      <c r="L19" s="383" t="s">
        <v>408</v>
      </c>
      <c r="M19" s="76">
        <f t="shared" si="2"/>
        <v>0</v>
      </c>
      <c r="N19" s="332"/>
    </row>
    <row r="20" spans="3:14" x14ac:dyDescent="0.2">
      <c r="C20" s="326"/>
      <c r="D20" s="364"/>
      <c r="E20" s="76">
        <f>'H13 Sch 13 Tax Reserves Histori'!F25</f>
        <v>0</v>
      </c>
      <c r="F20" s="329"/>
      <c r="G20" s="77">
        <f t="shared" si="0"/>
        <v>0</v>
      </c>
      <c r="H20" s="77"/>
      <c r="I20" s="329"/>
      <c r="J20" s="330"/>
      <c r="K20" s="76">
        <f t="shared" si="1"/>
        <v>0</v>
      </c>
      <c r="L20" s="76"/>
      <c r="M20" s="76">
        <f t="shared" si="2"/>
        <v>0</v>
      </c>
      <c r="N20" s="332"/>
    </row>
    <row r="21" spans="3:14" ht="16.5" thickBot="1" x14ac:dyDescent="0.25">
      <c r="C21" s="327"/>
      <c r="D21" s="365"/>
      <c r="E21" s="76">
        <f>'H13 Sch 13 Tax Reserves Histori'!F26</f>
        <v>0</v>
      </c>
      <c r="F21" s="329"/>
      <c r="G21" s="77">
        <f t="shared" si="0"/>
        <v>0</v>
      </c>
      <c r="H21" s="77"/>
      <c r="I21" s="329"/>
      <c r="J21" s="330"/>
      <c r="K21" s="76">
        <f t="shared" si="1"/>
        <v>0</v>
      </c>
      <c r="L21" s="76"/>
      <c r="M21" s="76">
        <f t="shared" si="2"/>
        <v>0</v>
      </c>
      <c r="N21" s="332"/>
    </row>
    <row r="22" spans="3:14" ht="19.5" thickBot="1" x14ac:dyDescent="0.25">
      <c r="C22" s="81" t="s">
        <v>3</v>
      </c>
      <c r="D22" s="366"/>
      <c r="E22" s="82">
        <f t="shared" ref="E22:N22" si="3">SUM(E15:E21)</f>
        <v>0</v>
      </c>
      <c r="F22" s="82">
        <f t="shared" si="3"/>
        <v>0</v>
      </c>
      <c r="G22" s="82">
        <f t="shared" si="3"/>
        <v>0</v>
      </c>
      <c r="H22" s="385" t="s">
        <v>399</v>
      </c>
      <c r="I22" s="82">
        <f t="shared" si="3"/>
        <v>0</v>
      </c>
      <c r="J22" s="82">
        <f t="shared" si="3"/>
        <v>0</v>
      </c>
      <c r="K22" s="82">
        <f t="shared" si="3"/>
        <v>0</v>
      </c>
      <c r="L22" s="385" t="s">
        <v>399</v>
      </c>
      <c r="M22" s="82">
        <f t="shared" si="3"/>
        <v>0</v>
      </c>
      <c r="N22" s="83">
        <f t="shared" si="3"/>
        <v>0</v>
      </c>
    </row>
    <row r="23" spans="3:14" x14ac:dyDescent="0.2">
      <c r="C23" s="149"/>
      <c r="D23" s="367"/>
      <c r="E23" s="84">
        <v>0</v>
      </c>
      <c r="F23" s="85"/>
      <c r="G23" s="85"/>
      <c r="H23" s="85"/>
      <c r="I23" s="85"/>
      <c r="J23" s="86"/>
      <c r="K23" s="87"/>
      <c r="L23" s="87"/>
      <c r="M23" s="87"/>
      <c r="N23" s="198"/>
    </row>
    <row r="24" spans="3:14" x14ac:dyDescent="0.2">
      <c r="C24" s="197" t="s">
        <v>134</v>
      </c>
      <c r="D24" s="363"/>
      <c r="E24" s="76"/>
      <c r="F24" s="78"/>
      <c r="G24" s="78"/>
      <c r="H24" s="78"/>
      <c r="I24" s="78"/>
      <c r="J24" s="79"/>
      <c r="K24" s="80"/>
      <c r="L24" s="80"/>
      <c r="M24" s="76"/>
      <c r="N24" s="147"/>
    </row>
    <row r="25" spans="3:14" x14ac:dyDescent="0.2">
      <c r="C25" s="146" t="s">
        <v>135</v>
      </c>
      <c r="D25" s="369" t="s">
        <v>398</v>
      </c>
      <c r="E25" s="76">
        <f>'H13 Sch 13 Tax Reserves Histori'!F30</f>
        <v>0</v>
      </c>
      <c r="F25" s="329"/>
      <c r="G25" s="77">
        <f t="shared" ref="G25:G40" si="4">SUM(E25:F25)</f>
        <v>0</v>
      </c>
      <c r="H25" s="77"/>
      <c r="I25" s="329"/>
      <c r="J25" s="330"/>
      <c r="K25" s="76">
        <f t="shared" ref="K25:K42" si="5">G25+I25-J25</f>
        <v>0</v>
      </c>
      <c r="L25" s="383" t="s">
        <v>408</v>
      </c>
      <c r="M25" s="76">
        <f t="shared" ref="M25:M40" si="6">+K25-G25</f>
        <v>0</v>
      </c>
      <c r="N25" s="332"/>
    </row>
    <row r="26" spans="3:14" x14ac:dyDescent="0.2">
      <c r="C26" s="146" t="s">
        <v>136</v>
      </c>
      <c r="D26" s="369" t="s">
        <v>398</v>
      </c>
      <c r="E26" s="76">
        <f>'H13 Sch 13 Tax Reserves Histori'!F31</f>
        <v>0</v>
      </c>
      <c r="F26" s="329"/>
      <c r="G26" s="77">
        <f t="shared" si="4"/>
        <v>0</v>
      </c>
      <c r="H26" s="77"/>
      <c r="I26" s="329"/>
      <c r="J26" s="330"/>
      <c r="K26" s="76">
        <f t="shared" si="5"/>
        <v>0</v>
      </c>
      <c r="L26" s="383" t="s">
        <v>408</v>
      </c>
      <c r="M26" s="76">
        <f t="shared" si="6"/>
        <v>0</v>
      </c>
      <c r="N26" s="332"/>
    </row>
    <row r="27" spans="3:14" x14ac:dyDescent="0.2">
      <c r="C27" s="146" t="s">
        <v>137</v>
      </c>
      <c r="D27" s="369" t="s">
        <v>398</v>
      </c>
      <c r="E27" s="76">
        <f>'H13 Sch 13 Tax Reserves Histori'!F32</f>
        <v>0</v>
      </c>
      <c r="F27" s="329"/>
      <c r="G27" s="77">
        <f t="shared" si="4"/>
        <v>0</v>
      </c>
      <c r="H27" s="77"/>
      <c r="I27" s="329"/>
      <c r="J27" s="330"/>
      <c r="K27" s="76">
        <f t="shared" si="5"/>
        <v>0</v>
      </c>
      <c r="L27" s="383" t="s">
        <v>408</v>
      </c>
      <c r="M27" s="76">
        <f t="shared" si="6"/>
        <v>0</v>
      </c>
      <c r="N27" s="332"/>
    </row>
    <row r="28" spans="3:14" x14ac:dyDescent="0.2">
      <c r="C28" s="199" t="s">
        <v>138</v>
      </c>
      <c r="D28" s="369" t="s">
        <v>398</v>
      </c>
      <c r="E28" s="76">
        <f>'H13 Sch 13 Tax Reserves Histori'!F33</f>
        <v>0</v>
      </c>
      <c r="F28" s="329"/>
      <c r="G28" s="77">
        <f t="shared" si="4"/>
        <v>0</v>
      </c>
      <c r="H28" s="77"/>
      <c r="I28" s="329"/>
      <c r="J28" s="330"/>
      <c r="K28" s="76">
        <f t="shared" si="5"/>
        <v>0</v>
      </c>
      <c r="L28" s="383" t="s">
        <v>408</v>
      </c>
      <c r="M28" s="76">
        <f t="shared" si="6"/>
        <v>0</v>
      </c>
      <c r="N28" s="332"/>
    </row>
    <row r="29" spans="3:14" x14ac:dyDescent="0.2">
      <c r="C29" s="199" t="s">
        <v>139</v>
      </c>
      <c r="D29" s="369" t="s">
        <v>398</v>
      </c>
      <c r="E29" s="76">
        <f>'H13 Sch 13 Tax Reserves Histori'!F34</f>
        <v>0</v>
      </c>
      <c r="F29" s="329"/>
      <c r="G29" s="77">
        <f t="shared" si="4"/>
        <v>0</v>
      </c>
      <c r="H29" s="77"/>
      <c r="I29" s="329"/>
      <c r="J29" s="330"/>
      <c r="K29" s="76">
        <f t="shared" si="5"/>
        <v>0</v>
      </c>
      <c r="L29" s="383" t="s">
        <v>408</v>
      </c>
      <c r="M29" s="76">
        <f t="shared" si="6"/>
        <v>0</v>
      </c>
      <c r="N29" s="332"/>
    </row>
    <row r="30" spans="3:14" x14ac:dyDescent="0.2">
      <c r="C30" s="199" t="s">
        <v>140</v>
      </c>
      <c r="D30" s="369" t="s">
        <v>398</v>
      </c>
      <c r="E30" s="76">
        <f>'H13 Sch 13 Tax Reserves Histori'!F35</f>
        <v>0</v>
      </c>
      <c r="F30" s="329"/>
      <c r="G30" s="77">
        <f t="shared" si="4"/>
        <v>0</v>
      </c>
      <c r="H30" s="77"/>
      <c r="I30" s="329"/>
      <c r="J30" s="330"/>
      <c r="K30" s="76">
        <f t="shared" si="5"/>
        <v>0</v>
      </c>
      <c r="L30" s="383" t="s">
        <v>408</v>
      </c>
      <c r="M30" s="76">
        <f t="shared" si="6"/>
        <v>0</v>
      </c>
      <c r="N30" s="332"/>
    </row>
    <row r="31" spans="3:14" x14ac:dyDescent="0.2">
      <c r="C31" s="199" t="s">
        <v>141</v>
      </c>
      <c r="D31" s="369" t="s">
        <v>398</v>
      </c>
      <c r="E31" s="76">
        <f>'H13 Sch 13 Tax Reserves Histori'!F36</f>
        <v>0</v>
      </c>
      <c r="F31" s="329"/>
      <c r="G31" s="77">
        <f t="shared" si="4"/>
        <v>0</v>
      </c>
      <c r="H31" s="77"/>
      <c r="I31" s="329"/>
      <c r="J31" s="330"/>
      <c r="K31" s="76">
        <f t="shared" si="5"/>
        <v>0</v>
      </c>
      <c r="L31" s="383" t="s">
        <v>408</v>
      </c>
      <c r="M31" s="76">
        <f t="shared" si="6"/>
        <v>0</v>
      </c>
      <c r="N31" s="332"/>
    </row>
    <row r="32" spans="3:14" x14ac:dyDescent="0.2">
      <c r="C32" s="199" t="s">
        <v>142</v>
      </c>
      <c r="D32" s="369" t="s">
        <v>398</v>
      </c>
      <c r="E32" s="76">
        <f>'H13 Sch 13 Tax Reserves Histori'!F37</f>
        <v>0</v>
      </c>
      <c r="F32" s="329"/>
      <c r="G32" s="77">
        <f t="shared" si="4"/>
        <v>0</v>
      </c>
      <c r="H32" s="77"/>
      <c r="I32" s="329"/>
      <c r="J32" s="330"/>
      <c r="K32" s="76">
        <f t="shared" si="5"/>
        <v>0</v>
      </c>
      <c r="L32" s="383" t="s">
        <v>408</v>
      </c>
      <c r="M32" s="76">
        <f t="shared" si="6"/>
        <v>0</v>
      </c>
      <c r="N32" s="332"/>
    </row>
    <row r="33" spans="3:14" x14ac:dyDescent="0.2">
      <c r="C33" s="146" t="s">
        <v>143</v>
      </c>
      <c r="D33" s="369" t="s">
        <v>398</v>
      </c>
      <c r="E33" s="76">
        <f>'H13 Sch 13 Tax Reserves Histori'!F38</f>
        <v>0</v>
      </c>
      <c r="F33" s="329"/>
      <c r="G33" s="77">
        <f t="shared" si="4"/>
        <v>0</v>
      </c>
      <c r="H33" s="77"/>
      <c r="I33" s="329"/>
      <c r="J33" s="330"/>
      <c r="K33" s="76">
        <f t="shared" si="5"/>
        <v>0</v>
      </c>
      <c r="L33" s="383" t="s">
        <v>408</v>
      </c>
      <c r="M33" s="76">
        <f t="shared" si="6"/>
        <v>0</v>
      </c>
      <c r="N33" s="332"/>
    </row>
    <row r="34" spans="3:14" x14ac:dyDescent="0.2">
      <c r="C34" s="146" t="s">
        <v>144</v>
      </c>
      <c r="D34" s="369" t="s">
        <v>398</v>
      </c>
      <c r="E34" s="76">
        <f>'H13 Sch 13 Tax Reserves Histori'!F39</f>
        <v>0</v>
      </c>
      <c r="F34" s="329"/>
      <c r="G34" s="77">
        <f t="shared" si="4"/>
        <v>0</v>
      </c>
      <c r="H34" s="77"/>
      <c r="I34" s="329"/>
      <c r="J34" s="330"/>
      <c r="K34" s="76">
        <f t="shared" si="5"/>
        <v>0</v>
      </c>
      <c r="L34" s="383" t="s">
        <v>408</v>
      </c>
      <c r="M34" s="76">
        <f t="shared" si="6"/>
        <v>0</v>
      </c>
      <c r="N34" s="332"/>
    </row>
    <row r="35" spans="3:14" x14ac:dyDescent="0.2">
      <c r="C35" s="146" t="s">
        <v>145</v>
      </c>
      <c r="D35" s="369" t="s">
        <v>398</v>
      </c>
      <c r="E35" s="76">
        <f>'H13 Sch 13 Tax Reserves Histori'!F40</f>
        <v>0</v>
      </c>
      <c r="F35" s="329"/>
      <c r="G35" s="77">
        <f t="shared" si="4"/>
        <v>0</v>
      </c>
      <c r="H35" s="77"/>
      <c r="I35" s="329"/>
      <c r="J35" s="330"/>
      <c r="K35" s="76">
        <f t="shared" si="5"/>
        <v>0</v>
      </c>
      <c r="L35" s="383" t="s">
        <v>408</v>
      </c>
      <c r="M35" s="76">
        <f t="shared" si="6"/>
        <v>0</v>
      </c>
      <c r="N35" s="332"/>
    </row>
    <row r="36" spans="3:14" x14ac:dyDescent="0.2">
      <c r="C36" s="146" t="s">
        <v>146</v>
      </c>
      <c r="D36" s="369" t="s">
        <v>398</v>
      </c>
      <c r="E36" s="76">
        <f>'H13 Sch 13 Tax Reserves Histori'!F41</f>
        <v>0</v>
      </c>
      <c r="F36" s="329"/>
      <c r="G36" s="77">
        <f t="shared" si="4"/>
        <v>0</v>
      </c>
      <c r="H36" s="77"/>
      <c r="I36" s="329"/>
      <c r="J36" s="330"/>
      <c r="K36" s="76">
        <f t="shared" si="5"/>
        <v>0</v>
      </c>
      <c r="L36" s="383" t="s">
        <v>408</v>
      </c>
      <c r="M36" s="76">
        <f t="shared" si="6"/>
        <v>0</v>
      </c>
      <c r="N36" s="332"/>
    </row>
    <row r="37" spans="3:14" x14ac:dyDescent="0.2">
      <c r="C37" s="146" t="s">
        <v>147</v>
      </c>
      <c r="D37" s="369" t="s">
        <v>398</v>
      </c>
      <c r="E37" s="76">
        <f>'H13 Sch 13 Tax Reserves Histori'!F42</f>
        <v>0</v>
      </c>
      <c r="F37" s="329"/>
      <c r="G37" s="77">
        <f t="shared" si="4"/>
        <v>0</v>
      </c>
      <c r="H37" s="77"/>
      <c r="I37" s="329"/>
      <c r="J37" s="330"/>
      <c r="K37" s="76">
        <f t="shared" si="5"/>
        <v>0</v>
      </c>
      <c r="L37" s="383" t="s">
        <v>408</v>
      </c>
      <c r="M37" s="76">
        <f t="shared" si="6"/>
        <v>0</v>
      </c>
      <c r="N37" s="332"/>
    </row>
    <row r="38" spans="3:14" ht="24" x14ac:dyDescent="0.2">
      <c r="C38" s="146" t="s">
        <v>148</v>
      </c>
      <c r="D38" s="369" t="s">
        <v>398</v>
      </c>
      <c r="E38" s="76">
        <f>'H13 Sch 13 Tax Reserves Histori'!F43</f>
        <v>0</v>
      </c>
      <c r="F38" s="329"/>
      <c r="G38" s="77">
        <f t="shared" si="4"/>
        <v>0</v>
      </c>
      <c r="H38" s="77"/>
      <c r="I38" s="329"/>
      <c r="J38" s="330"/>
      <c r="K38" s="76">
        <f t="shared" si="5"/>
        <v>0</v>
      </c>
      <c r="L38" s="383" t="s">
        <v>408</v>
      </c>
      <c r="M38" s="76">
        <f t="shared" si="6"/>
        <v>0</v>
      </c>
      <c r="N38" s="332"/>
    </row>
    <row r="39" spans="3:14" ht="24" x14ac:dyDescent="0.2">
      <c r="C39" s="146" t="s">
        <v>149</v>
      </c>
      <c r="D39" s="369" t="s">
        <v>398</v>
      </c>
      <c r="E39" s="76">
        <f>'H13 Sch 13 Tax Reserves Histori'!F44</f>
        <v>0</v>
      </c>
      <c r="F39" s="329"/>
      <c r="G39" s="77">
        <f t="shared" si="4"/>
        <v>0</v>
      </c>
      <c r="H39" s="77"/>
      <c r="I39" s="329"/>
      <c r="J39" s="330"/>
      <c r="K39" s="76">
        <f t="shared" si="5"/>
        <v>0</v>
      </c>
      <c r="L39" s="383" t="s">
        <v>408</v>
      </c>
      <c r="M39" s="76">
        <f t="shared" si="6"/>
        <v>0</v>
      </c>
      <c r="N39" s="332"/>
    </row>
    <row r="40" spans="3:14" x14ac:dyDescent="0.2">
      <c r="C40" s="146" t="s">
        <v>150</v>
      </c>
      <c r="D40" s="369" t="s">
        <v>398</v>
      </c>
      <c r="E40" s="76">
        <f>'H13 Sch 13 Tax Reserves Histori'!F45</f>
        <v>0</v>
      </c>
      <c r="F40" s="329"/>
      <c r="G40" s="77">
        <f t="shared" si="4"/>
        <v>0</v>
      </c>
      <c r="H40" s="77"/>
      <c r="I40" s="329"/>
      <c r="J40" s="330"/>
      <c r="K40" s="76">
        <f t="shared" si="5"/>
        <v>0</v>
      </c>
      <c r="L40" s="383" t="s">
        <v>408</v>
      </c>
      <c r="M40" s="76">
        <f t="shared" si="6"/>
        <v>0</v>
      </c>
      <c r="N40" s="332"/>
    </row>
    <row r="41" spans="3:14" x14ac:dyDescent="0.2">
      <c r="C41" s="326"/>
      <c r="D41" s="364"/>
      <c r="E41" s="76">
        <f>'H13 Sch 13 Tax Reserves Histori'!F49</f>
        <v>0</v>
      </c>
      <c r="F41" s="329"/>
      <c r="G41" s="77">
        <f>SUM(E41:F41)</f>
        <v>0</v>
      </c>
      <c r="H41" s="77"/>
      <c r="I41" s="329"/>
      <c r="J41" s="330"/>
      <c r="K41" s="76">
        <f t="shared" si="5"/>
        <v>0</v>
      </c>
      <c r="L41" s="76"/>
      <c r="M41" s="76">
        <f>+K41-G41</f>
        <v>0</v>
      </c>
      <c r="N41" s="332"/>
    </row>
    <row r="42" spans="3:14" ht="13.5" thickBot="1" x14ac:dyDescent="0.25">
      <c r="C42" s="328"/>
      <c r="D42" s="368"/>
      <c r="E42" s="76">
        <f>'H13 Sch 13 Tax Reserves Histori'!F50</f>
        <v>0</v>
      </c>
      <c r="F42" s="329"/>
      <c r="G42" s="77">
        <f>SUM(E42:F42)</f>
        <v>0</v>
      </c>
      <c r="H42" s="77"/>
      <c r="I42" s="329"/>
      <c r="J42" s="330"/>
      <c r="K42" s="76">
        <f t="shared" si="5"/>
        <v>0</v>
      </c>
      <c r="L42" s="76"/>
      <c r="M42" s="76">
        <f>+K42-G42</f>
        <v>0</v>
      </c>
      <c r="N42" s="332"/>
    </row>
    <row r="43" spans="3:14" ht="19.5" thickBot="1" x14ac:dyDescent="0.25">
      <c r="C43" s="81" t="s">
        <v>151</v>
      </c>
      <c r="D43" s="366"/>
      <c r="E43" s="88">
        <f>SUM(E25:E42)</f>
        <v>0</v>
      </c>
      <c r="F43" s="88">
        <f t="shared" ref="F43:N43" si="7">SUM(F25:F42)</f>
        <v>0</v>
      </c>
      <c r="G43" s="88">
        <f t="shared" si="7"/>
        <v>0</v>
      </c>
      <c r="H43" s="385" t="s">
        <v>399</v>
      </c>
      <c r="I43" s="88">
        <f t="shared" si="7"/>
        <v>0</v>
      </c>
      <c r="J43" s="88">
        <f t="shared" si="7"/>
        <v>0</v>
      </c>
      <c r="K43" s="88">
        <f t="shared" si="7"/>
        <v>0</v>
      </c>
      <c r="L43" s="385" t="s">
        <v>399</v>
      </c>
      <c r="M43" s="88">
        <f t="shared" si="7"/>
        <v>0</v>
      </c>
      <c r="N43" s="89">
        <f t="shared" si="7"/>
        <v>0</v>
      </c>
    </row>
    <row r="44" spans="3:14" ht="15.75" x14ac:dyDescent="0.2">
      <c r="C44" s="90"/>
      <c r="D44" s="90"/>
      <c r="E44" s="91">
        <v>0</v>
      </c>
      <c r="F44" s="92"/>
      <c r="G44" s="92"/>
      <c r="H44" s="92"/>
      <c r="I44" s="92"/>
      <c r="J44" s="93"/>
      <c r="K44" s="94"/>
      <c r="L44" s="94"/>
      <c r="M44" s="94"/>
      <c r="N44" s="94"/>
    </row>
  </sheetData>
  <sheetProtection password="BE7F" sheet="1" objects="1" scenarios="1"/>
  <mergeCells count="4">
    <mergeCell ref="I10:J10"/>
    <mergeCell ref="C2:K2"/>
    <mergeCell ref="C3:K3"/>
    <mergeCell ref="C4:K4"/>
  </mergeCells>
  <phoneticPr fontId="3" type="noConversion"/>
  <conditionalFormatting sqref="E22">
    <cfRule type="cellIs" dxfId="18" priority="1" stopIfTrue="1" operator="notEqual">
      <formula>#REF!</formula>
    </cfRule>
  </conditionalFormatting>
  <conditionalFormatting sqref="E43">
    <cfRule type="cellIs" dxfId="17" priority="2" stopIfTrue="1" operator="notEqual">
      <formula>#REF!</formula>
    </cfRule>
  </conditionalFormatting>
  <conditionalFormatting sqref="E13 E15:E21 E25:E42">
    <cfRule type="cellIs" dxfId="16" priority="3" stopIfTrue="1" operator="lessThan">
      <formula>0</formula>
    </cfRule>
  </conditionalFormatting>
  <hyperlinks>
    <hyperlink ref="D13" location="'H13 Sch 13 Tax Reserves Histori'!A1" display="'H13"/>
    <hyperlink ref="D15" location="'H13 Sch 13 Tax Reserves Histori'!A1" display="'H13"/>
    <hyperlink ref="D16" location="'H13 Sch 13 Tax Reserves Histori'!A1" display="'H13"/>
    <hyperlink ref="D17" location="'H13 Sch 13 Tax Reserves Histori'!A1" display="'H13"/>
    <hyperlink ref="D18" location="'H13 Sch 13 Tax Reserves Histori'!A1" display="'H13"/>
    <hyperlink ref="D19" location="'H13 Sch 13 Tax Reserves Histori'!A1" display="'H13"/>
    <hyperlink ref="D25:D40" location="'H13 Sch 13 Tax Reserves Histori'!A1" display="'H13"/>
    <hyperlink ref="L13" location="'T13 Sch 13 Reserve Test Year'!A1" display="'T13"/>
    <hyperlink ref="L15:L19" location="'T13 Sch 13 Reserve Test Year'!A1" display="'T13"/>
    <hyperlink ref="L25:L40" location="'T13 Sch 13 Reserve Test Year'!A1" display="'T13"/>
    <hyperlink ref="L22" location="'B1 Adj. Taxable Income Bridge'!A1" display="'B1"/>
    <hyperlink ref="L43" location="'B1 Adj. Taxable Income Bridge'!A1" display="'B1"/>
    <hyperlink ref="H22" location="'B1 Adj. Taxable Income Bridge'!A1" display="'B1"/>
    <hyperlink ref="H43" location="'B1 Adj. Taxable Income Bridge'!A1" display="'B1"/>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44"/>
  <sheetViews>
    <sheetView topLeftCell="A7" zoomScaleNormal="100" workbookViewId="0">
      <selection activeCell="J21" sqref="J21:J22"/>
    </sheetView>
  </sheetViews>
  <sheetFormatPr defaultColWidth="9.140625" defaultRowHeight="12.75" x14ac:dyDescent="0.2"/>
  <cols>
    <col min="1" max="1" width="4.28515625" style="10" customWidth="1"/>
    <col min="2" max="2" width="13.28515625" style="10" customWidth="1"/>
    <col min="3" max="3" width="32.28515625" style="10" customWidth="1"/>
    <col min="4" max="4" width="8.42578125" style="10" bestFit="1" customWidth="1"/>
    <col min="5" max="5" width="18" style="10" customWidth="1"/>
    <col min="6" max="6" width="13.42578125" style="10" bestFit="1" customWidth="1"/>
    <col min="7" max="7" width="15.28515625" style="10" bestFit="1" customWidth="1"/>
    <col min="8" max="8" width="18.140625" style="10" bestFit="1" customWidth="1"/>
    <col min="9" max="9" width="9.140625" style="10"/>
    <col min="10" max="10" width="16.28515625" style="10" bestFit="1" customWidth="1"/>
    <col min="11" max="11" width="11.7109375" style="10" bestFit="1" customWidth="1"/>
    <col min="12" max="12" width="4.5703125" style="10" customWidth="1"/>
    <col min="13" max="13" width="11.28515625" style="10" bestFit="1" customWidth="1"/>
    <col min="14" max="19" width="9.140625" style="10"/>
    <col min="20" max="20" width="15" style="9" hidden="1" customWidth="1"/>
    <col min="21" max="21" width="10.28515625" style="9" hidden="1" customWidth="1"/>
    <col min="22" max="16384" width="9.140625" style="10"/>
  </cols>
  <sheetData>
    <row r="1" spans="1:21" ht="21.75" x14ac:dyDescent="0.2">
      <c r="A1" s="263"/>
      <c r="C1" s="584"/>
      <c r="D1" s="584"/>
      <c r="E1" s="584"/>
      <c r="F1" s="584"/>
      <c r="G1" s="584"/>
      <c r="H1" s="584"/>
      <c r="I1" s="507"/>
      <c r="T1" s="9" t="s">
        <v>1</v>
      </c>
      <c r="U1" s="9" t="s">
        <v>378</v>
      </c>
    </row>
    <row r="2" spans="1:21" ht="18" x14ac:dyDescent="0.25">
      <c r="C2" s="585"/>
      <c r="D2" s="585"/>
      <c r="E2" s="585"/>
      <c r="F2" s="585"/>
      <c r="G2" s="585"/>
      <c r="H2" s="585"/>
      <c r="I2" s="585"/>
      <c r="J2" s="585"/>
      <c r="K2" s="585"/>
      <c r="L2" s="585"/>
      <c r="M2" s="585"/>
      <c r="T2" s="351">
        <v>500000</v>
      </c>
      <c r="U2" s="352">
        <v>0.11</v>
      </c>
    </row>
    <row r="3" spans="1:21" ht="18" x14ac:dyDescent="0.25">
      <c r="C3" s="585"/>
      <c r="D3" s="585"/>
      <c r="E3" s="585"/>
      <c r="F3" s="585"/>
      <c r="G3" s="585"/>
      <c r="H3" s="585"/>
      <c r="I3" s="585"/>
      <c r="J3" s="585"/>
      <c r="K3" s="585"/>
      <c r="L3" s="585"/>
      <c r="M3" s="585"/>
      <c r="T3" s="351">
        <v>10000000</v>
      </c>
      <c r="U3" s="352">
        <v>0.11</v>
      </c>
    </row>
    <row r="4" spans="1:21" ht="50.25" customHeight="1" x14ac:dyDescent="0.25">
      <c r="C4" s="585"/>
      <c r="D4" s="585"/>
      <c r="E4" s="585"/>
      <c r="F4" s="585"/>
      <c r="G4" s="585"/>
      <c r="H4" s="585"/>
      <c r="I4" s="585"/>
      <c r="J4" s="585"/>
      <c r="K4" s="585"/>
      <c r="L4" s="585"/>
      <c r="M4" s="585"/>
      <c r="T4" s="353">
        <f>T3+100000</f>
        <v>10100000</v>
      </c>
      <c r="U4" s="354">
        <v>0.11</v>
      </c>
    </row>
    <row r="5" spans="1:21" ht="50.25" customHeight="1" x14ac:dyDescent="0.2">
      <c r="T5" s="353">
        <f t="shared" ref="T5:T44" si="0">T4+100000</f>
        <v>10200000</v>
      </c>
      <c r="U5" s="354">
        <v>0.11</v>
      </c>
    </row>
    <row r="6" spans="1:21" ht="18" x14ac:dyDescent="0.2">
      <c r="B6" s="344" t="s">
        <v>355</v>
      </c>
      <c r="T6" s="353">
        <f t="shared" si="0"/>
        <v>10300000</v>
      </c>
      <c r="U6" s="354">
        <v>0.11</v>
      </c>
    </row>
    <row r="7" spans="1:21" x14ac:dyDescent="0.2">
      <c r="T7" s="353">
        <f t="shared" si="0"/>
        <v>10400000</v>
      </c>
      <c r="U7" s="354">
        <v>0.11</v>
      </c>
    </row>
    <row r="8" spans="1:21" ht="15.75" x14ac:dyDescent="0.2">
      <c r="D8" s="114"/>
      <c r="E8" s="109"/>
      <c r="F8" s="109"/>
      <c r="G8" s="109"/>
      <c r="H8" s="109"/>
      <c r="I8" s="109"/>
      <c r="J8" s="315" t="s">
        <v>346</v>
      </c>
      <c r="K8" s="115"/>
      <c r="T8" s="353">
        <f t="shared" si="0"/>
        <v>10500000</v>
      </c>
      <c r="U8" s="354">
        <v>0.11</v>
      </c>
    </row>
    <row r="9" spans="1:21" x14ac:dyDescent="0.2">
      <c r="C9" s="114"/>
      <c r="D9" s="114"/>
      <c r="E9" s="109"/>
      <c r="F9" s="109"/>
      <c r="G9" s="109"/>
      <c r="H9" s="109"/>
      <c r="I9" s="109"/>
      <c r="J9" s="27"/>
      <c r="K9" s="115"/>
      <c r="T9" s="353">
        <f t="shared" si="0"/>
        <v>10600000</v>
      </c>
      <c r="U9" s="354">
        <v>0.11</v>
      </c>
    </row>
    <row r="10" spans="1:21" x14ac:dyDescent="0.2">
      <c r="C10" s="116" t="s">
        <v>203</v>
      </c>
      <c r="D10" s="116"/>
      <c r="E10" s="109"/>
      <c r="F10" s="109"/>
      <c r="G10" s="109"/>
      <c r="H10" s="109"/>
      <c r="I10" s="357" t="s">
        <v>392</v>
      </c>
      <c r="J10" s="229">
        <f>'T1 Taxable Income Test Year'!F123</f>
        <v>529135.99831374129</v>
      </c>
      <c r="K10" s="218" t="s">
        <v>0</v>
      </c>
      <c r="T10" s="353">
        <f t="shared" si="0"/>
        <v>10700000</v>
      </c>
      <c r="U10" s="354">
        <v>0.11</v>
      </c>
    </row>
    <row r="11" spans="1:21" x14ac:dyDescent="0.2">
      <c r="C11" s="117"/>
      <c r="D11" s="117"/>
      <c r="E11" s="109"/>
      <c r="F11" s="109"/>
      <c r="G11" s="109"/>
      <c r="H11" s="109"/>
      <c r="I11" s="109"/>
      <c r="J11" s="109"/>
      <c r="K11" s="219"/>
      <c r="T11" s="353">
        <f t="shared" si="0"/>
        <v>10800000</v>
      </c>
      <c r="U11" s="354">
        <v>0.11</v>
      </c>
    </row>
    <row r="12" spans="1:21" ht="25.5" x14ac:dyDescent="0.2">
      <c r="C12" s="462"/>
      <c r="D12" s="467" t="s">
        <v>450</v>
      </c>
      <c r="E12" s="467" t="s">
        <v>454</v>
      </c>
      <c r="F12" s="467" t="s">
        <v>451</v>
      </c>
      <c r="G12" s="468" t="s">
        <v>452</v>
      </c>
      <c r="H12" s="109"/>
      <c r="I12" s="109"/>
      <c r="J12" s="109"/>
      <c r="K12" s="219"/>
      <c r="O12" s="463"/>
      <c r="T12" s="353"/>
      <c r="U12" s="354"/>
    </row>
    <row r="13" spans="1:21" x14ac:dyDescent="0.2">
      <c r="C13" s="462" t="s">
        <v>455</v>
      </c>
      <c r="D13" s="464">
        <v>0.115</v>
      </c>
      <c r="E13" s="464">
        <f>IF(ratebase&lt;=10000000, ontario_SB, IF(ratebase&gt;=15000000, ontariotax, IF(AND(ratebase&gt;10000000, ratebase&lt;15000000), ontario_SB+ (ratebase - 10000000)*(ontariotax - ontario_SB)/(15000000-10000000))))</f>
        <v>0.115</v>
      </c>
      <c r="F13" s="469">
        <f>IF(J10&lt;500000,J10,500000)*E13+IF(J10&gt;500000,J10-500000,0)*D13</f>
        <v>60850.639806080246</v>
      </c>
      <c r="G13" s="464">
        <f>IF(F13=0,0,+F13/J10)</f>
        <v>0.11499999999999999</v>
      </c>
      <c r="H13" s="216" t="s">
        <v>181</v>
      </c>
      <c r="I13" s="109"/>
      <c r="J13" s="109"/>
      <c r="K13" s="219"/>
      <c r="O13" s="463"/>
      <c r="T13" s="353"/>
      <c r="U13" s="354"/>
    </row>
    <row r="14" spans="1:21" x14ac:dyDescent="0.2">
      <c r="C14" s="462" t="s">
        <v>456</v>
      </c>
      <c r="D14" s="464">
        <v>0.15</v>
      </c>
      <c r="E14" s="470">
        <f>IF(ratebase&lt;=10000000, Fed_SB, IF(ratebase&gt;=15000000, FedTax, IF(AND(ratebase&gt;10000000, ratebase&lt;15000000), Fed_SB+ (ratebase - 10000000)*(FedTax -Fed_SB)/(15000000-10000000))))</f>
        <v>0.15000000000000002</v>
      </c>
      <c r="F14" s="469">
        <f>E14*IF(J10&lt;500000,J10,500000)+IF(J10&gt;500000,J10-500000,0)*D14</f>
        <v>79370.399747061208</v>
      </c>
      <c r="G14" s="464">
        <f>IF(F14=0,0,+F14/J10)</f>
        <v>0.15000000000000002</v>
      </c>
      <c r="H14" s="216" t="s">
        <v>385</v>
      </c>
      <c r="I14" s="109"/>
      <c r="J14" s="109"/>
      <c r="K14" s="219"/>
      <c r="O14" s="463"/>
      <c r="T14" s="353"/>
      <c r="U14" s="354"/>
    </row>
    <row r="15" spans="1:21" x14ac:dyDescent="0.2">
      <c r="C15" s="117"/>
      <c r="D15" s="117"/>
      <c r="E15" s="109"/>
      <c r="F15" s="109"/>
      <c r="G15" s="465"/>
      <c r="H15" s="109"/>
      <c r="I15" s="109"/>
      <c r="J15" s="466"/>
      <c r="K15" s="219"/>
      <c r="O15" s="463"/>
      <c r="T15" s="353"/>
      <c r="U15" s="354"/>
    </row>
    <row r="16" spans="1:21" x14ac:dyDescent="0.2">
      <c r="C16" s="462" t="s">
        <v>457</v>
      </c>
      <c r="E16" s="109"/>
      <c r="F16" s="109"/>
      <c r="G16" s="109"/>
      <c r="I16" s="217"/>
      <c r="J16" s="231">
        <f>SUM(G13:G14)</f>
        <v>0.26500000000000001</v>
      </c>
      <c r="K16" s="218" t="s">
        <v>386</v>
      </c>
      <c r="O16" s="463"/>
      <c r="T16" s="353" t="e">
        <f>#REF!+100000</f>
        <v>#REF!</v>
      </c>
      <c r="U16" s="354" t="e">
        <f>#REF!+0.112%</f>
        <v>#REF!</v>
      </c>
    </row>
    <row r="17" spans="3:21" x14ac:dyDescent="0.2">
      <c r="C17" s="117"/>
      <c r="D17" s="117"/>
      <c r="E17" s="109"/>
      <c r="F17" s="109"/>
      <c r="G17" s="109"/>
      <c r="H17" s="109"/>
      <c r="I17" s="217"/>
      <c r="J17" s="109"/>
      <c r="K17" s="219"/>
      <c r="T17" s="353" t="e">
        <f t="shared" si="0"/>
        <v>#REF!</v>
      </c>
      <c r="U17" s="354" t="e">
        <f t="shared" ref="U17:U19" si="1">U16+0.112%</f>
        <v>#REF!</v>
      </c>
    </row>
    <row r="18" spans="3:21" x14ac:dyDescent="0.2">
      <c r="C18" s="109"/>
      <c r="D18" s="109"/>
      <c r="E18" s="109"/>
      <c r="F18" s="109"/>
      <c r="G18" s="109"/>
      <c r="H18" s="109"/>
      <c r="I18" s="217"/>
      <c r="J18" s="109"/>
      <c r="K18" s="219"/>
      <c r="T18" s="353" t="e">
        <f t="shared" si="0"/>
        <v>#REF!</v>
      </c>
      <c r="U18" s="354" t="e">
        <f t="shared" si="1"/>
        <v>#REF!</v>
      </c>
    </row>
    <row r="19" spans="3:21" x14ac:dyDescent="0.2">
      <c r="C19" s="111" t="s">
        <v>166</v>
      </c>
      <c r="D19" s="111"/>
      <c r="E19" s="109"/>
      <c r="F19" s="109"/>
      <c r="G19" s="109"/>
      <c r="H19" s="109"/>
      <c r="I19" s="217"/>
      <c r="J19" s="232">
        <f>J10*J16</f>
        <v>140221.03955314145</v>
      </c>
      <c r="K19" s="218" t="s">
        <v>387</v>
      </c>
      <c r="T19" s="353" t="e">
        <f t="shared" si="0"/>
        <v>#REF!</v>
      </c>
      <c r="U19" s="354" t="e">
        <f t="shared" si="1"/>
        <v>#REF!</v>
      </c>
    </row>
    <row r="20" spans="3:21" x14ac:dyDescent="0.2">
      <c r="C20" s="109"/>
      <c r="D20" s="109"/>
      <c r="E20" s="109"/>
      <c r="F20" s="109"/>
      <c r="G20" s="109"/>
      <c r="H20" s="109"/>
      <c r="I20" s="217"/>
      <c r="J20" s="112"/>
      <c r="K20" s="219"/>
      <c r="T20" s="353" t="e">
        <f t="shared" si="0"/>
        <v>#REF!</v>
      </c>
      <c r="U20" s="354" t="e">
        <f>U19+0.102%</f>
        <v>#REF!</v>
      </c>
    </row>
    <row r="21" spans="3:21" x14ac:dyDescent="0.2">
      <c r="C21" s="117" t="s">
        <v>167</v>
      </c>
      <c r="D21" s="109"/>
      <c r="E21" s="109"/>
      <c r="F21" s="109"/>
      <c r="G21" s="109"/>
      <c r="H21" s="109"/>
      <c r="I21" s="217"/>
      <c r="J21" s="320"/>
      <c r="K21" s="218" t="s">
        <v>388</v>
      </c>
      <c r="T21" s="353" t="e">
        <f t="shared" si="0"/>
        <v>#REF!</v>
      </c>
      <c r="U21" s="354" t="e">
        <f>U20+0.102%</f>
        <v>#REF!</v>
      </c>
    </row>
    <row r="22" spans="3:21" x14ac:dyDescent="0.2">
      <c r="C22" s="117" t="s">
        <v>168</v>
      </c>
      <c r="D22" s="109"/>
      <c r="E22" s="109"/>
      <c r="F22" s="109"/>
      <c r="G22" s="109"/>
      <c r="H22" s="109"/>
      <c r="I22" s="217"/>
      <c r="J22" s="320"/>
      <c r="K22" s="218" t="s">
        <v>389</v>
      </c>
      <c r="T22" s="353" t="e">
        <f t="shared" si="0"/>
        <v>#REF!</v>
      </c>
      <c r="U22" s="354" t="e">
        <f>U21+0.102%</f>
        <v>#REF!</v>
      </c>
    </row>
    <row r="23" spans="3:21" x14ac:dyDescent="0.2">
      <c r="C23" s="111" t="s">
        <v>241</v>
      </c>
      <c r="D23" s="109"/>
      <c r="E23" s="109"/>
      <c r="F23" s="109"/>
      <c r="G23" s="109"/>
      <c r="H23" s="109"/>
      <c r="I23" s="217"/>
      <c r="J23" s="232">
        <f>SUM(J21:J22)</f>
        <v>0</v>
      </c>
      <c r="K23" s="218" t="s">
        <v>390</v>
      </c>
      <c r="T23" s="353" t="e">
        <f t="shared" si="0"/>
        <v>#REF!</v>
      </c>
      <c r="U23" s="354" t="e">
        <f>U22+0.102%</f>
        <v>#REF!</v>
      </c>
    </row>
    <row r="24" spans="3:21" x14ac:dyDescent="0.2">
      <c r="C24" s="109"/>
      <c r="D24" s="109"/>
      <c r="E24" s="109"/>
      <c r="F24" s="109"/>
      <c r="G24" s="109"/>
      <c r="H24" s="109"/>
      <c r="I24" s="217"/>
      <c r="J24" s="118"/>
      <c r="K24" s="219"/>
      <c r="T24" s="353" t="e">
        <f t="shared" si="0"/>
        <v>#REF!</v>
      </c>
      <c r="U24" s="354" t="e">
        <f>U23+0.102%</f>
        <v>#REF!</v>
      </c>
    </row>
    <row r="25" spans="3:21" x14ac:dyDescent="0.2">
      <c r="C25" s="111" t="s">
        <v>169</v>
      </c>
      <c r="D25" s="111"/>
      <c r="E25" s="109"/>
      <c r="F25" s="109"/>
      <c r="G25" s="109"/>
      <c r="H25" s="109"/>
      <c r="I25" s="217"/>
      <c r="J25" s="232">
        <f>IF(J19-J23&lt;0,0,J19-J23)</f>
        <v>140221.03955314145</v>
      </c>
      <c r="K25" s="218" t="s">
        <v>458</v>
      </c>
      <c r="L25" s="358" t="s">
        <v>430</v>
      </c>
      <c r="T25" s="353" t="e">
        <f t="shared" si="0"/>
        <v>#REF!</v>
      </c>
      <c r="U25" s="354" t="e">
        <f>U24+0.096%</f>
        <v>#REF!</v>
      </c>
    </row>
    <row r="26" spans="3:21" x14ac:dyDescent="0.2">
      <c r="C26" s="109"/>
      <c r="D26" s="109"/>
      <c r="E26" s="109"/>
      <c r="F26" s="109"/>
      <c r="G26" s="109"/>
      <c r="H26" s="109"/>
      <c r="I26" s="217"/>
      <c r="J26" s="119"/>
      <c r="K26" s="219"/>
      <c r="T26" s="353" t="e">
        <f t="shared" si="0"/>
        <v>#REF!</v>
      </c>
      <c r="U26" s="354" t="e">
        <f>U25+0.096%</f>
        <v>#REF!</v>
      </c>
    </row>
    <row r="27" spans="3:21" ht="14.25" x14ac:dyDescent="0.2">
      <c r="C27" s="109" t="s">
        <v>250</v>
      </c>
      <c r="D27" s="109"/>
      <c r="E27" s="109"/>
      <c r="F27" s="109"/>
      <c r="G27" s="109"/>
      <c r="H27" s="230">
        <f>(1-J16)</f>
        <v>0.73499999999999999</v>
      </c>
      <c r="I27" s="216" t="s">
        <v>459</v>
      </c>
      <c r="J27" s="232">
        <f>J25/H27-J25</f>
        <v>50555.885008955753</v>
      </c>
      <c r="K27" s="218" t="s">
        <v>460</v>
      </c>
      <c r="M27" s="471"/>
      <c r="T27" s="353" t="e">
        <f t="shared" si="0"/>
        <v>#REF!</v>
      </c>
      <c r="U27" s="354" t="e">
        <f>U26+0.096%</f>
        <v>#REF!</v>
      </c>
    </row>
    <row r="28" spans="3:21" x14ac:dyDescent="0.2">
      <c r="C28" s="108"/>
      <c r="D28" s="108"/>
      <c r="E28" s="109"/>
      <c r="F28" s="109"/>
      <c r="G28" s="109"/>
      <c r="H28" s="109"/>
      <c r="I28" s="109"/>
      <c r="J28" s="110"/>
      <c r="K28" s="217"/>
      <c r="T28" s="353" t="e">
        <f t="shared" si="0"/>
        <v>#REF!</v>
      </c>
      <c r="U28" s="354" t="e">
        <f>U27+0.096%</f>
        <v>#REF!</v>
      </c>
    </row>
    <row r="29" spans="3:21" x14ac:dyDescent="0.2">
      <c r="C29" s="108"/>
      <c r="D29" s="108"/>
      <c r="E29" s="109"/>
      <c r="F29" s="109"/>
      <c r="G29" s="109"/>
      <c r="H29" s="109"/>
      <c r="I29" s="109"/>
      <c r="J29" s="110"/>
      <c r="K29" s="217"/>
      <c r="T29" s="353" t="e">
        <f t="shared" si="0"/>
        <v>#REF!</v>
      </c>
      <c r="U29" s="354" t="e">
        <f>U28+0.096%</f>
        <v>#REF!</v>
      </c>
    </row>
    <row r="30" spans="3:21" x14ac:dyDescent="0.2">
      <c r="C30" s="111" t="s">
        <v>170</v>
      </c>
      <c r="D30" s="111"/>
      <c r="E30" s="109"/>
      <c r="F30" s="109"/>
      <c r="G30" s="109"/>
      <c r="H30" s="109"/>
      <c r="I30" s="109"/>
      <c r="J30" s="232">
        <f>J25+J27</f>
        <v>190776.92456209721</v>
      </c>
      <c r="K30" s="218" t="s">
        <v>391</v>
      </c>
      <c r="L30" s="358" t="s">
        <v>430</v>
      </c>
      <c r="T30" s="353" t="e">
        <f t="shared" si="0"/>
        <v>#REF!</v>
      </c>
      <c r="U30" s="354" t="e">
        <f>U29+0.088%</f>
        <v>#REF!</v>
      </c>
    </row>
    <row r="31" spans="3:21" x14ac:dyDescent="0.2">
      <c r="C31" s="109"/>
      <c r="D31" s="109"/>
      <c r="E31" s="109"/>
      <c r="F31" s="109"/>
      <c r="G31" s="109"/>
      <c r="H31" s="109"/>
      <c r="I31" s="109"/>
      <c r="J31" s="256"/>
      <c r="K31" s="132"/>
      <c r="T31" s="353" t="e">
        <f t="shared" si="0"/>
        <v>#REF!</v>
      </c>
      <c r="U31" s="354" t="e">
        <f>U30+0.088%</f>
        <v>#REF!</v>
      </c>
    </row>
    <row r="32" spans="3:21" x14ac:dyDescent="0.2">
      <c r="T32" s="353" t="e">
        <f t="shared" si="0"/>
        <v>#REF!</v>
      </c>
      <c r="U32" s="354" t="e">
        <f>U31+0.088%</f>
        <v>#REF!</v>
      </c>
    </row>
    <row r="33" spans="3:21" x14ac:dyDescent="0.2">
      <c r="C33" s="66" t="s">
        <v>249</v>
      </c>
      <c r="T33" s="353" t="e">
        <f t="shared" si="0"/>
        <v>#REF!</v>
      </c>
      <c r="U33" s="354" t="e">
        <f>U32+0.088%</f>
        <v>#REF!</v>
      </c>
    </row>
    <row r="34" spans="3:21" ht="36" customHeight="1" x14ac:dyDescent="0.2">
      <c r="C34" s="589" t="s">
        <v>324</v>
      </c>
      <c r="D34" s="589"/>
      <c r="E34" s="589"/>
      <c r="F34" s="589"/>
      <c r="G34" s="589"/>
      <c r="T34" s="353" t="e">
        <f t="shared" si="0"/>
        <v>#REF!</v>
      </c>
      <c r="U34" s="354" t="e">
        <f>U33+0.088%</f>
        <v>#REF!</v>
      </c>
    </row>
    <row r="35" spans="3:21" x14ac:dyDescent="0.2">
      <c r="J35" s="257"/>
      <c r="T35" s="353" t="e">
        <f t="shared" si="0"/>
        <v>#REF!</v>
      </c>
      <c r="U35" s="354" t="e">
        <f>U34+0.082%</f>
        <v>#REF!</v>
      </c>
    </row>
    <row r="36" spans="3:21" x14ac:dyDescent="0.2">
      <c r="J36" s="257"/>
      <c r="T36" s="353" t="e">
        <f t="shared" si="0"/>
        <v>#REF!</v>
      </c>
      <c r="U36" s="354" t="e">
        <f>U35+0.082%</f>
        <v>#REF!</v>
      </c>
    </row>
    <row r="37" spans="3:21" x14ac:dyDescent="0.2">
      <c r="J37" s="258"/>
      <c r="T37" s="353" t="e">
        <f t="shared" si="0"/>
        <v>#REF!</v>
      </c>
      <c r="U37" s="354" t="e">
        <f>U36+0.082%</f>
        <v>#REF!</v>
      </c>
    </row>
    <row r="38" spans="3:21" x14ac:dyDescent="0.2">
      <c r="T38" s="353" t="e">
        <f t="shared" si="0"/>
        <v>#REF!</v>
      </c>
      <c r="U38" s="354" t="e">
        <f>U37+0.082%</f>
        <v>#REF!</v>
      </c>
    </row>
    <row r="39" spans="3:21" x14ac:dyDescent="0.2">
      <c r="T39" s="353" t="e">
        <f t="shared" si="0"/>
        <v>#REF!</v>
      </c>
      <c r="U39" s="354" t="e">
        <f>U38+0.082%</f>
        <v>#REF!</v>
      </c>
    </row>
    <row r="40" spans="3:21" x14ac:dyDescent="0.2">
      <c r="T40" s="353" t="e">
        <f t="shared" si="0"/>
        <v>#REF!</v>
      </c>
      <c r="U40" s="354" t="e">
        <f>U39+0.076%</f>
        <v>#REF!</v>
      </c>
    </row>
    <row r="41" spans="3:21" x14ac:dyDescent="0.2">
      <c r="T41" s="353" t="e">
        <f t="shared" si="0"/>
        <v>#REF!</v>
      </c>
      <c r="U41" s="354" t="e">
        <f>U40+0.076%</f>
        <v>#REF!</v>
      </c>
    </row>
    <row r="42" spans="3:21" x14ac:dyDescent="0.2">
      <c r="T42" s="353" t="e">
        <f t="shared" si="0"/>
        <v>#REF!</v>
      </c>
      <c r="U42" s="354" t="e">
        <f>U41+0.076%</f>
        <v>#REF!</v>
      </c>
    </row>
    <row r="43" spans="3:21" x14ac:dyDescent="0.2">
      <c r="T43" s="353" t="e">
        <f t="shared" si="0"/>
        <v>#REF!</v>
      </c>
      <c r="U43" s="354" t="e">
        <f>U42+0.076%</f>
        <v>#REF!</v>
      </c>
    </row>
    <row r="44" spans="3:21" x14ac:dyDescent="0.2">
      <c r="T44" s="353" t="e">
        <f t="shared" si="0"/>
        <v>#REF!</v>
      </c>
      <c r="U44" s="354">
        <v>0.15</v>
      </c>
    </row>
  </sheetData>
  <sheetProtection password="BE7F" sheet="1" objects="1" scenarios="1"/>
  <mergeCells count="5">
    <mergeCell ref="C34:G34"/>
    <mergeCell ref="C1:H1"/>
    <mergeCell ref="C2:M2"/>
    <mergeCell ref="C3:M3"/>
    <mergeCell ref="C4:M4"/>
  </mergeCells>
  <phoneticPr fontId="3" type="noConversion"/>
  <conditionalFormatting sqref="J21:J22">
    <cfRule type="expression" dxfId="15" priority="1" stopIfTrue="1">
      <formula>ISBLANK(J21)</formula>
    </cfRule>
  </conditionalFormatting>
  <hyperlinks>
    <hyperlink ref="I10" location="'T1 Taxable Income Test Year'!A1" display="'T1"/>
    <hyperlink ref="L30" location="'S. Summary '!A1" display="'S. Summary"/>
    <hyperlink ref="L25" location="'S. Summary '!A1" display="'S. Summary"/>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24"/>
  <sheetViews>
    <sheetView workbookViewId="0">
      <selection activeCell="F17" sqref="F17"/>
    </sheetView>
  </sheetViews>
  <sheetFormatPr defaultColWidth="9.140625" defaultRowHeight="12.75" x14ac:dyDescent="0.2"/>
  <cols>
    <col min="1" max="1" width="2.42578125" style="10" customWidth="1"/>
    <col min="2" max="2" width="12" style="10" customWidth="1"/>
    <col min="3" max="3" width="38.5703125" style="10" customWidth="1"/>
    <col min="4" max="4" width="10.28515625" style="446" bestFit="1" customWidth="1"/>
    <col min="5" max="5" width="10.28515625" style="62" customWidth="1"/>
    <col min="6" max="6" width="11.28515625" style="10" customWidth="1"/>
    <col min="7" max="7" width="9.140625" style="10"/>
    <col min="8" max="8" width="29.28515625" style="10" customWidth="1"/>
    <col min="9" max="9" width="11.140625" style="10" customWidth="1"/>
    <col min="10" max="10" width="11.7109375" style="10" bestFit="1" customWidth="1"/>
    <col min="11" max="16384" width="9.140625" style="10"/>
  </cols>
  <sheetData>
    <row r="1" spans="1:10" ht="21.75" x14ac:dyDescent="0.2">
      <c r="A1" s="263"/>
      <c r="C1" s="584"/>
      <c r="D1" s="584"/>
      <c r="E1" s="584"/>
      <c r="F1" s="584"/>
    </row>
    <row r="2" spans="1:10" ht="18" x14ac:dyDescent="0.25">
      <c r="C2" s="585"/>
      <c r="D2" s="585"/>
      <c r="E2" s="585"/>
      <c r="F2" s="585"/>
      <c r="G2" s="585"/>
      <c r="H2" s="585"/>
      <c r="I2" s="585"/>
      <c r="J2" s="585"/>
    </row>
    <row r="3" spans="1:10" ht="18" x14ac:dyDescent="0.25">
      <c r="C3" s="585"/>
      <c r="D3" s="585"/>
      <c r="E3" s="585"/>
      <c r="F3" s="585"/>
      <c r="G3" s="585"/>
      <c r="H3" s="585"/>
      <c r="I3" s="585"/>
      <c r="J3" s="585"/>
    </row>
    <row r="4" spans="1:10" ht="35.25" customHeight="1" x14ac:dyDescent="0.25">
      <c r="C4" s="585"/>
      <c r="D4" s="585"/>
      <c r="E4" s="585"/>
      <c r="F4" s="585"/>
      <c r="G4" s="585"/>
      <c r="H4" s="585"/>
      <c r="I4" s="585"/>
      <c r="J4" s="585"/>
    </row>
    <row r="9" spans="1:10" ht="23.25" x14ac:dyDescent="0.35">
      <c r="C9" s="243"/>
    </row>
    <row r="10" spans="1:10" ht="18" x14ac:dyDescent="0.25">
      <c r="C10" s="305" t="s">
        <v>354</v>
      </c>
    </row>
    <row r="11" spans="1:10" ht="39" thickBot="1" x14ac:dyDescent="0.25">
      <c r="C11" s="105"/>
      <c r="E11" s="389" t="s">
        <v>401</v>
      </c>
      <c r="F11" s="106" t="s">
        <v>300</v>
      </c>
    </row>
    <row r="12" spans="1:10" ht="14.25" thickTop="1" thickBot="1" x14ac:dyDescent="0.25">
      <c r="C12" s="206" t="s">
        <v>2</v>
      </c>
      <c r="E12" s="360" t="s">
        <v>394</v>
      </c>
      <c r="F12" s="479">
        <f>'A. Data Input Sheet'!G18</f>
        <v>1415197.4277304548</v>
      </c>
      <c r="H12" s="212"/>
      <c r="I12" s="28"/>
      <c r="J12" s="213"/>
    </row>
    <row r="13" spans="1:10" ht="13.5" thickTop="1" x14ac:dyDescent="0.2">
      <c r="C13" s="215"/>
      <c r="D13" s="447"/>
      <c r="E13" s="386"/>
      <c r="F13" s="480"/>
      <c r="H13" s="445"/>
      <c r="I13" s="28"/>
      <c r="J13" s="213"/>
    </row>
    <row r="14" spans="1:10" x14ac:dyDescent="0.2">
      <c r="C14" s="211"/>
      <c r="D14" s="448" t="s">
        <v>156</v>
      </c>
      <c r="E14" s="387"/>
      <c r="F14" s="481"/>
    </row>
    <row r="15" spans="1:10" x14ac:dyDescent="0.2">
      <c r="C15" s="516" t="s">
        <v>8</v>
      </c>
      <c r="D15" s="449"/>
      <c r="E15" s="210"/>
      <c r="F15" s="482"/>
    </row>
    <row r="16" spans="1:10" x14ac:dyDescent="0.2">
      <c r="C16" s="19" t="s">
        <v>9</v>
      </c>
      <c r="D16" s="450">
        <v>103</v>
      </c>
      <c r="E16" s="202"/>
      <c r="F16" s="570"/>
    </row>
    <row r="17" spans="3:6" ht="23.25" x14ac:dyDescent="0.2">
      <c r="C17" s="19" t="s">
        <v>157</v>
      </c>
      <c r="D17" s="450">
        <v>104</v>
      </c>
      <c r="E17" s="202"/>
      <c r="F17" s="570">
        <v>1692059</v>
      </c>
    </row>
    <row r="18" spans="3:6" ht="23.25" x14ac:dyDescent="0.2">
      <c r="C18" s="19" t="s">
        <v>158</v>
      </c>
      <c r="D18" s="450">
        <v>106</v>
      </c>
      <c r="E18" s="202"/>
      <c r="F18" s="570">
        <v>150721</v>
      </c>
    </row>
    <row r="19" spans="3:6" ht="24" x14ac:dyDescent="0.2">
      <c r="C19" s="19" t="s">
        <v>12</v>
      </c>
      <c r="D19" s="450">
        <v>107</v>
      </c>
      <c r="E19" s="202"/>
      <c r="F19" s="570"/>
    </row>
    <row r="20" spans="3:6" ht="24" x14ac:dyDescent="0.2">
      <c r="C20" s="19" t="s">
        <v>13</v>
      </c>
      <c r="D20" s="450">
        <v>108</v>
      </c>
      <c r="E20" s="202"/>
      <c r="F20" s="570"/>
    </row>
    <row r="21" spans="3:6" ht="24" x14ac:dyDescent="0.2">
      <c r="C21" s="19" t="s">
        <v>14</v>
      </c>
      <c r="D21" s="450">
        <v>109</v>
      </c>
      <c r="E21" s="202"/>
      <c r="F21" s="570"/>
    </row>
    <row r="22" spans="3:6" x14ac:dyDescent="0.2">
      <c r="C22" s="19" t="s">
        <v>15</v>
      </c>
      <c r="D22" s="450">
        <v>110</v>
      </c>
      <c r="E22" s="202"/>
      <c r="F22" s="570"/>
    </row>
    <row r="23" spans="3:6" x14ac:dyDescent="0.2">
      <c r="C23" s="19" t="s">
        <v>16</v>
      </c>
      <c r="D23" s="450">
        <v>111</v>
      </c>
      <c r="E23" s="202"/>
      <c r="F23" s="570"/>
    </row>
    <row r="24" spans="3:6" x14ac:dyDescent="0.2">
      <c r="C24" s="19" t="s">
        <v>17</v>
      </c>
      <c r="D24" s="450">
        <v>112</v>
      </c>
      <c r="E24" s="202"/>
      <c r="F24" s="570"/>
    </row>
    <row r="25" spans="3:6" x14ac:dyDescent="0.2">
      <c r="C25" s="19" t="s">
        <v>18</v>
      </c>
      <c r="D25" s="450">
        <v>113</v>
      </c>
      <c r="E25" s="202"/>
      <c r="F25" s="570"/>
    </row>
    <row r="26" spans="3:6" x14ac:dyDescent="0.2">
      <c r="C26" s="19" t="s">
        <v>19</v>
      </c>
      <c r="D26" s="450">
        <v>114</v>
      </c>
      <c r="E26" s="202"/>
      <c r="F26" s="570"/>
    </row>
    <row r="27" spans="3:6" x14ac:dyDescent="0.2">
      <c r="C27" s="19" t="s">
        <v>20</v>
      </c>
      <c r="D27" s="450">
        <v>116</v>
      </c>
      <c r="E27" s="202"/>
      <c r="F27" s="570"/>
    </row>
    <row r="28" spans="3:6" ht="24" x14ac:dyDescent="0.2">
      <c r="C28" s="19" t="s">
        <v>21</v>
      </c>
      <c r="D28" s="450">
        <v>118</v>
      </c>
      <c r="E28" s="202"/>
      <c r="F28" s="570"/>
    </row>
    <row r="29" spans="3:6" x14ac:dyDescent="0.2">
      <c r="C29" s="19" t="s">
        <v>22</v>
      </c>
      <c r="D29" s="450">
        <v>119</v>
      </c>
      <c r="E29" s="202"/>
      <c r="F29" s="570"/>
    </row>
    <row r="30" spans="3:6" x14ac:dyDescent="0.2">
      <c r="C30" s="19" t="s">
        <v>23</v>
      </c>
      <c r="D30" s="450">
        <v>120</v>
      </c>
      <c r="E30" s="202"/>
      <c r="F30" s="570"/>
    </row>
    <row r="31" spans="3:6" ht="24" x14ac:dyDescent="0.2">
      <c r="C31" s="19" t="s">
        <v>24</v>
      </c>
      <c r="D31" s="450">
        <v>121</v>
      </c>
      <c r="E31" s="202"/>
      <c r="F31" s="570">
        <v>10000</v>
      </c>
    </row>
    <row r="32" spans="3:6" x14ac:dyDescent="0.2">
      <c r="C32" s="19" t="s">
        <v>25</v>
      </c>
      <c r="D32" s="450">
        <v>122</v>
      </c>
      <c r="E32" s="202"/>
      <c r="F32" s="570"/>
    </row>
    <row r="33" spans="3:6" x14ac:dyDescent="0.2">
      <c r="C33" s="19" t="s">
        <v>26</v>
      </c>
      <c r="D33" s="450">
        <v>123</v>
      </c>
      <c r="E33" s="202"/>
      <c r="F33" s="570"/>
    </row>
    <row r="34" spans="3:6" x14ac:dyDescent="0.2">
      <c r="C34" s="19" t="s">
        <v>27</v>
      </c>
      <c r="D34" s="450">
        <v>124</v>
      </c>
      <c r="E34" s="388"/>
      <c r="F34" s="571"/>
    </row>
    <row r="35" spans="3:6" x14ac:dyDescent="0.2">
      <c r="C35" s="21" t="s">
        <v>159</v>
      </c>
      <c r="D35" s="451">
        <v>125</v>
      </c>
      <c r="E35" s="390" t="s">
        <v>408</v>
      </c>
      <c r="F35" s="483">
        <f>'T13 Sch 13 Reserve Test Year'!G22</f>
        <v>0</v>
      </c>
    </row>
    <row r="36" spans="3:6" ht="24" x14ac:dyDescent="0.2">
      <c r="C36" s="19" t="s">
        <v>29</v>
      </c>
      <c r="D36" s="451">
        <v>126</v>
      </c>
      <c r="E36" s="390" t="s">
        <v>408</v>
      </c>
      <c r="F36" s="483">
        <f>'T13 Sch 13 Reserve Test Year'!K43</f>
        <v>0</v>
      </c>
    </row>
    <row r="37" spans="3:6" ht="24" x14ac:dyDescent="0.2">
      <c r="C37" s="19" t="s">
        <v>30</v>
      </c>
      <c r="D37" s="450">
        <v>127</v>
      </c>
      <c r="E37" s="388"/>
      <c r="F37" s="571"/>
    </row>
    <row r="38" spans="3:6" x14ac:dyDescent="0.2">
      <c r="C38" s="19" t="s">
        <v>31</v>
      </c>
      <c r="D38" s="450">
        <v>205</v>
      </c>
      <c r="E38" s="202"/>
      <c r="F38" s="570"/>
    </row>
    <row r="39" spans="3:6" x14ac:dyDescent="0.2">
      <c r="C39" s="19" t="s">
        <v>32</v>
      </c>
      <c r="D39" s="450">
        <v>206</v>
      </c>
      <c r="E39" s="202"/>
      <c r="F39" s="570"/>
    </row>
    <row r="40" spans="3:6" x14ac:dyDescent="0.2">
      <c r="C40" s="19" t="s">
        <v>33</v>
      </c>
      <c r="D40" s="450">
        <v>208</v>
      </c>
      <c r="E40" s="202"/>
      <c r="F40" s="570"/>
    </row>
    <row r="41" spans="3:6" ht="24" x14ac:dyDescent="0.2">
      <c r="C41" s="19" t="s">
        <v>34</v>
      </c>
      <c r="D41" s="450">
        <v>212</v>
      </c>
      <c r="E41" s="202"/>
      <c r="F41" s="570"/>
    </row>
    <row r="42" spans="3:6" x14ac:dyDescent="0.2">
      <c r="C42" s="19" t="s">
        <v>35</v>
      </c>
      <c r="D42" s="450">
        <v>216</v>
      </c>
      <c r="E42" s="202"/>
      <c r="F42" s="570"/>
    </row>
    <row r="43" spans="3:6" x14ac:dyDescent="0.2">
      <c r="C43" s="19" t="s">
        <v>36</v>
      </c>
      <c r="D43" s="450">
        <v>220</v>
      </c>
      <c r="E43" s="202"/>
      <c r="F43" s="570"/>
    </row>
    <row r="44" spans="3:6" x14ac:dyDescent="0.2">
      <c r="C44" s="19" t="s">
        <v>37</v>
      </c>
      <c r="D44" s="450">
        <v>226</v>
      </c>
      <c r="E44" s="202"/>
      <c r="F44" s="570"/>
    </row>
    <row r="45" spans="3:6" x14ac:dyDescent="0.2">
      <c r="C45" s="19" t="s">
        <v>38</v>
      </c>
      <c r="D45" s="450">
        <v>227</v>
      </c>
      <c r="E45" s="202"/>
      <c r="F45" s="570"/>
    </row>
    <row r="46" spans="3:6" x14ac:dyDescent="0.2">
      <c r="C46" s="19" t="s">
        <v>39</v>
      </c>
      <c r="D46" s="450">
        <v>228</v>
      </c>
      <c r="E46" s="202"/>
      <c r="F46" s="570"/>
    </row>
    <row r="47" spans="3:6" x14ac:dyDescent="0.2">
      <c r="C47" s="19" t="s">
        <v>40</v>
      </c>
      <c r="D47" s="450">
        <v>231</v>
      </c>
      <c r="E47" s="202"/>
      <c r="F47" s="570"/>
    </row>
    <row r="48" spans="3:6" x14ac:dyDescent="0.2">
      <c r="C48" s="19" t="s">
        <v>41</v>
      </c>
      <c r="D48" s="450">
        <v>235</v>
      </c>
      <c r="E48" s="202"/>
      <c r="F48" s="570"/>
    </row>
    <row r="49" spans="3:8" x14ac:dyDescent="0.2">
      <c r="C49" s="19" t="s">
        <v>42</v>
      </c>
      <c r="D49" s="450">
        <v>236</v>
      </c>
      <c r="E49" s="202"/>
      <c r="F49" s="570"/>
    </row>
    <row r="50" spans="3:8" ht="36" x14ac:dyDescent="0.2">
      <c r="C50" s="19" t="s">
        <v>43</v>
      </c>
      <c r="D50" s="450">
        <v>237</v>
      </c>
      <c r="E50" s="202"/>
      <c r="F50" s="570"/>
    </row>
    <row r="51" spans="3:8" ht="24" x14ac:dyDescent="0.2">
      <c r="C51" s="31" t="s">
        <v>160</v>
      </c>
      <c r="D51" s="450"/>
      <c r="E51" s="202"/>
      <c r="F51" s="572"/>
    </row>
    <row r="52" spans="3:8" x14ac:dyDescent="0.2">
      <c r="C52" s="19" t="s">
        <v>45</v>
      </c>
      <c r="D52" s="450">
        <v>290</v>
      </c>
      <c r="E52" s="202"/>
      <c r="F52" s="570">
        <v>30946</v>
      </c>
    </row>
    <row r="53" spans="3:8" ht="24" x14ac:dyDescent="0.2">
      <c r="C53" s="19" t="s">
        <v>46</v>
      </c>
      <c r="D53" s="450">
        <v>291</v>
      </c>
      <c r="E53" s="202"/>
      <c r="F53" s="570"/>
    </row>
    <row r="54" spans="3:8" x14ac:dyDescent="0.2">
      <c r="C54" s="19" t="s">
        <v>47</v>
      </c>
      <c r="D54" s="450">
        <v>292</v>
      </c>
      <c r="E54" s="202"/>
      <c r="F54" s="570"/>
    </row>
    <row r="55" spans="3:8" x14ac:dyDescent="0.2">
      <c r="C55" s="19" t="s">
        <v>48</v>
      </c>
      <c r="D55" s="450">
        <v>293</v>
      </c>
      <c r="E55" s="202"/>
      <c r="F55" s="570"/>
    </row>
    <row r="56" spans="3:8" x14ac:dyDescent="0.2">
      <c r="C56" s="484"/>
      <c r="D56" s="450">
        <v>294</v>
      </c>
      <c r="E56" s="202"/>
      <c r="F56" s="570"/>
    </row>
    <row r="57" spans="3:8" x14ac:dyDescent="0.2">
      <c r="C57" s="484"/>
      <c r="D57" s="450">
        <v>295</v>
      </c>
      <c r="E57" s="202"/>
      <c r="F57" s="570"/>
    </row>
    <row r="58" spans="3:8" x14ac:dyDescent="0.2">
      <c r="C58" s="484"/>
      <c r="D58" s="450">
        <v>296</v>
      </c>
      <c r="E58" s="202"/>
      <c r="F58" s="570"/>
    </row>
    <row r="59" spans="3:8" x14ac:dyDescent="0.2">
      <c r="C59" s="484"/>
      <c r="D59" s="450">
        <v>297</v>
      </c>
      <c r="E59" s="388"/>
      <c r="F59" s="571"/>
    </row>
    <row r="60" spans="3:8" x14ac:dyDescent="0.2">
      <c r="C60" s="244" t="s">
        <v>311</v>
      </c>
      <c r="D60" s="452"/>
      <c r="E60" s="23"/>
      <c r="F60" s="564"/>
      <c r="G60" s="485"/>
      <c r="H60" s="234"/>
    </row>
    <row r="61" spans="3:8" x14ac:dyDescent="0.2">
      <c r="C61" s="244" t="s">
        <v>312</v>
      </c>
      <c r="D61" s="452"/>
      <c r="E61" s="23"/>
      <c r="F61" s="564"/>
      <c r="G61" s="485"/>
      <c r="H61" s="234"/>
    </row>
    <row r="62" spans="3:8" x14ac:dyDescent="0.2">
      <c r="C62" s="244" t="s">
        <v>313</v>
      </c>
      <c r="D62" s="452"/>
      <c r="E62" s="23"/>
      <c r="F62" s="564"/>
      <c r="G62" s="485"/>
      <c r="H62" s="234"/>
    </row>
    <row r="63" spans="3:8" x14ac:dyDescent="0.2">
      <c r="C63" s="244" t="s">
        <v>314</v>
      </c>
      <c r="D63" s="452"/>
      <c r="E63" s="23"/>
      <c r="F63" s="564"/>
      <c r="G63" s="485"/>
      <c r="H63" s="234"/>
    </row>
    <row r="64" spans="3:8" x14ac:dyDescent="0.2">
      <c r="C64" s="244" t="s">
        <v>315</v>
      </c>
      <c r="D64" s="452"/>
      <c r="E64" s="23"/>
      <c r="F64" s="564">
        <v>6000</v>
      </c>
      <c r="G64" s="485"/>
      <c r="H64" s="234"/>
    </row>
    <row r="65" spans="3:8" x14ac:dyDescent="0.2">
      <c r="C65" s="561"/>
      <c r="D65" s="452"/>
      <c r="E65" s="23"/>
      <c r="F65" s="564"/>
      <c r="G65" s="485"/>
      <c r="H65" s="234"/>
    </row>
    <row r="66" spans="3:8" x14ac:dyDescent="0.2">
      <c r="C66" s="561"/>
      <c r="D66" s="452"/>
      <c r="E66" s="23"/>
      <c r="F66" s="564"/>
      <c r="G66" s="485"/>
      <c r="H66" s="234"/>
    </row>
    <row r="67" spans="3:8" x14ac:dyDescent="0.2">
      <c r="C67" s="561"/>
      <c r="D67" s="452"/>
      <c r="E67" s="23"/>
      <c r="F67" s="564"/>
      <c r="G67" s="485"/>
      <c r="H67" s="234"/>
    </row>
    <row r="68" spans="3:8" x14ac:dyDescent="0.2">
      <c r="C68" s="561"/>
      <c r="D68" s="452"/>
      <c r="E68" s="23"/>
      <c r="F68" s="564"/>
      <c r="G68" s="485"/>
      <c r="H68" s="234"/>
    </row>
    <row r="69" spans="3:8" x14ac:dyDescent="0.2">
      <c r="C69" s="561"/>
      <c r="D69" s="452"/>
      <c r="E69" s="23"/>
      <c r="F69" s="564"/>
      <c r="G69" s="485"/>
      <c r="H69" s="234"/>
    </row>
    <row r="70" spans="3:8" x14ac:dyDescent="0.2">
      <c r="C70" s="561"/>
      <c r="D70" s="452"/>
      <c r="E70" s="23"/>
      <c r="F70" s="564"/>
      <c r="G70" s="485"/>
      <c r="H70" s="234"/>
    </row>
    <row r="71" spans="3:8" x14ac:dyDescent="0.2">
      <c r="C71" s="561"/>
      <c r="D71" s="452"/>
      <c r="E71" s="23"/>
      <c r="F71" s="564"/>
      <c r="G71" s="485"/>
      <c r="H71" s="234"/>
    </row>
    <row r="72" spans="3:8" x14ac:dyDescent="0.2">
      <c r="C72" s="561"/>
      <c r="D72" s="452"/>
      <c r="E72" s="23"/>
      <c r="F72" s="564"/>
      <c r="G72" s="485"/>
      <c r="H72" s="234"/>
    </row>
    <row r="73" spans="3:8" x14ac:dyDescent="0.2">
      <c r="C73" s="561"/>
      <c r="D73" s="545"/>
      <c r="E73" s="20"/>
      <c r="F73" s="564"/>
      <c r="G73" s="485"/>
      <c r="H73" s="234"/>
    </row>
    <row r="74" spans="3:8" ht="13.5" thickBot="1" x14ac:dyDescent="0.25">
      <c r="C74" s="562"/>
      <c r="D74" s="546"/>
      <c r="E74" s="284"/>
      <c r="F74" s="573"/>
      <c r="G74" s="485"/>
      <c r="H74" s="234"/>
    </row>
    <row r="75" spans="3:8" ht="13.5" thickBot="1" x14ac:dyDescent="0.25">
      <c r="C75" s="24" t="s">
        <v>49</v>
      </c>
      <c r="D75" s="453"/>
      <c r="E75" s="203"/>
      <c r="F75" s="107">
        <f>SUM(F16:F74)</f>
        <v>1889726</v>
      </c>
    </row>
    <row r="76" spans="3:8" x14ac:dyDescent="0.2">
      <c r="C76" s="516" t="s">
        <v>50</v>
      </c>
      <c r="D76" s="454"/>
      <c r="E76" s="204"/>
      <c r="F76" s="482"/>
    </row>
    <row r="77" spans="3:8" ht="24" x14ac:dyDescent="0.2">
      <c r="C77" s="19" t="s">
        <v>51</v>
      </c>
      <c r="D77" s="450">
        <v>401</v>
      </c>
      <c r="E77" s="202"/>
      <c r="F77" s="570"/>
    </row>
    <row r="78" spans="3:8" x14ac:dyDescent="0.2">
      <c r="C78" s="21" t="s">
        <v>52</v>
      </c>
      <c r="D78" s="450">
        <v>402</v>
      </c>
      <c r="E78" s="202"/>
      <c r="F78" s="570"/>
    </row>
    <row r="79" spans="3:8" x14ac:dyDescent="0.2">
      <c r="C79" s="19" t="s">
        <v>53</v>
      </c>
      <c r="D79" s="451">
        <v>403</v>
      </c>
      <c r="E79" s="377" t="s">
        <v>403</v>
      </c>
      <c r="F79" s="486">
        <f>'T8 Schedule 8 CCA Test Year  '!M43</f>
        <v>2383407.4294167138</v>
      </c>
    </row>
    <row r="80" spans="3:8" x14ac:dyDescent="0.2">
      <c r="C80" s="21" t="s">
        <v>54</v>
      </c>
      <c r="D80" s="450">
        <v>404</v>
      </c>
      <c r="E80" s="202"/>
      <c r="F80" s="570"/>
    </row>
    <row r="81" spans="3:6" x14ac:dyDescent="0.2">
      <c r="C81" s="19" t="s">
        <v>56</v>
      </c>
      <c r="D81" s="450">
        <v>406</v>
      </c>
      <c r="E81" s="202"/>
      <c r="F81" s="570"/>
    </row>
    <row r="82" spans="3:6" x14ac:dyDescent="0.2">
      <c r="C82" s="19" t="s">
        <v>20</v>
      </c>
      <c r="D82" s="450">
        <v>409</v>
      </c>
      <c r="E82" s="202"/>
      <c r="F82" s="570"/>
    </row>
    <row r="83" spans="3:6" x14ac:dyDescent="0.2">
      <c r="C83" s="19" t="s">
        <v>57</v>
      </c>
      <c r="D83" s="450">
        <v>411</v>
      </c>
      <c r="E83" s="202"/>
      <c r="F83" s="570"/>
    </row>
    <row r="84" spans="3:6" x14ac:dyDescent="0.2">
      <c r="C84" s="19" t="s">
        <v>161</v>
      </c>
      <c r="D84" s="451">
        <v>413</v>
      </c>
      <c r="E84" s="377" t="s">
        <v>408</v>
      </c>
      <c r="F84" s="486">
        <f>'T13 Sch 13 Reserve Test Year'!K22</f>
        <v>0</v>
      </c>
    </row>
    <row r="85" spans="3:6" ht="24" x14ac:dyDescent="0.2">
      <c r="C85" s="19" t="s">
        <v>59</v>
      </c>
      <c r="D85" s="451">
        <v>414</v>
      </c>
      <c r="E85" s="377" t="s">
        <v>408</v>
      </c>
      <c r="F85" s="486">
        <f>'T13 Sch 13 Reserve Test Year'!G43</f>
        <v>0</v>
      </c>
    </row>
    <row r="86" spans="3:6" x14ac:dyDescent="0.2">
      <c r="C86" s="19" t="s">
        <v>60</v>
      </c>
      <c r="D86" s="450">
        <v>416</v>
      </c>
      <c r="E86" s="202"/>
      <c r="F86" s="570"/>
    </row>
    <row r="87" spans="3:6" x14ac:dyDescent="0.2">
      <c r="C87" s="19" t="s">
        <v>61</v>
      </c>
      <c r="D87" s="450">
        <v>305</v>
      </c>
      <c r="E87" s="202"/>
      <c r="F87" s="570"/>
    </row>
    <row r="88" spans="3:6" x14ac:dyDescent="0.2">
      <c r="C88" s="19" t="s">
        <v>62</v>
      </c>
      <c r="D88" s="450">
        <v>306</v>
      </c>
      <c r="E88" s="202"/>
      <c r="F88" s="570"/>
    </row>
    <row r="89" spans="3:6" ht="24" x14ac:dyDescent="0.2">
      <c r="C89" s="31" t="s">
        <v>63</v>
      </c>
      <c r="D89" s="450"/>
      <c r="E89" s="202"/>
      <c r="F89" s="570"/>
    </row>
    <row r="90" spans="3:6" ht="24" x14ac:dyDescent="0.2">
      <c r="C90" s="21" t="s">
        <v>64</v>
      </c>
      <c r="D90" s="450">
        <v>390</v>
      </c>
      <c r="E90" s="202"/>
      <c r="F90" s="570"/>
    </row>
    <row r="91" spans="3:6" x14ac:dyDescent="0.2">
      <c r="C91" s="21" t="s">
        <v>65</v>
      </c>
      <c r="D91" s="450">
        <v>391</v>
      </c>
      <c r="E91" s="202"/>
      <c r="F91" s="570">
        <v>192380</v>
      </c>
    </row>
    <row r="92" spans="3:6" ht="24" x14ac:dyDescent="0.2">
      <c r="C92" s="19" t="s">
        <v>66</v>
      </c>
      <c r="D92" s="450">
        <v>392</v>
      </c>
      <c r="E92" s="202"/>
      <c r="F92" s="570"/>
    </row>
    <row r="93" spans="3:6" ht="15.75" x14ac:dyDescent="0.2">
      <c r="C93" s="342" t="s">
        <v>518</v>
      </c>
      <c r="D93" s="450">
        <v>393</v>
      </c>
      <c r="E93" s="202"/>
      <c r="F93" s="570">
        <v>200000</v>
      </c>
    </row>
    <row r="94" spans="3:6" ht="15.75" x14ac:dyDescent="0.2">
      <c r="C94" s="342"/>
      <c r="D94" s="450">
        <v>394</v>
      </c>
      <c r="E94" s="202"/>
      <c r="F94" s="570"/>
    </row>
    <row r="95" spans="3:6" ht="15.75" x14ac:dyDescent="0.2">
      <c r="C95" s="342"/>
      <c r="D95" s="450">
        <v>395</v>
      </c>
      <c r="E95" s="202"/>
      <c r="F95" s="570"/>
    </row>
    <row r="96" spans="3:6" ht="15.75" x14ac:dyDescent="0.2">
      <c r="C96" s="342"/>
      <c r="D96" s="450">
        <v>396</v>
      </c>
      <c r="E96" s="202"/>
      <c r="F96" s="570"/>
    </row>
    <row r="97" spans="3:8" ht="15.75" x14ac:dyDescent="0.2">
      <c r="C97" s="343"/>
      <c r="D97" s="547">
        <v>397</v>
      </c>
      <c r="E97" s="388"/>
      <c r="F97" s="570"/>
    </row>
    <row r="98" spans="3:8" ht="24" x14ac:dyDescent="0.2">
      <c r="C98" s="19" t="s">
        <v>316</v>
      </c>
      <c r="D98" s="452"/>
      <c r="E98" s="23"/>
      <c r="F98" s="564"/>
      <c r="G98" s="485"/>
      <c r="H98" s="234"/>
    </row>
    <row r="99" spans="3:8" ht="24" x14ac:dyDescent="0.2">
      <c r="C99" s="19" t="s">
        <v>317</v>
      </c>
      <c r="D99" s="452"/>
      <c r="E99" s="23"/>
      <c r="F99" s="564"/>
      <c r="G99" s="485"/>
      <c r="H99" s="234"/>
    </row>
    <row r="100" spans="3:8" ht="24" x14ac:dyDescent="0.2">
      <c r="C100" s="19" t="s">
        <v>318</v>
      </c>
      <c r="D100" s="452"/>
      <c r="E100" s="23"/>
      <c r="F100" s="564"/>
      <c r="G100" s="485"/>
      <c r="H100" s="234"/>
    </row>
    <row r="101" spans="3:8" x14ac:dyDescent="0.2">
      <c r="C101" s="19" t="s">
        <v>319</v>
      </c>
      <c r="D101" s="452"/>
      <c r="E101" s="23"/>
      <c r="F101" s="556"/>
      <c r="G101" s="485"/>
      <c r="H101" s="234"/>
    </row>
    <row r="102" spans="3:8" x14ac:dyDescent="0.2">
      <c r="C102" s="19" t="s">
        <v>320</v>
      </c>
      <c r="D102" s="452"/>
      <c r="E102" s="23"/>
      <c r="F102" s="556"/>
      <c r="G102" s="485"/>
      <c r="H102" s="234"/>
    </row>
    <row r="103" spans="3:8" ht="24" x14ac:dyDescent="0.2">
      <c r="C103" s="19" t="s">
        <v>321</v>
      </c>
      <c r="D103" s="452"/>
      <c r="E103" s="23"/>
      <c r="F103" s="556"/>
      <c r="G103" s="485"/>
      <c r="H103" s="234"/>
    </row>
    <row r="104" spans="3:8" x14ac:dyDescent="0.2">
      <c r="C104" s="19" t="s">
        <v>322</v>
      </c>
      <c r="D104" s="452"/>
      <c r="E104" s="23"/>
      <c r="F104" s="556"/>
      <c r="G104" s="485"/>
      <c r="H104" s="234"/>
    </row>
    <row r="105" spans="3:8" x14ac:dyDescent="0.2">
      <c r="C105" s="557"/>
      <c r="D105" s="452"/>
      <c r="E105" s="23"/>
      <c r="F105" s="556"/>
      <c r="G105" s="485"/>
      <c r="H105" s="234"/>
    </row>
    <row r="106" spans="3:8" x14ac:dyDescent="0.2">
      <c r="C106" s="557"/>
      <c r="D106" s="452"/>
      <c r="E106" s="23"/>
      <c r="F106" s="556"/>
      <c r="G106" s="485"/>
      <c r="H106" s="234"/>
    </row>
    <row r="107" spans="3:8" x14ac:dyDescent="0.2">
      <c r="C107" s="557"/>
      <c r="D107" s="452"/>
      <c r="E107" s="23"/>
      <c r="F107" s="556"/>
      <c r="G107" s="485"/>
      <c r="H107" s="234"/>
    </row>
    <row r="108" spans="3:8" x14ac:dyDescent="0.2">
      <c r="C108" s="557"/>
      <c r="D108" s="452"/>
      <c r="E108" s="23"/>
      <c r="F108" s="556"/>
      <c r="G108" s="485"/>
      <c r="H108" s="234"/>
    </row>
    <row r="109" spans="3:8" x14ac:dyDescent="0.2">
      <c r="C109" s="557"/>
      <c r="D109" s="452"/>
      <c r="E109" s="23"/>
      <c r="F109" s="556"/>
      <c r="G109" s="485"/>
      <c r="H109" s="234"/>
    </row>
    <row r="110" spans="3:8" x14ac:dyDescent="0.2">
      <c r="C110" s="557"/>
      <c r="D110" s="452"/>
      <c r="E110" s="23"/>
      <c r="F110" s="556"/>
      <c r="G110" s="485"/>
      <c r="H110" s="234"/>
    </row>
    <row r="111" spans="3:8" x14ac:dyDescent="0.2">
      <c r="C111" s="557"/>
      <c r="D111" s="545"/>
      <c r="E111" s="20"/>
      <c r="F111" s="556"/>
      <c r="G111" s="485"/>
      <c r="H111" s="234"/>
    </row>
    <row r="112" spans="3:8" ht="13.5" thickBot="1" x14ac:dyDescent="0.25">
      <c r="C112" s="556"/>
      <c r="D112" s="545"/>
      <c r="E112" s="20"/>
      <c r="F112" s="556"/>
      <c r="G112" s="485"/>
      <c r="H112" s="235"/>
    </row>
    <row r="113" spans="3:7" ht="13.5" thickBot="1" x14ac:dyDescent="0.25">
      <c r="C113" s="24" t="s">
        <v>67</v>
      </c>
      <c r="D113" s="455"/>
      <c r="E113" s="391" t="s">
        <v>405</v>
      </c>
      <c r="F113" s="107">
        <f>SUM(F77:F112)</f>
        <v>2775787.4294167138</v>
      </c>
    </row>
    <row r="114" spans="3:7" ht="13.5" thickBot="1" x14ac:dyDescent="0.25">
      <c r="C114" s="207"/>
      <c r="D114" s="456"/>
      <c r="E114" s="205"/>
      <c r="F114" s="487"/>
    </row>
    <row r="115" spans="3:7" ht="13.5" thickBot="1" x14ac:dyDescent="0.25">
      <c r="C115" s="208" t="s">
        <v>162</v>
      </c>
      <c r="D115" s="455"/>
      <c r="E115" s="391" t="s">
        <v>405</v>
      </c>
      <c r="F115" s="214">
        <f>SUM(F12,F75)-F113</f>
        <v>529135.99831374129</v>
      </c>
    </row>
    <row r="116" spans="3:7" x14ac:dyDescent="0.2">
      <c r="C116" s="251"/>
      <c r="D116" s="457"/>
      <c r="E116" s="488"/>
      <c r="F116" s="489"/>
    </row>
    <row r="117" spans="3:7" x14ac:dyDescent="0.2">
      <c r="C117" s="252" t="s">
        <v>17</v>
      </c>
      <c r="D117" s="458">
        <v>311</v>
      </c>
      <c r="E117" s="285"/>
      <c r="F117" s="558"/>
    </row>
    <row r="118" spans="3:7" ht="24" x14ac:dyDescent="0.2">
      <c r="C118" s="252" t="s">
        <v>163</v>
      </c>
      <c r="D118" s="458">
        <v>320</v>
      </c>
      <c r="E118" s="285"/>
      <c r="F118" s="558"/>
    </row>
    <row r="119" spans="3:7" ht="24" x14ac:dyDescent="0.2">
      <c r="C119" s="252" t="s">
        <v>164</v>
      </c>
      <c r="D119" s="451">
        <v>331</v>
      </c>
      <c r="E119" s="377" t="s">
        <v>409</v>
      </c>
      <c r="F119" s="486">
        <f>'T4 Sch 4 Loss Cfwd'!I15</f>
        <v>0</v>
      </c>
    </row>
    <row r="120" spans="3:7" ht="24" x14ac:dyDescent="0.2">
      <c r="C120" s="252" t="s">
        <v>165</v>
      </c>
      <c r="D120" s="451">
        <v>332</v>
      </c>
      <c r="E120" s="503" t="s">
        <v>409</v>
      </c>
      <c r="F120" s="486">
        <f>'T4 Sch 4 Loss Cfwd'!G25*-1</f>
        <v>0</v>
      </c>
    </row>
    <row r="121" spans="3:7" ht="24" x14ac:dyDescent="0.2">
      <c r="C121" s="252" t="s">
        <v>73</v>
      </c>
      <c r="D121" s="450">
        <v>335</v>
      </c>
      <c r="E121" s="202"/>
      <c r="F121" s="558"/>
    </row>
    <row r="122" spans="3:7" ht="13.5" thickBot="1" x14ac:dyDescent="0.25">
      <c r="C122" s="548"/>
      <c r="D122" s="547"/>
      <c r="E122" s="388"/>
      <c r="F122" s="549"/>
    </row>
    <row r="123" spans="3:7" ht="13.5" thickBot="1" x14ac:dyDescent="0.25">
      <c r="C123" s="209" t="s">
        <v>242</v>
      </c>
      <c r="D123" s="459"/>
      <c r="E123" s="391" t="s">
        <v>405</v>
      </c>
      <c r="F123" s="228">
        <f>IF(F115&lt;0,F115,F115-SUM(F117:F122))</f>
        <v>529135.99831374129</v>
      </c>
      <c r="G123" s="359" t="s">
        <v>393</v>
      </c>
    </row>
    <row r="124" spans="3:7" x14ac:dyDescent="0.2">
      <c r="D124" s="460"/>
      <c r="E124" s="10"/>
    </row>
  </sheetData>
  <sheetProtection password="BE7F" sheet="1" objects="1" scenarios="1"/>
  <mergeCells count="4">
    <mergeCell ref="C1:F1"/>
    <mergeCell ref="C2:J2"/>
    <mergeCell ref="C3:J3"/>
    <mergeCell ref="C4:J4"/>
  </mergeCells>
  <conditionalFormatting sqref="F123">
    <cfRule type="cellIs" dxfId="14" priority="1" stopIfTrue="1" operator="lessThan">
      <formula>0</formula>
    </cfRule>
  </conditionalFormatting>
  <conditionalFormatting sqref="F117:F121 C60:C74 F16:F74 C105:C112 F77:F112">
    <cfRule type="expression" dxfId="13" priority="2" stopIfTrue="1">
      <formula>ISBLANK(C16)</formula>
    </cfRule>
  </conditionalFormatting>
  <conditionalFormatting sqref="H60:H74">
    <cfRule type="cellIs" dxfId="12" priority="3" stopIfTrue="1" operator="lessThan">
      <formula>0</formula>
    </cfRule>
  </conditionalFormatting>
  <hyperlinks>
    <hyperlink ref="G123" location="'T0 PILs,Tax Provision '!A1" display="'T0"/>
    <hyperlink ref="E12" location="'A. Data Input Sheet'!A1" display="'A."/>
    <hyperlink ref="E35" location="'T13 Sch 13 Reserve Test Year'!A1" display="'T13"/>
    <hyperlink ref="E36" location="'T13 Sch 13 Reserve Test Year'!A1" display="'T13"/>
    <hyperlink ref="E79" location="'T8 Schedule 8 CCA Test Year  '!A1" display="'T8"/>
    <hyperlink ref="E84" location="'T13 Sch 13 Reserve Test Year'!A1" display="'T13"/>
    <hyperlink ref="E85" location="'T13 Sch 13 Reserve Test Year'!A1" display="'T13"/>
    <hyperlink ref="E119" location="'T4 Sch 4 Loss Cfwd'!A1" display="'T4"/>
    <hyperlink ref="E120" location="'T4 Sch 4 Loss Cfwd'!Print_Area" display="T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91"/>
  <sheetViews>
    <sheetView showGridLines="0" topLeftCell="A13" zoomScaleNormal="100" workbookViewId="0">
      <selection activeCell="C16" sqref="C16"/>
    </sheetView>
  </sheetViews>
  <sheetFormatPr defaultColWidth="9.140625" defaultRowHeight="12.75" x14ac:dyDescent="0.2"/>
  <cols>
    <col min="1" max="2" width="3.5703125" style="420" customWidth="1"/>
    <col min="3" max="3" width="32.5703125" style="420" customWidth="1"/>
    <col min="4" max="4" width="16.5703125" style="420" customWidth="1"/>
    <col min="5" max="5" width="30.7109375" style="420" customWidth="1"/>
    <col min="6" max="6" width="17.7109375" style="420" customWidth="1"/>
    <col min="7" max="7" width="14.85546875" style="420" customWidth="1"/>
    <col min="8" max="8" width="7" style="420" customWidth="1"/>
    <col min="9" max="9" width="11.28515625" style="420" customWidth="1"/>
    <col min="10" max="16384" width="9.140625" style="420"/>
  </cols>
  <sheetData>
    <row r="1" spans="1:27" s="413" customFormat="1" ht="20.25" x14ac:dyDescent="0.2">
      <c r="A1" s="412"/>
      <c r="C1" s="581"/>
      <c r="D1" s="581"/>
      <c r="E1" s="581"/>
      <c r="F1" s="506"/>
      <c r="G1" s="506"/>
      <c r="H1" s="414"/>
      <c r="I1" s="414"/>
      <c r="AA1" s="413">
        <v>1</v>
      </c>
    </row>
    <row r="2" spans="1:27" s="413" customFormat="1" ht="18" x14ac:dyDescent="0.25">
      <c r="C2" s="135"/>
      <c r="D2" s="582"/>
      <c r="E2" s="582"/>
      <c r="F2" s="582"/>
      <c r="G2" s="582"/>
      <c r="H2" s="3"/>
      <c r="AA2" s="413">
        <v>2012</v>
      </c>
    </row>
    <row r="3" spans="1:27" s="413" customFormat="1" ht="18" x14ac:dyDescent="0.25">
      <c r="C3" s="135"/>
      <c r="D3" s="136"/>
      <c r="E3" s="136"/>
      <c r="F3" s="136"/>
      <c r="G3" s="136"/>
      <c r="H3" s="5"/>
      <c r="AA3" s="413">
        <v>2013</v>
      </c>
    </row>
    <row r="4" spans="1:27" s="413" customFormat="1" ht="18" x14ac:dyDescent="0.25">
      <c r="C4" s="135"/>
      <c r="D4" s="582"/>
      <c r="E4" s="582"/>
      <c r="F4" s="135"/>
      <c r="G4" s="135"/>
      <c r="I4" s="7"/>
      <c r="AA4" s="413">
        <v>2014</v>
      </c>
    </row>
    <row r="5" spans="1:27" s="413" customFormat="1" ht="18" x14ac:dyDescent="0.25">
      <c r="C5" s="135"/>
      <c r="D5" s="136"/>
      <c r="E5" s="136"/>
      <c r="F5" s="135"/>
      <c r="G5" s="135"/>
      <c r="I5" s="7"/>
      <c r="AA5" s="413">
        <v>2015</v>
      </c>
    </row>
    <row r="6" spans="1:27" s="413" customFormat="1" ht="18" x14ac:dyDescent="0.25">
      <c r="C6" s="135"/>
      <c r="D6" s="238"/>
      <c r="E6" s="135"/>
      <c r="F6" s="137"/>
      <c r="G6" s="138"/>
      <c r="AA6" s="413">
        <v>2016</v>
      </c>
    </row>
    <row r="7" spans="1:27" s="413" customFormat="1" ht="15.75" x14ac:dyDescent="0.25">
      <c r="C7" s="415"/>
      <c r="D7" s="415"/>
      <c r="E7" s="415"/>
      <c r="F7" s="139"/>
      <c r="G7" s="139"/>
    </row>
    <row r="8" spans="1:27" s="413" customFormat="1" x14ac:dyDescent="0.2"/>
    <row r="9" spans="1:27" s="413" customFormat="1" ht="18" x14ac:dyDescent="0.25">
      <c r="C9" s="583"/>
      <c r="D9" s="583"/>
      <c r="E9" s="583"/>
    </row>
    <row r="10" spans="1:27" s="413" customFormat="1" ht="18" x14ac:dyDescent="0.25">
      <c r="C10" s="416"/>
      <c r="D10" s="522" t="s">
        <v>329</v>
      </c>
      <c r="I10" s="417"/>
      <c r="J10" s="418"/>
    </row>
    <row r="11" spans="1:27" s="413" customFormat="1" ht="18" x14ac:dyDescent="0.25">
      <c r="C11" s="416"/>
      <c r="D11" s="522" t="s">
        <v>430</v>
      </c>
      <c r="I11" s="417"/>
      <c r="J11" s="418"/>
    </row>
    <row r="12" spans="1:27" s="413" customFormat="1" ht="18" x14ac:dyDescent="0.25">
      <c r="C12" s="416"/>
      <c r="D12" s="522" t="s">
        <v>229</v>
      </c>
      <c r="I12" s="417"/>
      <c r="J12" s="418"/>
    </row>
    <row r="13" spans="1:27" s="413" customFormat="1" ht="18" x14ac:dyDescent="0.25">
      <c r="C13" s="416"/>
      <c r="D13" s="522" t="s">
        <v>230</v>
      </c>
      <c r="I13" s="417"/>
      <c r="J13" s="418"/>
    </row>
    <row r="14" spans="1:27" s="413" customFormat="1" ht="18" x14ac:dyDescent="0.25">
      <c r="C14" s="522"/>
      <c r="D14" s="522"/>
      <c r="E14" s="522"/>
      <c r="I14" s="417"/>
      <c r="J14" s="418"/>
    </row>
    <row r="15" spans="1:27" s="413" customFormat="1" ht="18" x14ac:dyDescent="0.25">
      <c r="C15" s="416"/>
      <c r="I15" s="417"/>
      <c r="J15" s="418"/>
    </row>
    <row r="16" spans="1:27" s="413" customFormat="1" ht="18" x14ac:dyDescent="0.25">
      <c r="C16" s="416" t="s">
        <v>417</v>
      </c>
      <c r="D16" s="522" t="s">
        <v>419</v>
      </c>
      <c r="I16" s="417"/>
      <c r="J16" s="418"/>
    </row>
    <row r="17" spans="3:10" s="413" customFormat="1" ht="18" x14ac:dyDescent="0.25">
      <c r="C17" s="416"/>
      <c r="D17" s="522" t="s">
        <v>420</v>
      </c>
      <c r="I17" s="417"/>
      <c r="J17" s="418"/>
    </row>
    <row r="18" spans="3:10" s="413" customFormat="1" ht="18" x14ac:dyDescent="0.25">
      <c r="C18" s="416"/>
      <c r="D18" s="522" t="s">
        <v>421</v>
      </c>
      <c r="I18" s="417"/>
      <c r="J18" s="418"/>
    </row>
    <row r="19" spans="3:10" s="413" customFormat="1" ht="18" x14ac:dyDescent="0.25">
      <c r="C19" s="416"/>
      <c r="D19" s="522" t="s">
        <v>463</v>
      </c>
      <c r="I19" s="417"/>
      <c r="J19" s="418"/>
    </row>
    <row r="20" spans="3:10" s="413" customFormat="1" ht="18" x14ac:dyDescent="0.25">
      <c r="C20" s="416"/>
      <c r="D20" s="522" t="s">
        <v>422</v>
      </c>
      <c r="I20" s="417"/>
      <c r="J20" s="418"/>
    </row>
    <row r="21" spans="3:10" s="413" customFormat="1" ht="18" x14ac:dyDescent="0.25">
      <c r="C21" s="416"/>
      <c r="D21" s="522" t="s">
        <v>423</v>
      </c>
      <c r="I21" s="417"/>
      <c r="J21" s="418"/>
    </row>
    <row r="22" spans="3:10" s="413" customFormat="1" ht="18" x14ac:dyDescent="0.25">
      <c r="C22" s="522"/>
      <c r="D22" s="522"/>
      <c r="I22" s="417"/>
      <c r="J22" s="418"/>
    </row>
    <row r="23" spans="3:10" s="413" customFormat="1" ht="18" x14ac:dyDescent="0.25">
      <c r="C23" s="416" t="s">
        <v>307</v>
      </c>
      <c r="D23" s="522" t="s">
        <v>424</v>
      </c>
      <c r="I23" s="417"/>
      <c r="J23" s="418"/>
    </row>
    <row r="24" spans="3:10" s="413" customFormat="1" ht="18" x14ac:dyDescent="0.25">
      <c r="C24" s="416"/>
      <c r="D24" s="522" t="s">
        <v>425</v>
      </c>
      <c r="I24" s="417"/>
      <c r="J24" s="418"/>
    </row>
    <row r="25" spans="3:10" s="413" customFormat="1" ht="18" x14ac:dyDescent="0.25">
      <c r="C25" s="416"/>
      <c r="D25" s="522" t="s">
        <v>426</v>
      </c>
      <c r="I25" s="417"/>
      <c r="J25" s="418"/>
    </row>
    <row r="26" spans="3:10" s="413" customFormat="1" ht="18" x14ac:dyDescent="0.25">
      <c r="C26" s="416"/>
      <c r="D26" s="522" t="s">
        <v>427</v>
      </c>
      <c r="I26" s="417"/>
      <c r="J26" s="418"/>
    </row>
    <row r="27" spans="3:10" s="413" customFormat="1" ht="18" x14ac:dyDescent="0.25">
      <c r="C27" s="416"/>
      <c r="D27" s="522" t="s">
        <v>428</v>
      </c>
      <c r="I27" s="417"/>
      <c r="J27" s="418"/>
    </row>
    <row r="28" spans="3:10" s="413" customFormat="1" ht="18" x14ac:dyDescent="0.25">
      <c r="C28" s="416"/>
      <c r="D28" s="522" t="s">
        <v>429</v>
      </c>
      <c r="I28" s="417"/>
      <c r="J28" s="418"/>
    </row>
    <row r="29" spans="3:10" s="413" customFormat="1" ht="18" x14ac:dyDescent="0.25">
      <c r="C29" s="416"/>
      <c r="D29" s="522"/>
      <c r="I29" s="417"/>
      <c r="J29" s="418"/>
    </row>
    <row r="30" spans="3:10" s="413" customFormat="1" ht="18" x14ac:dyDescent="0.25">
      <c r="C30" s="416" t="s">
        <v>180</v>
      </c>
      <c r="D30" s="522" t="s">
        <v>414</v>
      </c>
      <c r="I30" s="419"/>
      <c r="J30" s="418"/>
    </row>
    <row r="31" spans="3:10" s="413" customFormat="1" ht="18" x14ac:dyDescent="0.25">
      <c r="D31" s="522" t="s">
        <v>412</v>
      </c>
      <c r="I31" s="419"/>
      <c r="J31" s="418"/>
    </row>
    <row r="32" spans="3:10" s="413" customFormat="1" ht="18" x14ac:dyDescent="0.25">
      <c r="C32" s="416"/>
      <c r="D32" s="522" t="s">
        <v>418</v>
      </c>
      <c r="I32" s="419"/>
      <c r="J32" s="418"/>
    </row>
    <row r="33" spans="3:256" s="413" customFormat="1" ht="18" x14ac:dyDescent="0.25">
      <c r="C33" s="416"/>
      <c r="D33" s="522" t="s">
        <v>413</v>
      </c>
      <c r="I33" s="417"/>
      <c r="J33" s="418"/>
    </row>
    <row r="34" spans="3:256" s="413" customFormat="1" ht="18" x14ac:dyDescent="0.25">
      <c r="C34" s="416"/>
      <c r="D34" s="522" t="s">
        <v>415</v>
      </c>
      <c r="I34" s="419"/>
      <c r="J34" s="418"/>
    </row>
    <row r="35" spans="3:256" s="413" customFormat="1" ht="18" x14ac:dyDescent="0.25">
      <c r="C35" s="416"/>
      <c r="D35" s="522"/>
      <c r="I35" s="419"/>
      <c r="J35" s="418"/>
    </row>
    <row r="36" spans="3:256" s="413" customFormat="1" ht="18" x14ac:dyDescent="0.25">
      <c r="C36" s="416"/>
      <c r="D36" s="522"/>
      <c r="I36" s="417"/>
      <c r="J36" s="418"/>
    </row>
    <row r="37" spans="3:256" s="413" customFormat="1" ht="18" x14ac:dyDescent="0.25">
      <c r="D37" s="522"/>
      <c r="I37" s="417"/>
      <c r="J37" s="418"/>
    </row>
    <row r="38" spans="3:256" s="413" customFormat="1" ht="15" x14ac:dyDescent="0.2">
      <c r="I38" s="419"/>
      <c r="J38" s="418"/>
    </row>
    <row r="39" spans="3:256" s="413" customFormat="1" ht="15" x14ac:dyDescent="0.2">
      <c r="I39" s="417"/>
      <c r="J39" s="418"/>
    </row>
    <row r="40" spans="3:256" ht="15.75" x14ac:dyDescent="0.25">
      <c r="C40" s="413"/>
      <c r="E40" s="129"/>
      <c r="F40" s="239"/>
      <c r="H40" s="239"/>
      <c r="I40" s="413"/>
    </row>
    <row r="41" spans="3:256" ht="15.75" x14ac:dyDescent="0.25">
      <c r="E41" s="129"/>
    </row>
    <row r="42" spans="3:256" ht="15.75" x14ac:dyDescent="0.25">
      <c r="AA42" s="421"/>
    </row>
    <row r="43" spans="3:256" ht="15.75" x14ac:dyDescent="0.25">
      <c r="J43" s="421"/>
      <c r="K43" s="421"/>
      <c r="L43" s="421"/>
      <c r="M43" s="421"/>
      <c r="N43" s="421"/>
      <c r="O43" s="421"/>
      <c r="P43" s="421"/>
      <c r="Q43" s="421"/>
      <c r="R43" s="421"/>
      <c r="S43" s="421"/>
      <c r="T43" s="421"/>
      <c r="U43" s="421"/>
      <c r="V43" s="421"/>
      <c r="W43" s="421"/>
      <c r="X43" s="421"/>
      <c r="Y43" s="421"/>
      <c r="Z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Y43" s="421"/>
      <c r="AZ43" s="421"/>
      <c r="BA43" s="421"/>
      <c r="BB43" s="421"/>
      <c r="BC43" s="421"/>
      <c r="BD43" s="421"/>
      <c r="BE43" s="421"/>
      <c r="BF43" s="421"/>
      <c r="BG43" s="421"/>
      <c r="BH43" s="421"/>
      <c r="BI43" s="421"/>
      <c r="BJ43" s="421"/>
      <c r="BK43" s="421"/>
      <c r="BL43" s="421"/>
      <c r="BM43" s="421"/>
      <c r="BN43" s="421"/>
      <c r="BO43" s="421"/>
      <c r="BP43" s="421"/>
      <c r="BQ43" s="421"/>
      <c r="BR43" s="421"/>
      <c r="BS43" s="421"/>
      <c r="BT43" s="421"/>
      <c r="BU43" s="421"/>
      <c r="BV43" s="421"/>
      <c r="BW43" s="421"/>
      <c r="BX43" s="421"/>
      <c r="BY43" s="421"/>
      <c r="BZ43" s="421"/>
      <c r="CA43" s="421"/>
      <c r="CB43" s="421"/>
      <c r="CC43" s="421"/>
      <c r="CD43" s="421"/>
      <c r="CE43" s="421"/>
      <c r="CF43" s="421"/>
      <c r="CG43" s="421"/>
      <c r="CH43" s="421"/>
      <c r="CI43" s="421"/>
      <c r="CJ43" s="421"/>
      <c r="CK43" s="421"/>
      <c r="CL43" s="421"/>
      <c r="CM43" s="421"/>
      <c r="CN43" s="421"/>
      <c r="CO43" s="421"/>
      <c r="CP43" s="421"/>
      <c r="CQ43" s="421"/>
      <c r="CR43" s="421"/>
      <c r="CS43" s="421"/>
      <c r="CT43" s="421"/>
      <c r="CU43" s="421"/>
      <c r="CV43" s="421"/>
      <c r="CW43" s="421"/>
      <c r="CX43" s="421"/>
      <c r="CY43" s="421"/>
      <c r="CZ43" s="421"/>
      <c r="DA43" s="421"/>
      <c r="DB43" s="421"/>
      <c r="DC43" s="421"/>
      <c r="DD43" s="421"/>
      <c r="DE43" s="421"/>
      <c r="DF43" s="421"/>
      <c r="DG43" s="421"/>
      <c r="DH43" s="421"/>
      <c r="DI43" s="421"/>
      <c r="DJ43" s="421"/>
      <c r="DK43" s="421"/>
      <c r="DL43" s="421"/>
      <c r="DM43" s="421"/>
      <c r="DN43" s="421"/>
      <c r="DO43" s="421"/>
      <c r="DP43" s="421"/>
      <c r="DQ43" s="421"/>
      <c r="DR43" s="421"/>
      <c r="DS43" s="421"/>
      <c r="DT43" s="421"/>
      <c r="DU43" s="421"/>
      <c r="DV43" s="421"/>
      <c r="DW43" s="421"/>
      <c r="DX43" s="421"/>
      <c r="DY43" s="421"/>
      <c r="DZ43" s="421"/>
      <c r="EA43" s="421"/>
      <c r="EB43" s="421"/>
      <c r="EC43" s="421"/>
      <c r="ED43" s="421"/>
      <c r="EE43" s="421"/>
      <c r="EF43" s="421"/>
      <c r="EG43" s="421"/>
      <c r="EH43" s="421"/>
      <c r="EI43" s="421"/>
      <c r="EJ43" s="421"/>
      <c r="EK43" s="421"/>
      <c r="EL43" s="421"/>
      <c r="EM43" s="421"/>
      <c r="EN43" s="421"/>
      <c r="EO43" s="421"/>
      <c r="EP43" s="421"/>
      <c r="EQ43" s="421"/>
      <c r="ER43" s="421"/>
      <c r="ES43" s="421"/>
      <c r="ET43" s="421"/>
      <c r="EU43" s="421"/>
      <c r="EV43" s="421"/>
      <c r="EW43" s="421"/>
      <c r="EX43" s="421"/>
      <c r="EY43" s="421"/>
      <c r="EZ43" s="421"/>
      <c r="FA43" s="421"/>
      <c r="FB43" s="421"/>
      <c r="FC43" s="421"/>
      <c r="FD43" s="421"/>
      <c r="FE43" s="421"/>
      <c r="FF43" s="421"/>
      <c r="FG43" s="421"/>
      <c r="FH43" s="421"/>
      <c r="FI43" s="421"/>
      <c r="FJ43" s="421"/>
      <c r="FK43" s="421"/>
      <c r="FL43" s="421"/>
      <c r="FM43" s="421"/>
      <c r="FN43" s="421"/>
      <c r="FO43" s="421"/>
      <c r="FP43" s="421"/>
      <c r="FQ43" s="421"/>
      <c r="FR43" s="421"/>
      <c r="FS43" s="421"/>
      <c r="FT43" s="421"/>
      <c r="FU43" s="421"/>
      <c r="FV43" s="421"/>
      <c r="FW43" s="421"/>
      <c r="FX43" s="421"/>
      <c r="FY43" s="421"/>
      <c r="FZ43" s="421"/>
      <c r="GA43" s="421"/>
      <c r="GB43" s="421"/>
      <c r="GC43" s="421"/>
      <c r="GD43" s="421"/>
      <c r="GE43" s="421"/>
      <c r="GF43" s="421"/>
      <c r="GG43" s="421"/>
      <c r="GH43" s="421"/>
      <c r="GI43" s="421"/>
      <c r="GJ43" s="421"/>
      <c r="GK43" s="421"/>
      <c r="GL43" s="421"/>
      <c r="GM43" s="421"/>
      <c r="GN43" s="421"/>
      <c r="GO43" s="421"/>
      <c r="GP43" s="421"/>
      <c r="GQ43" s="421"/>
      <c r="GR43" s="421"/>
      <c r="GS43" s="421"/>
      <c r="GT43" s="421"/>
      <c r="GU43" s="421"/>
      <c r="GV43" s="421"/>
      <c r="GW43" s="421"/>
      <c r="GX43" s="421"/>
      <c r="GY43" s="421"/>
      <c r="GZ43" s="421"/>
      <c r="HA43" s="421"/>
      <c r="HB43" s="421"/>
      <c r="HC43" s="421"/>
      <c r="HD43" s="421"/>
      <c r="HE43" s="421"/>
      <c r="HF43" s="421"/>
      <c r="HG43" s="421"/>
      <c r="HH43" s="421"/>
      <c r="HI43" s="421"/>
      <c r="HJ43" s="421"/>
      <c r="HK43" s="421"/>
      <c r="HL43" s="421"/>
      <c r="HM43" s="421"/>
      <c r="HN43" s="421"/>
      <c r="HO43" s="421"/>
      <c r="HP43" s="421"/>
      <c r="HQ43" s="421"/>
      <c r="HR43" s="421"/>
      <c r="HS43" s="421"/>
      <c r="HT43" s="421"/>
      <c r="HU43" s="421"/>
      <c r="HV43" s="421"/>
      <c r="HW43" s="421"/>
      <c r="HX43" s="421"/>
      <c r="HY43" s="421"/>
      <c r="HZ43" s="421"/>
      <c r="IA43" s="421"/>
      <c r="IB43" s="421"/>
      <c r="IC43" s="421"/>
      <c r="ID43" s="421"/>
      <c r="IE43" s="421"/>
      <c r="IF43" s="421"/>
      <c r="IG43" s="421"/>
      <c r="IH43" s="421"/>
      <c r="II43" s="421"/>
      <c r="IJ43" s="421"/>
      <c r="IK43" s="421"/>
      <c r="IL43" s="421"/>
      <c r="IM43" s="421"/>
      <c r="IN43" s="421"/>
      <c r="IO43" s="421"/>
      <c r="IP43" s="421"/>
      <c r="IQ43" s="421"/>
      <c r="IR43" s="421"/>
      <c r="IS43" s="421"/>
      <c r="IT43" s="421"/>
      <c r="IU43" s="421"/>
      <c r="IV43" s="421"/>
    </row>
    <row r="44" spans="3:256" x14ac:dyDescent="0.2">
      <c r="F44" s="422"/>
      <c r="G44" s="422"/>
      <c r="H44" s="422"/>
      <c r="I44" s="422"/>
    </row>
    <row r="83" spans="1:7" ht="15.75" x14ac:dyDescent="0.25">
      <c r="A83" s="421"/>
      <c r="B83" s="421"/>
      <c r="C83" s="421"/>
      <c r="D83" s="421"/>
      <c r="E83" s="421"/>
      <c r="F83" s="421"/>
      <c r="G83" s="421"/>
    </row>
    <row r="84" spans="1:7" x14ac:dyDescent="0.2">
      <c r="A84" s="580"/>
      <c r="B84" s="580"/>
      <c r="C84" s="580"/>
      <c r="D84" s="580"/>
      <c r="E84" s="580"/>
      <c r="F84" s="580"/>
      <c r="G84" s="580"/>
    </row>
    <row r="85" spans="1:7" x14ac:dyDescent="0.2">
      <c r="A85" s="580"/>
      <c r="B85" s="580"/>
      <c r="C85" s="580"/>
      <c r="D85" s="580"/>
      <c r="E85" s="580"/>
      <c r="F85" s="580"/>
      <c r="G85" s="580"/>
    </row>
    <row r="86" spans="1:7" x14ac:dyDescent="0.2">
      <c r="A86" s="580"/>
      <c r="B86" s="580"/>
      <c r="C86" s="580"/>
      <c r="D86" s="580"/>
      <c r="E86" s="580"/>
      <c r="F86" s="580"/>
      <c r="G86" s="580"/>
    </row>
    <row r="87" spans="1:7" x14ac:dyDescent="0.2">
      <c r="A87" s="580"/>
      <c r="B87" s="580"/>
      <c r="C87" s="580"/>
      <c r="D87" s="580"/>
      <c r="E87" s="580"/>
      <c r="F87" s="580"/>
      <c r="G87" s="580"/>
    </row>
    <row r="88" spans="1:7" x14ac:dyDescent="0.2">
      <c r="A88" s="580"/>
      <c r="B88" s="580"/>
      <c r="C88" s="580"/>
      <c r="D88" s="580"/>
      <c r="E88" s="580"/>
      <c r="F88" s="580"/>
      <c r="G88" s="580"/>
    </row>
    <row r="89" spans="1:7" x14ac:dyDescent="0.2">
      <c r="A89" s="580"/>
      <c r="B89" s="580"/>
      <c r="C89" s="580"/>
      <c r="D89" s="580"/>
      <c r="E89" s="580"/>
      <c r="F89" s="580"/>
      <c r="G89" s="580"/>
    </row>
    <row r="90" spans="1:7" x14ac:dyDescent="0.2">
      <c r="A90" s="580"/>
      <c r="B90" s="580"/>
      <c r="C90" s="580"/>
      <c r="D90" s="580"/>
      <c r="E90" s="580"/>
      <c r="F90" s="580"/>
      <c r="G90" s="580"/>
    </row>
    <row r="91" spans="1:7" x14ac:dyDescent="0.2">
      <c r="A91" s="580"/>
      <c r="B91" s="580"/>
      <c r="C91" s="580"/>
      <c r="D91" s="580"/>
      <c r="E91" s="580"/>
      <c r="F91" s="580"/>
      <c r="G91" s="580"/>
    </row>
  </sheetData>
  <sheetProtection password="BE7F" sheet="1" objects="1" scenarios="1"/>
  <mergeCells count="5">
    <mergeCell ref="A84:G91"/>
    <mergeCell ref="C1:E1"/>
    <mergeCell ref="D2:G2"/>
    <mergeCell ref="D4:E4"/>
    <mergeCell ref="C9:E9"/>
  </mergeCells>
  <phoneticPr fontId="3" type="noConversion"/>
  <hyperlinks>
    <hyperlink ref="D10" location="Start_1" display="1. Info"/>
    <hyperlink ref="D12" location="Start_4" display="A. Data Input Sheet"/>
    <hyperlink ref="D13" location="Start_5" display="B. Tax Rates &amp; Exemptions"/>
    <hyperlink ref="D31" location="'T1 Taxable Income Test Year'!A1" display="'T1 Taxable Income Test Year"/>
    <hyperlink ref="D32" location="'T4 Sch 4 Loss Cfwd'!A1" display="T4 Schedule 4 Loss Carry Forward Test Year"/>
    <hyperlink ref="D33" location="'T8 Schedule 8 CCA Test Year  '!A1" display="'T8 Schedule 8 CCA Test Year"/>
    <hyperlink ref="D30" location="'T0 PILs,Tax Provision '!A1" display="'T0 PILs, Tax Provision Test Year"/>
    <hyperlink ref="D34" location="'T13 Sch 13 Reserve Test Year'!A1" display="'T13 Schedule 13 Reserve Test Year"/>
    <hyperlink ref="D16" location="'H0 PILs,Tax Provision Historic'!A1" display="H0 - PILs, Tax Provision Historical Year"/>
    <hyperlink ref="D17" location="'H1 Adj. Taxable Income Historic'!A1" display="H1 - Adj. Taxable Income Historical Year"/>
    <hyperlink ref="D18" location="'H4 Sch 4 Loss Cfwd Hist'!A1" display="H4 - Schedule 4 Loss Carry Forward Historical Year"/>
    <hyperlink ref="D19" location="'H8 Sch 8 Historical'!A1" display="H8 - Schedule 8 Historical"/>
    <hyperlink ref="D20" location="'H10 Schedule 10 CEC Hist'!A1" display="'H10 - Schedule 10 CEC Historical Year"/>
    <hyperlink ref="D21" location="'H13 Sch 13 Tax Reserves Histori'!A1" display="'H13 - Schedule 13 Tax Reserves Historical"/>
    <hyperlink ref="D23" location="'B0 PILs,Tax Provision Bridge'!A1" display="'B0 - PILs,Tax Provision Bridge Year"/>
    <hyperlink ref="D24" location="'B1 Adj. Taxable Income Bridge'!A1" display="'B1 - Adj. Taxable Income Bridge Year"/>
    <hyperlink ref="D25" location="'B4 Sch 4 Loss Cfwd Bridge'!A1" display="'B4 - Schedule 4 Loss Carry Forward Bridge Year"/>
    <hyperlink ref="D26" location="'B8 Schedule 8 CCA Bridge Year'!A1" display="'B8 - Schedule 8 CCA Bridge Year"/>
    <hyperlink ref="D27" location="'B10 Schedule 10 CEC Bridge Year'!A1" display="'B10 - Schedule 10 CEC Bridge Year"/>
    <hyperlink ref="D28" location="'B13 Sch 13 Tax Reserves Bridge'!A1" display="'B13 - Schedule 13 Tax Reserves Bridge Year"/>
    <hyperlink ref="D11" location="'S. Summary '!A1" display="'S. Summary"/>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zoomScaleNormal="100" workbookViewId="0">
      <selection activeCell="I10" sqref="I10"/>
    </sheetView>
  </sheetViews>
  <sheetFormatPr defaultColWidth="9.140625" defaultRowHeight="12.75" x14ac:dyDescent="0.2"/>
  <cols>
    <col min="1" max="1" width="3" style="10" customWidth="1"/>
    <col min="2" max="2" width="3.28515625" style="10" customWidth="1"/>
    <col min="3" max="5" width="25.42578125" style="10" customWidth="1"/>
    <col min="6" max="6" width="13.140625" style="10" customWidth="1"/>
    <col min="7" max="9" width="12.85546875" style="10" customWidth="1"/>
    <col min="10" max="11" width="9.140625" style="10"/>
    <col min="12" max="12" width="5.140625" style="10" customWidth="1"/>
    <col min="13" max="16384" width="9.140625" style="10"/>
  </cols>
  <sheetData>
    <row r="1" spans="1:10" ht="21.75" x14ac:dyDescent="0.2">
      <c r="A1" s="263"/>
      <c r="C1" s="584"/>
      <c r="D1" s="584"/>
      <c r="E1" s="584"/>
      <c r="F1" s="507"/>
    </row>
    <row r="2" spans="1:10" ht="41.25" customHeight="1" x14ac:dyDescent="0.25">
      <c r="C2" s="585"/>
      <c r="D2" s="585"/>
      <c r="E2" s="585"/>
      <c r="F2" s="585"/>
      <c r="G2" s="585"/>
      <c r="H2" s="585"/>
      <c r="I2" s="585"/>
      <c r="J2" s="585"/>
    </row>
    <row r="3" spans="1:10" ht="41.25" customHeight="1" x14ac:dyDescent="0.25">
      <c r="C3" s="585"/>
      <c r="D3" s="585"/>
      <c r="E3" s="585"/>
      <c r="F3" s="585"/>
      <c r="G3" s="585"/>
      <c r="H3" s="585"/>
      <c r="I3" s="585"/>
      <c r="J3" s="585"/>
    </row>
    <row r="4" spans="1:10" ht="18" x14ac:dyDescent="0.25">
      <c r="C4" s="585"/>
      <c r="D4" s="585"/>
      <c r="E4" s="585"/>
      <c r="F4" s="585"/>
      <c r="G4" s="585"/>
      <c r="H4" s="585"/>
      <c r="I4" s="585"/>
      <c r="J4" s="585"/>
    </row>
    <row r="7" spans="1:10" ht="21.75" customHeight="1" x14ac:dyDescent="0.25">
      <c r="C7" s="305" t="s">
        <v>353</v>
      </c>
    </row>
    <row r="9" spans="1:10" ht="18" x14ac:dyDescent="0.2">
      <c r="C9" s="333" t="s">
        <v>345</v>
      </c>
    </row>
    <row r="11" spans="1:10" ht="36" x14ac:dyDescent="0.2">
      <c r="C11" s="597" t="s">
        <v>152</v>
      </c>
      <c r="D11" s="598"/>
      <c r="E11" s="599"/>
      <c r="F11" s="392" t="s">
        <v>401</v>
      </c>
      <c r="G11" s="39" t="s">
        <v>3</v>
      </c>
      <c r="H11" s="39" t="s">
        <v>225</v>
      </c>
      <c r="I11" s="39" t="s">
        <v>153</v>
      </c>
      <c r="J11" s="97"/>
    </row>
    <row r="12" spans="1:10" x14ac:dyDescent="0.2">
      <c r="C12" s="600" t="s">
        <v>506</v>
      </c>
      <c r="D12" s="601"/>
      <c r="E12" s="602"/>
      <c r="F12" s="379" t="s">
        <v>404</v>
      </c>
      <c r="G12" s="550">
        <f>'B4 Sch 4 Loss Cfwd Bridge'!G16</f>
        <v>0</v>
      </c>
      <c r="H12" s="345"/>
      <c r="I12" s="98">
        <f>G12-H12</f>
        <v>0</v>
      </c>
      <c r="J12" s="99"/>
    </row>
    <row r="13" spans="1:10" x14ac:dyDescent="0.2">
      <c r="C13" s="103" t="s">
        <v>469</v>
      </c>
      <c r="D13" s="101"/>
      <c r="E13" s="102"/>
      <c r="F13" s="380" t="s">
        <v>392</v>
      </c>
      <c r="G13" s="98">
        <f>IF('T1 Taxable Income Test Year'!F115&lt;0,0,IF('T1 Taxable Income Test Year'!F115&gt;G12,G12,'T1 Taxable Income Test Year'!F115))</f>
        <v>0</v>
      </c>
      <c r="H13" s="345"/>
      <c r="I13" s="98">
        <f>G13-H13</f>
        <v>0</v>
      </c>
      <c r="J13" s="99"/>
    </row>
    <row r="14" spans="1:10" x14ac:dyDescent="0.2">
      <c r="C14" s="100" t="s">
        <v>468</v>
      </c>
      <c r="D14" s="100"/>
      <c r="E14" s="100"/>
      <c r="F14" s="499"/>
      <c r="G14" s="345"/>
      <c r="H14" s="345"/>
      <c r="I14" s="345"/>
      <c r="J14" s="99"/>
    </row>
    <row r="15" spans="1:10" x14ac:dyDescent="0.2">
      <c r="C15" s="597" t="s">
        <v>154</v>
      </c>
      <c r="D15" s="598"/>
      <c r="E15" s="599"/>
      <c r="F15" s="381" t="s">
        <v>405</v>
      </c>
      <c r="G15" s="98">
        <f>IF(ISERROR(G13/G14),G13,G13/G14)</f>
        <v>0</v>
      </c>
      <c r="H15" s="345"/>
      <c r="I15" s="98">
        <f>G15-H15</f>
        <v>0</v>
      </c>
      <c r="J15" s="99"/>
    </row>
    <row r="16" spans="1:10" x14ac:dyDescent="0.2">
      <c r="C16" s="633" t="s">
        <v>505</v>
      </c>
      <c r="D16" s="633"/>
      <c r="E16" s="633"/>
      <c r="F16" s="380" t="s">
        <v>392</v>
      </c>
      <c r="G16" s="98">
        <f>IF('T1 Taxable Income Test Year'!F115&lt;0,'T1 Taxable Income Test Year'!F115*-1,0)</f>
        <v>0</v>
      </c>
      <c r="H16" s="345"/>
      <c r="I16" s="98">
        <f>G16-H16</f>
        <v>0</v>
      </c>
      <c r="J16" s="99"/>
    </row>
    <row r="17" spans="3:10" x14ac:dyDescent="0.2">
      <c r="C17" s="600" t="s">
        <v>109</v>
      </c>
      <c r="D17" s="601"/>
      <c r="E17" s="602"/>
      <c r="F17" s="379"/>
      <c r="G17" s="345"/>
      <c r="H17" s="345"/>
      <c r="I17" s="98">
        <f>G17-H17</f>
        <v>0</v>
      </c>
      <c r="J17" s="99"/>
    </row>
    <row r="18" spans="3:10" x14ac:dyDescent="0.2">
      <c r="C18" s="100" t="s">
        <v>464</v>
      </c>
      <c r="D18" s="101"/>
      <c r="E18" s="102"/>
      <c r="F18" s="381" t="s">
        <v>405</v>
      </c>
      <c r="G18" s="98">
        <f>G12-G13+G16+G17</f>
        <v>0</v>
      </c>
      <c r="H18" s="345"/>
      <c r="I18" s="98">
        <f>G18-H18</f>
        <v>0</v>
      </c>
      <c r="J18" s="99"/>
    </row>
    <row r="19" spans="3:10" x14ac:dyDescent="0.2">
      <c r="C19" s="472"/>
      <c r="D19" s="472"/>
      <c r="E19" s="472"/>
      <c r="F19" s="497"/>
      <c r="G19" s="498"/>
      <c r="H19" s="498"/>
      <c r="I19" s="498"/>
      <c r="J19" s="99"/>
    </row>
    <row r="20" spans="3:10" x14ac:dyDescent="0.2">
      <c r="C20" s="97"/>
      <c r="D20" s="97"/>
      <c r="E20" s="97"/>
      <c r="F20" s="97"/>
      <c r="G20" s="99"/>
      <c r="H20" s="99"/>
      <c r="I20" s="99"/>
      <c r="J20" s="99"/>
    </row>
    <row r="21" spans="3:10" ht="36" x14ac:dyDescent="0.2">
      <c r="C21" s="597" t="s">
        <v>155</v>
      </c>
      <c r="D21" s="598"/>
      <c r="E21" s="599"/>
      <c r="F21" s="510"/>
      <c r="G21" s="39" t="s">
        <v>3</v>
      </c>
      <c r="H21" s="39" t="s">
        <v>225</v>
      </c>
      <c r="I21" s="39" t="s">
        <v>153</v>
      </c>
      <c r="J21" s="99"/>
    </row>
    <row r="22" spans="3:10" x14ac:dyDescent="0.2">
      <c r="C22" s="600" t="s">
        <v>506</v>
      </c>
      <c r="D22" s="601"/>
      <c r="E22" s="602"/>
      <c r="F22" s="379" t="s">
        <v>404</v>
      </c>
      <c r="G22" s="550">
        <f>'B4 Sch 4 Loss Cfwd Bridge'!G23</f>
        <v>0</v>
      </c>
      <c r="H22" s="345"/>
      <c r="I22" s="98">
        <f>G22-H22</f>
        <v>0</v>
      </c>
      <c r="J22" s="99"/>
    </row>
    <row r="23" spans="3:10" x14ac:dyDescent="0.2">
      <c r="C23" s="103" t="s">
        <v>469</v>
      </c>
      <c r="D23" s="101"/>
      <c r="E23" s="102"/>
      <c r="F23" s="102"/>
      <c r="G23" s="345"/>
      <c r="H23" s="345"/>
      <c r="I23" s="98">
        <f>G23-H23</f>
        <v>0</v>
      </c>
      <c r="J23" s="99"/>
    </row>
    <row r="24" spans="3:10" x14ac:dyDescent="0.2">
      <c r="C24" s="100" t="s">
        <v>468</v>
      </c>
      <c r="D24" s="100"/>
      <c r="E24" s="100"/>
      <c r="F24" s="499"/>
      <c r="G24" s="345"/>
      <c r="H24" s="345"/>
      <c r="I24" s="345"/>
      <c r="J24" s="99"/>
    </row>
    <row r="25" spans="3:10" x14ac:dyDescent="0.2">
      <c r="C25" s="597" t="s">
        <v>154</v>
      </c>
      <c r="D25" s="598"/>
      <c r="E25" s="599"/>
      <c r="F25" s="504" t="s">
        <v>392</v>
      </c>
      <c r="G25" s="98">
        <f>IF(ISERROR(G23/G24),G23,G23/G24)</f>
        <v>0</v>
      </c>
      <c r="H25" s="551"/>
      <c r="I25" s="98">
        <f>G25-H25</f>
        <v>0</v>
      </c>
      <c r="J25" s="99"/>
    </row>
    <row r="26" spans="3:10" x14ac:dyDescent="0.2">
      <c r="C26" s="633" t="s">
        <v>505</v>
      </c>
      <c r="D26" s="633"/>
      <c r="E26" s="633"/>
      <c r="F26" s="500"/>
      <c r="G26" s="552"/>
      <c r="H26" s="552"/>
      <c r="I26" s="98">
        <f>G26-H26</f>
        <v>0</v>
      </c>
    </row>
    <row r="27" spans="3:10" x14ac:dyDescent="0.2">
      <c r="C27" s="600" t="s">
        <v>109</v>
      </c>
      <c r="D27" s="601"/>
      <c r="E27" s="602"/>
      <c r="F27" s="379"/>
      <c r="G27" s="345"/>
      <c r="H27" s="345"/>
      <c r="I27" s="98">
        <f>G27-H27</f>
        <v>0</v>
      </c>
      <c r="J27" s="99"/>
    </row>
    <row r="28" spans="3:10" x14ac:dyDescent="0.2">
      <c r="C28" s="100" t="s">
        <v>464</v>
      </c>
      <c r="D28" s="101"/>
      <c r="E28" s="102"/>
      <c r="F28" s="500"/>
      <c r="G28" s="501">
        <f>G22-G23+G26+G27</f>
        <v>0</v>
      </c>
      <c r="H28" s="552"/>
      <c r="I28" s="98">
        <f>G28-H28</f>
        <v>0</v>
      </c>
    </row>
  </sheetData>
  <sheetProtection password="BE7F"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11" priority="7" stopIfTrue="1" operator="lessThan">
      <formula>0</formula>
    </cfRule>
  </conditionalFormatting>
  <conditionalFormatting sqref="G12:H13 G16:H17 G22:H23">
    <cfRule type="expression" dxfId="10" priority="8" stopIfTrue="1">
      <formula>ISBLANK(G12)</formula>
    </cfRule>
  </conditionalFormatting>
  <conditionalFormatting sqref="I15">
    <cfRule type="cellIs" dxfId="9" priority="6" stopIfTrue="1" operator="lessThan">
      <formula>0</formula>
    </cfRule>
  </conditionalFormatting>
  <conditionalFormatting sqref="I25">
    <cfRule type="cellIs" dxfId="8" priority="5" stopIfTrue="1" operator="lessThan">
      <formula>0</formula>
    </cfRule>
  </conditionalFormatting>
  <conditionalFormatting sqref="I26">
    <cfRule type="cellIs" dxfId="7" priority="4" stopIfTrue="1" operator="lessThan">
      <formula>0</formula>
    </cfRule>
  </conditionalFormatting>
  <conditionalFormatting sqref="I28">
    <cfRule type="cellIs" dxfId="6" priority="3" stopIfTrue="1" operator="lessThan">
      <formula>0</formula>
    </cfRule>
  </conditionalFormatting>
  <conditionalFormatting sqref="I27">
    <cfRule type="cellIs" dxfId="5" priority="1" stopIfTrue="1" operator="lessThan">
      <formula>0</formula>
    </cfRule>
  </conditionalFormatting>
  <conditionalFormatting sqref="G27:H27">
    <cfRule type="expression" dxfId="4" priority="2" stopIfTrue="1">
      <formula>ISBLANK(G27)</formula>
    </cfRule>
  </conditionalFormatting>
  <hyperlinks>
    <hyperlink ref="F12" location="'B4 Sch 4 Loss Cfwd Bridge'!A1" display="'B4"/>
    <hyperlink ref="F16" location="'T1 Taxable Income Test Year'!A1" display="'T1"/>
    <hyperlink ref="F22" location="'B4 Sch 4 Loss Cfwd Bridge'!A1" display="'B4"/>
    <hyperlink ref="F13" location="'T1 Taxable Income Test Year'!A1" display="'T1"/>
    <hyperlink ref="F25" location="'T1 Taxable Income Test Year'!A1" display="T1"/>
  </hyperlinks>
  <pageMargins left="0.75" right="0.75" top="1" bottom="1" header="0.5" footer="0.5"/>
  <pageSetup scale="85"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P48"/>
  <sheetViews>
    <sheetView topLeftCell="A16" zoomScaleNormal="100" workbookViewId="0">
      <selection activeCell="G30" sqref="G30"/>
    </sheetView>
  </sheetViews>
  <sheetFormatPr defaultColWidth="8.85546875" defaultRowHeight="12.75" x14ac:dyDescent="0.2"/>
  <cols>
    <col min="1" max="1" width="3.5703125" style="10" customWidth="1"/>
    <col min="2" max="2" width="4.140625" style="10" customWidth="1"/>
    <col min="3" max="3" width="11.5703125" style="10" bestFit="1" customWidth="1"/>
    <col min="4" max="4" width="63.140625" style="10" customWidth="1"/>
    <col min="5" max="5" width="16.140625" style="296" customWidth="1"/>
    <col min="6" max="13" width="15.28515625" style="10" customWidth="1"/>
    <col min="14" max="14" width="7.85546875" style="10" customWidth="1"/>
    <col min="15" max="15" width="15.28515625" style="10" customWidth="1"/>
    <col min="16" max="16384" width="8.85546875" style="10"/>
  </cols>
  <sheetData>
    <row r="1" spans="1:16" ht="21.75" x14ac:dyDescent="0.2">
      <c r="A1" s="263"/>
      <c r="C1" s="584"/>
      <c r="D1" s="584"/>
      <c r="E1" s="584"/>
      <c r="F1" s="584"/>
      <c r="G1" s="507"/>
      <c r="H1" s="507"/>
    </row>
    <row r="2" spans="1:16" ht="18" x14ac:dyDescent="0.25">
      <c r="C2" s="585"/>
      <c r="D2" s="585"/>
      <c r="E2" s="585"/>
      <c r="F2" s="585"/>
      <c r="G2" s="585"/>
      <c r="H2" s="585"/>
      <c r="I2" s="585"/>
      <c r="J2" s="585"/>
    </row>
    <row r="3" spans="1:16" ht="18" x14ac:dyDescent="0.25">
      <c r="C3" s="585"/>
      <c r="D3" s="585"/>
      <c r="E3" s="585"/>
      <c r="F3" s="585"/>
      <c r="G3" s="585"/>
      <c r="H3" s="585"/>
      <c r="I3" s="585"/>
      <c r="J3" s="585"/>
    </row>
    <row r="4" spans="1:16" ht="27.75" customHeight="1" x14ac:dyDescent="0.25">
      <c r="C4" s="585"/>
      <c r="D4" s="585"/>
      <c r="E4" s="585"/>
      <c r="F4" s="585"/>
      <c r="G4" s="585"/>
      <c r="H4" s="585"/>
      <c r="I4" s="585"/>
      <c r="J4" s="585"/>
    </row>
    <row r="5" spans="1:16" ht="27.75" customHeight="1" x14ac:dyDescent="0.2"/>
    <row r="6" spans="1:16" ht="38.25" customHeight="1" x14ac:dyDescent="0.2"/>
    <row r="7" spans="1:16" ht="27.75" customHeight="1" x14ac:dyDescent="0.3">
      <c r="B7" s="341" t="s">
        <v>351</v>
      </c>
      <c r="E7" s="10"/>
    </row>
    <row r="8" spans="1:16" ht="23.25" x14ac:dyDescent="0.35">
      <c r="D8" s="243"/>
      <c r="E8" s="10"/>
    </row>
    <row r="10" spans="1:16" ht="36" x14ac:dyDescent="0.2">
      <c r="C10" s="47" t="s">
        <v>75</v>
      </c>
      <c r="D10" s="38" t="s">
        <v>76</v>
      </c>
      <c r="E10" s="372" t="s">
        <v>401</v>
      </c>
      <c r="F10" s="39" t="s">
        <v>78</v>
      </c>
      <c r="G10" s="39" t="s">
        <v>107</v>
      </c>
      <c r="H10" s="39" t="s">
        <v>326</v>
      </c>
      <c r="I10" s="39" t="s">
        <v>99</v>
      </c>
      <c r="J10" s="39" t="s">
        <v>100</v>
      </c>
      <c r="K10" s="39" t="s">
        <v>101</v>
      </c>
      <c r="L10" s="48" t="s">
        <v>102</v>
      </c>
      <c r="M10" s="39" t="s">
        <v>103</v>
      </c>
      <c r="N10" s="39"/>
      <c r="O10" s="39" t="s">
        <v>104</v>
      </c>
      <c r="P10" s="375"/>
    </row>
    <row r="11" spans="1:16" x14ac:dyDescent="0.2">
      <c r="C11" s="130">
        <f>IF(ISBLANK('B8 Schedule 8 CCA Bridge Year'!C10), "", 'B8 Schedule 8 CCA Bridge Year'!C10)</f>
        <v>1</v>
      </c>
      <c r="D11" s="226" t="str">
        <f>IF(ISBLANK('B8 Schedule 8 CCA Bridge Year'!D10), "", 'B8 Schedule 8 CCA Bridge Year'!D10)</f>
        <v>Distribution System - post 1987</v>
      </c>
      <c r="E11" s="371" t="s">
        <v>400</v>
      </c>
      <c r="F11" s="236">
        <f>IF(ISBLANK('B8 Schedule 8 CCA Bridge Year'!O10), "", 'B8 Schedule 8 CCA Bridge Year'!O10)</f>
        <v>12592342.08</v>
      </c>
      <c r="G11" s="339"/>
      <c r="H11" s="339"/>
      <c r="I11" s="227">
        <f t="shared" ref="I11:I42" si="0">MAX((SUM(F11:H11)),0)</f>
        <v>12592342.08</v>
      </c>
      <c r="J11" s="227">
        <f>IF((G11+H11)&lt;=0, 0,(G11+H11)*0.5)</f>
        <v>0</v>
      </c>
      <c r="K11" s="227">
        <f t="shared" ref="K11:K42" si="1">+I11-J11</f>
        <v>12592342.08</v>
      </c>
      <c r="L11" s="476">
        <f>'B8 Schedule 8 CCA Bridge Year'!L10</f>
        <v>0.04</v>
      </c>
      <c r="M11" s="227">
        <f t="shared" ref="M11:M23" si="2">IF(+K11&lt;0,+K11,+K11*L11)</f>
        <v>503693.68320000003</v>
      </c>
      <c r="N11" s="227"/>
      <c r="O11" s="227">
        <f t="shared" ref="O11:O42" si="3">MAX(0,+I11-M11)</f>
        <v>12088648.3968</v>
      </c>
      <c r="P11" s="359"/>
    </row>
    <row r="12" spans="1:16" x14ac:dyDescent="0.2">
      <c r="C12" s="130" t="str">
        <f>IF(ISBLANK('B8 Schedule 8 CCA Bridge Year'!C11), "", 'B8 Schedule 8 CCA Bridge Year'!C11)</f>
        <v>1 Enhanced</v>
      </c>
      <c r="D12" s="226" t="str">
        <f>IF(ISBLANK('B8 Schedule 8 CCA Bridge Year'!D11), "", 'B8 Schedule 8 CCA Bridge Year'!D11)</f>
        <v xml:space="preserve">Non-residential Buildings Reg. 1100(1)(a.1) election </v>
      </c>
      <c r="E12" s="371" t="s">
        <v>400</v>
      </c>
      <c r="F12" s="236">
        <f>IF(ISBLANK('B8 Schedule 8 CCA Bridge Year'!O11), "", 'B8 Schedule 8 CCA Bridge Year'!O11)</f>
        <v>773422.71</v>
      </c>
      <c r="G12" s="575">
        <v>43000</v>
      </c>
      <c r="H12" s="339"/>
      <c r="I12" s="227">
        <f t="shared" si="0"/>
        <v>816422.71</v>
      </c>
      <c r="J12" s="227">
        <f t="shared" ref="J12:J42" si="4">IF((G12+H12)&lt;=0, 0,(G12+H12)*0.5)</f>
        <v>21500</v>
      </c>
      <c r="K12" s="227">
        <f t="shared" si="1"/>
        <v>794922.71</v>
      </c>
      <c r="L12" s="476">
        <f>'B8 Schedule 8 CCA Bridge Year'!L11</f>
        <v>0.06</v>
      </c>
      <c r="M12" s="227">
        <f t="shared" si="2"/>
        <v>47695.362599999993</v>
      </c>
      <c r="N12" s="227"/>
      <c r="O12" s="227">
        <f t="shared" si="3"/>
        <v>768727.34739999997</v>
      </c>
      <c r="P12" s="359"/>
    </row>
    <row r="13" spans="1:16" x14ac:dyDescent="0.2">
      <c r="C13" s="130">
        <f>IF(ISBLANK('B8 Schedule 8 CCA Bridge Year'!C12), "", 'B8 Schedule 8 CCA Bridge Year'!C12)</f>
        <v>2</v>
      </c>
      <c r="D13" s="226" t="str">
        <f>IF(ISBLANK('B8 Schedule 8 CCA Bridge Year'!D12), "", 'B8 Schedule 8 CCA Bridge Year'!D12)</f>
        <v>Distribution System - pre 1988</v>
      </c>
      <c r="E13" s="371" t="s">
        <v>400</v>
      </c>
      <c r="F13" s="236">
        <f>IF(ISBLANK('B8 Schedule 8 CCA Bridge Year'!O12), "", 'B8 Schedule 8 CCA Bridge Year'!O12)</f>
        <v>0</v>
      </c>
      <c r="G13" s="575"/>
      <c r="H13" s="339"/>
      <c r="I13" s="227">
        <f t="shared" si="0"/>
        <v>0</v>
      </c>
      <c r="J13" s="227">
        <f t="shared" si="4"/>
        <v>0</v>
      </c>
      <c r="K13" s="227">
        <f t="shared" si="1"/>
        <v>0</v>
      </c>
      <c r="L13" s="476">
        <f>'B8 Schedule 8 CCA Bridge Year'!L12</f>
        <v>0.06</v>
      </c>
      <c r="M13" s="227">
        <f t="shared" si="2"/>
        <v>0</v>
      </c>
      <c r="N13" s="227"/>
      <c r="O13" s="227">
        <f t="shared" si="3"/>
        <v>0</v>
      </c>
      <c r="P13" s="359"/>
    </row>
    <row r="14" spans="1:16" x14ac:dyDescent="0.2">
      <c r="C14" s="130">
        <f>IF(ISBLANK('B8 Schedule 8 CCA Bridge Year'!C13), "", 'B8 Schedule 8 CCA Bridge Year'!C13)</f>
        <v>8</v>
      </c>
      <c r="D14" s="226" t="str">
        <f>IF(ISBLANK('B8 Schedule 8 CCA Bridge Year'!D13), "", 'B8 Schedule 8 CCA Bridge Year'!D13)</f>
        <v>General Office/Stores Equip</v>
      </c>
      <c r="E14" s="371" t="s">
        <v>400</v>
      </c>
      <c r="F14" s="236">
        <f>IF(ISBLANK('B8 Schedule 8 CCA Bridge Year'!O13), "", 'B8 Schedule 8 CCA Bridge Year'!O13)</f>
        <v>1403882.4</v>
      </c>
      <c r="G14" s="575">
        <v>20000</v>
      </c>
      <c r="H14" s="339"/>
      <c r="I14" s="227">
        <f t="shared" si="0"/>
        <v>1423882.4</v>
      </c>
      <c r="J14" s="227">
        <f t="shared" si="4"/>
        <v>10000</v>
      </c>
      <c r="K14" s="227">
        <f t="shared" si="1"/>
        <v>1413882.4</v>
      </c>
      <c r="L14" s="476">
        <f>'B8 Schedule 8 CCA Bridge Year'!L13</f>
        <v>0.2</v>
      </c>
      <c r="M14" s="227">
        <f t="shared" si="2"/>
        <v>282776.48</v>
      </c>
      <c r="N14" s="227"/>
      <c r="O14" s="227">
        <f t="shared" si="3"/>
        <v>1141105.92</v>
      </c>
      <c r="P14" s="359"/>
    </row>
    <row r="15" spans="1:16" x14ac:dyDescent="0.2">
      <c r="C15" s="130">
        <f>IF(ISBLANK('B8 Schedule 8 CCA Bridge Year'!C14), "", 'B8 Schedule 8 CCA Bridge Year'!C14)</f>
        <v>10</v>
      </c>
      <c r="D15" s="226" t="str">
        <f>IF(ISBLANK('B8 Schedule 8 CCA Bridge Year'!D14), "", 'B8 Schedule 8 CCA Bridge Year'!D14)</f>
        <v>Computer Hardware/  Vehicles</v>
      </c>
      <c r="E15" s="371" t="s">
        <v>400</v>
      </c>
      <c r="F15" s="236">
        <f>IF(ISBLANK('B8 Schedule 8 CCA Bridge Year'!O14), "", 'B8 Schedule 8 CCA Bridge Year'!O14)</f>
        <v>265322.2</v>
      </c>
      <c r="G15" s="575">
        <v>41000</v>
      </c>
      <c r="H15" s="339"/>
      <c r="I15" s="227">
        <f t="shared" si="0"/>
        <v>306322.2</v>
      </c>
      <c r="J15" s="227">
        <f t="shared" si="4"/>
        <v>20500</v>
      </c>
      <c r="K15" s="227">
        <f t="shared" si="1"/>
        <v>285822.2</v>
      </c>
      <c r="L15" s="476">
        <f>'B8 Schedule 8 CCA Bridge Year'!L14</f>
        <v>0.3</v>
      </c>
      <c r="M15" s="227">
        <f t="shared" si="2"/>
        <v>85746.66</v>
      </c>
      <c r="N15" s="227"/>
      <c r="O15" s="227">
        <f t="shared" si="3"/>
        <v>220575.54</v>
      </c>
      <c r="P15" s="359"/>
    </row>
    <row r="16" spans="1:16" x14ac:dyDescent="0.2">
      <c r="C16" s="130">
        <f>IF(ISBLANK('B8 Schedule 8 CCA Bridge Year'!C15), "", 'B8 Schedule 8 CCA Bridge Year'!C15)</f>
        <v>10.1</v>
      </c>
      <c r="D16" s="226" t="str">
        <f>IF(ISBLANK('B8 Schedule 8 CCA Bridge Year'!D15), "", 'B8 Schedule 8 CCA Bridge Year'!D15)</f>
        <v>Certain Automobiles</v>
      </c>
      <c r="E16" s="371" t="s">
        <v>400</v>
      </c>
      <c r="F16" s="236">
        <f>IF(ISBLANK('B8 Schedule 8 CCA Bridge Year'!O15), "", 'B8 Schedule 8 CCA Bridge Year'!O15)</f>
        <v>0</v>
      </c>
      <c r="G16" s="575"/>
      <c r="H16" s="339"/>
      <c r="I16" s="227">
        <f t="shared" si="0"/>
        <v>0</v>
      </c>
      <c r="J16" s="227">
        <f t="shared" si="4"/>
        <v>0</v>
      </c>
      <c r="K16" s="227">
        <f t="shared" si="1"/>
        <v>0</v>
      </c>
      <c r="L16" s="476">
        <f>'B8 Schedule 8 CCA Bridge Year'!L15</f>
        <v>0.3</v>
      </c>
      <c r="M16" s="227">
        <f t="shared" si="2"/>
        <v>0</v>
      </c>
      <c r="N16" s="227"/>
      <c r="O16" s="227">
        <f t="shared" si="3"/>
        <v>0</v>
      </c>
      <c r="P16" s="359"/>
    </row>
    <row r="17" spans="3:16" x14ac:dyDescent="0.2">
      <c r="C17" s="130">
        <f>IF(ISBLANK('B8 Schedule 8 CCA Bridge Year'!C16), "", 'B8 Schedule 8 CCA Bridge Year'!C16)</f>
        <v>12</v>
      </c>
      <c r="D17" s="226" t="str">
        <f>IF(ISBLANK('B8 Schedule 8 CCA Bridge Year'!D16), "", 'B8 Schedule 8 CCA Bridge Year'!D16)</f>
        <v>Computer Software</v>
      </c>
      <c r="E17" s="371" t="s">
        <v>400</v>
      </c>
      <c r="F17" s="236">
        <f>IF(ISBLANK('B8 Schedule 8 CCA Bridge Year'!O16), "", 'B8 Schedule 8 CCA Bridge Year'!O16)</f>
        <v>0</v>
      </c>
      <c r="G17" s="575"/>
      <c r="H17" s="339"/>
      <c r="I17" s="227">
        <f t="shared" si="0"/>
        <v>0</v>
      </c>
      <c r="J17" s="227">
        <f t="shared" si="4"/>
        <v>0</v>
      </c>
      <c r="K17" s="227">
        <f t="shared" si="1"/>
        <v>0</v>
      </c>
      <c r="L17" s="476">
        <f>'B8 Schedule 8 CCA Bridge Year'!L16</f>
        <v>1</v>
      </c>
      <c r="M17" s="227">
        <f t="shared" si="2"/>
        <v>0</v>
      </c>
      <c r="N17" s="227"/>
      <c r="O17" s="227">
        <f t="shared" si="3"/>
        <v>0</v>
      </c>
      <c r="P17" s="359"/>
    </row>
    <row r="18" spans="3:16" x14ac:dyDescent="0.2">
      <c r="C18" s="130" t="str">
        <f>IF(ISBLANK('B8 Schedule 8 CCA Bridge Year'!C17), "", 'B8 Schedule 8 CCA Bridge Year'!C17)</f>
        <v>13 1</v>
      </c>
      <c r="D18" s="226" t="str">
        <f>IF(ISBLANK('B8 Schedule 8 CCA Bridge Year'!D17), "", 'B8 Schedule 8 CCA Bridge Year'!D17)</f>
        <v>Lease # 1</v>
      </c>
      <c r="E18" s="371" t="s">
        <v>400</v>
      </c>
      <c r="F18" s="236">
        <f>IF(ISBLANK('B8 Schedule 8 CCA Bridge Year'!O17), "", 'B8 Schedule 8 CCA Bridge Year'!O17)</f>
        <v>164804</v>
      </c>
      <c r="G18" s="575"/>
      <c r="H18" s="339"/>
      <c r="I18" s="227">
        <f t="shared" si="0"/>
        <v>164804</v>
      </c>
      <c r="J18" s="227">
        <f t="shared" si="4"/>
        <v>0</v>
      </c>
      <c r="K18" s="227">
        <f t="shared" si="1"/>
        <v>164804</v>
      </c>
      <c r="L18" s="348"/>
      <c r="M18" s="227">
        <f t="shared" si="2"/>
        <v>0</v>
      </c>
      <c r="N18" s="227"/>
      <c r="O18" s="227">
        <f t="shared" si="3"/>
        <v>164804</v>
      </c>
      <c r="P18" s="359"/>
    </row>
    <row r="19" spans="3:16" x14ac:dyDescent="0.2">
      <c r="C19" s="130" t="str">
        <f>IF(ISBLANK('B8 Schedule 8 CCA Bridge Year'!C18), "", 'B8 Schedule 8 CCA Bridge Year'!C18)</f>
        <v>13 2</v>
      </c>
      <c r="D19" s="226" t="str">
        <f>IF(ISBLANK('B8 Schedule 8 CCA Bridge Year'!D18), "", 'B8 Schedule 8 CCA Bridge Year'!D18)</f>
        <v>Lease #2</v>
      </c>
      <c r="E19" s="371" t="s">
        <v>400</v>
      </c>
      <c r="F19" s="236">
        <f>IF(ISBLANK('B8 Schedule 8 CCA Bridge Year'!O18), "", 'B8 Schedule 8 CCA Bridge Year'!O18)</f>
        <v>0</v>
      </c>
      <c r="G19" s="575"/>
      <c r="H19" s="339"/>
      <c r="I19" s="227">
        <f t="shared" si="0"/>
        <v>0</v>
      </c>
      <c r="J19" s="227">
        <f t="shared" si="4"/>
        <v>0</v>
      </c>
      <c r="K19" s="227">
        <f t="shared" si="1"/>
        <v>0</v>
      </c>
      <c r="L19" s="348"/>
      <c r="M19" s="227">
        <f t="shared" si="2"/>
        <v>0</v>
      </c>
      <c r="N19" s="227"/>
      <c r="O19" s="227">
        <f t="shared" si="3"/>
        <v>0</v>
      </c>
      <c r="P19" s="359"/>
    </row>
    <row r="20" spans="3:16" x14ac:dyDescent="0.2">
      <c r="C20" s="130" t="str">
        <f>IF(ISBLANK('B8 Schedule 8 CCA Bridge Year'!C19), "", 'B8 Schedule 8 CCA Bridge Year'!C19)</f>
        <v>13 3</v>
      </c>
      <c r="D20" s="226" t="str">
        <f>IF(ISBLANK('B8 Schedule 8 CCA Bridge Year'!D19), "", 'B8 Schedule 8 CCA Bridge Year'!D19)</f>
        <v>Lease # 3</v>
      </c>
      <c r="E20" s="371" t="s">
        <v>400</v>
      </c>
      <c r="F20" s="236">
        <f>IF(ISBLANK('B8 Schedule 8 CCA Bridge Year'!O19), "", 'B8 Schedule 8 CCA Bridge Year'!O19)</f>
        <v>0</v>
      </c>
      <c r="G20" s="575"/>
      <c r="H20" s="339"/>
      <c r="I20" s="227">
        <f t="shared" si="0"/>
        <v>0</v>
      </c>
      <c r="J20" s="227">
        <f t="shared" si="4"/>
        <v>0</v>
      </c>
      <c r="K20" s="227">
        <f t="shared" si="1"/>
        <v>0</v>
      </c>
      <c r="L20" s="348"/>
      <c r="M20" s="227">
        <f t="shared" si="2"/>
        <v>0</v>
      </c>
      <c r="N20" s="227"/>
      <c r="O20" s="227">
        <f t="shared" si="3"/>
        <v>0</v>
      </c>
      <c r="P20" s="359"/>
    </row>
    <row r="21" spans="3:16" x14ac:dyDescent="0.2">
      <c r="C21" s="130" t="str">
        <f>IF(ISBLANK('B8 Schedule 8 CCA Bridge Year'!C20), "", 'B8 Schedule 8 CCA Bridge Year'!C20)</f>
        <v>13 4</v>
      </c>
      <c r="D21" s="226" t="str">
        <f>IF(ISBLANK('B8 Schedule 8 CCA Bridge Year'!D20), "", 'B8 Schedule 8 CCA Bridge Year'!D20)</f>
        <v>Lease # 4</v>
      </c>
      <c r="E21" s="371" t="s">
        <v>400</v>
      </c>
      <c r="F21" s="236">
        <f>IF(ISBLANK('B8 Schedule 8 CCA Bridge Year'!O20), "", 'B8 Schedule 8 CCA Bridge Year'!O20)</f>
        <v>0</v>
      </c>
      <c r="G21" s="575"/>
      <c r="H21" s="339"/>
      <c r="I21" s="227">
        <f t="shared" si="0"/>
        <v>0</v>
      </c>
      <c r="J21" s="227">
        <f t="shared" si="4"/>
        <v>0</v>
      </c>
      <c r="K21" s="227">
        <f t="shared" si="1"/>
        <v>0</v>
      </c>
      <c r="L21" s="348"/>
      <c r="M21" s="227">
        <f t="shared" si="2"/>
        <v>0</v>
      </c>
      <c r="N21" s="227"/>
      <c r="O21" s="227">
        <f t="shared" si="3"/>
        <v>0</v>
      </c>
      <c r="P21" s="359"/>
    </row>
    <row r="22" spans="3:16" x14ac:dyDescent="0.2">
      <c r="C22" s="130">
        <f>IF(ISBLANK('B8 Schedule 8 CCA Bridge Year'!C21), "", 'B8 Schedule 8 CCA Bridge Year'!C21)</f>
        <v>14</v>
      </c>
      <c r="D22" s="226" t="str">
        <f>IF(ISBLANK('B8 Schedule 8 CCA Bridge Year'!D21), "", 'B8 Schedule 8 CCA Bridge Year'!D21)</f>
        <v>Franchise</v>
      </c>
      <c r="E22" s="371" t="s">
        <v>400</v>
      </c>
      <c r="F22" s="236">
        <f>IF(ISBLANK('B8 Schedule 8 CCA Bridge Year'!O21), "", 'B8 Schedule 8 CCA Bridge Year'!O21)</f>
        <v>0</v>
      </c>
      <c r="G22" s="575"/>
      <c r="H22" s="339"/>
      <c r="I22" s="227">
        <f t="shared" si="0"/>
        <v>0</v>
      </c>
      <c r="J22" s="227">
        <f t="shared" si="4"/>
        <v>0</v>
      </c>
      <c r="K22" s="227">
        <f t="shared" si="1"/>
        <v>0</v>
      </c>
      <c r="L22" s="348"/>
      <c r="M22" s="227">
        <f t="shared" si="2"/>
        <v>0</v>
      </c>
      <c r="N22" s="227"/>
      <c r="O22" s="227">
        <f t="shared" si="3"/>
        <v>0</v>
      </c>
      <c r="P22" s="359"/>
    </row>
    <row r="23" spans="3:16" x14ac:dyDescent="0.2">
      <c r="C23" s="130">
        <f>IF(ISBLANK('B8 Schedule 8 CCA Bridge Year'!C22), "", 'B8 Schedule 8 CCA Bridge Year'!C22)</f>
        <v>17</v>
      </c>
      <c r="D23" s="226" t="str">
        <f>IF(ISBLANK('B8 Schedule 8 CCA Bridge Year'!D22), "", 'B8 Schedule 8 CCA Bridge Year'!D22)</f>
        <v>New Electrical Generating Equipment Acq'd after Feb 27/00 Other Than Bldgs</v>
      </c>
      <c r="E23" s="371" t="s">
        <v>400</v>
      </c>
      <c r="F23" s="236">
        <f>IF(ISBLANK('B8 Schedule 8 CCA Bridge Year'!O22), "", 'B8 Schedule 8 CCA Bridge Year'!O22)</f>
        <v>0</v>
      </c>
      <c r="G23" s="575"/>
      <c r="H23" s="339"/>
      <c r="I23" s="227">
        <f t="shared" si="0"/>
        <v>0</v>
      </c>
      <c r="J23" s="227">
        <f t="shared" si="4"/>
        <v>0</v>
      </c>
      <c r="K23" s="227">
        <f t="shared" si="1"/>
        <v>0</v>
      </c>
      <c r="L23" s="476">
        <f>'B8 Schedule 8 CCA Bridge Year'!L22</f>
        <v>0.08</v>
      </c>
      <c r="M23" s="227">
        <f t="shared" si="2"/>
        <v>0</v>
      </c>
      <c r="N23" s="227"/>
      <c r="O23" s="227">
        <f t="shared" si="3"/>
        <v>0</v>
      </c>
      <c r="P23" s="359"/>
    </row>
    <row r="24" spans="3:16" x14ac:dyDescent="0.2">
      <c r="C24" s="130">
        <f>IF(ISBLANK('B8 Schedule 8 CCA Bridge Year'!C23), "", 'B8 Schedule 8 CCA Bridge Year'!C23)</f>
        <v>42</v>
      </c>
      <c r="D24" s="226" t="str">
        <f>IF(ISBLANK('B8 Schedule 8 CCA Bridge Year'!D23), "", 'B8 Schedule 8 CCA Bridge Year'!D23)</f>
        <v>Fibre Optic Cable</v>
      </c>
      <c r="E24" s="371" t="s">
        <v>400</v>
      </c>
      <c r="F24" s="236">
        <f>IF(ISBLANK('B8 Schedule 8 CCA Bridge Year'!O23), "", 'B8 Schedule 8 CCA Bridge Year'!O23)</f>
        <v>0</v>
      </c>
      <c r="G24" s="575"/>
      <c r="H24" s="339"/>
      <c r="I24" s="227">
        <f t="shared" si="0"/>
        <v>0</v>
      </c>
      <c r="J24" s="227">
        <f t="shared" si="4"/>
        <v>0</v>
      </c>
      <c r="K24" s="227">
        <f t="shared" si="1"/>
        <v>0</v>
      </c>
      <c r="L24" s="476">
        <f>'B8 Schedule 8 CCA Bridge Year'!L23</f>
        <v>0.12</v>
      </c>
      <c r="M24" s="227">
        <f t="shared" ref="M24:M42" si="5">IF(+K24&lt;0,+K24,+K24*L24)</f>
        <v>0</v>
      </c>
      <c r="N24" s="227"/>
      <c r="O24" s="227">
        <f t="shared" si="3"/>
        <v>0</v>
      </c>
      <c r="P24" s="359"/>
    </row>
    <row r="25" spans="3:16" x14ac:dyDescent="0.2">
      <c r="C25" s="130">
        <f>IF(ISBLANK('B8 Schedule 8 CCA Bridge Year'!C24), "", 'B8 Schedule 8 CCA Bridge Year'!C24)</f>
        <v>43.1</v>
      </c>
      <c r="D25" s="226" t="str">
        <f>IF(ISBLANK('B8 Schedule 8 CCA Bridge Year'!D24), "", 'B8 Schedule 8 CCA Bridge Year'!D24)</f>
        <v>Certain Energy-Efficient Electrical Generating Equipment</v>
      </c>
      <c r="E25" s="371" t="s">
        <v>400</v>
      </c>
      <c r="F25" s="236">
        <f>IF(ISBLANK('B8 Schedule 8 CCA Bridge Year'!O24), "", 'B8 Schedule 8 CCA Bridge Year'!O24)</f>
        <v>0</v>
      </c>
      <c r="G25" s="575"/>
      <c r="H25" s="339"/>
      <c r="I25" s="227">
        <f t="shared" si="0"/>
        <v>0</v>
      </c>
      <c r="J25" s="227">
        <f t="shared" si="4"/>
        <v>0</v>
      </c>
      <c r="K25" s="227">
        <f t="shared" si="1"/>
        <v>0</v>
      </c>
      <c r="L25" s="476">
        <f>'B8 Schedule 8 CCA Bridge Year'!L24</f>
        <v>0.3</v>
      </c>
      <c r="M25" s="227">
        <f t="shared" si="5"/>
        <v>0</v>
      </c>
      <c r="N25" s="227"/>
      <c r="O25" s="227">
        <f t="shared" si="3"/>
        <v>0</v>
      </c>
      <c r="P25" s="359"/>
    </row>
    <row r="26" spans="3:16" x14ac:dyDescent="0.2">
      <c r="C26" s="130">
        <f>IF(ISBLANK('B8 Schedule 8 CCA Bridge Year'!C25), "", 'B8 Schedule 8 CCA Bridge Year'!C25)</f>
        <v>43.2</v>
      </c>
      <c r="D26" s="226" t="str">
        <f>IF(ISBLANK('B8 Schedule 8 CCA Bridge Year'!D25), "", 'B8 Schedule 8 CCA Bridge Year'!D25)</f>
        <v xml:space="preserve">Certain Clean Energy Generation Equipment </v>
      </c>
      <c r="E26" s="371" t="s">
        <v>400</v>
      </c>
      <c r="F26" s="236">
        <f>IF(ISBLANK('B8 Schedule 8 CCA Bridge Year'!O25), "", 'B8 Schedule 8 CCA Bridge Year'!O25)</f>
        <v>61473.5</v>
      </c>
      <c r="G26" s="575">
        <v>35000</v>
      </c>
      <c r="H26" s="339"/>
      <c r="I26" s="227">
        <f t="shared" si="0"/>
        <v>96473.5</v>
      </c>
      <c r="J26" s="227">
        <f t="shared" si="4"/>
        <v>17500</v>
      </c>
      <c r="K26" s="227">
        <f t="shared" si="1"/>
        <v>78973.5</v>
      </c>
      <c r="L26" s="476">
        <f>'B8 Schedule 8 CCA Bridge Year'!L25</f>
        <v>0.5</v>
      </c>
      <c r="M26" s="227">
        <f t="shared" si="5"/>
        <v>39486.75</v>
      </c>
      <c r="N26" s="227"/>
      <c r="O26" s="227">
        <f t="shared" si="3"/>
        <v>56986.75</v>
      </c>
      <c r="P26" s="359"/>
    </row>
    <row r="27" spans="3:16" x14ac:dyDescent="0.2">
      <c r="C27" s="130">
        <f>IF(ISBLANK('B8 Schedule 8 CCA Bridge Year'!C26), "", 'B8 Schedule 8 CCA Bridge Year'!C26)</f>
        <v>45</v>
      </c>
      <c r="D27" s="226" t="str">
        <f>IF(ISBLANK('B8 Schedule 8 CCA Bridge Year'!D26), "", 'B8 Schedule 8 CCA Bridge Year'!D26)</f>
        <v>Computers &amp; Systems Software acq'd post Mar 22/04</v>
      </c>
      <c r="E27" s="371" t="s">
        <v>400</v>
      </c>
      <c r="F27" s="236">
        <f>IF(ISBLANK('B8 Schedule 8 CCA Bridge Year'!O26), "", 'B8 Schedule 8 CCA Bridge Year'!O26)</f>
        <v>93.5</v>
      </c>
      <c r="G27" s="575"/>
      <c r="H27" s="339"/>
      <c r="I27" s="227">
        <f t="shared" si="0"/>
        <v>93.5</v>
      </c>
      <c r="J27" s="227">
        <f t="shared" si="4"/>
        <v>0</v>
      </c>
      <c r="K27" s="227">
        <f t="shared" si="1"/>
        <v>93.5</v>
      </c>
      <c r="L27" s="476">
        <f>'B8 Schedule 8 CCA Bridge Year'!L26</f>
        <v>0.45</v>
      </c>
      <c r="M27" s="227">
        <f t="shared" si="5"/>
        <v>42.075000000000003</v>
      </c>
      <c r="N27" s="227"/>
      <c r="O27" s="227">
        <f t="shared" si="3"/>
        <v>51.424999999999997</v>
      </c>
      <c r="P27" s="359"/>
    </row>
    <row r="28" spans="3:16" x14ac:dyDescent="0.2">
      <c r="C28" s="130">
        <f>IF(ISBLANK('B8 Schedule 8 CCA Bridge Year'!C27), "", 'B8 Schedule 8 CCA Bridge Year'!C27)</f>
        <v>46</v>
      </c>
      <c r="D28" s="226" t="str">
        <f>IF(ISBLANK('B8 Schedule 8 CCA Bridge Year'!D27), "", 'B8 Schedule 8 CCA Bridge Year'!D27)</f>
        <v>Data Network Infrastructure Equipment (acq'd post Mar 22/04)</v>
      </c>
      <c r="E28" s="371" t="s">
        <v>400</v>
      </c>
      <c r="F28" s="236">
        <f>IF(ISBLANK('B8 Schedule 8 CCA Bridge Year'!O27), "", 'B8 Schedule 8 CCA Bridge Year'!O27)</f>
        <v>0</v>
      </c>
      <c r="G28" s="575"/>
      <c r="H28" s="339"/>
      <c r="I28" s="227">
        <f t="shared" si="0"/>
        <v>0</v>
      </c>
      <c r="J28" s="227">
        <f t="shared" si="4"/>
        <v>0</v>
      </c>
      <c r="K28" s="227">
        <f t="shared" si="1"/>
        <v>0</v>
      </c>
      <c r="L28" s="476">
        <f>'B8 Schedule 8 CCA Bridge Year'!L27</f>
        <v>0.3</v>
      </c>
      <c r="M28" s="227">
        <f t="shared" si="5"/>
        <v>0</v>
      </c>
      <c r="N28" s="227"/>
      <c r="O28" s="227">
        <f t="shared" si="3"/>
        <v>0</v>
      </c>
      <c r="P28" s="359"/>
    </row>
    <row r="29" spans="3:16" x14ac:dyDescent="0.2">
      <c r="C29" s="130">
        <f>IF(ISBLANK('B8 Schedule 8 CCA Bridge Year'!C28), "", 'B8 Schedule 8 CCA Bridge Year'!C28)</f>
        <v>47</v>
      </c>
      <c r="D29" s="226" t="str">
        <f>IF(ISBLANK('B8 Schedule 8 CCA Bridge Year'!D28), "", 'B8 Schedule 8 CCA Bridge Year'!D28)</f>
        <v>Distribution System - post February 2005</v>
      </c>
      <c r="E29" s="371" t="s">
        <v>400</v>
      </c>
      <c r="F29" s="236">
        <f>IF(ISBLANK('B8 Schedule 8 CCA Bridge Year'!O28), "", 'B8 Schedule 8 CCA Bridge Year'!O28)</f>
        <v>15517823.881774543</v>
      </c>
      <c r="G29" s="575">
        <f>3013950-200000</f>
        <v>2813950</v>
      </c>
      <c r="H29" s="339"/>
      <c r="I29" s="227">
        <f t="shared" si="0"/>
        <v>18331773.881774545</v>
      </c>
      <c r="J29" s="227">
        <f t="shared" si="4"/>
        <v>1406975</v>
      </c>
      <c r="K29" s="227">
        <f t="shared" si="1"/>
        <v>16924798.881774545</v>
      </c>
      <c r="L29" s="476">
        <f>'B8 Schedule 8 CCA Bridge Year'!L28</f>
        <v>0.08</v>
      </c>
      <c r="M29" s="227">
        <f t="shared" si="5"/>
        <v>1353983.9105419635</v>
      </c>
      <c r="N29" s="227"/>
      <c r="O29" s="227">
        <f t="shared" si="3"/>
        <v>16977789.971232582</v>
      </c>
      <c r="P29" s="359"/>
    </row>
    <row r="30" spans="3:16" x14ac:dyDescent="0.2">
      <c r="C30" s="130">
        <f>IF(ISBLANK('B8 Schedule 8 CCA Bridge Year'!C29), "", 'B8 Schedule 8 CCA Bridge Year'!C29)</f>
        <v>50</v>
      </c>
      <c r="D30" s="226" t="str">
        <f>IF(ISBLANK('B8 Schedule 8 CCA Bridge Year'!D29), "", 'B8 Schedule 8 CCA Bridge Year'!D29)</f>
        <v>Data Network Infrastructure Equipment - post Mar 2007</v>
      </c>
      <c r="E30" s="371" t="s">
        <v>400</v>
      </c>
      <c r="F30" s="236">
        <f>IF(ISBLANK('B8 Schedule 8 CCA Bridge Year'!O29), "", 'B8 Schedule 8 CCA Bridge Year'!O29)</f>
        <v>52720.899999999994</v>
      </c>
      <c r="G30" s="575">
        <v>90000</v>
      </c>
      <c r="H30" s="339"/>
      <c r="I30" s="227">
        <f t="shared" si="0"/>
        <v>142720.9</v>
      </c>
      <c r="J30" s="227">
        <f t="shared" si="4"/>
        <v>45000</v>
      </c>
      <c r="K30" s="227">
        <f t="shared" si="1"/>
        <v>97720.9</v>
      </c>
      <c r="L30" s="476">
        <f>'B8 Schedule 8 CCA Bridge Year'!L29</f>
        <v>0.55000000000000004</v>
      </c>
      <c r="M30" s="227">
        <f t="shared" si="5"/>
        <v>53746.495000000003</v>
      </c>
      <c r="N30" s="227"/>
      <c r="O30" s="227">
        <f t="shared" si="3"/>
        <v>88974.404999999999</v>
      </c>
      <c r="P30" s="359"/>
    </row>
    <row r="31" spans="3:16" x14ac:dyDescent="0.2">
      <c r="C31" s="130">
        <f>IF(ISBLANK('B8 Schedule 8 CCA Bridge Year'!C30), "", 'B8 Schedule 8 CCA Bridge Year'!C30)</f>
        <v>52</v>
      </c>
      <c r="D31" s="226" t="str">
        <f>IF(ISBLANK('B8 Schedule 8 CCA Bridge Year'!D30), "", 'B8 Schedule 8 CCA Bridge Year'!D30)</f>
        <v xml:space="preserve">Computer Hardware and system software </v>
      </c>
      <c r="E31" s="371" t="s">
        <v>400</v>
      </c>
      <c r="F31" s="236">
        <f>IF(ISBLANK('B8 Schedule 8 CCA Bridge Year'!O30), "", 'B8 Schedule 8 CCA Bridge Year'!O30)</f>
        <v>0</v>
      </c>
      <c r="G31" s="575"/>
      <c r="H31" s="339"/>
      <c r="I31" s="227">
        <f t="shared" si="0"/>
        <v>0</v>
      </c>
      <c r="J31" s="227">
        <f t="shared" si="4"/>
        <v>0</v>
      </c>
      <c r="K31" s="227">
        <f t="shared" si="1"/>
        <v>0</v>
      </c>
      <c r="L31" s="476">
        <f>'B8 Schedule 8 CCA Bridge Year'!L30</f>
        <v>1</v>
      </c>
      <c r="M31" s="227">
        <f t="shared" si="5"/>
        <v>0</v>
      </c>
      <c r="N31" s="227"/>
      <c r="O31" s="227">
        <f t="shared" si="3"/>
        <v>0</v>
      </c>
      <c r="P31" s="359"/>
    </row>
    <row r="32" spans="3:16" x14ac:dyDescent="0.2">
      <c r="C32" s="130">
        <f>IF(ISBLANK('B8 Schedule 8 CCA Bridge Year'!C31), "", 'B8 Schedule 8 CCA Bridge Year'!C31)</f>
        <v>95</v>
      </c>
      <c r="D32" s="226" t="str">
        <f>IF(ISBLANK('B8 Schedule 8 CCA Bridge Year'!D31), "", 'B8 Schedule 8 CCA Bridge Year'!D31)</f>
        <v>CWIP</v>
      </c>
      <c r="E32" s="371" t="s">
        <v>400</v>
      </c>
      <c r="F32" s="236">
        <f>IF(ISBLANK('B8 Schedule 8 CCA Bridge Year'!O31), "", 'B8 Schedule 8 CCA Bridge Year'!O31)</f>
        <v>990591</v>
      </c>
      <c r="G32" s="575"/>
      <c r="H32" s="339"/>
      <c r="I32" s="227">
        <f t="shared" si="0"/>
        <v>990591</v>
      </c>
      <c r="J32" s="227">
        <f t="shared" si="4"/>
        <v>0</v>
      </c>
      <c r="K32" s="227">
        <f t="shared" si="1"/>
        <v>990591</v>
      </c>
      <c r="L32" s="476">
        <f>'B8 Schedule 8 CCA Bridge Year'!L31</f>
        <v>0</v>
      </c>
      <c r="M32" s="227">
        <f t="shared" si="5"/>
        <v>0</v>
      </c>
      <c r="N32" s="227"/>
      <c r="O32" s="227">
        <f t="shared" si="3"/>
        <v>990591</v>
      </c>
      <c r="P32" s="359"/>
    </row>
    <row r="33" spans="3:15" x14ac:dyDescent="0.2">
      <c r="C33" s="130">
        <f>IF(ISBLANK('B8 Schedule 8 CCA Bridge Year'!C32), "", 'B8 Schedule 8 CCA Bridge Year'!C32)</f>
        <v>14.1</v>
      </c>
      <c r="D33" s="226" t="str">
        <f>IF(ISBLANK('B8 Schedule 8 CCA Bridge Year'!D32), "", 'B8 Schedule 8 CCA Bridge Year'!D32)</f>
        <v>Eligible Capital Property (acq'd pre Jan 1, 2017)1</v>
      </c>
      <c r="E33" s="371" t="s">
        <v>400</v>
      </c>
      <c r="F33" s="236">
        <f>IF(ISBLANK('B8 Schedule 8 CCA Bridge Year'!O32), "", 'B8 Schedule 8 CCA Bridge Year'!O32)</f>
        <v>231943.04392500001</v>
      </c>
      <c r="G33" s="553"/>
      <c r="H33" s="339"/>
      <c r="I33" s="227">
        <f t="shared" si="0"/>
        <v>231943.04392500001</v>
      </c>
      <c r="J33" s="227">
        <f t="shared" si="4"/>
        <v>0</v>
      </c>
      <c r="K33" s="227">
        <f t="shared" si="1"/>
        <v>231943.04392500001</v>
      </c>
      <c r="L33" s="476">
        <f>'B8 Schedule 8 CCA Bridge Year'!L32</f>
        <v>7.0000000000000007E-2</v>
      </c>
      <c r="M33" s="227">
        <f t="shared" si="5"/>
        <v>16236.013074750002</v>
      </c>
      <c r="N33" s="227"/>
      <c r="O33" s="227">
        <f t="shared" si="3"/>
        <v>215707.03085025001</v>
      </c>
    </row>
    <row r="34" spans="3:15" x14ac:dyDescent="0.2">
      <c r="C34" s="130">
        <f>IF(ISBLANK('B8 Schedule 8 CCA Bridge Year'!C33), "", 'B8 Schedule 8 CCA Bridge Year'!C33)</f>
        <v>14.1</v>
      </c>
      <c r="D34" s="226" t="str">
        <f>IF(ISBLANK('B8 Schedule 8 CCA Bridge Year'!D33), "", 'B8 Schedule 8 CCA Bridge Year'!D33)</f>
        <v>Eligible Capital Property (acq'd post Jan 1, 2017)1</v>
      </c>
      <c r="E34" s="371" t="s">
        <v>400</v>
      </c>
      <c r="F34" s="236">
        <f>IF(ISBLANK('B8 Schedule 8 CCA Bridge Year'!O33), "", 'B8 Schedule 8 CCA Bridge Year'!O33)</f>
        <v>0</v>
      </c>
      <c r="G34" s="339"/>
      <c r="H34" s="339"/>
      <c r="I34" s="227">
        <f t="shared" si="0"/>
        <v>0</v>
      </c>
      <c r="J34" s="227">
        <f t="shared" si="4"/>
        <v>0</v>
      </c>
      <c r="K34" s="227">
        <f t="shared" si="1"/>
        <v>0</v>
      </c>
      <c r="L34" s="476">
        <f>'B8 Schedule 8 CCA Bridge Year'!L33</f>
        <v>0.05</v>
      </c>
      <c r="M34" s="227">
        <f t="shared" si="5"/>
        <v>0</v>
      </c>
      <c r="N34" s="227"/>
      <c r="O34" s="227">
        <f t="shared" si="3"/>
        <v>0</v>
      </c>
    </row>
    <row r="35" spans="3:15" x14ac:dyDescent="0.2">
      <c r="C35" s="306" t="str">
        <f>IF(ISBLANK('B8 Schedule 8 CCA Bridge Year'!C34), "", 'B8 Schedule 8 CCA Bridge Year'!C34)</f>
        <v/>
      </c>
      <c r="D35" s="307" t="str">
        <f>IF(ISBLANK('B8 Schedule 8 CCA Bridge Year'!D34), "", 'B8 Schedule 8 CCA Bridge Year'!D34)</f>
        <v/>
      </c>
      <c r="E35" s="224"/>
      <c r="F35" s="236">
        <f>IF(ISBLANK('B8 Schedule 8 CCA Bridge Year'!O34), "", 'B8 Schedule 8 CCA Bridge Year'!O34)</f>
        <v>0</v>
      </c>
      <c r="G35" s="339"/>
      <c r="H35" s="339"/>
      <c r="I35" s="227">
        <f t="shared" si="0"/>
        <v>0</v>
      </c>
      <c r="J35" s="227">
        <f t="shared" si="4"/>
        <v>0</v>
      </c>
      <c r="K35" s="227">
        <f t="shared" si="1"/>
        <v>0</v>
      </c>
      <c r="L35" s="476">
        <f>'B8 Schedule 8 CCA Bridge Year'!L34</f>
        <v>0</v>
      </c>
      <c r="M35" s="227">
        <f t="shared" si="5"/>
        <v>0</v>
      </c>
      <c r="N35" s="227"/>
      <c r="O35" s="227">
        <f t="shared" si="3"/>
        <v>0</v>
      </c>
    </row>
    <row r="36" spans="3:15" x14ac:dyDescent="0.2">
      <c r="C36" s="306" t="str">
        <f>IF(ISBLANK('B8 Schedule 8 CCA Bridge Year'!C35), "", 'B8 Schedule 8 CCA Bridge Year'!C35)</f>
        <v/>
      </c>
      <c r="D36" s="307" t="str">
        <f>IF(ISBLANK('B8 Schedule 8 CCA Bridge Year'!D35), "", 'B8 Schedule 8 CCA Bridge Year'!D35)</f>
        <v/>
      </c>
      <c r="E36" s="224"/>
      <c r="F36" s="236">
        <f>IF(ISBLANK('B8 Schedule 8 CCA Bridge Year'!O35), "", 'B8 Schedule 8 CCA Bridge Year'!O35)</f>
        <v>0</v>
      </c>
      <c r="G36" s="339"/>
      <c r="H36" s="339"/>
      <c r="I36" s="227">
        <f>MAX((SUM(F36:H36)),0)</f>
        <v>0</v>
      </c>
      <c r="J36" s="227">
        <f t="shared" si="4"/>
        <v>0</v>
      </c>
      <c r="K36" s="227">
        <f>+I36-J36</f>
        <v>0</v>
      </c>
      <c r="L36" s="476">
        <f>'B8 Schedule 8 CCA Bridge Year'!L35</f>
        <v>0</v>
      </c>
      <c r="M36" s="227">
        <f>IF(+K36&lt;0,+K36,+K36*L36)</f>
        <v>0</v>
      </c>
      <c r="N36" s="227"/>
      <c r="O36" s="227">
        <f t="shared" si="3"/>
        <v>0</v>
      </c>
    </row>
    <row r="37" spans="3:15" x14ac:dyDescent="0.2">
      <c r="C37" s="306" t="str">
        <f>IF(ISBLANK('B8 Schedule 8 CCA Bridge Year'!C36), "", 'B8 Schedule 8 CCA Bridge Year'!C36)</f>
        <v/>
      </c>
      <c r="D37" s="307" t="str">
        <f>IF(ISBLANK('B8 Schedule 8 CCA Bridge Year'!D36), "", 'B8 Schedule 8 CCA Bridge Year'!D36)</f>
        <v/>
      </c>
      <c r="E37" s="224"/>
      <c r="F37" s="236">
        <f>IF(ISBLANK('B8 Schedule 8 CCA Bridge Year'!O36), "", 'B8 Schedule 8 CCA Bridge Year'!O36)</f>
        <v>0</v>
      </c>
      <c r="G37" s="339"/>
      <c r="H37" s="339"/>
      <c r="I37" s="227">
        <f>MAX((SUM(F37:H37)),0)</f>
        <v>0</v>
      </c>
      <c r="J37" s="227">
        <f t="shared" si="4"/>
        <v>0</v>
      </c>
      <c r="K37" s="227">
        <f>+I37-J37</f>
        <v>0</v>
      </c>
      <c r="L37" s="476">
        <f>'B8 Schedule 8 CCA Bridge Year'!L36</f>
        <v>0</v>
      </c>
      <c r="M37" s="227">
        <f>IF(+K37&lt;0,+K37,+K37*L37)</f>
        <v>0</v>
      </c>
      <c r="N37" s="227"/>
      <c r="O37" s="227">
        <f t="shared" si="3"/>
        <v>0</v>
      </c>
    </row>
    <row r="38" spans="3:15" x14ac:dyDescent="0.2">
      <c r="C38" s="306" t="str">
        <f>IF(ISBLANK('B8 Schedule 8 CCA Bridge Year'!C37), "", 'B8 Schedule 8 CCA Bridge Year'!C37)</f>
        <v/>
      </c>
      <c r="D38" s="307" t="str">
        <f>IF(ISBLANK('B8 Schedule 8 CCA Bridge Year'!D37), "", 'B8 Schedule 8 CCA Bridge Year'!D37)</f>
        <v/>
      </c>
      <c r="E38" s="224"/>
      <c r="F38" s="236">
        <f>IF(ISBLANK('B8 Schedule 8 CCA Bridge Year'!O37), "", 'B8 Schedule 8 CCA Bridge Year'!O37)</f>
        <v>0</v>
      </c>
      <c r="G38" s="339"/>
      <c r="H38" s="339"/>
      <c r="I38" s="227">
        <f>MAX((SUM(F38:H38)),0)</f>
        <v>0</v>
      </c>
      <c r="J38" s="227">
        <f t="shared" si="4"/>
        <v>0</v>
      </c>
      <c r="K38" s="227">
        <f>+I38-J38</f>
        <v>0</v>
      </c>
      <c r="L38" s="476">
        <f>'B8 Schedule 8 CCA Bridge Year'!L37</f>
        <v>0</v>
      </c>
      <c r="M38" s="227">
        <f>IF(+K38&lt;0,+K38,+K38*L38)</f>
        <v>0</v>
      </c>
      <c r="N38" s="227"/>
      <c r="O38" s="227">
        <f t="shared" si="3"/>
        <v>0</v>
      </c>
    </row>
    <row r="39" spans="3:15" x14ac:dyDescent="0.2">
      <c r="C39" s="306" t="str">
        <f>IF(ISBLANK('B8 Schedule 8 CCA Bridge Year'!C38), "", 'B8 Schedule 8 CCA Bridge Year'!C38)</f>
        <v/>
      </c>
      <c r="D39" s="307" t="str">
        <f>IF(ISBLANK('B8 Schedule 8 CCA Bridge Year'!D38), "", 'B8 Schedule 8 CCA Bridge Year'!D38)</f>
        <v/>
      </c>
      <c r="E39" s="224"/>
      <c r="F39" s="236">
        <f>IF(ISBLANK('B8 Schedule 8 CCA Bridge Year'!O38), "", 'B8 Schedule 8 CCA Bridge Year'!O38)</f>
        <v>0</v>
      </c>
      <c r="G39" s="339"/>
      <c r="H39" s="339"/>
      <c r="I39" s="227">
        <f t="shared" si="0"/>
        <v>0</v>
      </c>
      <c r="J39" s="227">
        <f t="shared" si="4"/>
        <v>0</v>
      </c>
      <c r="K39" s="227">
        <f t="shared" si="1"/>
        <v>0</v>
      </c>
      <c r="L39" s="476">
        <f>'B8 Schedule 8 CCA Bridge Year'!L38</f>
        <v>0</v>
      </c>
      <c r="M39" s="227">
        <f t="shared" si="5"/>
        <v>0</v>
      </c>
      <c r="N39" s="227"/>
      <c r="O39" s="227">
        <f t="shared" si="3"/>
        <v>0</v>
      </c>
    </row>
    <row r="40" spans="3:15" x14ac:dyDescent="0.2">
      <c r="C40" s="306" t="str">
        <f>IF(ISBLANK('B8 Schedule 8 CCA Bridge Year'!C39), "", 'B8 Schedule 8 CCA Bridge Year'!C39)</f>
        <v/>
      </c>
      <c r="D40" s="307" t="str">
        <f>IF(ISBLANK('B8 Schedule 8 CCA Bridge Year'!D39), "", 'B8 Schedule 8 CCA Bridge Year'!D39)</f>
        <v/>
      </c>
      <c r="E40" s="224"/>
      <c r="F40" s="236">
        <f>IF(ISBLANK('B8 Schedule 8 CCA Bridge Year'!O39), "", 'B8 Schedule 8 CCA Bridge Year'!O39)</f>
        <v>0</v>
      </c>
      <c r="G40" s="339"/>
      <c r="H40" s="339"/>
      <c r="I40" s="227">
        <f t="shared" si="0"/>
        <v>0</v>
      </c>
      <c r="J40" s="227">
        <f t="shared" si="4"/>
        <v>0</v>
      </c>
      <c r="K40" s="227">
        <f t="shared" si="1"/>
        <v>0</v>
      </c>
      <c r="L40" s="476">
        <f>'B8 Schedule 8 CCA Bridge Year'!L39</f>
        <v>0</v>
      </c>
      <c r="M40" s="227">
        <f t="shared" si="5"/>
        <v>0</v>
      </c>
      <c r="N40" s="227"/>
      <c r="O40" s="227">
        <f t="shared" si="3"/>
        <v>0</v>
      </c>
    </row>
    <row r="41" spans="3:15" x14ac:dyDescent="0.2">
      <c r="C41" s="306" t="str">
        <f>IF(ISBLANK('B8 Schedule 8 CCA Bridge Year'!C40), "", 'B8 Schedule 8 CCA Bridge Year'!C40)</f>
        <v/>
      </c>
      <c r="D41" s="307" t="str">
        <f>IF(ISBLANK('B8 Schedule 8 CCA Bridge Year'!D40), "", 'B8 Schedule 8 CCA Bridge Year'!D40)</f>
        <v/>
      </c>
      <c r="E41" s="224"/>
      <c r="F41" s="236">
        <f>IF(ISBLANK('B8 Schedule 8 CCA Bridge Year'!O40), "", 'B8 Schedule 8 CCA Bridge Year'!O40)</f>
        <v>0</v>
      </c>
      <c r="G41" s="339"/>
      <c r="H41" s="339"/>
      <c r="I41" s="227">
        <f t="shared" si="0"/>
        <v>0</v>
      </c>
      <c r="J41" s="227">
        <f t="shared" si="4"/>
        <v>0</v>
      </c>
      <c r="K41" s="227">
        <f t="shared" si="1"/>
        <v>0</v>
      </c>
      <c r="L41" s="476">
        <f>'B8 Schedule 8 CCA Bridge Year'!L40</f>
        <v>0</v>
      </c>
      <c r="M41" s="227">
        <f t="shared" si="5"/>
        <v>0</v>
      </c>
      <c r="N41" s="227"/>
      <c r="O41" s="227">
        <f t="shared" si="3"/>
        <v>0</v>
      </c>
    </row>
    <row r="42" spans="3:15" ht="13.5" thickBot="1" x14ac:dyDescent="0.25">
      <c r="C42" s="306" t="str">
        <f>IF(ISBLANK('B8 Schedule 8 CCA Bridge Year'!C41), "", 'B8 Schedule 8 CCA Bridge Year'!C41)</f>
        <v/>
      </c>
      <c r="D42" s="307" t="str">
        <f>IF(ISBLANK('B8 Schedule 8 CCA Bridge Year'!D41), "", 'B8 Schedule 8 CCA Bridge Year'!D41)</f>
        <v/>
      </c>
      <c r="E42" s="224"/>
      <c r="F42" s="236">
        <f>IF(ISBLANK('B8 Schedule 8 CCA Bridge Year'!O41), "", 'B8 Schedule 8 CCA Bridge Year'!O41)</f>
        <v>0</v>
      </c>
      <c r="G42" s="339"/>
      <c r="H42" s="339"/>
      <c r="I42" s="227">
        <f t="shared" si="0"/>
        <v>0</v>
      </c>
      <c r="J42" s="227">
        <f t="shared" si="4"/>
        <v>0</v>
      </c>
      <c r="K42" s="227">
        <f t="shared" si="1"/>
        <v>0</v>
      </c>
      <c r="L42" s="476">
        <f>'B8 Schedule 8 CCA Bridge Year'!L41</f>
        <v>0</v>
      </c>
      <c r="M42" s="227">
        <f t="shared" si="5"/>
        <v>0</v>
      </c>
      <c r="N42" s="227"/>
      <c r="O42" s="227">
        <f t="shared" si="3"/>
        <v>0</v>
      </c>
    </row>
    <row r="43" spans="3:15" ht="13.5" thickBot="1" x14ac:dyDescent="0.25">
      <c r="C43" s="49"/>
      <c r="D43" s="340" t="s">
        <v>105</v>
      </c>
      <c r="E43" s="340"/>
      <c r="F43" s="321">
        <f t="shared" ref="F43:K43" si="6">SUM(F11:F42)</f>
        <v>32054419.215699539</v>
      </c>
      <c r="G43" s="321">
        <f t="shared" si="6"/>
        <v>3042950</v>
      </c>
      <c r="H43" s="321">
        <f t="shared" si="6"/>
        <v>0</v>
      </c>
      <c r="I43" s="321">
        <f t="shared" si="6"/>
        <v>35097369.215699546</v>
      </c>
      <c r="J43" s="321">
        <f t="shared" si="6"/>
        <v>1521475</v>
      </c>
      <c r="K43" s="321">
        <f t="shared" si="6"/>
        <v>33575894.215699546</v>
      </c>
      <c r="L43" s="322"/>
      <c r="M43" s="323">
        <f>SUM(M11:M42)</f>
        <v>2383407.4294167138</v>
      </c>
      <c r="N43" s="393" t="s">
        <v>392</v>
      </c>
      <c r="O43" s="323">
        <f>SUM(O11:O42)</f>
        <v>32713961.786282834</v>
      </c>
    </row>
    <row r="45" spans="3:15" hidden="1" x14ac:dyDescent="0.2">
      <c r="C45" s="637" t="s">
        <v>462</v>
      </c>
      <c r="D45" s="637"/>
      <c r="E45" s="637"/>
      <c r="F45" s="637"/>
      <c r="G45" s="637"/>
      <c r="H45" s="637"/>
      <c r="I45" s="637"/>
      <c r="J45" s="637"/>
      <c r="K45" s="637"/>
      <c r="L45" s="637"/>
      <c r="M45" s="637"/>
      <c r="N45" s="637"/>
      <c r="O45" s="637"/>
    </row>
    <row r="46" spans="3:15" hidden="1" x14ac:dyDescent="0.2">
      <c r="C46" s="637"/>
      <c r="D46" s="637"/>
      <c r="E46" s="637"/>
      <c r="F46" s="637"/>
      <c r="G46" s="637"/>
      <c r="H46" s="637"/>
      <c r="I46" s="637"/>
      <c r="J46" s="637"/>
      <c r="K46" s="637"/>
      <c r="L46" s="637"/>
      <c r="M46" s="637"/>
      <c r="N46" s="637"/>
      <c r="O46" s="637"/>
    </row>
    <row r="47" spans="3:15" hidden="1" x14ac:dyDescent="0.2">
      <c r="C47" s="637"/>
      <c r="D47" s="637"/>
      <c r="E47" s="637"/>
      <c r="F47" s="637"/>
      <c r="G47" s="637"/>
      <c r="H47" s="637"/>
      <c r="I47" s="637"/>
      <c r="J47" s="637"/>
      <c r="K47" s="637"/>
      <c r="L47" s="637"/>
      <c r="M47" s="637"/>
      <c r="N47" s="637"/>
      <c r="O47" s="637"/>
    </row>
    <row r="48" spans="3:15" x14ac:dyDescent="0.2">
      <c r="C48" s="355" t="s">
        <v>467</v>
      </c>
    </row>
  </sheetData>
  <sheetProtection password="BE7F" sheet="1" objects="1" scenarios="1"/>
  <mergeCells count="5">
    <mergeCell ref="C1:F1"/>
    <mergeCell ref="C2:J2"/>
    <mergeCell ref="C3:J3"/>
    <mergeCell ref="C4:J4"/>
    <mergeCell ref="C45:O47"/>
  </mergeCells>
  <phoneticPr fontId="3" type="noConversion"/>
  <conditionalFormatting sqref="C11:H42">
    <cfRule type="expression" dxfId="3" priority="1" stopIfTrue="1">
      <formula>LEN(C11)&gt;0</formula>
    </cfRule>
  </conditionalFormatting>
  <hyperlinks>
    <hyperlink ref="E11" location="'B8 Schedule 8 CCA Bridge Year'!A1" display="'B8"/>
    <hyperlink ref="E12" location="'B8 Schedule 8 CCA Bridge Year'!A1" display="'B8"/>
    <hyperlink ref="E13:E32" location="'B8 Schedule 8 CCA Bridge Year'!A1" display="'B8"/>
    <hyperlink ref="N43" location="'T1 Taxable Income Test Year'!A1" display="'T1"/>
    <hyperlink ref="E33" location="'B8 Schedule 8 CCA Bridge Year'!A1" display="'B8"/>
    <hyperlink ref="E34" location="'B8 Schedule 8 CCA Bridge Year'!A1" display="'B8"/>
  </hyperlinks>
  <pageMargins left="0.35433070866141736" right="0.15748031496062992" top="0.39370078740157483" bottom="0.39370078740157483" header="0.51181102362204722" footer="0.51181102362204722"/>
  <pageSetup scale="80"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44"/>
  <sheetViews>
    <sheetView zoomScaleNormal="100" workbookViewId="0">
      <selection activeCell="I46" sqref="I46"/>
    </sheetView>
  </sheetViews>
  <sheetFormatPr defaultColWidth="9.140625" defaultRowHeight="12.75" x14ac:dyDescent="0.2"/>
  <cols>
    <col min="1" max="1" width="3.42578125" style="10" customWidth="1"/>
    <col min="2" max="2" width="3.7109375" style="10" customWidth="1"/>
    <col min="3" max="3" width="56.42578125" style="10" customWidth="1"/>
    <col min="4" max="4" width="17.28515625" style="10" customWidth="1"/>
    <col min="5" max="7" width="18.28515625" style="10" customWidth="1"/>
    <col min="8" max="8" width="5.7109375" style="10" customWidth="1"/>
    <col min="9" max="11" width="18.28515625" style="10" customWidth="1"/>
    <col min="12" max="12" width="5.7109375" style="10" customWidth="1"/>
    <col min="13" max="14" width="18.28515625" style="10" customWidth="1"/>
    <col min="15" max="16384" width="9.140625" style="10"/>
  </cols>
  <sheetData>
    <row r="1" spans="1:14" ht="21.75" x14ac:dyDescent="0.2">
      <c r="A1" s="263"/>
      <c r="C1" s="507"/>
      <c r="D1" s="507"/>
    </row>
    <row r="2" spans="1:14" ht="30" customHeight="1" x14ac:dyDescent="0.25">
      <c r="C2" s="585"/>
      <c r="D2" s="585"/>
      <c r="E2" s="585"/>
      <c r="F2" s="585"/>
      <c r="G2" s="585"/>
      <c r="H2" s="585"/>
      <c r="I2" s="585"/>
      <c r="J2" s="585"/>
      <c r="K2" s="585"/>
      <c r="L2" s="508"/>
    </row>
    <row r="3" spans="1:14" ht="30" customHeight="1" x14ac:dyDescent="0.25">
      <c r="C3" s="585"/>
      <c r="D3" s="585"/>
      <c r="E3" s="585"/>
      <c r="F3" s="585"/>
      <c r="G3" s="585"/>
      <c r="H3" s="585"/>
      <c r="I3" s="585"/>
      <c r="J3" s="585"/>
      <c r="K3" s="585"/>
      <c r="L3" s="508"/>
    </row>
    <row r="4" spans="1:14" ht="18" x14ac:dyDescent="0.25">
      <c r="C4" s="585"/>
      <c r="D4" s="585"/>
      <c r="E4" s="585"/>
      <c r="F4" s="585"/>
      <c r="G4" s="585"/>
      <c r="H4" s="585"/>
      <c r="I4" s="585"/>
      <c r="J4" s="585"/>
      <c r="K4" s="585"/>
      <c r="L4" s="508"/>
    </row>
    <row r="5" spans="1:14" ht="40.5" customHeight="1" x14ac:dyDescent="0.2"/>
    <row r="7" spans="1:14" ht="20.25" x14ac:dyDescent="0.3">
      <c r="C7" s="314" t="s">
        <v>352</v>
      </c>
      <c r="D7" s="314"/>
    </row>
    <row r="8" spans="1:14" ht="23.25" x14ac:dyDescent="0.35">
      <c r="C8" s="243"/>
      <c r="D8" s="243"/>
    </row>
    <row r="9" spans="1:14" ht="18.75" thickBot="1" x14ac:dyDescent="0.25">
      <c r="C9" s="325" t="s">
        <v>344</v>
      </c>
      <c r="D9" s="325"/>
      <c r="F9" s="67"/>
      <c r="G9" s="67"/>
      <c r="H9" s="67"/>
      <c r="I9" s="67"/>
      <c r="J9" s="67"/>
      <c r="K9" s="68"/>
      <c r="L9" s="68"/>
      <c r="M9" s="68"/>
      <c r="N9" s="68"/>
    </row>
    <row r="10" spans="1:14" ht="13.5" thickBot="1" x14ac:dyDescent="0.25">
      <c r="C10" s="69"/>
      <c r="D10" s="69"/>
      <c r="E10" s="67"/>
      <c r="F10" s="67"/>
      <c r="G10" s="67"/>
      <c r="H10" s="67"/>
      <c r="I10" s="635" t="s">
        <v>308</v>
      </c>
      <c r="J10" s="636"/>
      <c r="K10" s="68"/>
      <c r="L10" s="68"/>
      <c r="M10" s="68"/>
      <c r="N10" s="68"/>
    </row>
    <row r="11" spans="1:14" ht="27.75" thickBot="1" x14ac:dyDescent="0.25">
      <c r="C11" s="70" t="s">
        <v>122</v>
      </c>
      <c r="D11" s="361" t="s">
        <v>401</v>
      </c>
      <c r="E11" s="71" t="s">
        <v>307</v>
      </c>
      <c r="F11" s="72" t="s">
        <v>221</v>
      </c>
      <c r="G11" s="73" t="s">
        <v>222</v>
      </c>
      <c r="H11" s="384"/>
      <c r="I11" s="71" t="s">
        <v>107</v>
      </c>
      <c r="J11" s="71" t="s">
        <v>124</v>
      </c>
      <c r="K11" s="73" t="s">
        <v>309</v>
      </c>
      <c r="L11" s="382"/>
      <c r="M11" s="70" t="s">
        <v>125</v>
      </c>
      <c r="N11" s="73" t="s">
        <v>126</v>
      </c>
    </row>
    <row r="12" spans="1:14" x14ac:dyDescent="0.2">
      <c r="C12" s="194"/>
      <c r="D12" s="362"/>
      <c r="E12" s="195"/>
      <c r="F12" s="74"/>
      <c r="G12" s="74"/>
      <c r="H12" s="74"/>
      <c r="I12" s="74"/>
      <c r="J12" s="75"/>
      <c r="K12" s="195"/>
      <c r="L12" s="195"/>
      <c r="M12" s="195"/>
      <c r="N12" s="196"/>
    </row>
    <row r="13" spans="1:14" x14ac:dyDescent="0.2">
      <c r="C13" s="146" t="s">
        <v>127</v>
      </c>
      <c r="D13" s="369" t="s">
        <v>402</v>
      </c>
      <c r="E13" s="76">
        <f>'B13 Sch 13 Tax Reserves Bridge'!K13</f>
        <v>0</v>
      </c>
      <c r="F13" s="77"/>
      <c r="G13" s="77">
        <f>SUM(E13:F13)</f>
        <v>0</v>
      </c>
      <c r="H13" s="77"/>
      <c r="I13" s="329"/>
      <c r="J13" s="329"/>
      <c r="K13" s="76">
        <f>G13+I13-J13</f>
        <v>0</v>
      </c>
      <c r="L13" s="76"/>
      <c r="M13" s="76">
        <f>+K13-G13</f>
        <v>0</v>
      </c>
      <c r="N13" s="77"/>
    </row>
    <row r="14" spans="1:14" x14ac:dyDescent="0.2">
      <c r="C14" s="197" t="s">
        <v>128</v>
      </c>
      <c r="D14" s="515"/>
      <c r="E14" s="638"/>
      <c r="F14" s="639"/>
      <c r="G14" s="639"/>
      <c r="H14" s="639"/>
      <c r="I14" s="639"/>
      <c r="J14" s="639"/>
      <c r="K14" s="639"/>
      <c r="L14" s="639"/>
      <c r="M14" s="639"/>
      <c r="N14" s="640"/>
    </row>
    <row r="15" spans="1:14" x14ac:dyDescent="0.2">
      <c r="C15" s="148" t="s">
        <v>129</v>
      </c>
      <c r="D15" s="369" t="s">
        <v>402</v>
      </c>
      <c r="E15" s="76">
        <f>'B13 Sch 13 Tax Reserves Bridge'!K15</f>
        <v>0</v>
      </c>
      <c r="F15" s="77"/>
      <c r="G15" s="78">
        <f t="shared" ref="G15:G21" si="0">SUM(E15:F15)</f>
        <v>0</v>
      </c>
      <c r="H15" s="78"/>
      <c r="I15" s="329">
        <v>0</v>
      </c>
      <c r="J15" s="329">
        <v>0</v>
      </c>
      <c r="K15" s="76">
        <f t="shared" ref="K15:K21" si="1">G15+I15-J15</f>
        <v>0</v>
      </c>
      <c r="L15" s="76"/>
      <c r="M15" s="76">
        <f t="shared" ref="M15:M21" si="2">+K15-G15</f>
        <v>0</v>
      </c>
      <c r="N15" s="77"/>
    </row>
    <row r="16" spans="1:14" x14ac:dyDescent="0.2">
      <c r="C16" s="146" t="s">
        <v>130</v>
      </c>
      <c r="D16" s="369" t="s">
        <v>402</v>
      </c>
      <c r="E16" s="76">
        <f>'B13 Sch 13 Tax Reserves Bridge'!K16</f>
        <v>0</v>
      </c>
      <c r="F16" s="77"/>
      <c r="G16" s="77">
        <f t="shared" si="0"/>
        <v>0</v>
      </c>
      <c r="H16" s="77"/>
      <c r="I16" s="329"/>
      <c r="J16" s="329"/>
      <c r="K16" s="76">
        <f t="shared" si="1"/>
        <v>0</v>
      </c>
      <c r="L16" s="76"/>
      <c r="M16" s="76">
        <f t="shared" si="2"/>
        <v>0</v>
      </c>
      <c r="N16" s="77"/>
    </row>
    <row r="17" spans="3:14" x14ac:dyDescent="0.2">
      <c r="C17" s="146" t="s">
        <v>131</v>
      </c>
      <c r="D17" s="369" t="s">
        <v>402</v>
      </c>
      <c r="E17" s="76">
        <f>'B13 Sch 13 Tax Reserves Bridge'!K17</f>
        <v>0</v>
      </c>
      <c r="F17" s="77"/>
      <c r="G17" s="77">
        <f t="shared" si="0"/>
        <v>0</v>
      </c>
      <c r="H17" s="77"/>
      <c r="I17" s="329"/>
      <c r="J17" s="329"/>
      <c r="K17" s="76">
        <f t="shared" si="1"/>
        <v>0</v>
      </c>
      <c r="L17" s="76"/>
      <c r="M17" s="76">
        <f t="shared" si="2"/>
        <v>0</v>
      </c>
      <c r="N17" s="77"/>
    </row>
    <row r="18" spans="3:14" x14ac:dyDescent="0.2">
      <c r="C18" s="146" t="s">
        <v>132</v>
      </c>
      <c r="D18" s="369" t="s">
        <v>402</v>
      </c>
      <c r="E18" s="76">
        <f>'B13 Sch 13 Tax Reserves Bridge'!K18</f>
        <v>0</v>
      </c>
      <c r="F18" s="77"/>
      <c r="G18" s="77">
        <f t="shared" si="0"/>
        <v>0</v>
      </c>
      <c r="H18" s="77"/>
      <c r="I18" s="329"/>
      <c r="J18" s="329"/>
      <c r="K18" s="76">
        <f t="shared" si="1"/>
        <v>0</v>
      </c>
      <c r="L18" s="76"/>
      <c r="M18" s="76">
        <f t="shared" si="2"/>
        <v>0</v>
      </c>
      <c r="N18" s="77"/>
    </row>
    <row r="19" spans="3:14" x14ac:dyDescent="0.2">
      <c r="C19" s="146" t="s">
        <v>133</v>
      </c>
      <c r="D19" s="369" t="s">
        <v>402</v>
      </c>
      <c r="E19" s="76">
        <f>'B13 Sch 13 Tax Reserves Bridge'!K19</f>
        <v>0</v>
      </c>
      <c r="F19" s="77"/>
      <c r="G19" s="77">
        <f t="shared" si="0"/>
        <v>0</v>
      </c>
      <c r="H19" s="77"/>
      <c r="I19" s="329"/>
      <c r="J19" s="329"/>
      <c r="K19" s="76">
        <f t="shared" si="1"/>
        <v>0</v>
      </c>
      <c r="L19" s="76"/>
      <c r="M19" s="76">
        <f t="shared" si="2"/>
        <v>0</v>
      </c>
      <c r="N19" s="77"/>
    </row>
    <row r="20" spans="3:14" x14ac:dyDescent="0.2">
      <c r="C20" s="326"/>
      <c r="D20" s="364"/>
      <c r="E20" s="76">
        <f>'B13 Sch 13 Tax Reserves Bridge'!K20</f>
        <v>0</v>
      </c>
      <c r="F20" s="77"/>
      <c r="G20" s="77">
        <f t="shared" si="0"/>
        <v>0</v>
      </c>
      <c r="H20" s="77"/>
      <c r="I20" s="329"/>
      <c r="J20" s="329"/>
      <c r="K20" s="76">
        <f t="shared" si="1"/>
        <v>0</v>
      </c>
      <c r="L20" s="76"/>
      <c r="M20" s="76">
        <f t="shared" si="2"/>
        <v>0</v>
      </c>
      <c r="N20" s="77"/>
    </row>
    <row r="21" spans="3:14" ht="16.5" thickBot="1" x14ac:dyDescent="0.25">
      <c r="C21" s="327"/>
      <c r="D21" s="365"/>
      <c r="E21" s="76">
        <f>'B13 Sch 13 Tax Reserves Bridge'!K21</f>
        <v>0</v>
      </c>
      <c r="F21" s="77"/>
      <c r="G21" s="77">
        <f t="shared" si="0"/>
        <v>0</v>
      </c>
      <c r="H21" s="77"/>
      <c r="I21" s="329"/>
      <c r="J21" s="329"/>
      <c r="K21" s="76">
        <f t="shared" si="1"/>
        <v>0</v>
      </c>
      <c r="L21" s="76"/>
      <c r="M21" s="76">
        <f t="shared" si="2"/>
        <v>0</v>
      </c>
      <c r="N21" s="77"/>
    </row>
    <row r="22" spans="3:14" ht="19.5" thickBot="1" x14ac:dyDescent="0.25">
      <c r="C22" s="81" t="s">
        <v>3</v>
      </c>
      <c r="D22" s="366"/>
      <c r="E22" s="82">
        <f t="shared" ref="E22:N22" si="3">SUM(E15:E21)</f>
        <v>0</v>
      </c>
      <c r="F22" s="82">
        <f t="shared" si="3"/>
        <v>0</v>
      </c>
      <c r="G22" s="82">
        <f t="shared" si="3"/>
        <v>0</v>
      </c>
      <c r="H22" s="385" t="s">
        <v>392</v>
      </c>
      <c r="I22" s="82">
        <f t="shared" si="3"/>
        <v>0</v>
      </c>
      <c r="J22" s="82">
        <f t="shared" si="3"/>
        <v>0</v>
      </c>
      <c r="K22" s="82">
        <f t="shared" si="3"/>
        <v>0</v>
      </c>
      <c r="L22" s="385" t="s">
        <v>392</v>
      </c>
      <c r="M22" s="82">
        <f t="shared" si="3"/>
        <v>0</v>
      </c>
      <c r="N22" s="83">
        <f t="shared" si="3"/>
        <v>0</v>
      </c>
    </row>
    <row r="23" spans="3:14" x14ac:dyDescent="0.2">
      <c r="C23" s="149"/>
      <c r="D23" s="367"/>
      <c r="E23" s="84">
        <v>0</v>
      </c>
      <c r="F23" s="85"/>
      <c r="G23" s="85"/>
      <c r="H23" s="85"/>
      <c r="I23" s="85"/>
      <c r="J23" s="86"/>
      <c r="K23" s="87"/>
      <c r="L23" s="87"/>
      <c r="M23" s="87"/>
      <c r="N23" s="198"/>
    </row>
    <row r="24" spans="3:14" x14ac:dyDescent="0.2">
      <c r="C24" s="197" t="s">
        <v>134</v>
      </c>
      <c r="D24" s="363"/>
      <c r="E24" s="76"/>
      <c r="F24" s="78"/>
      <c r="G24" s="78"/>
      <c r="H24" s="78"/>
      <c r="I24" s="78"/>
      <c r="J24" s="79"/>
      <c r="K24" s="80"/>
      <c r="L24" s="80"/>
      <c r="M24" s="76"/>
      <c r="N24" s="147"/>
    </row>
    <row r="25" spans="3:14" x14ac:dyDescent="0.2">
      <c r="C25" s="146" t="s">
        <v>135</v>
      </c>
      <c r="D25" s="369" t="s">
        <v>402</v>
      </c>
      <c r="E25" s="76">
        <f>'B13 Sch 13 Tax Reserves Bridge'!K25</f>
        <v>0</v>
      </c>
      <c r="F25" s="77"/>
      <c r="G25" s="77">
        <f t="shared" ref="G25:G42" si="4">SUM(E25:F25)</f>
        <v>0</v>
      </c>
      <c r="H25" s="77"/>
      <c r="I25" s="329"/>
      <c r="J25" s="329"/>
      <c r="K25" s="76">
        <f t="shared" ref="K25:K42" si="5">G25+I25-J25</f>
        <v>0</v>
      </c>
      <c r="L25" s="76"/>
      <c r="M25" s="76">
        <f t="shared" ref="M25:M42" si="6">+K25-G25</f>
        <v>0</v>
      </c>
      <c r="N25" s="77"/>
    </row>
    <row r="26" spans="3:14" x14ac:dyDescent="0.2">
      <c r="C26" s="146" t="s">
        <v>136</v>
      </c>
      <c r="D26" s="369" t="s">
        <v>402</v>
      </c>
      <c r="E26" s="76">
        <f>'B13 Sch 13 Tax Reserves Bridge'!K26</f>
        <v>0</v>
      </c>
      <c r="F26" s="77"/>
      <c r="G26" s="77">
        <f t="shared" si="4"/>
        <v>0</v>
      </c>
      <c r="H26" s="77"/>
      <c r="I26" s="329"/>
      <c r="J26" s="329"/>
      <c r="K26" s="76">
        <f t="shared" si="5"/>
        <v>0</v>
      </c>
      <c r="L26" s="76"/>
      <c r="M26" s="76">
        <f t="shared" si="6"/>
        <v>0</v>
      </c>
      <c r="N26" s="77"/>
    </row>
    <row r="27" spans="3:14" x14ac:dyDescent="0.2">
      <c r="C27" s="146" t="s">
        <v>137</v>
      </c>
      <c r="D27" s="369" t="s">
        <v>402</v>
      </c>
      <c r="E27" s="76">
        <f>'B13 Sch 13 Tax Reserves Bridge'!K27</f>
        <v>0</v>
      </c>
      <c r="F27" s="77"/>
      <c r="G27" s="77">
        <f t="shared" si="4"/>
        <v>0</v>
      </c>
      <c r="H27" s="77"/>
      <c r="I27" s="329"/>
      <c r="J27" s="329"/>
      <c r="K27" s="76">
        <f t="shared" si="5"/>
        <v>0</v>
      </c>
      <c r="L27" s="76"/>
      <c r="M27" s="76">
        <f t="shared" si="6"/>
        <v>0</v>
      </c>
      <c r="N27" s="77"/>
    </row>
    <row r="28" spans="3:14" x14ac:dyDescent="0.2">
      <c r="C28" s="199" t="s">
        <v>138</v>
      </c>
      <c r="D28" s="369" t="s">
        <v>402</v>
      </c>
      <c r="E28" s="76">
        <f>'B13 Sch 13 Tax Reserves Bridge'!K28</f>
        <v>0</v>
      </c>
      <c r="F28" s="77"/>
      <c r="G28" s="77">
        <f t="shared" si="4"/>
        <v>0</v>
      </c>
      <c r="H28" s="77"/>
      <c r="I28" s="329"/>
      <c r="J28" s="329"/>
      <c r="K28" s="76">
        <f t="shared" si="5"/>
        <v>0</v>
      </c>
      <c r="L28" s="76"/>
      <c r="M28" s="76">
        <f t="shared" si="6"/>
        <v>0</v>
      </c>
      <c r="N28" s="77"/>
    </row>
    <row r="29" spans="3:14" x14ac:dyDescent="0.2">
      <c r="C29" s="199" t="s">
        <v>139</v>
      </c>
      <c r="D29" s="369" t="s">
        <v>402</v>
      </c>
      <c r="E29" s="76">
        <f>'B13 Sch 13 Tax Reserves Bridge'!K29</f>
        <v>0</v>
      </c>
      <c r="F29" s="77"/>
      <c r="G29" s="77">
        <f t="shared" si="4"/>
        <v>0</v>
      </c>
      <c r="H29" s="77"/>
      <c r="I29" s="329"/>
      <c r="J29" s="329"/>
      <c r="K29" s="76">
        <f t="shared" si="5"/>
        <v>0</v>
      </c>
      <c r="L29" s="76"/>
      <c r="M29" s="76">
        <f t="shared" si="6"/>
        <v>0</v>
      </c>
      <c r="N29" s="77"/>
    </row>
    <row r="30" spans="3:14" x14ac:dyDescent="0.2">
      <c r="C30" s="199" t="s">
        <v>140</v>
      </c>
      <c r="D30" s="369" t="s">
        <v>402</v>
      </c>
      <c r="E30" s="76">
        <f>'B13 Sch 13 Tax Reserves Bridge'!K30</f>
        <v>0</v>
      </c>
      <c r="F30" s="77"/>
      <c r="G30" s="77">
        <f t="shared" si="4"/>
        <v>0</v>
      </c>
      <c r="H30" s="77"/>
      <c r="I30" s="329"/>
      <c r="J30" s="329"/>
      <c r="K30" s="76">
        <f t="shared" si="5"/>
        <v>0</v>
      </c>
      <c r="L30" s="76"/>
      <c r="M30" s="76">
        <f t="shared" si="6"/>
        <v>0</v>
      </c>
      <c r="N30" s="77"/>
    </row>
    <row r="31" spans="3:14" x14ac:dyDescent="0.2">
      <c r="C31" s="199" t="s">
        <v>141</v>
      </c>
      <c r="D31" s="369" t="s">
        <v>402</v>
      </c>
      <c r="E31" s="76">
        <f>'B13 Sch 13 Tax Reserves Bridge'!K31</f>
        <v>0</v>
      </c>
      <c r="F31" s="77"/>
      <c r="G31" s="77">
        <f t="shared" si="4"/>
        <v>0</v>
      </c>
      <c r="H31" s="77"/>
      <c r="I31" s="329"/>
      <c r="J31" s="329"/>
      <c r="K31" s="76">
        <f t="shared" si="5"/>
        <v>0</v>
      </c>
      <c r="L31" s="76"/>
      <c r="M31" s="76">
        <f t="shared" si="6"/>
        <v>0</v>
      </c>
      <c r="N31" s="77"/>
    </row>
    <row r="32" spans="3:14" x14ac:dyDescent="0.2">
      <c r="C32" s="199" t="s">
        <v>142</v>
      </c>
      <c r="D32" s="369" t="s">
        <v>402</v>
      </c>
      <c r="E32" s="76">
        <f>'B13 Sch 13 Tax Reserves Bridge'!K32</f>
        <v>0</v>
      </c>
      <c r="F32" s="77"/>
      <c r="G32" s="77">
        <f t="shared" si="4"/>
        <v>0</v>
      </c>
      <c r="H32" s="77"/>
      <c r="I32" s="329"/>
      <c r="J32" s="329"/>
      <c r="K32" s="76">
        <f t="shared" si="5"/>
        <v>0</v>
      </c>
      <c r="L32" s="76"/>
      <c r="M32" s="76">
        <f t="shared" si="6"/>
        <v>0</v>
      </c>
      <c r="N32" s="77"/>
    </row>
    <row r="33" spans="3:14" x14ac:dyDescent="0.2">
      <c r="C33" s="146" t="s">
        <v>143</v>
      </c>
      <c r="D33" s="369" t="s">
        <v>402</v>
      </c>
      <c r="E33" s="76">
        <f>'B13 Sch 13 Tax Reserves Bridge'!K33</f>
        <v>0</v>
      </c>
      <c r="F33" s="77"/>
      <c r="G33" s="77">
        <f t="shared" si="4"/>
        <v>0</v>
      </c>
      <c r="H33" s="77"/>
      <c r="I33" s="329"/>
      <c r="J33" s="329"/>
      <c r="K33" s="76">
        <f t="shared" si="5"/>
        <v>0</v>
      </c>
      <c r="L33" s="76"/>
      <c r="M33" s="76">
        <f t="shared" si="6"/>
        <v>0</v>
      </c>
      <c r="N33" s="77"/>
    </row>
    <row r="34" spans="3:14" x14ac:dyDescent="0.2">
      <c r="C34" s="146" t="s">
        <v>144</v>
      </c>
      <c r="D34" s="369" t="s">
        <v>402</v>
      </c>
      <c r="E34" s="76">
        <f>'B13 Sch 13 Tax Reserves Bridge'!K34</f>
        <v>0</v>
      </c>
      <c r="F34" s="77"/>
      <c r="G34" s="77">
        <f t="shared" si="4"/>
        <v>0</v>
      </c>
      <c r="H34" s="77"/>
      <c r="I34" s="329"/>
      <c r="J34" s="329"/>
      <c r="K34" s="76">
        <f t="shared" si="5"/>
        <v>0</v>
      </c>
      <c r="L34" s="76"/>
      <c r="M34" s="76">
        <f t="shared" si="6"/>
        <v>0</v>
      </c>
      <c r="N34" s="77"/>
    </row>
    <row r="35" spans="3:14" x14ac:dyDescent="0.2">
      <c r="C35" s="146" t="s">
        <v>145</v>
      </c>
      <c r="D35" s="369" t="s">
        <v>402</v>
      </c>
      <c r="E35" s="76">
        <f>'B13 Sch 13 Tax Reserves Bridge'!K35</f>
        <v>0</v>
      </c>
      <c r="F35" s="77"/>
      <c r="G35" s="77">
        <f t="shared" si="4"/>
        <v>0</v>
      </c>
      <c r="H35" s="77"/>
      <c r="I35" s="329"/>
      <c r="J35" s="329"/>
      <c r="K35" s="76">
        <f t="shared" si="5"/>
        <v>0</v>
      </c>
      <c r="L35" s="76"/>
      <c r="M35" s="76">
        <f t="shared" si="6"/>
        <v>0</v>
      </c>
      <c r="N35" s="77"/>
    </row>
    <row r="36" spans="3:14" x14ac:dyDescent="0.2">
      <c r="C36" s="146" t="s">
        <v>146</v>
      </c>
      <c r="D36" s="369" t="s">
        <v>402</v>
      </c>
      <c r="E36" s="76">
        <f>'B13 Sch 13 Tax Reserves Bridge'!K36</f>
        <v>0</v>
      </c>
      <c r="F36" s="77"/>
      <c r="G36" s="77">
        <f t="shared" si="4"/>
        <v>0</v>
      </c>
      <c r="H36" s="77"/>
      <c r="I36" s="329"/>
      <c r="J36" s="329"/>
      <c r="K36" s="76">
        <f t="shared" si="5"/>
        <v>0</v>
      </c>
      <c r="L36" s="76"/>
      <c r="M36" s="76">
        <f t="shared" si="6"/>
        <v>0</v>
      </c>
      <c r="N36" s="77"/>
    </row>
    <row r="37" spans="3:14" x14ac:dyDescent="0.2">
      <c r="C37" s="146" t="s">
        <v>147</v>
      </c>
      <c r="D37" s="369" t="s">
        <v>402</v>
      </c>
      <c r="E37" s="76">
        <f>'B13 Sch 13 Tax Reserves Bridge'!K37</f>
        <v>0</v>
      </c>
      <c r="F37" s="77"/>
      <c r="G37" s="77">
        <f t="shared" si="4"/>
        <v>0</v>
      </c>
      <c r="H37" s="77"/>
      <c r="I37" s="329"/>
      <c r="J37" s="329"/>
      <c r="K37" s="76">
        <f t="shared" si="5"/>
        <v>0</v>
      </c>
      <c r="L37" s="76"/>
      <c r="M37" s="76">
        <f t="shared" si="6"/>
        <v>0</v>
      </c>
      <c r="N37" s="77"/>
    </row>
    <row r="38" spans="3:14" ht="24" x14ac:dyDescent="0.2">
      <c r="C38" s="146" t="s">
        <v>148</v>
      </c>
      <c r="D38" s="369" t="s">
        <v>402</v>
      </c>
      <c r="E38" s="76">
        <f>'B13 Sch 13 Tax Reserves Bridge'!K38</f>
        <v>0</v>
      </c>
      <c r="F38" s="77"/>
      <c r="G38" s="77">
        <f t="shared" si="4"/>
        <v>0</v>
      </c>
      <c r="H38" s="77"/>
      <c r="I38" s="329"/>
      <c r="J38" s="329"/>
      <c r="K38" s="76">
        <f t="shared" si="5"/>
        <v>0</v>
      </c>
      <c r="L38" s="76"/>
      <c r="M38" s="76">
        <f t="shared" si="6"/>
        <v>0</v>
      </c>
      <c r="N38" s="77"/>
    </row>
    <row r="39" spans="3:14" ht="24" x14ac:dyDescent="0.2">
      <c r="C39" s="146" t="s">
        <v>149</v>
      </c>
      <c r="D39" s="369" t="s">
        <v>402</v>
      </c>
      <c r="E39" s="76">
        <f>'B13 Sch 13 Tax Reserves Bridge'!K39</f>
        <v>0</v>
      </c>
      <c r="F39" s="77"/>
      <c r="G39" s="77">
        <f t="shared" si="4"/>
        <v>0</v>
      </c>
      <c r="H39" s="77"/>
      <c r="I39" s="329"/>
      <c r="J39" s="329"/>
      <c r="K39" s="76">
        <f t="shared" si="5"/>
        <v>0</v>
      </c>
      <c r="L39" s="76"/>
      <c r="M39" s="76">
        <f t="shared" si="6"/>
        <v>0</v>
      </c>
      <c r="N39" s="77"/>
    </row>
    <row r="40" spans="3:14" x14ac:dyDescent="0.2">
      <c r="C40" s="146" t="s">
        <v>150</v>
      </c>
      <c r="D40" s="369" t="s">
        <v>402</v>
      </c>
      <c r="E40" s="76">
        <f>'B13 Sch 13 Tax Reserves Bridge'!K40</f>
        <v>0</v>
      </c>
      <c r="F40" s="77"/>
      <c r="G40" s="77">
        <f t="shared" si="4"/>
        <v>0</v>
      </c>
      <c r="H40" s="77"/>
      <c r="I40" s="329"/>
      <c r="J40" s="329"/>
      <c r="K40" s="76">
        <f t="shared" si="5"/>
        <v>0</v>
      </c>
      <c r="L40" s="76"/>
      <c r="M40" s="76">
        <f t="shared" si="6"/>
        <v>0</v>
      </c>
      <c r="N40" s="77"/>
    </row>
    <row r="41" spans="3:14" x14ac:dyDescent="0.2">
      <c r="C41" s="326"/>
      <c r="D41" s="364"/>
      <c r="E41" s="76">
        <f>'B13 Sch 13 Tax Reserves Bridge'!K41</f>
        <v>0</v>
      </c>
      <c r="F41" s="77"/>
      <c r="G41" s="77">
        <f t="shared" si="4"/>
        <v>0</v>
      </c>
      <c r="H41" s="77"/>
      <c r="I41" s="329"/>
      <c r="J41" s="329"/>
      <c r="K41" s="76">
        <f t="shared" si="5"/>
        <v>0</v>
      </c>
      <c r="L41" s="76"/>
      <c r="M41" s="76">
        <f t="shared" si="6"/>
        <v>0</v>
      </c>
      <c r="N41" s="77"/>
    </row>
    <row r="42" spans="3:14" ht="13.5" thickBot="1" x14ac:dyDescent="0.25">
      <c r="C42" s="328"/>
      <c r="D42" s="368"/>
      <c r="E42" s="76">
        <f>'B13 Sch 13 Tax Reserves Bridge'!K42</f>
        <v>0</v>
      </c>
      <c r="F42" s="77"/>
      <c r="G42" s="77">
        <f t="shared" si="4"/>
        <v>0</v>
      </c>
      <c r="H42" s="77"/>
      <c r="I42" s="329"/>
      <c r="J42" s="329"/>
      <c r="K42" s="76">
        <f t="shared" si="5"/>
        <v>0</v>
      </c>
      <c r="L42" s="76"/>
      <c r="M42" s="76">
        <f t="shared" si="6"/>
        <v>0</v>
      </c>
      <c r="N42" s="77"/>
    </row>
    <row r="43" spans="3:14" ht="19.5" thickBot="1" x14ac:dyDescent="0.25">
      <c r="C43" s="81" t="s">
        <v>151</v>
      </c>
      <c r="D43" s="366"/>
      <c r="E43" s="88">
        <f t="shared" ref="E43:N43" si="7">SUM(E25:E42)</f>
        <v>0</v>
      </c>
      <c r="F43" s="88">
        <f t="shared" si="7"/>
        <v>0</v>
      </c>
      <c r="G43" s="88">
        <f t="shared" si="7"/>
        <v>0</v>
      </c>
      <c r="H43" s="385" t="s">
        <v>392</v>
      </c>
      <c r="I43" s="88">
        <f t="shared" si="7"/>
        <v>0</v>
      </c>
      <c r="J43" s="88">
        <f t="shared" si="7"/>
        <v>0</v>
      </c>
      <c r="K43" s="88">
        <f t="shared" si="7"/>
        <v>0</v>
      </c>
      <c r="L43" s="385" t="s">
        <v>392</v>
      </c>
      <c r="M43" s="88">
        <f t="shared" si="7"/>
        <v>0</v>
      </c>
      <c r="N43" s="89">
        <f t="shared" si="7"/>
        <v>0</v>
      </c>
    </row>
    <row r="44" spans="3:14" ht="15.75" x14ac:dyDescent="0.2">
      <c r="C44" s="90"/>
      <c r="D44" s="90"/>
      <c r="E44" s="91">
        <v>0</v>
      </c>
      <c r="F44" s="92"/>
      <c r="G44" s="92"/>
      <c r="H44" s="92"/>
      <c r="I44" s="92"/>
      <c r="J44" s="93"/>
      <c r="K44" s="94"/>
      <c r="L44" s="94"/>
      <c r="M44" s="94"/>
      <c r="N44" s="94"/>
    </row>
  </sheetData>
  <sheetProtection password="BE7F"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hyperlink ref="D15:D19" location="'B13 Sch 13 Tax Reserves Bridge'!A1" display="'B13"/>
    <hyperlink ref="D25:D40" location="'B13 Sch 13 Tax Reserves Bridge'!A1" display="'B13"/>
    <hyperlink ref="H43" location="'T1 Taxable Income Test Year'!A1" display="'T1"/>
    <hyperlink ref="L43" location="'T1 Taxable Income Test Year'!A1" display="'T1"/>
    <hyperlink ref="L22" location="'T1 Taxable Income Test Year'!A1" display="'T1"/>
    <hyperlink ref="H22" location="'T1 Taxable Income Test Year'!A1" display="'T1"/>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5"/>
  <sheetViews>
    <sheetView topLeftCell="A4" zoomScaleNormal="100" workbookViewId="0">
      <selection activeCell="H16" sqref="H16"/>
    </sheetView>
  </sheetViews>
  <sheetFormatPr defaultColWidth="9.140625" defaultRowHeight="12.75" x14ac:dyDescent="0.2"/>
  <cols>
    <col min="1" max="1" width="3.85546875" style="10" customWidth="1"/>
    <col min="2" max="2" width="4" style="10" customWidth="1"/>
    <col min="3" max="3" width="6.140625" style="10" customWidth="1"/>
    <col min="4" max="4" width="35.140625" style="10" customWidth="1"/>
    <col min="5" max="5" width="10" style="10" customWidth="1"/>
    <col min="6" max="6" width="18.28515625" style="10" customWidth="1"/>
    <col min="7" max="7" width="15.28515625" style="10" customWidth="1"/>
    <col min="8" max="8" width="15.7109375" style="10" customWidth="1"/>
    <col min="9" max="9" width="20.42578125" style="10" customWidth="1"/>
    <col min="10" max="11" width="18.140625" style="10" customWidth="1"/>
    <col min="12" max="12" width="2.7109375" style="10" customWidth="1"/>
    <col min="13" max="13" width="7.7109375" style="10" customWidth="1"/>
    <col min="14" max="14" width="18" style="10" customWidth="1"/>
    <col min="15" max="16384" width="9.140625" style="10"/>
  </cols>
  <sheetData>
    <row r="1" spans="1:11" ht="21.75" x14ac:dyDescent="0.2">
      <c r="A1" s="262"/>
      <c r="B1" s="2"/>
      <c r="C1" s="584"/>
      <c r="D1" s="584"/>
      <c r="E1" s="584"/>
      <c r="F1" s="584"/>
      <c r="G1" s="584"/>
      <c r="H1" s="1"/>
    </row>
    <row r="2" spans="1:11" ht="18" x14ac:dyDescent="0.25">
      <c r="A2" s="2"/>
      <c r="B2" s="2"/>
      <c r="C2" s="585"/>
      <c r="D2" s="585"/>
      <c r="E2" s="585"/>
      <c r="F2" s="585"/>
      <c r="G2" s="585"/>
      <c r="H2" s="585"/>
      <c r="I2" s="585"/>
      <c r="J2" s="585"/>
      <c r="K2" s="585"/>
    </row>
    <row r="3" spans="1:11" ht="18" x14ac:dyDescent="0.25">
      <c r="A3" s="2"/>
      <c r="B3" s="2"/>
      <c r="C3" s="585"/>
      <c r="D3" s="585"/>
      <c r="E3" s="585"/>
      <c r="F3" s="585"/>
      <c r="G3" s="585"/>
      <c r="H3" s="585"/>
      <c r="I3" s="585"/>
      <c r="J3" s="585"/>
      <c r="K3" s="585"/>
    </row>
    <row r="4" spans="1:11" ht="18" x14ac:dyDescent="0.25">
      <c r="A4" s="2"/>
      <c r="B4" s="2"/>
      <c r="C4" s="585"/>
      <c r="D4" s="585"/>
      <c r="E4" s="585"/>
      <c r="F4" s="585"/>
      <c r="G4" s="585"/>
      <c r="H4" s="585"/>
      <c r="I4" s="585"/>
      <c r="J4" s="585"/>
      <c r="K4" s="585"/>
    </row>
    <row r="5" spans="1:11" ht="18" x14ac:dyDescent="0.25">
      <c r="A5" s="2"/>
      <c r="B5" s="2"/>
      <c r="C5" s="6"/>
      <c r="D5" s="6"/>
      <c r="E5" s="6"/>
      <c r="G5" s="4"/>
      <c r="H5" s="6"/>
    </row>
    <row r="6" spans="1:11" ht="61.5" customHeight="1" x14ac:dyDescent="0.25">
      <c r="A6" s="2"/>
      <c r="B6" s="2"/>
      <c r="F6" s="4"/>
      <c r="G6" s="4"/>
    </row>
    <row r="7" spans="1:11" ht="18" x14ac:dyDescent="0.25">
      <c r="B7" s="66" t="s">
        <v>444</v>
      </c>
      <c r="C7" s="509"/>
      <c r="D7" s="509"/>
      <c r="E7" s="509"/>
      <c r="F7" s="4"/>
      <c r="G7" s="4"/>
    </row>
    <row r="9" spans="1:11" ht="20.25" x14ac:dyDescent="0.2">
      <c r="D9" s="398" t="s">
        <v>440</v>
      </c>
      <c r="E9" s="398"/>
      <c r="F9" s="398"/>
    </row>
    <row r="10" spans="1:11" x14ac:dyDescent="0.2">
      <c r="D10" s="402" t="s">
        <v>441</v>
      </c>
      <c r="E10" s="402"/>
      <c r="F10" s="355"/>
    </row>
    <row r="12" spans="1:11" ht="26.25" thickBot="1" x14ac:dyDescent="0.25">
      <c r="D12" s="405" t="s">
        <v>432</v>
      </c>
      <c r="E12" s="405"/>
      <c r="F12" s="399"/>
      <c r="G12" s="400" t="s">
        <v>401</v>
      </c>
      <c r="H12" s="401"/>
    </row>
    <row r="13" spans="1:11" x14ac:dyDescent="0.2">
      <c r="D13" s="111"/>
      <c r="E13" s="111"/>
      <c r="F13" s="111"/>
    </row>
    <row r="14" spans="1:11" x14ac:dyDescent="0.2">
      <c r="D14" s="111" t="s">
        <v>433</v>
      </c>
      <c r="E14" s="111"/>
      <c r="F14" s="111"/>
      <c r="G14" s="406" t="s">
        <v>437</v>
      </c>
      <c r="H14" s="60">
        <f>+H25</f>
        <v>-886061.42941671354</v>
      </c>
    </row>
    <row r="15" spans="1:11" x14ac:dyDescent="0.2">
      <c r="D15" s="111" t="s">
        <v>431</v>
      </c>
      <c r="E15" s="111"/>
      <c r="F15" s="111"/>
      <c r="G15" s="408" t="s">
        <v>393</v>
      </c>
      <c r="H15" s="397">
        <f>+'T0 PILs,Tax Provision '!J25</f>
        <v>140221.03955314145</v>
      </c>
    </row>
    <row r="16" spans="1:11" x14ac:dyDescent="0.2">
      <c r="D16" s="111" t="s">
        <v>416</v>
      </c>
      <c r="E16" s="111"/>
      <c r="F16" s="111"/>
      <c r="G16" s="408" t="s">
        <v>393</v>
      </c>
      <c r="H16" s="397">
        <f>+'T0 PILs,Tax Provision '!J30</f>
        <v>190776.92456209721</v>
      </c>
    </row>
    <row r="17" spans="4:9" x14ac:dyDescent="0.2">
      <c r="D17" s="111" t="s">
        <v>453</v>
      </c>
      <c r="E17" s="111"/>
      <c r="F17" s="111"/>
      <c r="G17" s="408" t="s">
        <v>393</v>
      </c>
      <c r="H17" s="407">
        <f>+'T0 PILs,Tax Provision '!G14</f>
        <v>0.15000000000000002</v>
      </c>
    </row>
    <row r="18" spans="4:9" x14ac:dyDescent="0.2">
      <c r="D18" s="111" t="s">
        <v>236</v>
      </c>
      <c r="E18" s="111"/>
      <c r="F18" s="111"/>
      <c r="G18" s="408" t="s">
        <v>393</v>
      </c>
      <c r="H18" s="407">
        <f>+'T0 PILs,Tax Provision '!G13</f>
        <v>0.11499999999999999</v>
      </c>
    </row>
    <row r="19" spans="4:9" x14ac:dyDescent="0.2">
      <c r="D19" s="355"/>
      <c r="E19" s="355"/>
      <c r="F19" s="355"/>
      <c r="G19" s="355"/>
      <c r="H19" s="355"/>
    </row>
    <row r="20" spans="4:9" x14ac:dyDescent="0.2">
      <c r="D20" s="355"/>
      <c r="E20" s="355"/>
      <c r="F20" s="355"/>
      <c r="G20" s="355"/>
      <c r="H20" s="355"/>
    </row>
    <row r="21" spans="4:9" x14ac:dyDescent="0.2">
      <c r="D21" s="355"/>
      <c r="E21" s="355"/>
      <c r="F21" s="355"/>
      <c r="G21" s="355"/>
      <c r="H21" s="355"/>
    </row>
    <row r="22" spans="4:9" x14ac:dyDescent="0.2">
      <c r="D22" s="404" t="s">
        <v>439</v>
      </c>
      <c r="E22" s="404"/>
      <c r="F22" s="404"/>
      <c r="G22" s="355"/>
      <c r="H22" s="355"/>
    </row>
    <row r="23" spans="4:9" x14ac:dyDescent="0.2">
      <c r="D23" s="355" t="s">
        <v>435</v>
      </c>
      <c r="E23" s="355"/>
      <c r="F23" s="355"/>
      <c r="G23" s="408" t="s">
        <v>392</v>
      </c>
      <c r="H23" s="409">
        <f>'T1 Taxable Income Test Year'!F12</f>
        <v>1415197.4277304548</v>
      </c>
    </row>
    <row r="24" spans="4:9" x14ac:dyDescent="0.2">
      <c r="D24" s="355" t="s">
        <v>434</v>
      </c>
      <c r="E24" s="355"/>
      <c r="F24" s="355"/>
      <c r="G24" s="408" t="s">
        <v>392</v>
      </c>
      <c r="H24" s="410">
        <f>'T1 Taxable Income Test Year'!F123</f>
        <v>529135.99831374129</v>
      </c>
    </row>
    <row r="25" spans="4:9" x14ac:dyDescent="0.2">
      <c r="D25" s="355" t="s">
        <v>436</v>
      </c>
      <c r="E25" s="355"/>
      <c r="F25" s="355"/>
      <c r="G25" s="403" t="s">
        <v>405</v>
      </c>
      <c r="H25" s="411">
        <f>+H24-H23</f>
        <v>-886061.42941671354</v>
      </c>
      <c r="I25" s="402" t="s">
        <v>438</v>
      </c>
    </row>
  </sheetData>
  <sheetProtection password="BE7F" sheet="1" objects="1" scenarios="1"/>
  <mergeCells count="4">
    <mergeCell ref="C1:G1"/>
    <mergeCell ref="C2:K2"/>
    <mergeCell ref="C3:K3"/>
    <mergeCell ref="C4:K4"/>
  </mergeCells>
  <hyperlinks>
    <hyperlink ref="G16" location="'T0 PILs,Tax Provision '!A1" display="'T0"/>
    <hyperlink ref="G15" location="'T0 PILs,Tax Provision '!A1" display="'T0"/>
    <hyperlink ref="G14" location="'T1 Taxable Income Test Year'!A1" display="'T1"/>
    <hyperlink ref="G24" location="'T1 Taxable Income Test Year'!A1" display="'T1"/>
    <hyperlink ref="G23" location="'T1 Taxable Income Test Year'!A1" display="'T1"/>
    <hyperlink ref="G17" location="'T0 PILs,Tax Provision '!A1" display="'T0"/>
    <hyperlink ref="G18" location="'T0 PILs,Tax Provision '!A1" display="'T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1:F24"/>
  <sheetViews>
    <sheetView workbookViewId="0">
      <selection activeCell="D23" sqref="D23"/>
    </sheetView>
  </sheetViews>
  <sheetFormatPr defaultColWidth="9.140625" defaultRowHeight="15" x14ac:dyDescent="0.2"/>
  <cols>
    <col min="1" max="1" width="9.140625" style="523"/>
    <col min="2" max="2" width="141.140625" style="524" customWidth="1"/>
    <col min="3" max="3" width="19.7109375" style="523" customWidth="1"/>
    <col min="4" max="4" width="79.42578125" style="523" customWidth="1"/>
    <col min="5" max="16384" width="9.140625" style="523"/>
  </cols>
  <sheetData>
    <row r="11" spans="1:6" ht="15.75" x14ac:dyDescent="0.2">
      <c r="A11" s="525" t="s">
        <v>470</v>
      </c>
    </row>
    <row r="13" spans="1:6" x14ac:dyDescent="0.2">
      <c r="A13" s="586" t="s">
        <v>480</v>
      </c>
      <c r="B13" s="586"/>
      <c r="C13" s="586"/>
      <c r="D13" s="586"/>
      <c r="E13" s="526"/>
      <c r="F13" s="526"/>
    </row>
    <row r="14" spans="1:6" ht="30" customHeight="1" thickBot="1" x14ac:dyDescent="0.25">
      <c r="B14" s="527"/>
      <c r="C14" s="527"/>
      <c r="D14" s="527"/>
      <c r="E14" s="527"/>
      <c r="F14" s="527"/>
    </row>
    <row r="15" spans="1:6" s="295" customFormat="1" ht="48" thickBot="1" x14ac:dyDescent="0.3">
      <c r="A15" s="528"/>
      <c r="B15" s="529" t="s">
        <v>432</v>
      </c>
      <c r="C15" s="529" t="s">
        <v>507</v>
      </c>
      <c r="D15" s="530" t="s">
        <v>381</v>
      </c>
    </row>
    <row r="16" spans="1:6" ht="30" x14ac:dyDescent="0.2">
      <c r="A16" s="531">
        <v>1</v>
      </c>
      <c r="B16" s="532" t="s">
        <v>471</v>
      </c>
      <c r="C16" s="533" t="s">
        <v>512</v>
      </c>
      <c r="D16" s="534"/>
    </row>
    <row r="17" spans="1:4" x14ac:dyDescent="0.2">
      <c r="A17" s="535">
        <v>2</v>
      </c>
      <c r="B17" s="536" t="s">
        <v>472</v>
      </c>
      <c r="C17" s="537" t="s">
        <v>512</v>
      </c>
      <c r="D17" s="538"/>
    </row>
    <row r="18" spans="1:4" ht="45" x14ac:dyDescent="0.2">
      <c r="A18" s="535">
        <v>3</v>
      </c>
      <c r="B18" s="536" t="s">
        <v>473</v>
      </c>
      <c r="C18" s="537" t="s">
        <v>512</v>
      </c>
      <c r="D18" s="538" t="s">
        <v>519</v>
      </c>
    </row>
    <row r="19" spans="1:4" ht="30" x14ac:dyDescent="0.2">
      <c r="A19" s="535">
        <v>4</v>
      </c>
      <c r="B19" s="536" t="s">
        <v>474</v>
      </c>
      <c r="C19" s="537" t="s">
        <v>512</v>
      </c>
      <c r="D19" s="538"/>
    </row>
    <row r="20" spans="1:4" x14ac:dyDescent="0.2">
      <c r="A20" s="535">
        <v>5</v>
      </c>
      <c r="B20" s="539" t="s">
        <v>475</v>
      </c>
      <c r="C20" s="537" t="s">
        <v>512</v>
      </c>
      <c r="D20" s="538"/>
    </row>
    <row r="21" spans="1:4" x14ac:dyDescent="0.2">
      <c r="A21" s="535">
        <v>6</v>
      </c>
      <c r="B21" s="539" t="s">
        <v>477</v>
      </c>
      <c r="C21" s="537" t="s">
        <v>512</v>
      </c>
      <c r="D21" s="538"/>
    </row>
    <row r="22" spans="1:4" x14ac:dyDescent="0.2">
      <c r="A22" s="535">
        <v>7</v>
      </c>
      <c r="B22" s="539" t="s">
        <v>476</v>
      </c>
      <c r="C22" s="537" t="s">
        <v>512</v>
      </c>
      <c r="D22" s="538"/>
    </row>
    <row r="23" spans="1:4" ht="45" x14ac:dyDescent="0.2">
      <c r="A23" s="535">
        <v>8</v>
      </c>
      <c r="B23" s="536" t="s">
        <v>478</v>
      </c>
      <c r="C23" s="537" t="s">
        <v>512</v>
      </c>
      <c r="D23" s="538"/>
    </row>
    <row r="24" spans="1:4" ht="15.75" thickBot="1" x14ac:dyDescent="0.25">
      <c r="A24" s="540">
        <v>9</v>
      </c>
      <c r="B24" s="541" t="s">
        <v>479</v>
      </c>
      <c r="C24" s="542" t="s">
        <v>512</v>
      </c>
      <c r="D24" s="543"/>
    </row>
  </sheetData>
  <sheetProtection password="BE7F" sheet="1" objects="1" scenarios="1"/>
  <mergeCells count="1">
    <mergeCell ref="A13:D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41"/>
  <sheetViews>
    <sheetView topLeftCell="D13" zoomScaleNormal="100" workbookViewId="0">
      <selection activeCell="K38" sqref="K38"/>
    </sheetView>
  </sheetViews>
  <sheetFormatPr defaultColWidth="9.140625" defaultRowHeight="12.75" x14ac:dyDescent="0.2"/>
  <cols>
    <col min="1" max="1" width="3.85546875" style="10" customWidth="1"/>
    <col min="2" max="2" width="3.42578125" style="10" customWidth="1"/>
    <col min="3" max="3" width="48" style="10" customWidth="1"/>
    <col min="4" max="4" width="4.7109375" style="10" customWidth="1"/>
    <col min="5" max="5" width="17.28515625" style="10" customWidth="1"/>
    <col min="6" max="6" width="3.28515625" style="10" customWidth="1"/>
    <col min="7" max="7" width="20.42578125" style="10" customWidth="1"/>
    <col min="8" max="9" width="18.140625" style="10" customWidth="1"/>
    <col min="10" max="10" width="2.7109375" style="10" customWidth="1"/>
    <col min="11" max="11" width="7.7109375" style="10" customWidth="1"/>
    <col min="12" max="12" width="18" style="10" customWidth="1"/>
    <col min="13" max="16384" width="9.140625" style="10"/>
  </cols>
  <sheetData>
    <row r="1" spans="1:9" ht="21.75" x14ac:dyDescent="0.2">
      <c r="A1" s="262"/>
      <c r="B1" s="2"/>
      <c r="C1" s="584"/>
      <c r="D1" s="584"/>
      <c r="E1" s="584"/>
      <c r="F1" s="1"/>
    </row>
    <row r="2" spans="1:9" ht="18" x14ac:dyDescent="0.25">
      <c r="A2" s="2"/>
      <c r="B2" s="2"/>
      <c r="C2" s="585"/>
      <c r="D2" s="585"/>
      <c r="E2" s="585"/>
      <c r="F2" s="585"/>
      <c r="G2" s="585"/>
      <c r="H2" s="585"/>
      <c r="I2" s="585"/>
    </row>
    <row r="3" spans="1:9" ht="18" x14ac:dyDescent="0.25">
      <c r="A3" s="2"/>
      <c r="B3" s="2"/>
      <c r="C3" s="585"/>
      <c r="D3" s="585"/>
      <c r="E3" s="585"/>
      <c r="F3" s="585"/>
      <c r="G3" s="585"/>
      <c r="H3" s="585"/>
      <c r="I3" s="585"/>
    </row>
    <row r="4" spans="1:9" ht="18" x14ac:dyDescent="0.25">
      <c r="A4" s="2"/>
      <c r="B4" s="2"/>
      <c r="C4" s="585"/>
      <c r="D4" s="585"/>
      <c r="E4" s="585"/>
      <c r="F4" s="585"/>
      <c r="G4" s="585"/>
      <c r="H4" s="585"/>
      <c r="I4" s="585"/>
    </row>
    <row r="5" spans="1:9" ht="18" x14ac:dyDescent="0.25">
      <c r="A5" s="2"/>
      <c r="B5" s="2"/>
      <c r="C5" s="6"/>
      <c r="E5" s="4"/>
      <c r="F5" s="6"/>
    </row>
    <row r="6" spans="1:9" ht="61.5" customHeight="1" x14ac:dyDescent="0.25">
      <c r="A6" s="2"/>
      <c r="B6" s="2"/>
      <c r="D6" s="4"/>
      <c r="E6" s="4"/>
    </row>
    <row r="7" spans="1:9" ht="61.5" customHeight="1" x14ac:dyDescent="0.25">
      <c r="C7" s="509"/>
      <c r="D7" s="4"/>
      <c r="E7" s="4"/>
      <c r="G7" s="193" t="s">
        <v>180</v>
      </c>
      <c r="H7" s="193" t="s">
        <v>307</v>
      </c>
    </row>
    <row r="8" spans="1:9" ht="18" x14ac:dyDescent="0.25">
      <c r="D8" s="4"/>
      <c r="E8" s="4"/>
    </row>
    <row r="9" spans="1:9" ht="15.75" x14ac:dyDescent="0.25">
      <c r="C9" s="123" t="s">
        <v>1</v>
      </c>
      <c r="D9" s="121"/>
      <c r="F9" s="157" t="s">
        <v>411</v>
      </c>
      <c r="G9" s="304">
        <v>40296054.320343249</v>
      </c>
      <c r="H9" s="304">
        <f>42611109</f>
        <v>42611109</v>
      </c>
    </row>
    <row r="10" spans="1:9" ht="15.75" x14ac:dyDescent="0.25">
      <c r="C10" s="123"/>
      <c r="D10" s="121"/>
      <c r="F10" s="157"/>
      <c r="G10" s="124"/>
      <c r="H10" s="153"/>
    </row>
    <row r="11" spans="1:9" ht="18" x14ac:dyDescent="0.25">
      <c r="C11" s="302" t="s">
        <v>339</v>
      </c>
      <c r="D11" s="121"/>
      <c r="F11" s="157"/>
      <c r="H11" s="153"/>
    </row>
    <row r="12" spans="1:9" ht="15" x14ac:dyDescent="0.2">
      <c r="C12" s="10" t="s">
        <v>185</v>
      </c>
      <c r="D12" s="121"/>
      <c r="E12" s="303">
        <v>0.56000000000000005</v>
      </c>
      <c r="F12" s="157" t="s">
        <v>186</v>
      </c>
      <c r="G12" s="122">
        <f>G9*E12</f>
        <v>22565790.419392221</v>
      </c>
      <c r="H12" s="152" t="s">
        <v>187</v>
      </c>
    </row>
    <row r="13" spans="1:9" ht="15" x14ac:dyDescent="0.2">
      <c r="C13" s="10" t="s">
        <v>188</v>
      </c>
      <c r="D13" s="121"/>
      <c r="E13" s="303">
        <v>0.04</v>
      </c>
      <c r="F13" s="155" t="s">
        <v>189</v>
      </c>
      <c r="G13" s="122">
        <f>G9*E13</f>
        <v>1611842.1728137301</v>
      </c>
      <c r="H13" s="153" t="s">
        <v>190</v>
      </c>
    </row>
    <row r="14" spans="1:9" ht="15" x14ac:dyDescent="0.2">
      <c r="C14" s="10" t="s">
        <v>191</v>
      </c>
      <c r="D14" s="121"/>
      <c r="E14" s="303">
        <v>0.4</v>
      </c>
      <c r="F14" s="158" t="s">
        <v>192</v>
      </c>
      <c r="G14" s="122">
        <f>G9*E14</f>
        <v>16118421.728137299</v>
      </c>
      <c r="H14" s="152" t="s">
        <v>193</v>
      </c>
    </row>
    <row r="15" spans="1:9" x14ac:dyDescent="0.2">
      <c r="D15" s="121"/>
      <c r="E15" s="120"/>
      <c r="F15" s="157"/>
      <c r="H15" s="153"/>
    </row>
    <row r="16" spans="1:9" ht="15" x14ac:dyDescent="0.2">
      <c r="C16" s="10" t="s">
        <v>246</v>
      </c>
      <c r="D16" s="121"/>
      <c r="E16" s="303">
        <v>3.7199999999999997E-2</v>
      </c>
      <c r="F16" s="156" t="s">
        <v>194</v>
      </c>
      <c r="G16" s="122">
        <f>G12*E16</f>
        <v>839447.40360139054</v>
      </c>
      <c r="H16" s="153" t="s">
        <v>195</v>
      </c>
    </row>
    <row r="17" spans="3:13" ht="15" x14ac:dyDescent="0.2">
      <c r="C17" s="10" t="s">
        <v>196</v>
      </c>
      <c r="D17" s="121"/>
      <c r="E17" s="303">
        <v>1.7600000000000001E-2</v>
      </c>
      <c r="F17" s="157" t="s">
        <v>197</v>
      </c>
      <c r="G17" s="122">
        <f>G13*E17</f>
        <v>28368.42224152165</v>
      </c>
      <c r="H17" s="153" t="s">
        <v>198</v>
      </c>
    </row>
    <row r="18" spans="3:13" ht="15.75" x14ac:dyDescent="0.25">
      <c r="C18" s="66" t="s">
        <v>228</v>
      </c>
      <c r="D18" s="121"/>
      <c r="E18" s="303">
        <v>8.7800000000000003E-2</v>
      </c>
      <c r="F18" s="157" t="s">
        <v>199</v>
      </c>
      <c r="G18" s="140">
        <f>G14*E18</f>
        <v>1415197.4277304548</v>
      </c>
      <c r="H18" s="153" t="s">
        <v>200</v>
      </c>
      <c r="I18" s="358" t="s">
        <v>392</v>
      </c>
    </row>
    <row r="19" spans="3:13" ht="16.5" thickBot="1" x14ac:dyDescent="0.3">
      <c r="C19" s="123" t="s">
        <v>184</v>
      </c>
      <c r="D19" s="121"/>
      <c r="E19" s="9"/>
      <c r="F19" s="62"/>
      <c r="G19" s="141">
        <f>SUM(G16:G18)</f>
        <v>2283013.2535733669</v>
      </c>
      <c r="H19" s="154" t="s">
        <v>201</v>
      </c>
    </row>
    <row r="24" spans="3:13" ht="18" x14ac:dyDescent="0.25">
      <c r="C24" s="302" t="s">
        <v>340</v>
      </c>
      <c r="G24" s="193" t="s">
        <v>417</v>
      </c>
      <c r="H24" s="193" t="s">
        <v>307</v>
      </c>
      <c r="I24" s="193" t="s">
        <v>180</v>
      </c>
      <c r="J24" s="193"/>
    </row>
    <row r="25" spans="3:13" x14ac:dyDescent="0.2">
      <c r="C25" s="113"/>
      <c r="G25" s="62"/>
      <c r="I25" s="62"/>
    </row>
    <row r="26" spans="3:13" x14ac:dyDescent="0.2">
      <c r="C26" s="587" t="s">
        <v>173</v>
      </c>
      <c r="D26" s="587"/>
      <c r="E26" s="587"/>
      <c r="G26" s="444" t="s">
        <v>512</v>
      </c>
      <c r="H26" s="444" t="s">
        <v>512</v>
      </c>
      <c r="I26" s="444" t="s">
        <v>512</v>
      </c>
      <c r="M26" s="240"/>
    </row>
    <row r="27" spans="3:13" x14ac:dyDescent="0.2">
      <c r="C27" s="10" t="s">
        <v>171</v>
      </c>
      <c r="G27" s="62"/>
      <c r="H27" s="62"/>
      <c r="I27" s="62"/>
      <c r="M27" s="240"/>
    </row>
    <row r="28" spans="3:13" ht="12.75" customHeight="1" x14ac:dyDescent="0.2">
      <c r="C28" s="588" t="s">
        <v>323</v>
      </c>
      <c r="D28" s="588"/>
      <c r="E28" s="588"/>
      <c r="F28" s="241"/>
      <c r="G28" s="444" t="s">
        <v>513</v>
      </c>
      <c r="H28" s="444" t="s">
        <v>513</v>
      </c>
      <c r="I28" s="444" t="s">
        <v>513</v>
      </c>
      <c r="M28" s="242"/>
    </row>
    <row r="29" spans="3:13" x14ac:dyDescent="0.2">
      <c r="C29" s="10" t="s">
        <v>171</v>
      </c>
      <c r="G29" s="62"/>
      <c r="H29" s="62"/>
      <c r="I29" s="62"/>
    </row>
    <row r="30" spans="3:13" x14ac:dyDescent="0.2">
      <c r="C30" s="587" t="s">
        <v>174</v>
      </c>
      <c r="D30" s="587"/>
      <c r="E30" s="587"/>
      <c r="G30" s="444" t="s">
        <v>513</v>
      </c>
      <c r="H30" s="444" t="s">
        <v>513</v>
      </c>
      <c r="I30" s="444" t="s">
        <v>513</v>
      </c>
    </row>
    <row r="31" spans="3:13" x14ac:dyDescent="0.2">
      <c r="C31" s="509" t="s">
        <v>171</v>
      </c>
      <c r="G31" s="62"/>
      <c r="H31" s="62"/>
      <c r="I31" s="62"/>
    </row>
    <row r="32" spans="3:13" x14ac:dyDescent="0.2">
      <c r="C32" s="587" t="s">
        <v>175</v>
      </c>
      <c r="D32" s="587"/>
      <c r="E32" s="587"/>
      <c r="G32" s="444" t="s">
        <v>512</v>
      </c>
      <c r="H32" s="444" t="s">
        <v>512</v>
      </c>
      <c r="I32" s="444" t="s">
        <v>512</v>
      </c>
    </row>
    <row r="33" spans="3:9" x14ac:dyDescent="0.2">
      <c r="C33" s="509" t="s">
        <v>171</v>
      </c>
      <c r="G33" s="62"/>
      <c r="H33" s="62"/>
      <c r="I33" s="62"/>
    </row>
    <row r="34" spans="3:9" x14ac:dyDescent="0.2">
      <c r="C34" s="587" t="s">
        <v>176</v>
      </c>
      <c r="D34" s="587"/>
      <c r="E34" s="587"/>
      <c r="G34" s="444" t="s">
        <v>513</v>
      </c>
      <c r="H34" s="444" t="s">
        <v>513</v>
      </c>
      <c r="I34" s="444" t="s">
        <v>513</v>
      </c>
    </row>
    <row r="35" spans="3:9" x14ac:dyDescent="0.2">
      <c r="C35" s="509" t="s">
        <v>171</v>
      </c>
      <c r="G35" s="62"/>
      <c r="H35" s="62"/>
      <c r="I35" s="62"/>
    </row>
    <row r="36" spans="3:9" x14ac:dyDescent="0.2">
      <c r="C36" s="587" t="s">
        <v>177</v>
      </c>
      <c r="D36" s="587"/>
      <c r="E36" s="587"/>
      <c r="G36" s="444" t="s">
        <v>513</v>
      </c>
      <c r="H36" s="444" t="s">
        <v>513</v>
      </c>
      <c r="I36" s="444" t="s">
        <v>513</v>
      </c>
    </row>
    <row r="37" spans="3:9" x14ac:dyDescent="0.2">
      <c r="C37" s="509"/>
      <c r="G37" s="62"/>
      <c r="H37" s="62"/>
      <c r="I37" s="62"/>
    </row>
    <row r="38" spans="3:9" x14ac:dyDescent="0.2">
      <c r="C38" s="587" t="s">
        <v>178</v>
      </c>
      <c r="D38" s="587"/>
      <c r="E38" s="587"/>
      <c r="G38" s="444" t="s">
        <v>513</v>
      </c>
      <c r="H38" s="444" t="s">
        <v>513</v>
      </c>
      <c r="I38" s="444" t="s">
        <v>513</v>
      </c>
    </row>
    <row r="39" spans="3:9" x14ac:dyDescent="0.2">
      <c r="C39" s="237" t="s">
        <v>172</v>
      </c>
      <c r="G39" s="62"/>
      <c r="H39" s="62"/>
      <c r="I39" s="62"/>
    </row>
    <row r="40" spans="3:9" ht="9" customHeight="1" x14ac:dyDescent="0.2">
      <c r="C40" s="237"/>
      <c r="G40" s="62"/>
      <c r="H40" s="62"/>
      <c r="I40" s="62"/>
    </row>
    <row r="41" spans="3:9" x14ac:dyDescent="0.2">
      <c r="C41" s="587" t="s">
        <v>179</v>
      </c>
      <c r="D41" s="587"/>
      <c r="E41" s="587"/>
      <c r="G41" s="444" t="s">
        <v>513</v>
      </c>
      <c r="H41" s="444" t="s">
        <v>513</v>
      </c>
      <c r="I41" s="444" t="s">
        <v>513</v>
      </c>
    </row>
  </sheetData>
  <sheetProtection password="BE7F" sheet="1" objects="1" scenarios="1"/>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count="1">
    <dataValidation type="list" allowBlank="1" showInputMessage="1" showErrorMessage="1" sqref="G26:I26 G28:I28 G30:I30 G32:I32 G34:I34 G36:I36 G38:I38 G41:I41">
      <formula1>"Yes, No"</formula1>
    </dataValidation>
  </dataValidations>
  <hyperlinks>
    <hyperlink ref="I18" location="'T1 Taxable Income Test Year'!A1" display="'T1"/>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39"/>
  <sheetViews>
    <sheetView topLeftCell="A4" zoomScaleNormal="100" workbookViewId="0">
      <selection activeCell="C16" sqref="C16"/>
    </sheetView>
  </sheetViews>
  <sheetFormatPr defaultColWidth="9.140625" defaultRowHeight="12.75" x14ac:dyDescent="0.2"/>
  <cols>
    <col min="1" max="2" width="4.7109375" style="10" customWidth="1"/>
    <col min="3" max="3" width="52.7109375" style="10" customWidth="1"/>
    <col min="4" max="4" width="4.140625" style="10" customWidth="1"/>
    <col min="5" max="8" width="16.140625" style="10" bestFit="1" customWidth="1"/>
    <col min="9" max="9" width="16.140625" style="10" customWidth="1"/>
    <col min="10" max="10" width="16.140625" style="10" bestFit="1" customWidth="1"/>
    <col min="11" max="16384" width="9.140625" style="10"/>
  </cols>
  <sheetData>
    <row r="1" spans="1:10" ht="21.75" x14ac:dyDescent="0.2">
      <c r="A1" s="263"/>
      <c r="C1" s="584"/>
      <c r="D1" s="584"/>
    </row>
    <row r="2" spans="1:10" ht="18" x14ac:dyDescent="0.25">
      <c r="C2" s="585"/>
      <c r="D2" s="585"/>
    </row>
    <row r="3" spans="1:10" ht="18" x14ac:dyDescent="0.25">
      <c r="C3" s="585"/>
      <c r="D3" s="585"/>
    </row>
    <row r="4" spans="1:10" ht="42" customHeight="1" x14ac:dyDescent="0.25">
      <c r="C4" s="585"/>
      <c r="D4" s="585"/>
    </row>
    <row r="5" spans="1:10" ht="42" customHeight="1" x14ac:dyDescent="0.2"/>
    <row r="6" spans="1:10" ht="42" customHeight="1" x14ac:dyDescent="0.2"/>
    <row r="7" spans="1:10" ht="42" customHeight="1" x14ac:dyDescent="0.2"/>
    <row r="9" spans="1:10" x14ac:dyDescent="0.2">
      <c r="C9" s="254" t="s">
        <v>204</v>
      </c>
      <c r="D9" s="268"/>
      <c r="E9" s="268"/>
      <c r="F9" s="268"/>
      <c r="G9" s="268"/>
      <c r="H9" s="268"/>
    </row>
    <row r="10" spans="1:10" x14ac:dyDescent="0.2">
      <c r="C10" s="254" t="s">
        <v>205</v>
      </c>
      <c r="D10" s="268"/>
      <c r="E10" s="269" t="s">
        <v>206</v>
      </c>
      <c r="F10" s="269" t="s">
        <v>206</v>
      </c>
      <c r="G10" s="269" t="s">
        <v>206</v>
      </c>
      <c r="H10" s="269" t="s">
        <v>206</v>
      </c>
      <c r="I10" s="269" t="s">
        <v>206</v>
      </c>
      <c r="J10" s="269" t="s">
        <v>206</v>
      </c>
    </row>
    <row r="11" spans="1:10" x14ac:dyDescent="0.2">
      <c r="C11" s="254" t="s">
        <v>445</v>
      </c>
      <c r="D11" s="268"/>
      <c r="E11" s="461">
        <v>41275</v>
      </c>
      <c r="F11" s="461">
        <v>41640</v>
      </c>
      <c r="G11" s="461">
        <v>42005</v>
      </c>
      <c r="H11" s="461">
        <v>42370</v>
      </c>
      <c r="I11" s="461">
        <v>42736</v>
      </c>
      <c r="J11" s="461">
        <v>43101</v>
      </c>
    </row>
    <row r="12" spans="1:10" x14ac:dyDescent="0.2">
      <c r="C12" s="268"/>
      <c r="D12" s="268"/>
      <c r="E12" s="269"/>
      <c r="F12" s="269"/>
      <c r="G12" s="269"/>
      <c r="H12" s="269"/>
      <c r="I12" s="269"/>
      <c r="J12" s="269"/>
    </row>
    <row r="13" spans="1:10" x14ac:dyDescent="0.2">
      <c r="C13" s="254" t="s">
        <v>207</v>
      </c>
      <c r="D13" s="268"/>
      <c r="E13" s="268"/>
      <c r="F13" s="268"/>
      <c r="G13" s="268"/>
      <c r="H13" s="268"/>
      <c r="I13" s="268"/>
      <c r="J13" s="268"/>
    </row>
    <row r="14" spans="1:10" x14ac:dyDescent="0.2">
      <c r="C14" s="268" t="s">
        <v>208</v>
      </c>
      <c r="D14" s="270"/>
      <c r="E14" s="271">
        <v>0.38</v>
      </c>
      <c r="F14" s="271">
        <v>0.38</v>
      </c>
      <c r="G14" s="271">
        <v>0.38</v>
      </c>
      <c r="H14" s="271">
        <v>0.38</v>
      </c>
      <c r="I14" s="271">
        <v>0.38</v>
      </c>
      <c r="J14" s="271">
        <v>0.38</v>
      </c>
    </row>
    <row r="15" spans="1:10" x14ac:dyDescent="0.2">
      <c r="C15" s="268" t="s">
        <v>209</v>
      </c>
      <c r="D15" s="270"/>
      <c r="E15" s="272">
        <v>-0.1</v>
      </c>
      <c r="F15" s="272">
        <v>-0.1</v>
      </c>
      <c r="G15" s="272">
        <v>-0.1</v>
      </c>
      <c r="H15" s="272">
        <v>-0.1</v>
      </c>
      <c r="I15" s="272">
        <v>-0.1</v>
      </c>
      <c r="J15" s="272">
        <v>-0.1</v>
      </c>
    </row>
    <row r="16" spans="1:10" x14ac:dyDescent="0.2">
      <c r="C16" s="268" t="s">
        <v>210</v>
      </c>
      <c r="D16" s="270"/>
      <c r="E16" s="271">
        <f t="shared" ref="E16:J16" si="0">SUM(E14:E15)</f>
        <v>0.28000000000000003</v>
      </c>
      <c r="F16" s="271">
        <f t="shared" si="0"/>
        <v>0.28000000000000003</v>
      </c>
      <c r="G16" s="271">
        <f t="shared" si="0"/>
        <v>0.28000000000000003</v>
      </c>
      <c r="H16" s="271">
        <f t="shared" si="0"/>
        <v>0.28000000000000003</v>
      </c>
      <c r="I16" s="271">
        <f t="shared" si="0"/>
        <v>0.28000000000000003</v>
      </c>
      <c r="J16" s="271">
        <f t="shared" si="0"/>
        <v>0.28000000000000003</v>
      </c>
    </row>
    <row r="17" spans="3:10" x14ac:dyDescent="0.2">
      <c r="C17" s="268"/>
      <c r="D17" s="268"/>
      <c r="E17" s="271"/>
      <c r="F17" s="271"/>
      <c r="G17" s="271"/>
      <c r="H17" s="271"/>
      <c r="I17" s="271"/>
      <c r="J17" s="271"/>
    </row>
    <row r="18" spans="3:10" x14ac:dyDescent="0.2">
      <c r="C18" s="268" t="s">
        <v>211</v>
      </c>
      <c r="D18" s="270"/>
      <c r="E18" s="273">
        <v>-0.13</v>
      </c>
      <c r="F18" s="273">
        <v>-0.13</v>
      </c>
      <c r="G18" s="273">
        <v>-0.13</v>
      </c>
      <c r="H18" s="273">
        <v>-0.13</v>
      </c>
      <c r="I18" s="273">
        <v>-0.13</v>
      </c>
      <c r="J18" s="273">
        <v>-0.13</v>
      </c>
    </row>
    <row r="19" spans="3:10" x14ac:dyDescent="0.2">
      <c r="C19" s="254" t="s">
        <v>442</v>
      </c>
      <c r="D19" s="268"/>
      <c r="E19" s="274">
        <f t="shared" ref="E19:J19" si="1">E16+E18</f>
        <v>0.15000000000000002</v>
      </c>
      <c r="F19" s="274">
        <f t="shared" si="1"/>
        <v>0.15000000000000002</v>
      </c>
      <c r="G19" s="274">
        <f t="shared" si="1"/>
        <v>0.15000000000000002</v>
      </c>
      <c r="H19" s="274">
        <f t="shared" si="1"/>
        <v>0.15000000000000002</v>
      </c>
      <c r="I19" s="274">
        <f t="shared" si="1"/>
        <v>0.15000000000000002</v>
      </c>
      <c r="J19" s="274">
        <f t="shared" si="1"/>
        <v>0.15000000000000002</v>
      </c>
    </row>
    <row r="20" spans="3:10" x14ac:dyDescent="0.2">
      <c r="C20" s="268"/>
      <c r="D20" s="270"/>
      <c r="E20" s="271"/>
      <c r="F20" s="275"/>
      <c r="G20" s="270"/>
      <c r="H20" s="270"/>
      <c r="I20" s="270"/>
      <c r="J20" s="270"/>
    </row>
    <row r="21" spans="3:10" x14ac:dyDescent="0.2">
      <c r="C21" s="254" t="s">
        <v>212</v>
      </c>
      <c r="D21" s="270"/>
      <c r="E21" s="272">
        <v>0.115</v>
      </c>
      <c r="F21" s="276">
        <v>0.115</v>
      </c>
      <c r="G21" s="272">
        <v>0.115</v>
      </c>
      <c r="H21" s="272">
        <v>0.115</v>
      </c>
      <c r="I21" s="272">
        <v>0.115</v>
      </c>
      <c r="J21" s="272">
        <v>0.115</v>
      </c>
    </row>
    <row r="22" spans="3:10" x14ac:dyDescent="0.2">
      <c r="C22" s="268"/>
      <c r="D22" s="270"/>
      <c r="E22" s="271"/>
      <c r="F22" s="275"/>
      <c r="G22" s="270"/>
      <c r="H22" s="270"/>
      <c r="I22" s="270"/>
      <c r="J22" s="270"/>
    </row>
    <row r="23" spans="3:10" ht="13.5" thickBot="1" x14ac:dyDescent="0.25">
      <c r="C23" s="254" t="s">
        <v>213</v>
      </c>
      <c r="D23" s="270"/>
      <c r="E23" s="277">
        <f t="shared" ref="E23:J23" si="2">E19+E21</f>
        <v>0.26500000000000001</v>
      </c>
      <c r="F23" s="278">
        <f t="shared" si="2"/>
        <v>0.26500000000000001</v>
      </c>
      <c r="G23" s="278">
        <f t="shared" si="2"/>
        <v>0.26500000000000001</v>
      </c>
      <c r="H23" s="278">
        <f t="shared" si="2"/>
        <v>0.26500000000000001</v>
      </c>
      <c r="I23" s="278">
        <f t="shared" ref="I23" si="3">I19+I21</f>
        <v>0.26500000000000001</v>
      </c>
      <c r="J23" s="278">
        <f t="shared" si="2"/>
        <v>0.26500000000000001</v>
      </c>
    </row>
    <row r="24" spans="3:10" x14ac:dyDescent="0.2">
      <c r="C24" s="268"/>
      <c r="D24" s="270"/>
      <c r="E24" s="271"/>
      <c r="F24" s="270"/>
      <c r="G24" s="270"/>
      <c r="H24" s="270"/>
      <c r="I24" s="270"/>
      <c r="J24" s="270"/>
    </row>
    <row r="25" spans="3:10" x14ac:dyDescent="0.2">
      <c r="C25" s="254" t="s">
        <v>214</v>
      </c>
      <c r="D25" s="270"/>
      <c r="E25" s="271"/>
      <c r="F25" s="270"/>
      <c r="G25" s="270"/>
      <c r="H25" s="270"/>
      <c r="I25" s="270"/>
      <c r="J25" s="270"/>
    </row>
    <row r="26" spans="3:10" x14ac:dyDescent="0.2">
      <c r="C26" s="279" t="s">
        <v>215</v>
      </c>
      <c r="D26" s="270"/>
      <c r="E26" s="280">
        <v>500000</v>
      </c>
      <c r="F26" s="280">
        <v>500000</v>
      </c>
      <c r="G26" s="280">
        <v>500000</v>
      </c>
      <c r="H26" s="280">
        <v>500000</v>
      </c>
      <c r="I26" s="280">
        <v>500000</v>
      </c>
      <c r="J26" s="280">
        <v>500000</v>
      </c>
    </row>
    <row r="27" spans="3:10" x14ac:dyDescent="0.2">
      <c r="C27" s="268" t="s">
        <v>216</v>
      </c>
      <c r="D27" s="270"/>
      <c r="E27" s="280">
        <v>500000</v>
      </c>
      <c r="F27" s="280">
        <v>500000</v>
      </c>
      <c r="G27" s="280">
        <v>500000</v>
      </c>
      <c r="H27" s="280">
        <v>500000</v>
      </c>
      <c r="I27" s="280">
        <v>500000</v>
      </c>
      <c r="J27" s="280">
        <v>500000</v>
      </c>
    </row>
    <row r="28" spans="3:10" x14ac:dyDescent="0.2">
      <c r="C28" s="268"/>
      <c r="D28" s="270"/>
      <c r="E28" s="271"/>
      <c r="F28" s="271"/>
      <c r="G28" s="271"/>
      <c r="H28" s="271"/>
      <c r="I28" s="271"/>
      <c r="J28" s="271"/>
    </row>
    <row r="29" spans="3:10" x14ac:dyDescent="0.2">
      <c r="C29" s="268" t="s">
        <v>217</v>
      </c>
      <c r="D29" s="270"/>
      <c r="E29" s="271">
        <v>0.11</v>
      </c>
      <c r="F29" s="271">
        <v>0.11</v>
      </c>
      <c r="G29" s="271">
        <v>0.11</v>
      </c>
      <c r="H29" s="271">
        <v>0.105</v>
      </c>
      <c r="I29" s="271">
        <v>0.105</v>
      </c>
      <c r="J29" s="271">
        <v>0.105</v>
      </c>
    </row>
    <row r="30" spans="3:10" x14ac:dyDescent="0.2">
      <c r="C30" s="268"/>
      <c r="D30" s="270"/>
      <c r="E30" s="271"/>
      <c r="F30" s="271"/>
      <c r="G30" s="271"/>
      <c r="H30" s="271"/>
      <c r="I30" s="271"/>
      <c r="J30" s="271"/>
    </row>
    <row r="31" spans="3:10" x14ac:dyDescent="0.2">
      <c r="C31" s="268" t="s">
        <v>218</v>
      </c>
      <c r="D31" s="270"/>
      <c r="E31" s="271">
        <v>4.4999999999999998E-2</v>
      </c>
      <c r="F31" s="271">
        <v>4.4999999999999998E-2</v>
      </c>
      <c r="G31" s="271">
        <v>4.4999999999999998E-2</v>
      </c>
      <c r="H31" s="271">
        <v>4.4999999999999998E-2</v>
      </c>
      <c r="I31" s="271">
        <v>4.4999999999999998E-2</v>
      </c>
      <c r="J31" s="271">
        <v>4.4999999999999998E-2</v>
      </c>
    </row>
    <row r="32" spans="3:10" x14ac:dyDescent="0.2">
      <c r="C32" s="268"/>
      <c r="D32" s="270"/>
      <c r="E32" s="281"/>
      <c r="F32" s="281"/>
      <c r="G32" s="268"/>
      <c r="H32" s="268"/>
    </row>
    <row r="33" spans="3:9" x14ac:dyDescent="0.2">
      <c r="C33" s="268"/>
      <c r="D33" s="270"/>
      <c r="E33" s="268"/>
      <c r="F33" s="268"/>
      <c r="G33" s="268"/>
      <c r="H33" s="268"/>
      <c r="I33" s="268"/>
    </row>
    <row r="34" spans="3:9" x14ac:dyDescent="0.2">
      <c r="C34" s="282" t="s">
        <v>381</v>
      </c>
      <c r="D34" s="270"/>
      <c r="E34" s="268"/>
      <c r="F34" s="268"/>
      <c r="G34" s="268"/>
      <c r="H34" s="268"/>
      <c r="I34" s="268"/>
    </row>
    <row r="35" spans="3:9" x14ac:dyDescent="0.2">
      <c r="C35" s="356" t="s">
        <v>382</v>
      </c>
      <c r="D35" s="268"/>
      <c r="E35" s="268"/>
      <c r="F35" s="268"/>
      <c r="G35" s="268"/>
      <c r="H35" s="268"/>
      <c r="I35" s="268"/>
    </row>
    <row r="36" spans="3:9" x14ac:dyDescent="0.2">
      <c r="C36" s="356" t="s">
        <v>446</v>
      </c>
      <c r="D36" s="268"/>
      <c r="E36" s="268"/>
      <c r="F36" s="268"/>
      <c r="G36" s="268"/>
      <c r="H36" s="268"/>
      <c r="I36" s="268"/>
    </row>
    <row r="37" spans="3:9" x14ac:dyDescent="0.2">
      <c r="C37" s="355" t="s">
        <v>447</v>
      </c>
    </row>
    <row r="38" spans="3:9" x14ac:dyDescent="0.2">
      <c r="C38" s="355" t="s">
        <v>448</v>
      </c>
    </row>
    <row r="39" spans="3:9" x14ac:dyDescent="0.2">
      <c r="C39" s="355" t="s">
        <v>449</v>
      </c>
    </row>
  </sheetData>
  <sheetProtection password="BE7F" sheet="1" objects="1" scenarios="1"/>
  <mergeCells count="4">
    <mergeCell ref="C1:D1"/>
    <mergeCell ref="C2:D2"/>
    <mergeCell ref="C3:D3"/>
    <mergeCell ref="C4:D4"/>
  </mergeCells>
  <phoneticPr fontId="3"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L46"/>
  <sheetViews>
    <sheetView topLeftCell="A4" zoomScaleNormal="100" workbookViewId="0">
      <selection activeCell="I10" sqref="I10"/>
    </sheetView>
  </sheetViews>
  <sheetFormatPr defaultColWidth="9.140625" defaultRowHeight="12.75" x14ac:dyDescent="0.2"/>
  <cols>
    <col min="1" max="1" width="4.28515625" style="10" customWidth="1"/>
    <col min="2" max="2" width="13.28515625" style="10" customWidth="1"/>
    <col min="3" max="3" width="32.28515625" style="10" customWidth="1"/>
    <col min="4" max="4" width="42.7109375" style="10" customWidth="1"/>
    <col min="5" max="5" width="11.42578125" style="10" bestFit="1" customWidth="1"/>
    <col min="6" max="6" width="6" style="10" customWidth="1"/>
    <col min="7" max="7" width="16.140625" style="10" bestFit="1" customWidth="1"/>
    <col min="8" max="8" width="9.140625" style="10"/>
    <col min="9" max="9" width="16.28515625" style="10" bestFit="1" customWidth="1"/>
    <col min="10" max="10" width="11.7109375" style="10" bestFit="1" customWidth="1"/>
    <col min="11" max="11" width="4.5703125" style="10" customWidth="1"/>
    <col min="12" max="16384" width="9.140625" style="10"/>
  </cols>
  <sheetData>
    <row r="1" spans="1:12" ht="21.75" x14ac:dyDescent="0.2">
      <c r="A1" s="263"/>
      <c r="C1" s="584"/>
      <c r="D1" s="584"/>
      <c r="E1" s="584"/>
      <c r="F1" s="584"/>
      <c r="G1" s="584"/>
      <c r="H1" s="507"/>
    </row>
    <row r="2" spans="1:12" ht="18" x14ac:dyDescent="0.25">
      <c r="C2" s="585"/>
      <c r="D2" s="585"/>
      <c r="E2" s="585"/>
      <c r="F2" s="585"/>
      <c r="G2" s="585"/>
      <c r="H2" s="585"/>
      <c r="I2" s="585"/>
      <c r="J2" s="585"/>
      <c r="K2" s="585"/>
      <c r="L2" s="585"/>
    </row>
    <row r="3" spans="1:12" ht="24.75" customHeight="1" x14ac:dyDescent="0.25">
      <c r="C3" s="585"/>
      <c r="D3" s="585"/>
      <c r="E3" s="585"/>
      <c r="F3" s="585"/>
      <c r="G3" s="585"/>
      <c r="H3" s="585"/>
      <c r="I3" s="585"/>
      <c r="J3" s="585"/>
      <c r="K3" s="585"/>
      <c r="L3" s="585"/>
    </row>
    <row r="4" spans="1:12" ht="50.25" customHeight="1" x14ac:dyDescent="0.25">
      <c r="C4" s="585"/>
      <c r="D4" s="585"/>
      <c r="E4" s="585"/>
      <c r="F4" s="585"/>
      <c r="G4" s="585"/>
      <c r="H4" s="585"/>
      <c r="I4" s="585"/>
      <c r="J4" s="585"/>
      <c r="K4" s="585"/>
      <c r="L4" s="585"/>
    </row>
    <row r="5" spans="1:12" ht="50.25" customHeight="1" x14ac:dyDescent="0.2"/>
    <row r="6" spans="1:12" ht="23.25" x14ac:dyDescent="0.35">
      <c r="C6" s="243" t="s">
        <v>371</v>
      </c>
    </row>
    <row r="8" spans="1:12" ht="15.75" x14ac:dyDescent="0.2">
      <c r="C8" s="590" t="s">
        <v>373</v>
      </c>
      <c r="D8" s="590"/>
      <c r="E8" s="590"/>
      <c r="F8" s="590"/>
      <c r="G8" s="109"/>
      <c r="H8" s="109"/>
      <c r="I8" s="315" t="s">
        <v>346</v>
      </c>
      <c r="J8" s="115"/>
    </row>
    <row r="9" spans="1:12" x14ac:dyDescent="0.2">
      <c r="C9" s="114"/>
      <c r="D9" s="114"/>
      <c r="E9" s="109"/>
      <c r="F9" s="109"/>
      <c r="G9" s="109"/>
      <c r="H9" s="109"/>
      <c r="I9" s="27"/>
      <c r="J9" s="115"/>
    </row>
    <row r="10" spans="1:12" x14ac:dyDescent="0.2">
      <c r="C10" s="116" t="s">
        <v>203</v>
      </c>
      <c r="D10" s="116"/>
      <c r="E10" s="109"/>
      <c r="F10" s="109"/>
      <c r="G10" s="109"/>
      <c r="H10" s="357" t="s">
        <v>410</v>
      </c>
      <c r="I10" s="265">
        <f>'H1 Adj. Taxable Income Historic'!G119</f>
        <v>87766</v>
      </c>
      <c r="J10" s="218" t="s">
        <v>0</v>
      </c>
    </row>
    <row r="11" spans="1:12" hidden="1" x14ac:dyDescent="0.2">
      <c r="C11" s="117"/>
      <c r="D11" s="117"/>
      <c r="E11" s="109"/>
      <c r="F11" s="109"/>
      <c r="G11" s="109"/>
      <c r="H11" s="109"/>
      <c r="I11" s="109"/>
      <c r="J11" s="219"/>
    </row>
    <row r="12" spans="1:12" hidden="1" x14ac:dyDescent="0.2">
      <c r="C12" s="131" t="s">
        <v>237</v>
      </c>
      <c r="D12" s="131"/>
      <c r="E12" s="109"/>
      <c r="F12" s="109"/>
      <c r="G12" s="109"/>
      <c r="H12" s="109"/>
      <c r="I12" s="109"/>
      <c r="J12" s="219"/>
    </row>
    <row r="13" spans="1:12" ht="14.25" hidden="1" x14ac:dyDescent="0.2">
      <c r="C13" s="253" t="s">
        <v>233</v>
      </c>
      <c r="D13" s="254" t="s">
        <v>301</v>
      </c>
      <c r="E13" s="316"/>
      <c r="F13" s="216" t="s">
        <v>181</v>
      </c>
      <c r="G13" s="319"/>
      <c r="H13" s="216" t="s">
        <v>238</v>
      </c>
      <c r="J13" s="219"/>
    </row>
    <row r="14" spans="1:12" hidden="1" x14ac:dyDescent="0.2">
      <c r="C14" s="255"/>
      <c r="F14" s="509"/>
      <c r="H14" s="509"/>
      <c r="J14" s="509"/>
    </row>
    <row r="15" spans="1:12" ht="14.25" hidden="1" x14ac:dyDescent="0.2">
      <c r="C15" s="253" t="s">
        <v>234</v>
      </c>
      <c r="D15" s="134" t="s">
        <v>216</v>
      </c>
      <c r="E15" s="317">
        <f>IF(I10&gt;'B. Tax Rates &amp; Exemptions'!F27,'B. Tax Rates &amp; Exemptions'!F27,0)</f>
        <v>0</v>
      </c>
      <c r="F15" s="216" t="s">
        <v>182</v>
      </c>
      <c r="G15" s="109"/>
      <c r="H15" s="217"/>
      <c r="I15" s="109"/>
      <c r="J15" s="219"/>
    </row>
    <row r="16" spans="1:12" ht="14.25" hidden="1" x14ac:dyDescent="0.2">
      <c r="C16" s="255"/>
      <c r="D16" s="134" t="s">
        <v>328</v>
      </c>
      <c r="E16" s="316"/>
      <c r="F16" s="216" t="s">
        <v>183</v>
      </c>
      <c r="G16" s="318"/>
      <c r="H16" s="216" t="s">
        <v>239</v>
      </c>
      <c r="I16" s="109"/>
      <c r="J16" s="219"/>
    </row>
    <row r="17" spans="3:10" ht="14.25" hidden="1" x14ac:dyDescent="0.2">
      <c r="C17" s="255"/>
      <c r="D17" s="134"/>
      <c r="E17" s="109"/>
      <c r="F17" s="109"/>
      <c r="G17" s="109"/>
      <c r="H17" s="217"/>
      <c r="I17" s="109"/>
      <c r="J17" s="219"/>
    </row>
    <row r="18" spans="3:10" hidden="1" x14ac:dyDescent="0.2">
      <c r="C18" s="255"/>
      <c r="H18" s="509"/>
      <c r="I18" s="109"/>
      <c r="J18" s="219"/>
    </row>
    <row r="19" spans="3:10" hidden="1" x14ac:dyDescent="0.2">
      <c r="C19" s="255"/>
      <c r="H19" s="509"/>
      <c r="I19" s="109"/>
      <c r="J19" s="219"/>
    </row>
    <row r="20" spans="3:10" ht="14.25" hidden="1" x14ac:dyDescent="0.2">
      <c r="C20" s="253" t="s">
        <v>235</v>
      </c>
      <c r="D20" s="117"/>
      <c r="E20" s="109"/>
      <c r="F20" s="109"/>
      <c r="G20" s="109"/>
      <c r="H20" s="217"/>
      <c r="I20" s="265">
        <f>SUM(G13:G19)</f>
        <v>0</v>
      </c>
      <c r="J20" s="218" t="s">
        <v>245</v>
      </c>
    </row>
    <row r="21" spans="3:10" hidden="1" x14ac:dyDescent="0.2">
      <c r="C21" s="117"/>
      <c r="D21" s="117"/>
      <c r="E21" s="109"/>
      <c r="F21" s="109"/>
      <c r="G21" s="109"/>
      <c r="H21" s="217"/>
      <c r="I21" s="109"/>
      <c r="J21" s="219"/>
    </row>
    <row r="22" spans="3:10" hidden="1" x14ac:dyDescent="0.2">
      <c r="C22" s="117"/>
      <c r="D22" s="117"/>
      <c r="E22" s="109"/>
      <c r="F22" s="109"/>
      <c r="G22" s="109"/>
      <c r="H22" s="217"/>
      <c r="I22" s="109"/>
      <c r="J22" s="219"/>
    </row>
    <row r="23" spans="3:10" ht="14.25" x14ac:dyDescent="0.2">
      <c r="C23" s="192" t="s">
        <v>240</v>
      </c>
      <c r="D23" s="134" t="s">
        <v>383</v>
      </c>
      <c r="E23" s="109"/>
      <c r="G23" s="316">
        <v>0.115</v>
      </c>
      <c r="H23" s="216" t="s">
        <v>181</v>
      </c>
      <c r="I23" s="109"/>
      <c r="J23" s="219"/>
    </row>
    <row r="24" spans="3:10" ht="14.25" x14ac:dyDescent="0.2">
      <c r="C24" s="117"/>
      <c r="D24" s="134" t="s">
        <v>377</v>
      </c>
      <c r="E24" s="109"/>
      <c r="F24" s="109"/>
      <c r="G24" s="316">
        <v>0.15</v>
      </c>
      <c r="H24" s="216" t="s">
        <v>385</v>
      </c>
      <c r="I24" s="109"/>
      <c r="J24" s="219"/>
    </row>
    <row r="25" spans="3:10" ht="14.25" x14ac:dyDescent="0.2">
      <c r="C25" s="117"/>
      <c r="D25" s="134" t="s">
        <v>384</v>
      </c>
      <c r="E25" s="109"/>
      <c r="F25" s="109"/>
      <c r="H25" s="217"/>
      <c r="I25" s="266">
        <f>SUM(G23:G24)</f>
        <v>0.26500000000000001</v>
      </c>
      <c r="J25" s="218" t="s">
        <v>461</v>
      </c>
    </row>
    <row r="26" spans="3:10" x14ac:dyDescent="0.2">
      <c r="C26" s="117"/>
      <c r="D26" s="117"/>
      <c r="E26" s="109"/>
      <c r="F26" s="109"/>
      <c r="G26" s="109"/>
      <c r="H26" s="217"/>
      <c r="I26" s="109"/>
      <c r="J26" s="219"/>
    </row>
    <row r="27" spans="3:10" x14ac:dyDescent="0.2">
      <c r="C27" s="109"/>
      <c r="D27" s="109"/>
      <c r="E27" s="109"/>
      <c r="F27" s="109"/>
      <c r="G27" s="109"/>
      <c r="H27" s="217"/>
      <c r="I27" s="109"/>
      <c r="J27" s="219"/>
    </row>
    <row r="28" spans="3:10" x14ac:dyDescent="0.2">
      <c r="C28" s="111" t="s">
        <v>166</v>
      </c>
      <c r="D28" s="111"/>
      <c r="E28" s="109"/>
      <c r="F28" s="109"/>
      <c r="G28" s="109"/>
      <c r="H28" s="217"/>
      <c r="I28" s="267">
        <f>I10*I25</f>
        <v>23257.99</v>
      </c>
      <c r="J28" s="218" t="s">
        <v>387</v>
      </c>
    </row>
    <row r="29" spans="3:10" ht="6.75" customHeight="1" x14ac:dyDescent="0.2">
      <c r="C29" s="109"/>
      <c r="D29" s="109"/>
      <c r="E29" s="109"/>
      <c r="F29" s="109"/>
      <c r="G29" s="109"/>
      <c r="H29" s="217"/>
      <c r="I29" s="112"/>
      <c r="J29" s="219"/>
    </row>
    <row r="30" spans="3:10" x14ac:dyDescent="0.2">
      <c r="C30" s="117" t="s">
        <v>167</v>
      </c>
      <c r="D30" s="109"/>
      <c r="E30" s="109"/>
      <c r="F30" s="109"/>
      <c r="G30" s="109"/>
      <c r="H30" s="217"/>
      <c r="I30" s="320"/>
      <c r="J30" s="218" t="s">
        <v>388</v>
      </c>
    </row>
    <row r="31" spans="3:10" x14ac:dyDescent="0.2">
      <c r="C31" s="117" t="s">
        <v>168</v>
      </c>
      <c r="D31" s="109"/>
      <c r="E31" s="109"/>
      <c r="F31" s="109"/>
      <c r="G31" s="109"/>
      <c r="H31" s="217"/>
      <c r="I31" s="320"/>
      <c r="J31" s="218" t="s">
        <v>389</v>
      </c>
    </row>
    <row r="32" spans="3:10" x14ac:dyDescent="0.2">
      <c r="C32" s="111" t="s">
        <v>241</v>
      </c>
      <c r="D32" s="109"/>
      <c r="E32" s="109"/>
      <c r="F32" s="109"/>
      <c r="G32" s="109"/>
      <c r="H32" s="217"/>
      <c r="I32" s="267">
        <f>SUM(I30:I31)</f>
        <v>0</v>
      </c>
      <c r="J32" s="218" t="s">
        <v>390</v>
      </c>
    </row>
    <row r="33" spans="3:10" x14ac:dyDescent="0.2">
      <c r="C33" s="109"/>
      <c r="D33" s="109"/>
      <c r="E33" s="109"/>
      <c r="F33" s="109"/>
      <c r="G33" s="109"/>
      <c r="H33" s="217"/>
      <c r="I33" s="118"/>
      <c r="J33" s="219"/>
    </row>
    <row r="34" spans="3:10" x14ac:dyDescent="0.2">
      <c r="C34" s="111" t="s">
        <v>372</v>
      </c>
      <c r="D34" s="111"/>
      <c r="E34" s="109"/>
      <c r="F34" s="109"/>
      <c r="G34" s="109"/>
      <c r="H34" s="217"/>
      <c r="I34" s="267">
        <f>IF(I28-I32&lt;0,0,I28-I32)</f>
        <v>23257.99</v>
      </c>
      <c r="J34" s="218" t="s">
        <v>458</v>
      </c>
    </row>
    <row r="35" spans="3:10" x14ac:dyDescent="0.2">
      <c r="C35" s="109"/>
      <c r="D35" s="109"/>
      <c r="E35" s="109"/>
      <c r="F35" s="109"/>
      <c r="G35" s="109"/>
      <c r="H35" s="217"/>
      <c r="I35" s="119"/>
    </row>
    <row r="36" spans="3:10" x14ac:dyDescent="0.2">
      <c r="C36" s="109"/>
      <c r="D36" s="109"/>
      <c r="E36" s="109"/>
      <c r="F36" s="109"/>
      <c r="G36" s="230"/>
      <c r="H36" s="216"/>
      <c r="I36" s="261"/>
    </row>
    <row r="37" spans="3:10" x14ac:dyDescent="0.2">
      <c r="C37" s="108"/>
      <c r="D37" s="108"/>
      <c r="E37" s="109"/>
      <c r="F37" s="109"/>
      <c r="G37" s="109"/>
      <c r="H37" s="109"/>
      <c r="I37" s="110"/>
    </row>
    <row r="38" spans="3:10" x14ac:dyDescent="0.2">
      <c r="C38" s="66"/>
      <c r="G38" s="109"/>
      <c r="H38" s="109"/>
      <c r="I38" s="110"/>
    </row>
    <row r="39" spans="3:10" ht="32.25" customHeight="1" x14ac:dyDescent="0.2">
      <c r="C39" s="589"/>
      <c r="D39" s="589"/>
      <c r="E39" s="589"/>
      <c r="F39" s="589"/>
      <c r="G39" s="109"/>
      <c r="H39" s="109"/>
      <c r="I39" s="261"/>
    </row>
    <row r="40" spans="3:10" x14ac:dyDescent="0.2">
      <c r="C40" s="109"/>
      <c r="D40" s="109"/>
      <c r="E40" s="109"/>
      <c r="F40" s="109"/>
      <c r="G40" s="109"/>
      <c r="H40" s="109"/>
      <c r="I40" s="256"/>
    </row>
    <row r="42" spans="3:10" x14ac:dyDescent="0.2">
      <c r="C42" s="66"/>
    </row>
    <row r="43" spans="3:10" ht="36" customHeight="1" x14ac:dyDescent="0.2">
      <c r="C43" s="589"/>
      <c r="D43" s="589"/>
      <c r="E43" s="589"/>
      <c r="F43" s="589"/>
      <c r="I43" s="260"/>
    </row>
    <row r="44" spans="3:10" x14ac:dyDescent="0.2">
      <c r="I44" s="259"/>
    </row>
    <row r="45" spans="3:10" x14ac:dyDescent="0.2">
      <c r="I45" s="259"/>
    </row>
    <row r="46" spans="3:10" x14ac:dyDescent="0.2">
      <c r="I46" s="258"/>
    </row>
  </sheetData>
  <sheetProtection password="BE7F"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38" priority="1" stopIfTrue="1">
      <formula>ISBLANK(I30)</formula>
    </cfRule>
  </conditionalFormatting>
  <hyperlinks>
    <hyperlink ref="H10" location="'H1 Adj. Taxable Income Historic'!A1" display="'H1"/>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9"/>
  <sheetViews>
    <sheetView topLeftCell="A91" zoomScaleNormal="100" workbookViewId="0">
      <selection activeCell="E99" sqref="E99:E100"/>
    </sheetView>
  </sheetViews>
  <sheetFormatPr defaultColWidth="9.140625" defaultRowHeight="12.75" x14ac:dyDescent="0.2"/>
  <cols>
    <col min="1" max="1" width="3" style="10" customWidth="1"/>
    <col min="2" max="2" width="2.28515625" style="10" customWidth="1"/>
    <col min="3" max="3" width="75.42578125" style="10" customWidth="1"/>
    <col min="4" max="4" width="9.140625" style="10"/>
    <col min="5" max="5" width="13.7109375" style="10" customWidth="1"/>
    <col min="6" max="6" width="16.7109375" style="10" customWidth="1"/>
    <col min="7" max="7" width="13.42578125" style="10" customWidth="1"/>
    <col min="8" max="16384" width="9.140625" style="10"/>
  </cols>
  <sheetData>
    <row r="1" spans="1:9" ht="21.75" x14ac:dyDescent="0.2">
      <c r="A1" s="263"/>
      <c r="C1" s="584"/>
      <c r="D1" s="584"/>
      <c r="E1" s="584"/>
      <c r="F1" s="1"/>
    </row>
    <row r="2" spans="1:9" ht="18" x14ac:dyDescent="0.25">
      <c r="C2" s="585"/>
      <c r="D2" s="585"/>
      <c r="E2" s="585"/>
      <c r="F2" s="585"/>
      <c r="G2" s="585"/>
      <c r="H2" s="585"/>
      <c r="I2" s="585"/>
    </row>
    <row r="3" spans="1:9" ht="18" x14ac:dyDescent="0.25">
      <c r="C3" s="585"/>
      <c r="D3" s="585"/>
      <c r="E3" s="585"/>
      <c r="F3" s="585"/>
      <c r="G3" s="585"/>
      <c r="H3" s="585"/>
      <c r="I3" s="585"/>
    </row>
    <row r="4" spans="1:9" ht="18" x14ac:dyDescent="0.25">
      <c r="C4" s="585"/>
      <c r="D4" s="585"/>
      <c r="E4" s="585"/>
      <c r="F4" s="585"/>
      <c r="G4" s="585"/>
      <c r="H4" s="585"/>
      <c r="I4" s="585"/>
    </row>
    <row r="6" spans="1:9" ht="37.5" customHeight="1" x14ac:dyDescent="0.2"/>
    <row r="8" spans="1:9" ht="28.5" customHeight="1" x14ac:dyDescent="0.35">
      <c r="C8" s="349" t="s">
        <v>370</v>
      </c>
    </row>
    <row r="9" spans="1:9" ht="23.25" x14ac:dyDescent="0.35">
      <c r="C9" s="243"/>
    </row>
    <row r="10" spans="1:9" ht="13.5" thickBot="1" x14ac:dyDescent="0.25"/>
    <row r="11" spans="1:9" ht="24" x14ac:dyDescent="0.2">
      <c r="C11" s="159"/>
      <c r="D11" s="160" t="s">
        <v>4</v>
      </c>
      <c r="E11" s="161" t="s">
        <v>5</v>
      </c>
      <c r="F11" s="161" t="s">
        <v>6</v>
      </c>
      <c r="G11" s="162" t="s">
        <v>202</v>
      </c>
    </row>
    <row r="12" spans="1:9" x14ac:dyDescent="0.2">
      <c r="C12" s="163" t="s">
        <v>7</v>
      </c>
      <c r="D12" s="15" t="s">
        <v>0</v>
      </c>
      <c r="E12" s="350">
        <v>1116503</v>
      </c>
      <c r="F12" s="350"/>
      <c r="G12" s="164">
        <f>+E12-F12</f>
        <v>1116503</v>
      </c>
    </row>
    <row r="13" spans="1:9" x14ac:dyDescent="0.2">
      <c r="C13" s="165" t="s">
        <v>8</v>
      </c>
      <c r="D13" s="16"/>
      <c r="E13" s="17"/>
      <c r="F13" s="18"/>
      <c r="G13" s="166"/>
    </row>
    <row r="14" spans="1:9" x14ac:dyDescent="0.2">
      <c r="C14" s="167" t="s">
        <v>9</v>
      </c>
      <c r="D14" s="20">
        <v>103</v>
      </c>
      <c r="E14" s="350">
        <v>4081</v>
      </c>
      <c r="F14" s="559"/>
      <c r="G14" s="164">
        <f t="shared" ref="G14:G54" si="0">+E14-F14</f>
        <v>4081</v>
      </c>
    </row>
    <row r="15" spans="1:9" x14ac:dyDescent="0.2">
      <c r="C15" s="167" t="s">
        <v>10</v>
      </c>
      <c r="D15" s="20">
        <v>104</v>
      </c>
      <c r="E15" s="350">
        <v>1712622</v>
      </c>
      <c r="F15" s="350"/>
      <c r="G15" s="164">
        <f t="shared" si="0"/>
        <v>1712622</v>
      </c>
    </row>
    <row r="16" spans="1:9" x14ac:dyDescent="0.2">
      <c r="C16" s="167" t="s">
        <v>11</v>
      </c>
      <c r="D16" s="20">
        <v>106</v>
      </c>
      <c r="E16" s="350"/>
      <c r="F16" s="350"/>
      <c r="G16" s="164">
        <f t="shared" si="0"/>
        <v>0</v>
      </c>
    </row>
    <row r="17" spans="3:7" x14ac:dyDescent="0.2">
      <c r="C17" s="167" t="s">
        <v>12</v>
      </c>
      <c r="D17" s="20">
        <v>107</v>
      </c>
      <c r="E17" s="350"/>
      <c r="F17" s="559"/>
      <c r="G17" s="164">
        <f t="shared" si="0"/>
        <v>0</v>
      </c>
    </row>
    <row r="18" spans="3:7" x14ac:dyDescent="0.2">
      <c r="C18" s="167" t="s">
        <v>13</v>
      </c>
      <c r="D18" s="20">
        <v>108</v>
      </c>
      <c r="E18" s="350"/>
      <c r="F18" s="559"/>
      <c r="G18" s="164">
        <f t="shared" si="0"/>
        <v>0</v>
      </c>
    </row>
    <row r="19" spans="3:7" x14ac:dyDescent="0.2">
      <c r="C19" s="167" t="s">
        <v>14</v>
      </c>
      <c r="D19" s="20">
        <v>109</v>
      </c>
      <c r="E19" s="350"/>
      <c r="F19" s="350"/>
      <c r="G19" s="164">
        <f t="shared" si="0"/>
        <v>0</v>
      </c>
    </row>
    <row r="20" spans="3:7" x14ac:dyDescent="0.2">
      <c r="C20" s="167" t="s">
        <v>15</v>
      </c>
      <c r="D20" s="20">
        <v>110</v>
      </c>
      <c r="E20" s="350"/>
      <c r="F20" s="350"/>
      <c r="G20" s="164">
        <f t="shared" si="0"/>
        <v>0</v>
      </c>
    </row>
    <row r="21" spans="3:7" x14ac:dyDescent="0.2">
      <c r="C21" s="167" t="s">
        <v>16</v>
      </c>
      <c r="D21" s="20">
        <v>111</v>
      </c>
      <c r="E21" s="350"/>
      <c r="F21" s="559"/>
      <c r="G21" s="164">
        <f t="shared" si="0"/>
        <v>0</v>
      </c>
    </row>
    <row r="22" spans="3:7" x14ac:dyDescent="0.2">
      <c r="C22" s="167" t="s">
        <v>17</v>
      </c>
      <c r="D22" s="20">
        <v>112</v>
      </c>
      <c r="E22" s="350">
        <v>100</v>
      </c>
      <c r="F22" s="350"/>
      <c r="G22" s="164">
        <f t="shared" si="0"/>
        <v>100</v>
      </c>
    </row>
    <row r="23" spans="3:7" x14ac:dyDescent="0.2">
      <c r="C23" s="167" t="s">
        <v>18</v>
      </c>
      <c r="D23" s="20">
        <v>113</v>
      </c>
      <c r="E23" s="350"/>
      <c r="F23" s="559"/>
      <c r="G23" s="164">
        <f t="shared" si="0"/>
        <v>0</v>
      </c>
    </row>
    <row r="24" spans="3:7" x14ac:dyDescent="0.2">
      <c r="C24" s="167" t="s">
        <v>19</v>
      </c>
      <c r="D24" s="20">
        <v>114</v>
      </c>
      <c r="E24" s="350"/>
      <c r="F24" s="350"/>
      <c r="G24" s="164">
        <f t="shared" si="0"/>
        <v>0</v>
      </c>
    </row>
    <row r="25" spans="3:7" x14ac:dyDescent="0.2">
      <c r="C25" s="167" t="s">
        <v>20</v>
      </c>
      <c r="D25" s="20">
        <v>116</v>
      </c>
      <c r="E25" s="350"/>
      <c r="F25" s="350"/>
      <c r="G25" s="164">
        <f t="shared" si="0"/>
        <v>0</v>
      </c>
    </row>
    <row r="26" spans="3:7" x14ac:dyDescent="0.2">
      <c r="C26" s="167" t="s">
        <v>21</v>
      </c>
      <c r="D26" s="20">
        <v>118</v>
      </c>
      <c r="E26" s="350"/>
      <c r="F26" s="350"/>
      <c r="G26" s="164">
        <f t="shared" si="0"/>
        <v>0</v>
      </c>
    </row>
    <row r="27" spans="3:7" x14ac:dyDescent="0.2">
      <c r="C27" s="167" t="s">
        <v>22</v>
      </c>
      <c r="D27" s="20">
        <v>119</v>
      </c>
      <c r="E27" s="350"/>
      <c r="F27" s="350"/>
      <c r="G27" s="164">
        <f t="shared" si="0"/>
        <v>0</v>
      </c>
    </row>
    <row r="28" spans="3:7" x14ac:dyDescent="0.2">
      <c r="C28" s="167" t="s">
        <v>23</v>
      </c>
      <c r="D28" s="20">
        <v>120</v>
      </c>
      <c r="E28" s="350"/>
      <c r="F28" s="350"/>
      <c r="G28" s="164">
        <f t="shared" si="0"/>
        <v>0</v>
      </c>
    </row>
    <row r="29" spans="3:7" x14ac:dyDescent="0.2">
      <c r="C29" s="167" t="s">
        <v>24</v>
      </c>
      <c r="D29" s="20">
        <v>121</v>
      </c>
      <c r="E29" s="350">
        <v>11608</v>
      </c>
      <c r="F29" s="350"/>
      <c r="G29" s="164">
        <f t="shared" si="0"/>
        <v>11608</v>
      </c>
    </row>
    <row r="30" spans="3:7" x14ac:dyDescent="0.2">
      <c r="C30" s="167" t="s">
        <v>25</v>
      </c>
      <c r="D30" s="20">
        <v>122</v>
      </c>
      <c r="E30" s="350"/>
      <c r="F30" s="350"/>
      <c r="G30" s="164">
        <f t="shared" si="0"/>
        <v>0</v>
      </c>
    </row>
    <row r="31" spans="3:7" x14ac:dyDescent="0.2">
      <c r="C31" s="167" t="s">
        <v>26</v>
      </c>
      <c r="D31" s="20">
        <v>123</v>
      </c>
      <c r="E31" s="350"/>
      <c r="F31" s="350"/>
      <c r="G31" s="164">
        <f t="shared" si="0"/>
        <v>0</v>
      </c>
    </row>
    <row r="32" spans="3:7" x14ac:dyDescent="0.2">
      <c r="C32" s="167" t="s">
        <v>27</v>
      </c>
      <c r="D32" s="20">
        <v>124</v>
      </c>
      <c r="E32" s="350"/>
      <c r="F32" s="350"/>
      <c r="G32" s="164">
        <f t="shared" si="0"/>
        <v>0</v>
      </c>
    </row>
    <row r="33" spans="3:7" x14ac:dyDescent="0.2">
      <c r="C33" s="168" t="s">
        <v>28</v>
      </c>
      <c r="D33" s="22">
        <v>125</v>
      </c>
      <c r="E33" s="350"/>
      <c r="F33" s="560"/>
      <c r="G33" s="164">
        <f t="shared" si="0"/>
        <v>0</v>
      </c>
    </row>
    <row r="34" spans="3:7" x14ac:dyDescent="0.2">
      <c r="C34" s="167" t="s">
        <v>29</v>
      </c>
      <c r="D34" s="20">
        <v>126</v>
      </c>
      <c r="E34" s="350"/>
      <c r="F34" s="559"/>
      <c r="G34" s="164">
        <f t="shared" si="0"/>
        <v>0</v>
      </c>
    </row>
    <row r="35" spans="3:7" x14ac:dyDescent="0.2">
      <c r="C35" s="167" t="s">
        <v>30</v>
      </c>
      <c r="D35" s="20">
        <v>127</v>
      </c>
      <c r="E35" s="350"/>
      <c r="F35" s="350"/>
      <c r="G35" s="164">
        <f t="shared" si="0"/>
        <v>0</v>
      </c>
    </row>
    <row r="36" spans="3:7" x14ac:dyDescent="0.2">
      <c r="C36" s="167" t="s">
        <v>31</v>
      </c>
      <c r="D36" s="20">
        <v>205</v>
      </c>
      <c r="E36" s="350"/>
      <c r="F36" s="350"/>
      <c r="G36" s="164">
        <f t="shared" si="0"/>
        <v>0</v>
      </c>
    </row>
    <row r="37" spans="3:7" x14ac:dyDescent="0.2">
      <c r="C37" s="167" t="s">
        <v>32</v>
      </c>
      <c r="D37" s="20">
        <v>206</v>
      </c>
      <c r="E37" s="350"/>
      <c r="F37" s="350"/>
      <c r="G37" s="164">
        <f t="shared" si="0"/>
        <v>0</v>
      </c>
    </row>
    <row r="38" spans="3:7" x14ac:dyDescent="0.2">
      <c r="C38" s="167" t="s">
        <v>33</v>
      </c>
      <c r="D38" s="20">
        <v>208</v>
      </c>
      <c r="E38" s="350"/>
      <c r="F38" s="350"/>
      <c r="G38" s="164">
        <f t="shared" si="0"/>
        <v>0</v>
      </c>
    </row>
    <row r="39" spans="3:7" x14ac:dyDescent="0.2">
      <c r="C39" s="167" t="s">
        <v>34</v>
      </c>
      <c r="D39" s="20">
        <v>212</v>
      </c>
      <c r="E39" s="350"/>
      <c r="F39" s="350"/>
      <c r="G39" s="164">
        <f t="shared" si="0"/>
        <v>0</v>
      </c>
    </row>
    <row r="40" spans="3:7" x14ac:dyDescent="0.2">
      <c r="C40" s="167" t="s">
        <v>35</v>
      </c>
      <c r="D40" s="20">
        <v>216</v>
      </c>
      <c r="E40" s="350"/>
      <c r="F40" s="350"/>
      <c r="G40" s="164">
        <f t="shared" si="0"/>
        <v>0</v>
      </c>
    </row>
    <row r="41" spans="3:7" x14ac:dyDescent="0.2">
      <c r="C41" s="167" t="s">
        <v>36</v>
      </c>
      <c r="D41" s="20">
        <v>220</v>
      </c>
      <c r="E41" s="350"/>
      <c r="F41" s="350"/>
      <c r="G41" s="164">
        <f t="shared" si="0"/>
        <v>0</v>
      </c>
    </row>
    <row r="42" spans="3:7" x14ac:dyDescent="0.2">
      <c r="C42" s="167" t="s">
        <v>37</v>
      </c>
      <c r="D42" s="20">
        <v>226</v>
      </c>
      <c r="E42" s="350"/>
      <c r="F42" s="350"/>
      <c r="G42" s="164">
        <f t="shared" si="0"/>
        <v>0</v>
      </c>
    </row>
    <row r="43" spans="3:7" x14ac:dyDescent="0.2">
      <c r="C43" s="167" t="s">
        <v>38</v>
      </c>
      <c r="D43" s="20">
        <v>227</v>
      </c>
      <c r="E43" s="350"/>
      <c r="F43" s="350"/>
      <c r="G43" s="164">
        <f t="shared" si="0"/>
        <v>0</v>
      </c>
    </row>
    <row r="44" spans="3:7" x14ac:dyDescent="0.2">
      <c r="C44" s="167" t="s">
        <v>39</v>
      </c>
      <c r="D44" s="20">
        <v>228</v>
      </c>
      <c r="E44" s="350"/>
      <c r="F44" s="350"/>
      <c r="G44" s="164">
        <f t="shared" si="0"/>
        <v>0</v>
      </c>
    </row>
    <row r="45" spans="3:7" x14ac:dyDescent="0.2">
      <c r="C45" s="167" t="s">
        <v>40</v>
      </c>
      <c r="D45" s="20">
        <v>231</v>
      </c>
      <c r="E45" s="350"/>
      <c r="F45" s="350"/>
      <c r="G45" s="164">
        <f t="shared" si="0"/>
        <v>0</v>
      </c>
    </row>
    <row r="46" spans="3:7" x14ac:dyDescent="0.2">
      <c r="C46" s="167" t="s">
        <v>41</v>
      </c>
      <c r="D46" s="20">
        <v>235</v>
      </c>
      <c r="E46" s="350"/>
      <c r="F46" s="350"/>
      <c r="G46" s="164">
        <f t="shared" si="0"/>
        <v>0</v>
      </c>
    </row>
    <row r="47" spans="3:7" x14ac:dyDescent="0.2">
      <c r="C47" s="167" t="s">
        <v>42</v>
      </c>
      <c r="D47" s="20">
        <v>236</v>
      </c>
      <c r="E47" s="350"/>
      <c r="F47" s="350"/>
      <c r="G47" s="164">
        <f t="shared" si="0"/>
        <v>0</v>
      </c>
    </row>
    <row r="48" spans="3:7" ht="24" x14ac:dyDescent="0.2">
      <c r="C48" s="167" t="s">
        <v>43</v>
      </c>
      <c r="D48" s="20">
        <v>237</v>
      </c>
      <c r="E48" s="350"/>
      <c r="F48" s="350"/>
      <c r="G48" s="169">
        <f t="shared" si="0"/>
        <v>0</v>
      </c>
    </row>
    <row r="49" spans="3:7" x14ac:dyDescent="0.2">
      <c r="C49" s="591" t="s">
        <v>44</v>
      </c>
      <c r="D49" s="592"/>
      <c r="E49" s="592"/>
      <c r="F49" s="592"/>
      <c r="G49" s="593"/>
    </row>
    <row r="50" spans="3:7" x14ac:dyDescent="0.2">
      <c r="C50" s="167" t="s">
        <v>45</v>
      </c>
      <c r="D50" s="20">
        <v>290</v>
      </c>
      <c r="E50" s="350">
        <v>30946</v>
      </c>
      <c r="F50" s="350"/>
      <c r="G50" s="170">
        <f t="shared" si="0"/>
        <v>30946</v>
      </c>
    </row>
    <row r="51" spans="3:7" x14ac:dyDescent="0.2">
      <c r="C51" s="167" t="s">
        <v>46</v>
      </c>
      <c r="D51" s="20">
        <v>291</v>
      </c>
      <c r="E51" s="350"/>
      <c r="F51" s="350"/>
      <c r="G51" s="170">
        <f t="shared" si="0"/>
        <v>0</v>
      </c>
    </row>
    <row r="52" spans="3:7" x14ac:dyDescent="0.2">
      <c r="C52" s="167" t="s">
        <v>47</v>
      </c>
      <c r="D52" s="20">
        <v>292</v>
      </c>
      <c r="E52" s="350"/>
      <c r="F52" s="350"/>
      <c r="G52" s="170">
        <f t="shared" si="0"/>
        <v>0</v>
      </c>
    </row>
    <row r="53" spans="3:7" x14ac:dyDescent="0.2">
      <c r="C53" s="167" t="s">
        <v>48</v>
      </c>
      <c r="D53" s="20">
        <v>293</v>
      </c>
      <c r="E53" s="350"/>
      <c r="F53" s="350"/>
      <c r="G53" s="170">
        <f t="shared" si="0"/>
        <v>0</v>
      </c>
    </row>
    <row r="54" spans="3:7" x14ac:dyDescent="0.2">
      <c r="C54" s="561"/>
      <c r="D54" s="20">
        <v>294</v>
      </c>
      <c r="E54" s="350"/>
      <c r="F54" s="350"/>
      <c r="G54" s="170">
        <f t="shared" si="0"/>
        <v>0</v>
      </c>
    </row>
    <row r="55" spans="3:7" x14ac:dyDescent="0.2">
      <c r="C55" s="561"/>
      <c r="D55" s="23">
        <v>295</v>
      </c>
      <c r="E55" s="350"/>
      <c r="F55" s="350"/>
      <c r="G55" s="170">
        <f t="shared" ref="G55:G70" si="1">+E55-F55</f>
        <v>0</v>
      </c>
    </row>
    <row r="56" spans="3:7" x14ac:dyDescent="0.2">
      <c r="C56" s="244" t="s">
        <v>311</v>
      </c>
      <c r="D56" s="23"/>
      <c r="E56" s="350"/>
      <c r="F56" s="350"/>
      <c r="G56" s="170">
        <f t="shared" si="1"/>
        <v>0</v>
      </c>
    </row>
    <row r="57" spans="3:7" x14ac:dyDescent="0.2">
      <c r="C57" s="244" t="s">
        <v>312</v>
      </c>
      <c r="D57" s="23"/>
      <c r="E57" s="350"/>
      <c r="F57" s="350"/>
      <c r="G57" s="170">
        <f t="shared" si="1"/>
        <v>0</v>
      </c>
    </row>
    <row r="58" spans="3:7" x14ac:dyDescent="0.2">
      <c r="C58" s="244" t="s">
        <v>313</v>
      </c>
      <c r="D58" s="23"/>
      <c r="E58" s="350"/>
      <c r="F58" s="350"/>
      <c r="G58" s="170">
        <f t="shared" si="1"/>
        <v>0</v>
      </c>
    </row>
    <row r="59" spans="3:7" x14ac:dyDescent="0.2">
      <c r="C59" s="244" t="s">
        <v>314</v>
      </c>
      <c r="D59" s="23"/>
      <c r="E59" s="350"/>
      <c r="F59" s="350"/>
      <c r="G59" s="170">
        <f t="shared" si="1"/>
        <v>0</v>
      </c>
    </row>
    <row r="60" spans="3:7" x14ac:dyDescent="0.2">
      <c r="C60" s="244" t="s">
        <v>315</v>
      </c>
      <c r="D60" s="23"/>
      <c r="E60" s="350">
        <v>54000</v>
      </c>
      <c r="F60" s="350"/>
      <c r="G60" s="170">
        <f t="shared" si="1"/>
        <v>54000</v>
      </c>
    </row>
    <row r="61" spans="3:7" x14ac:dyDescent="0.2">
      <c r="C61" s="561" t="s">
        <v>514</v>
      </c>
      <c r="D61" s="23"/>
      <c r="E61" s="350">
        <v>12834</v>
      </c>
      <c r="F61" s="350"/>
      <c r="G61" s="170">
        <f t="shared" si="1"/>
        <v>12834</v>
      </c>
    </row>
    <row r="62" spans="3:7" x14ac:dyDescent="0.2">
      <c r="C62" s="561" t="s">
        <v>515</v>
      </c>
      <c r="D62" s="23"/>
      <c r="E62" s="350">
        <v>1071</v>
      </c>
      <c r="F62" s="350"/>
      <c r="G62" s="170">
        <f t="shared" si="1"/>
        <v>1071</v>
      </c>
    </row>
    <row r="63" spans="3:7" x14ac:dyDescent="0.2">
      <c r="C63" s="561"/>
      <c r="D63" s="23"/>
      <c r="E63" s="350"/>
      <c r="F63" s="350"/>
      <c r="G63" s="170">
        <f t="shared" si="1"/>
        <v>0</v>
      </c>
    </row>
    <row r="64" spans="3:7" x14ac:dyDescent="0.2">
      <c r="C64" s="561"/>
      <c r="D64" s="23"/>
      <c r="E64" s="350"/>
      <c r="F64" s="350"/>
      <c r="G64" s="170">
        <f t="shared" si="1"/>
        <v>0</v>
      </c>
    </row>
    <row r="65" spans="3:7" x14ac:dyDescent="0.2">
      <c r="C65" s="561"/>
      <c r="D65" s="23"/>
      <c r="E65" s="350"/>
      <c r="F65" s="350"/>
      <c r="G65" s="170">
        <f t="shared" si="1"/>
        <v>0</v>
      </c>
    </row>
    <row r="66" spans="3:7" x14ac:dyDescent="0.2">
      <c r="C66" s="561"/>
      <c r="D66" s="23"/>
      <c r="E66" s="350"/>
      <c r="F66" s="350"/>
      <c r="G66" s="170">
        <f t="shared" si="1"/>
        <v>0</v>
      </c>
    </row>
    <row r="67" spans="3:7" x14ac:dyDescent="0.2">
      <c r="C67" s="561"/>
      <c r="D67" s="23"/>
      <c r="E67" s="350"/>
      <c r="F67" s="350"/>
      <c r="G67" s="170">
        <f t="shared" si="1"/>
        <v>0</v>
      </c>
    </row>
    <row r="68" spans="3:7" x14ac:dyDescent="0.2">
      <c r="C68" s="561"/>
      <c r="D68" s="23"/>
      <c r="E68" s="350"/>
      <c r="F68" s="350"/>
      <c r="G68" s="170">
        <f t="shared" si="1"/>
        <v>0</v>
      </c>
    </row>
    <row r="69" spans="3:7" x14ac:dyDescent="0.2">
      <c r="C69" s="561"/>
      <c r="D69" s="20"/>
      <c r="E69" s="350"/>
      <c r="F69" s="350"/>
      <c r="G69" s="170">
        <f t="shared" si="1"/>
        <v>0</v>
      </c>
    </row>
    <row r="70" spans="3:7" ht="13.5" thickBot="1" x14ac:dyDescent="0.25">
      <c r="C70" s="562"/>
      <c r="D70" s="284"/>
      <c r="E70" s="563"/>
      <c r="F70" s="563"/>
      <c r="G70" s="170">
        <f t="shared" si="1"/>
        <v>0</v>
      </c>
    </row>
    <row r="71" spans="3:7" ht="13.5" thickBot="1" x14ac:dyDescent="0.25">
      <c r="C71" s="24" t="s">
        <v>49</v>
      </c>
      <c r="D71" s="25"/>
      <c r="E71" s="26">
        <f>SUM(E13:E70)</f>
        <v>1827262</v>
      </c>
      <c r="F71" s="26">
        <f>SUM(F13:F70)</f>
        <v>0</v>
      </c>
      <c r="G71" s="233">
        <f>SUM(G13:G70)</f>
        <v>1827262</v>
      </c>
    </row>
    <row r="72" spans="3:7" x14ac:dyDescent="0.2">
      <c r="C72" s="171"/>
      <c r="D72" s="27"/>
      <c r="E72" s="28"/>
      <c r="F72" s="28"/>
      <c r="G72" s="172"/>
    </row>
    <row r="73" spans="3:7" x14ac:dyDescent="0.2">
      <c r="C73" s="173" t="s">
        <v>50</v>
      </c>
      <c r="D73" s="29"/>
      <c r="E73" s="30"/>
      <c r="F73" s="30"/>
      <c r="G73" s="174"/>
    </row>
    <row r="74" spans="3:7" x14ac:dyDescent="0.2">
      <c r="C74" s="167" t="s">
        <v>51</v>
      </c>
      <c r="D74" s="20">
        <v>401</v>
      </c>
      <c r="E74" s="350">
        <v>65703</v>
      </c>
      <c r="F74" s="350"/>
      <c r="G74" s="175">
        <f t="shared" ref="G74:G107" si="2">+E74-F74</f>
        <v>65703</v>
      </c>
    </row>
    <row r="75" spans="3:7" x14ac:dyDescent="0.2">
      <c r="C75" s="168" t="s">
        <v>52</v>
      </c>
      <c r="D75" s="20">
        <v>402</v>
      </c>
      <c r="E75" s="350"/>
      <c r="F75" s="350"/>
      <c r="G75" s="175">
        <f t="shared" si="2"/>
        <v>0</v>
      </c>
    </row>
    <row r="76" spans="3:7" x14ac:dyDescent="0.2">
      <c r="C76" s="167" t="s">
        <v>53</v>
      </c>
      <c r="D76" s="20">
        <v>403</v>
      </c>
      <c r="E76" s="564">
        <v>2347982</v>
      </c>
      <c r="F76" s="350"/>
      <c r="G76" s="175">
        <f t="shared" si="2"/>
        <v>2347982</v>
      </c>
    </row>
    <row r="77" spans="3:7" x14ac:dyDescent="0.2">
      <c r="C77" s="168" t="s">
        <v>54</v>
      </c>
      <c r="D77" s="20">
        <v>404</v>
      </c>
      <c r="E77" s="350"/>
      <c r="F77" s="350"/>
      <c r="G77" s="175">
        <f t="shared" si="2"/>
        <v>0</v>
      </c>
    </row>
    <row r="78" spans="3:7" x14ac:dyDescent="0.2">
      <c r="C78" s="167" t="s">
        <v>55</v>
      </c>
      <c r="D78" s="20">
        <v>405</v>
      </c>
      <c r="E78" s="350">
        <v>18772</v>
      </c>
      <c r="F78" s="350"/>
      <c r="G78" s="175">
        <f t="shared" si="2"/>
        <v>18772</v>
      </c>
    </row>
    <row r="79" spans="3:7" x14ac:dyDescent="0.2">
      <c r="C79" s="167" t="s">
        <v>56</v>
      </c>
      <c r="D79" s="20">
        <v>406</v>
      </c>
      <c r="E79" s="350"/>
      <c r="F79" s="350"/>
      <c r="G79" s="175">
        <f t="shared" si="2"/>
        <v>0</v>
      </c>
    </row>
    <row r="80" spans="3:7" x14ac:dyDescent="0.2">
      <c r="C80" s="167" t="s">
        <v>20</v>
      </c>
      <c r="D80" s="20">
        <v>409</v>
      </c>
      <c r="E80" s="350"/>
      <c r="F80" s="350"/>
      <c r="G80" s="175">
        <f t="shared" si="2"/>
        <v>0</v>
      </c>
    </row>
    <row r="81" spans="3:7" x14ac:dyDescent="0.2">
      <c r="C81" s="167" t="s">
        <v>57</v>
      </c>
      <c r="D81" s="20">
        <v>411</v>
      </c>
      <c r="E81" s="350"/>
      <c r="F81" s="350"/>
      <c r="G81" s="175">
        <f t="shared" si="2"/>
        <v>0</v>
      </c>
    </row>
    <row r="82" spans="3:7" x14ac:dyDescent="0.2">
      <c r="C82" s="167" t="s">
        <v>58</v>
      </c>
      <c r="D82" s="22">
        <v>413</v>
      </c>
      <c r="E82" s="350"/>
      <c r="F82" s="350"/>
      <c r="G82" s="175">
        <f t="shared" si="2"/>
        <v>0</v>
      </c>
    </row>
    <row r="83" spans="3:7" x14ac:dyDescent="0.2">
      <c r="C83" s="167" t="s">
        <v>59</v>
      </c>
      <c r="D83" s="20">
        <v>414</v>
      </c>
      <c r="E83" s="350"/>
      <c r="F83" s="350"/>
      <c r="G83" s="175">
        <f t="shared" si="2"/>
        <v>0</v>
      </c>
    </row>
    <row r="84" spans="3:7" x14ac:dyDescent="0.2">
      <c r="C84" s="167" t="s">
        <v>60</v>
      </c>
      <c r="D84" s="20">
        <v>416</v>
      </c>
      <c r="E84" s="350"/>
      <c r="F84" s="350"/>
      <c r="G84" s="175">
        <f t="shared" si="2"/>
        <v>0</v>
      </c>
    </row>
    <row r="85" spans="3:7" x14ac:dyDescent="0.2">
      <c r="C85" s="167" t="s">
        <v>61</v>
      </c>
      <c r="D85" s="20">
        <v>305</v>
      </c>
      <c r="E85" s="350"/>
      <c r="F85" s="350"/>
      <c r="G85" s="175">
        <f t="shared" si="2"/>
        <v>0</v>
      </c>
    </row>
    <row r="86" spans="3:7" x14ac:dyDescent="0.2">
      <c r="C86" s="167" t="s">
        <v>62</v>
      </c>
      <c r="D86" s="20">
        <v>306</v>
      </c>
      <c r="E86" s="350"/>
      <c r="F86" s="350"/>
      <c r="G86" s="175">
        <f t="shared" si="2"/>
        <v>0</v>
      </c>
    </row>
    <row r="87" spans="3:7" x14ac:dyDescent="0.2">
      <c r="C87" s="176" t="s">
        <v>63</v>
      </c>
      <c r="D87" s="20"/>
      <c r="E87" s="350"/>
      <c r="F87" s="350"/>
      <c r="G87" s="170"/>
    </row>
    <row r="88" spans="3:7" x14ac:dyDescent="0.2">
      <c r="C88" s="167"/>
      <c r="D88" s="20"/>
      <c r="E88" s="350"/>
      <c r="F88" s="350"/>
      <c r="G88" s="170"/>
    </row>
    <row r="89" spans="3:7" x14ac:dyDescent="0.2">
      <c r="C89" s="168" t="s">
        <v>64</v>
      </c>
      <c r="D89" s="20">
        <v>390</v>
      </c>
      <c r="E89" s="350"/>
      <c r="F89" s="350"/>
      <c r="G89" s="175">
        <f t="shared" si="2"/>
        <v>0</v>
      </c>
    </row>
    <row r="90" spans="3:7" x14ac:dyDescent="0.2">
      <c r="C90" s="168" t="s">
        <v>65</v>
      </c>
      <c r="D90" s="20">
        <v>391</v>
      </c>
      <c r="E90" s="350">
        <v>192380</v>
      </c>
      <c r="F90" s="350"/>
      <c r="G90" s="175">
        <f t="shared" si="2"/>
        <v>192380</v>
      </c>
    </row>
    <row r="91" spans="3:7" x14ac:dyDescent="0.2">
      <c r="C91" s="167" t="s">
        <v>66</v>
      </c>
      <c r="D91" s="20">
        <v>392</v>
      </c>
      <c r="E91" s="350"/>
      <c r="F91" s="350"/>
      <c r="G91" s="175">
        <f t="shared" si="2"/>
        <v>0</v>
      </c>
    </row>
    <row r="92" spans="3:7" x14ac:dyDescent="0.2">
      <c r="C92" s="564" t="s">
        <v>516</v>
      </c>
      <c r="D92" s="20">
        <v>393</v>
      </c>
      <c r="E92" s="350">
        <v>177354</v>
      </c>
      <c r="F92" s="350"/>
      <c r="G92" s="175">
        <f t="shared" si="2"/>
        <v>177354</v>
      </c>
    </row>
    <row r="93" spans="3:7" x14ac:dyDescent="0.2">
      <c r="C93" s="564" t="s">
        <v>517</v>
      </c>
      <c r="D93" s="20">
        <v>394</v>
      </c>
      <c r="E93" s="350">
        <v>53808</v>
      </c>
      <c r="F93" s="350"/>
      <c r="G93" s="175">
        <f t="shared" si="2"/>
        <v>53808</v>
      </c>
    </row>
    <row r="94" spans="3:7" x14ac:dyDescent="0.2">
      <c r="C94" s="167" t="s">
        <v>316</v>
      </c>
      <c r="D94" s="23"/>
      <c r="E94" s="350"/>
      <c r="F94" s="350"/>
      <c r="G94" s="170">
        <f t="shared" si="2"/>
        <v>0</v>
      </c>
    </row>
    <row r="95" spans="3:7" x14ac:dyDescent="0.2">
      <c r="C95" s="167" t="s">
        <v>317</v>
      </c>
      <c r="D95" s="23"/>
      <c r="E95" s="350"/>
      <c r="F95" s="350"/>
      <c r="G95" s="170">
        <f t="shared" si="2"/>
        <v>0</v>
      </c>
    </row>
    <row r="96" spans="3:7" x14ac:dyDescent="0.2">
      <c r="C96" s="167" t="s">
        <v>318</v>
      </c>
      <c r="D96" s="23"/>
      <c r="E96" s="350"/>
      <c r="F96" s="350"/>
      <c r="G96" s="170">
        <f t="shared" si="2"/>
        <v>0</v>
      </c>
    </row>
    <row r="97" spans="3:7" x14ac:dyDescent="0.2">
      <c r="C97" s="167" t="s">
        <v>319</v>
      </c>
      <c r="D97" s="23"/>
      <c r="E97" s="350"/>
      <c r="F97" s="350"/>
      <c r="G97" s="170">
        <f t="shared" si="2"/>
        <v>0</v>
      </c>
    </row>
    <row r="98" spans="3:7" x14ac:dyDescent="0.2">
      <c r="C98" s="167" t="s">
        <v>320</v>
      </c>
      <c r="D98" s="23"/>
      <c r="E98" s="350"/>
      <c r="F98" s="350"/>
      <c r="G98" s="170">
        <f t="shared" si="2"/>
        <v>0</v>
      </c>
    </row>
    <row r="99" spans="3:7" x14ac:dyDescent="0.2">
      <c r="C99" s="167" t="s">
        <v>321</v>
      </c>
      <c r="D99" s="23"/>
      <c r="E99" s="350"/>
      <c r="F99" s="350"/>
      <c r="G99" s="170">
        <f>+E99-F99</f>
        <v>0</v>
      </c>
    </row>
    <row r="100" spans="3:7" x14ac:dyDescent="0.2">
      <c r="C100" s="167" t="s">
        <v>322</v>
      </c>
      <c r="D100" s="23"/>
      <c r="E100" s="350"/>
      <c r="F100" s="350"/>
      <c r="G100" s="170">
        <f>+E100-F100</f>
        <v>0</v>
      </c>
    </row>
    <row r="101" spans="3:7" x14ac:dyDescent="0.2">
      <c r="C101" s="555"/>
      <c r="D101" s="23"/>
      <c r="E101" s="554"/>
      <c r="F101" s="554"/>
      <c r="G101" s="170">
        <f t="shared" si="2"/>
        <v>0</v>
      </c>
    </row>
    <row r="102" spans="3:7" x14ac:dyDescent="0.2">
      <c r="C102" s="555"/>
      <c r="D102" s="23"/>
      <c r="E102" s="554"/>
      <c r="F102" s="554"/>
      <c r="G102" s="170">
        <f t="shared" si="2"/>
        <v>0</v>
      </c>
    </row>
    <row r="103" spans="3:7" x14ac:dyDescent="0.2">
      <c r="C103" s="555"/>
      <c r="D103" s="23"/>
      <c r="E103" s="554"/>
      <c r="F103" s="554"/>
      <c r="G103" s="170">
        <f t="shared" si="2"/>
        <v>0</v>
      </c>
    </row>
    <row r="104" spans="3:7" x14ac:dyDescent="0.2">
      <c r="C104" s="555"/>
      <c r="D104" s="23"/>
      <c r="E104" s="554"/>
      <c r="F104" s="554"/>
      <c r="G104" s="170">
        <f t="shared" si="2"/>
        <v>0</v>
      </c>
    </row>
    <row r="105" spans="3:7" x14ac:dyDescent="0.2">
      <c r="C105" s="555"/>
      <c r="D105" s="23"/>
      <c r="E105" s="554"/>
      <c r="F105" s="554"/>
      <c r="G105" s="170">
        <f t="shared" si="2"/>
        <v>0</v>
      </c>
    </row>
    <row r="106" spans="3:7" x14ac:dyDescent="0.2">
      <c r="C106" s="555"/>
      <c r="D106" s="23"/>
      <c r="E106" s="554"/>
      <c r="F106" s="554"/>
      <c r="G106" s="170">
        <f t="shared" si="2"/>
        <v>0</v>
      </c>
    </row>
    <row r="107" spans="3:7" x14ac:dyDescent="0.2">
      <c r="C107" s="555"/>
      <c r="D107" s="20"/>
      <c r="E107" s="554"/>
      <c r="F107" s="554"/>
      <c r="G107" s="170">
        <f t="shared" si="2"/>
        <v>0</v>
      </c>
    </row>
    <row r="108" spans="3:7" x14ac:dyDescent="0.2">
      <c r="C108" s="554"/>
      <c r="D108" s="20"/>
      <c r="E108" s="554"/>
      <c r="F108" s="554"/>
      <c r="G108" s="175"/>
    </row>
    <row r="109" spans="3:7" x14ac:dyDescent="0.2">
      <c r="C109" s="177" t="s">
        <v>67</v>
      </c>
      <c r="D109" s="20"/>
      <c r="E109" s="32">
        <f>SUM(E74:E108)</f>
        <v>2855999</v>
      </c>
      <c r="F109" s="32">
        <f>SUM(F74:F108)</f>
        <v>0</v>
      </c>
      <c r="G109" s="181">
        <f>SUM(G74:G108)</f>
        <v>2855999</v>
      </c>
    </row>
    <row r="110" spans="3:7" x14ac:dyDescent="0.2">
      <c r="C110" s="178"/>
      <c r="D110" s="20"/>
      <c r="E110" s="34"/>
      <c r="F110" s="34"/>
      <c r="G110" s="179"/>
    </row>
    <row r="111" spans="3:7" x14ac:dyDescent="0.2">
      <c r="C111" s="180" t="s">
        <v>68</v>
      </c>
      <c r="D111" s="20"/>
      <c r="E111" s="32">
        <f>+E12+E71-E109</f>
        <v>87766</v>
      </c>
      <c r="F111" s="32">
        <f>+F12+F71-F109</f>
        <v>0</v>
      </c>
      <c r="G111" s="181">
        <f>+G12+G71-G109</f>
        <v>87766</v>
      </c>
    </row>
    <row r="112" spans="3:7" ht="19.5" customHeight="1" x14ac:dyDescent="0.2">
      <c r="C112" s="594"/>
      <c r="D112" s="595"/>
      <c r="E112" s="595"/>
      <c r="F112" s="595"/>
      <c r="G112" s="596"/>
    </row>
    <row r="113" spans="3:8" x14ac:dyDescent="0.2">
      <c r="C113" s="178" t="s">
        <v>69</v>
      </c>
      <c r="D113" s="20">
        <v>311</v>
      </c>
      <c r="E113" s="554"/>
      <c r="F113" s="554"/>
      <c r="G113" s="175">
        <f>+E113-F113</f>
        <v>0</v>
      </c>
    </row>
    <row r="114" spans="3:8" x14ac:dyDescent="0.2">
      <c r="C114" s="178" t="s">
        <v>70</v>
      </c>
      <c r="D114" s="20">
        <v>320</v>
      </c>
      <c r="E114" s="554"/>
      <c r="F114" s="554"/>
      <c r="G114" s="175">
        <f>+E114-F114</f>
        <v>0</v>
      </c>
    </row>
    <row r="115" spans="3:8" x14ac:dyDescent="0.2">
      <c r="C115" s="178" t="s">
        <v>71</v>
      </c>
      <c r="D115" s="20">
        <v>331</v>
      </c>
      <c r="E115" s="554"/>
      <c r="F115" s="554"/>
      <c r="G115" s="175">
        <f>+E115-F115</f>
        <v>0</v>
      </c>
    </row>
    <row r="116" spans="3:8" ht="24" x14ac:dyDescent="0.2">
      <c r="C116" s="178" t="s">
        <v>72</v>
      </c>
      <c r="D116" s="20">
        <v>332</v>
      </c>
      <c r="E116" s="554"/>
      <c r="F116" s="556"/>
      <c r="G116" s="175">
        <f>+E116-F116</f>
        <v>0</v>
      </c>
    </row>
    <row r="117" spans="3:8" x14ac:dyDescent="0.2">
      <c r="C117" s="178" t="s">
        <v>73</v>
      </c>
      <c r="D117" s="20">
        <v>335</v>
      </c>
      <c r="E117" s="554"/>
      <c r="F117" s="554"/>
      <c r="G117" s="175">
        <f>+E117-F117</f>
        <v>0</v>
      </c>
    </row>
    <row r="118" spans="3:8" x14ac:dyDescent="0.2">
      <c r="C118" s="178"/>
      <c r="D118" s="20"/>
      <c r="E118" s="36"/>
      <c r="F118" s="36"/>
      <c r="G118" s="170"/>
    </row>
    <row r="119" spans="3:8" ht="13.5" thickBot="1" x14ac:dyDescent="0.25">
      <c r="C119" s="182" t="s">
        <v>74</v>
      </c>
      <c r="D119" s="183"/>
      <c r="E119" s="184">
        <f>+E111-SUM(E113:E117)</f>
        <v>87766</v>
      </c>
      <c r="F119" s="184">
        <f>+F111-SUM(F113:F117)</f>
        <v>0</v>
      </c>
      <c r="G119" s="185">
        <f>+G111-SUM(G113:G117)</f>
        <v>87766</v>
      </c>
      <c r="H119" s="359" t="s">
        <v>443</v>
      </c>
    </row>
  </sheetData>
  <sheetProtection password="BE7F" sheet="1" objects="1" scenarios="1"/>
  <mergeCells count="6">
    <mergeCell ref="C49:G49"/>
    <mergeCell ref="C112:G112"/>
    <mergeCell ref="C1:E1"/>
    <mergeCell ref="C2:I2"/>
    <mergeCell ref="C3:I3"/>
    <mergeCell ref="C4:I4"/>
  </mergeCells>
  <phoneticPr fontId="3" type="noConversion"/>
  <conditionalFormatting sqref="G113:G117">
    <cfRule type="cellIs" dxfId="37" priority="1" stopIfTrue="1" operator="lessThan">
      <formula>0</formula>
    </cfRule>
  </conditionalFormatting>
  <conditionalFormatting sqref="E113:F117 E14:F48 E12:F12 C54:C70 E50:F70 E74:F108 C92:C93 C101:C108">
    <cfRule type="expression" dxfId="36" priority="2" stopIfTrue="1">
      <formula>ISBLANK(C12)</formula>
    </cfRule>
  </conditionalFormatting>
  <conditionalFormatting sqref="G12 G14:G48 G50:G70 G74:G86 G89:G108">
    <cfRule type="cellIs" dxfId="35" priority="3" stopIfTrue="1" operator="lessThan">
      <formula>0</formula>
    </cfRule>
  </conditionalFormatting>
  <hyperlinks>
    <hyperlink ref="H119" location="'H0 PILs,Tax Provision Historic'!A1" display="'H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61"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8"/>
  <sheetViews>
    <sheetView zoomScaleNormal="100" workbookViewId="0">
      <selection activeCell="F17" activeCellId="1" sqref="F14:G14 F17:G17"/>
    </sheetView>
  </sheetViews>
  <sheetFormatPr defaultColWidth="9.140625" defaultRowHeight="12.75" x14ac:dyDescent="0.2"/>
  <cols>
    <col min="1" max="1" width="4.140625" style="10" customWidth="1"/>
    <col min="2" max="2" width="3.7109375" style="10" customWidth="1"/>
    <col min="3" max="3" width="41.85546875" style="10" bestFit="1" customWidth="1"/>
    <col min="4" max="4" width="9.140625" style="10"/>
    <col min="5" max="5" width="19.7109375" style="10" customWidth="1"/>
    <col min="6" max="8" width="12.85546875" style="10" customWidth="1"/>
    <col min="9" max="16384" width="9.140625" style="10"/>
  </cols>
  <sheetData>
    <row r="1" spans="1:9" ht="21.75" x14ac:dyDescent="0.2">
      <c r="A1" s="263"/>
      <c r="C1" s="584"/>
      <c r="D1" s="584"/>
      <c r="E1" s="584"/>
    </row>
    <row r="2" spans="1:9" ht="18" x14ac:dyDescent="0.25">
      <c r="C2" s="585"/>
      <c r="D2" s="585"/>
      <c r="E2" s="585"/>
      <c r="F2" s="585"/>
      <c r="G2" s="585"/>
      <c r="H2" s="585"/>
      <c r="I2" s="585"/>
    </row>
    <row r="3" spans="1:9" ht="18" x14ac:dyDescent="0.25">
      <c r="C3" s="585"/>
      <c r="D3" s="585"/>
      <c r="E3" s="585"/>
      <c r="F3" s="585"/>
      <c r="G3" s="585"/>
      <c r="H3" s="585"/>
      <c r="I3" s="585"/>
    </row>
    <row r="4" spans="1:9" ht="18" x14ac:dyDescent="0.25">
      <c r="C4" s="585"/>
      <c r="D4" s="585"/>
      <c r="E4" s="585"/>
      <c r="F4" s="585"/>
      <c r="G4" s="585"/>
      <c r="H4" s="585"/>
      <c r="I4" s="585"/>
    </row>
    <row r="5" spans="1:9" ht="37.5" customHeight="1" x14ac:dyDescent="0.2"/>
    <row r="6" spans="1:9" ht="37.5" customHeight="1" x14ac:dyDescent="0.2"/>
    <row r="9" spans="1:9" ht="15" customHeight="1" x14ac:dyDescent="0.25">
      <c r="C9" s="305" t="s">
        <v>368</v>
      </c>
    </row>
    <row r="10" spans="1:9" ht="15" customHeight="1" x14ac:dyDescent="0.25">
      <c r="C10" s="305"/>
    </row>
    <row r="11" spans="1:9" ht="18" x14ac:dyDescent="0.25">
      <c r="C11" s="305" t="s">
        <v>345</v>
      </c>
    </row>
    <row r="13" spans="1:9" ht="36" x14ac:dyDescent="0.2">
      <c r="C13" s="597" t="s">
        <v>152</v>
      </c>
      <c r="D13" s="598"/>
      <c r="E13" s="599"/>
      <c r="F13" s="39" t="s">
        <v>3</v>
      </c>
      <c r="G13" s="39" t="s">
        <v>225</v>
      </c>
      <c r="H13" s="39" t="s">
        <v>153</v>
      </c>
      <c r="I13" s="97"/>
    </row>
    <row r="14" spans="1:9" x14ac:dyDescent="0.2">
      <c r="C14" s="600" t="s">
        <v>369</v>
      </c>
      <c r="D14" s="601"/>
      <c r="E14" s="602"/>
      <c r="F14" s="565"/>
      <c r="G14" s="345"/>
      <c r="H14" s="98">
        <f>F14-G14</f>
        <v>0</v>
      </c>
      <c r="I14" s="395" t="s">
        <v>404</v>
      </c>
    </row>
    <row r="15" spans="1:9" x14ac:dyDescent="0.2">
      <c r="C15" s="97"/>
      <c r="D15" s="97"/>
      <c r="E15" s="97"/>
      <c r="F15" s="99"/>
      <c r="G15" s="99"/>
      <c r="H15" s="99"/>
      <c r="I15" s="99"/>
    </row>
    <row r="16" spans="1:9" ht="36" x14ac:dyDescent="0.2">
      <c r="C16" s="597" t="s">
        <v>155</v>
      </c>
      <c r="D16" s="598"/>
      <c r="E16" s="599"/>
      <c r="F16" s="39" t="s">
        <v>3</v>
      </c>
      <c r="G16" s="39" t="s">
        <v>225</v>
      </c>
      <c r="H16" s="39" t="s">
        <v>153</v>
      </c>
      <c r="I16" s="99"/>
    </row>
    <row r="17" spans="3:9" x14ac:dyDescent="0.2">
      <c r="C17" s="600" t="s">
        <v>369</v>
      </c>
      <c r="D17" s="601"/>
      <c r="E17" s="602"/>
      <c r="F17" s="565"/>
      <c r="G17" s="345"/>
      <c r="H17" s="98">
        <f>F17-G17</f>
        <v>0</v>
      </c>
      <c r="I17" s="395" t="s">
        <v>404</v>
      </c>
    </row>
    <row r="18" spans="3:9" x14ac:dyDescent="0.2">
      <c r="C18" s="104"/>
      <c r="D18" s="97"/>
      <c r="E18" s="97"/>
      <c r="F18" s="99"/>
      <c r="G18" s="99"/>
      <c r="H18" s="99"/>
      <c r="I18" s="99"/>
    </row>
  </sheetData>
  <sheetProtection password="BE7F"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34" priority="1" stopIfTrue="1" operator="lessThan">
      <formula>0</formula>
    </cfRule>
  </conditionalFormatting>
  <conditionalFormatting sqref="F14:G14 F17:G17">
    <cfRule type="expression" dxfId="33" priority="2" stopIfTrue="1">
      <formula>ISBLANK(F14)</formula>
    </cfRule>
  </conditionalFormatting>
  <hyperlinks>
    <hyperlink ref="I14" location="'B4 Sch 4 Loss Cfwd Bridge'!A1" display="'B4"/>
    <hyperlink ref="I17" location="'B4 Sch 4 Loss Cfwd Bridge'!A1" display="'B4"/>
  </hyperlinks>
  <pageMargins left="0.75" right="0.75" top="1" bottom="1" header="0.5" footer="0.5"/>
  <pageSetup scale="90" orientation="landscape"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43</vt:i4>
      </vt:variant>
    </vt:vector>
  </HeadingPairs>
  <TitlesOfParts>
    <vt:vector size="65" baseType="lpstr">
      <vt:lpstr>1. Info and Instructions</vt:lpstr>
      <vt:lpstr>Table of Contents</vt:lpstr>
      <vt:lpstr>S. Summary </vt:lpstr>
      <vt:lpstr>S1. Integrity Checks</vt:lpstr>
      <vt:lpstr>A. Data Input Sheet</vt:lpstr>
      <vt:lpstr>B. Tax Rates &amp; Exemptions</vt:lpstr>
      <vt:lpstr>H0 PILs,Tax Provision Historic</vt:lpstr>
      <vt:lpstr>H1 Adj. Taxable Income Historic</vt:lpstr>
      <vt:lpstr>H4 Sch 4 Loss Cfwd Hist</vt:lpstr>
      <vt:lpstr>H8 Sch 8 Historical</vt:lpstr>
      <vt:lpstr>H10 Schedule 10 CEC Hist</vt:lpstr>
      <vt:lpstr>H13 Sch 13 Tax Reserves Histori</vt:lpstr>
      <vt:lpstr>B0 PILs,Tax Provision Bridge</vt:lpstr>
      <vt:lpstr>B1 Adj. Taxable Income Bridge</vt:lpstr>
      <vt:lpstr>B4 Sch 4 Loss Cfwd Bridge</vt:lpstr>
      <vt:lpstr>B8 Schedule 8 CCA Bridge Year</vt:lpstr>
      <vt:lpstr>B13 Sch 13 Tax Reserves Bridge</vt:lpstr>
      <vt:lpstr>T0 PILs,Tax Provision </vt:lpstr>
      <vt:lpstr>T1 Taxable Income Test Year</vt:lpstr>
      <vt:lpstr>T4 Sch 4 Loss Cfwd</vt:lpstr>
      <vt:lpstr>T8 Schedule 8 CCA Test Year  </vt:lpstr>
      <vt:lpstr>T13 Sch 13 Reserve Test Year</vt:lpstr>
      <vt:lpstr>Fed_SB</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'B4 Sch 4 Loss Cfwd Bridge'!Print_Area</vt:lpstr>
      <vt:lpstr>'B8 Schedule 8 CCA Bridge Year'!Print_Area</vt:lpstr>
      <vt:lpstr>'H0 PILs,Tax Provision Historic'!Print_Area</vt:lpstr>
      <vt:lpstr>'H1 Adj. Taxable Income Historic'!Print_Area</vt:lpstr>
      <vt:lpstr>'H10 Schedule 10 CEC Hist'!Print_Area</vt:lpstr>
      <vt:lpstr>'H13 Sch 13 Tax Reserves Histori'!Print_Area</vt:lpstr>
      <vt:lpstr>'H4 Sch 4 Loss Cfwd Hist'!Print_Area</vt:lpstr>
      <vt:lpstr>'H8 Sch 8 Historical'!Print_Area</vt:lpstr>
      <vt:lpstr>'S. Summary '!Print_Area</vt:lpstr>
      <vt:lpstr>'T0 PILs,Tax Provision '!Print_Area</vt:lpstr>
      <vt:lpstr>'T4 Sch 4 Loss Cfwd'!Print_Area</vt:lpstr>
      <vt:lpstr>'Table of Contents'!Print_Area</vt:lpstr>
      <vt:lpstr>'B1 Adj.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Start_7</vt:lpstr>
      <vt:lpstr>Start_8</vt:lpstr>
      <vt:lpstr>Start_9</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Diane Taylor</cp:lastModifiedBy>
  <cp:lastPrinted>2017-06-13T14:54:51Z</cp:lastPrinted>
  <dcterms:created xsi:type="dcterms:W3CDTF">2009-04-07T15:39:48Z</dcterms:created>
  <dcterms:modified xsi:type="dcterms:W3CDTF">2017-09-11T16:13:40Z</dcterms:modified>
</cp:coreProperties>
</file>