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9212" windowHeight="7848" tabRatio="751" firstSheet="14" activeTab="20"/>
  </bookViews>
  <sheets>
    <sheet name="Monthly Data" sheetId="3" r:id="rId1"/>
    <sheet name="Sheet1" sheetId="1" state="hidden" r:id="rId2"/>
    <sheet name="Sheet2" sheetId="2" state="hidden" r:id="rId3"/>
    <sheet name="Historic CDM" sheetId="24" r:id="rId4"/>
    <sheet name="Weather" sheetId="4" r:id="rId5"/>
    <sheet name="Employment" sheetId="5" r:id="rId6"/>
    <sheet name="Res OLS model" sheetId="6" r:id="rId7"/>
    <sheet name="Res Predicted Monthly" sheetId="7" r:id="rId8"/>
    <sheet name="GS &lt; 50 OLS model" sheetId="8" r:id="rId9"/>
    <sheet name="GS &lt; 50 Predicted Monthly" sheetId="9" r:id="rId10"/>
    <sheet name="GS &gt; 50 OLS model" sheetId="10" r:id="rId11"/>
    <sheet name="GS &gt; 50 Predicted Monthly" sheetId="11" r:id="rId12"/>
    <sheet name="GS &gt; 50 Predicted Monthly Alt" sheetId="25" r:id="rId13"/>
    <sheet name="Model Annual Summary" sheetId="14" r:id="rId14"/>
    <sheet name="Res Normalized Monthly" sheetId="15" r:id="rId15"/>
    <sheet name="GS &lt; 50 Normalized Monthly" sheetId="16" r:id="rId16"/>
    <sheet name="Connection count " sheetId="19" r:id="rId17"/>
    <sheet name="Normalized Annual Summary" sheetId="20" r:id="rId18"/>
    <sheet name="kW Forecast" sheetId="21" r:id="rId19"/>
    <sheet name="CDM Adjustments" sheetId="22" r:id="rId20"/>
    <sheet name="Summary Tables" sheetId="23" r:id="rId21"/>
  </sheets>
  <calcPr calcId="144525"/>
</workbook>
</file>

<file path=xl/calcChain.xml><?xml version="1.0" encoding="utf-8"?>
<calcChain xmlns="http://schemas.openxmlformats.org/spreadsheetml/2006/main">
  <c r="AD14" i="21" l="1"/>
  <c r="AD13" i="21"/>
  <c r="AD12" i="21"/>
  <c r="AD11" i="21"/>
  <c r="AD10" i="21"/>
  <c r="C6" i="22" l="1"/>
  <c r="C7" i="22" s="1"/>
  <c r="F5" i="22" s="1"/>
  <c r="F6" i="22" s="1"/>
  <c r="F7" i="22" s="1"/>
  <c r="H7" i="22" s="1"/>
  <c r="I54" i="23"/>
  <c r="H54" i="23"/>
  <c r="I52" i="23"/>
  <c r="B57" i="23"/>
  <c r="B56" i="23"/>
  <c r="B55" i="23"/>
  <c r="B54" i="23"/>
  <c r="B53" i="23"/>
  <c r="B52" i="23"/>
  <c r="B51" i="23"/>
  <c r="B50" i="23"/>
  <c r="B49" i="23"/>
  <c r="B44" i="23"/>
  <c r="B43" i="23"/>
  <c r="B42" i="23"/>
  <c r="B39" i="23"/>
  <c r="B24" i="23"/>
  <c r="B23" i="23"/>
  <c r="B22" i="23"/>
  <c r="B21" i="23"/>
  <c r="B20" i="23"/>
  <c r="B31" i="23" s="1"/>
  <c r="B41" i="23" s="1"/>
  <c r="B19" i="23"/>
  <c r="B30" i="23" s="1"/>
  <c r="B40" i="23" s="1"/>
  <c r="B18" i="23"/>
  <c r="B17" i="23"/>
  <c r="B16" i="23"/>
  <c r="AK3" i="3"/>
  <c r="AL3" i="3"/>
  <c r="AO3" i="3"/>
  <c r="AP3" i="3"/>
  <c r="AQ3" i="3"/>
  <c r="AK2" i="3"/>
  <c r="AL2" i="3"/>
  <c r="AO2" i="3"/>
  <c r="AP2" i="3"/>
  <c r="AQ2" i="3"/>
  <c r="H5" i="22" l="1"/>
  <c r="J6" i="22"/>
  <c r="H6" i="22"/>
  <c r="J7" i="22"/>
  <c r="J5" i="22"/>
  <c r="H8" i="22" l="1"/>
  <c r="D16" i="22" s="1"/>
  <c r="J8" i="22"/>
  <c r="E16" i="22" s="1"/>
  <c r="X6" i="21" l="1"/>
  <c r="S6" i="21"/>
  <c r="N6" i="21"/>
  <c r="N7" i="21" s="1"/>
  <c r="G6" i="21"/>
  <c r="N8" i="21" l="1"/>
  <c r="S7" i="21"/>
  <c r="X7" i="21"/>
  <c r="N9" i="21"/>
  <c r="G7" i="21"/>
  <c r="B6" i="21"/>
  <c r="M13" i="9"/>
  <c r="L13" i="9"/>
  <c r="X13" i="9" s="1"/>
  <c r="K13" i="9"/>
  <c r="W13" i="9" s="1"/>
  <c r="J13" i="9"/>
  <c r="V13" i="9" s="1"/>
  <c r="M12" i="9"/>
  <c r="Y12" i="9" s="1"/>
  <c r="L12" i="9"/>
  <c r="X12" i="9" s="1"/>
  <c r="K12" i="9"/>
  <c r="W12" i="9" s="1"/>
  <c r="J12" i="9"/>
  <c r="V12" i="9" s="1"/>
  <c r="M11" i="9"/>
  <c r="Y11" i="9" s="1"/>
  <c r="L11" i="9"/>
  <c r="X11" i="9" s="1"/>
  <c r="K11" i="9"/>
  <c r="W11" i="9" s="1"/>
  <c r="J11" i="9"/>
  <c r="V11" i="9" s="1"/>
  <c r="M10" i="9"/>
  <c r="Y10" i="9" s="1"/>
  <c r="L10" i="9"/>
  <c r="X10" i="9" s="1"/>
  <c r="K10" i="9"/>
  <c r="W10" i="9" s="1"/>
  <c r="J10" i="9"/>
  <c r="V10" i="9" s="1"/>
  <c r="M9" i="9"/>
  <c r="Y9" i="9" s="1"/>
  <c r="L9" i="9"/>
  <c r="X9" i="9" s="1"/>
  <c r="K9" i="9"/>
  <c r="W9" i="9" s="1"/>
  <c r="J9" i="9"/>
  <c r="V9" i="9" s="1"/>
  <c r="M8" i="9"/>
  <c r="Y8" i="9" s="1"/>
  <c r="L8" i="9"/>
  <c r="X8" i="9" s="1"/>
  <c r="K8" i="9"/>
  <c r="W8" i="9" s="1"/>
  <c r="J8" i="9"/>
  <c r="V8" i="9" s="1"/>
  <c r="M7" i="9"/>
  <c r="Y7" i="9" s="1"/>
  <c r="L7" i="9"/>
  <c r="X7" i="9" s="1"/>
  <c r="K7" i="9"/>
  <c r="W7" i="9" s="1"/>
  <c r="J7" i="9"/>
  <c r="V7" i="9" s="1"/>
  <c r="M6" i="9"/>
  <c r="Y6" i="9" s="1"/>
  <c r="L6" i="9"/>
  <c r="K6" i="9"/>
  <c r="W6" i="9" s="1"/>
  <c r="J6" i="9"/>
  <c r="V6" i="9" s="1"/>
  <c r="M5" i="9"/>
  <c r="Y5" i="9" s="1"/>
  <c r="L5" i="9"/>
  <c r="X5" i="9" s="1"/>
  <c r="K5" i="9"/>
  <c r="W5" i="9" s="1"/>
  <c r="J5" i="9"/>
  <c r="V5" i="9" s="1"/>
  <c r="M4" i="9"/>
  <c r="Y4" i="9" s="1"/>
  <c r="L4" i="9"/>
  <c r="X4" i="9" s="1"/>
  <c r="K4" i="9"/>
  <c r="W4" i="9" s="1"/>
  <c r="J4" i="9"/>
  <c r="V4" i="9" s="1"/>
  <c r="M3" i="9"/>
  <c r="Y3" i="9" s="1"/>
  <c r="L3" i="9"/>
  <c r="X3" i="9" s="1"/>
  <c r="K3" i="9"/>
  <c r="W3" i="9" s="1"/>
  <c r="J3" i="9"/>
  <c r="V3" i="9" s="1"/>
  <c r="M2" i="9"/>
  <c r="Y2" i="9" s="1"/>
  <c r="L2" i="9"/>
  <c r="X2" i="9" s="1"/>
  <c r="K2" i="9"/>
  <c r="W2" i="9" s="1"/>
  <c r="J2" i="9"/>
  <c r="V2" i="9" s="1"/>
  <c r="M1" i="9"/>
  <c r="Y1" i="9" s="1"/>
  <c r="L1" i="9"/>
  <c r="X1" i="9" s="1"/>
  <c r="K1" i="9"/>
  <c r="W1" i="9" s="1"/>
  <c r="J1" i="9"/>
  <c r="V1" i="9" s="1"/>
  <c r="Y13" i="9"/>
  <c r="X6" i="9"/>
  <c r="I13" i="9"/>
  <c r="U13" i="9" s="1"/>
  <c r="I12" i="9"/>
  <c r="U12" i="9" s="1"/>
  <c r="I11" i="9"/>
  <c r="U11" i="9" s="1"/>
  <c r="I10" i="9"/>
  <c r="U10" i="9" s="1"/>
  <c r="I9" i="9"/>
  <c r="U9" i="9" s="1"/>
  <c r="I8" i="9"/>
  <c r="U8" i="9" s="1"/>
  <c r="I7" i="9"/>
  <c r="U7" i="9" s="1"/>
  <c r="I6" i="9"/>
  <c r="U6" i="9" s="1"/>
  <c r="I5" i="9"/>
  <c r="U5" i="9" s="1"/>
  <c r="I4" i="9"/>
  <c r="U4" i="9" s="1"/>
  <c r="I3" i="9"/>
  <c r="U3" i="9" s="1"/>
  <c r="I2" i="9"/>
  <c r="I1" i="9"/>
  <c r="H3" i="9"/>
  <c r="H2" i="9"/>
  <c r="H1" i="9"/>
  <c r="G1" i="9"/>
  <c r="C32" i="24"/>
  <c r="C33" i="24" s="1"/>
  <c r="L70" i="24" s="1"/>
  <c r="M70" i="24" s="1"/>
  <c r="N70" i="24" s="1"/>
  <c r="L44" i="24" l="1"/>
  <c r="M44" i="24" s="1"/>
  <c r="N44" i="24" s="1"/>
  <c r="N93" i="24" s="1"/>
  <c r="L57" i="24"/>
  <c r="M57" i="24" s="1"/>
  <c r="N57" i="24" s="1"/>
  <c r="X8" i="21"/>
  <c r="S8" i="21"/>
  <c r="N10" i="21"/>
  <c r="G8" i="21"/>
  <c r="B7" i="21"/>
  <c r="N92" i="24"/>
  <c r="M92" i="24"/>
  <c r="N91" i="24"/>
  <c r="M91" i="24"/>
  <c r="N90" i="24"/>
  <c r="M90" i="24"/>
  <c r="N89" i="24"/>
  <c r="M89" i="24"/>
  <c r="N88" i="24"/>
  <c r="M88" i="24"/>
  <c r="N27" i="24"/>
  <c r="M27" i="24"/>
  <c r="N26" i="24"/>
  <c r="M26" i="24"/>
  <c r="N25" i="24"/>
  <c r="M25" i="24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M93" i="24" l="1"/>
  <c r="X9" i="21"/>
  <c r="B8" i="21"/>
  <c r="B9" i="21" s="1"/>
  <c r="S9" i="21"/>
  <c r="N11" i="21"/>
  <c r="G9" i="21"/>
  <c r="O145" i="16"/>
  <c r="O144" i="16"/>
  <c r="O143" i="16"/>
  <c r="O142" i="16"/>
  <c r="O141" i="16"/>
  <c r="O140" i="16"/>
  <c r="O139" i="16"/>
  <c r="O138" i="16"/>
  <c r="O137" i="16"/>
  <c r="O136" i="16"/>
  <c r="O135" i="16"/>
  <c r="O134" i="16"/>
  <c r="O133" i="16"/>
  <c r="O132" i="16"/>
  <c r="O131" i="16"/>
  <c r="O130" i="16"/>
  <c r="O129" i="16"/>
  <c r="O128" i="16"/>
  <c r="O127" i="16"/>
  <c r="O126" i="16"/>
  <c r="O125" i="16"/>
  <c r="O124" i="16"/>
  <c r="O123" i="16"/>
  <c r="O122" i="16"/>
  <c r="O121" i="16"/>
  <c r="O120" i="16"/>
  <c r="O119" i="16"/>
  <c r="O118" i="16"/>
  <c r="O117" i="16"/>
  <c r="O116" i="16"/>
  <c r="O115" i="16"/>
  <c r="O114" i="16"/>
  <c r="O113" i="16"/>
  <c r="O112" i="16"/>
  <c r="O111" i="16"/>
  <c r="O110" i="16"/>
  <c r="O109" i="16"/>
  <c r="O108" i="16"/>
  <c r="O107" i="16"/>
  <c r="O106" i="16"/>
  <c r="O105" i="16"/>
  <c r="O104" i="16"/>
  <c r="O103" i="16"/>
  <c r="O102" i="16"/>
  <c r="O101" i="16"/>
  <c r="O100" i="16"/>
  <c r="O99" i="16"/>
  <c r="O98" i="16"/>
  <c r="O97" i="16"/>
  <c r="O96" i="16"/>
  <c r="O95" i="16"/>
  <c r="O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M13" i="16"/>
  <c r="M25" i="16" s="1"/>
  <c r="M37" i="16" s="1"/>
  <c r="L13" i="16"/>
  <c r="K13" i="16"/>
  <c r="K25" i="16" s="1"/>
  <c r="K37" i="16" s="1"/>
  <c r="K49" i="16" s="1"/>
  <c r="K61" i="16" s="1"/>
  <c r="K73" i="16" s="1"/>
  <c r="K85" i="16" s="1"/>
  <c r="K97" i="16" s="1"/>
  <c r="J13" i="16"/>
  <c r="J25" i="16" s="1"/>
  <c r="J37" i="16" s="1"/>
  <c r="J49" i="16" s="1"/>
  <c r="J61" i="16" s="1"/>
  <c r="J73" i="16" s="1"/>
  <c r="J85" i="16" s="1"/>
  <c r="J97" i="16" s="1"/>
  <c r="J109" i="16" s="1"/>
  <c r="I13" i="16"/>
  <c r="I25" i="16" s="1"/>
  <c r="I37" i="16" s="1"/>
  <c r="C145" i="16"/>
  <c r="B145" i="16"/>
  <c r="C144" i="16"/>
  <c r="B144" i="16"/>
  <c r="C143" i="16"/>
  <c r="B143" i="16"/>
  <c r="C142" i="16"/>
  <c r="B142" i="16"/>
  <c r="C141" i="16"/>
  <c r="B141" i="16"/>
  <c r="C140" i="16"/>
  <c r="B140" i="16"/>
  <c r="C139" i="16"/>
  <c r="B139" i="16"/>
  <c r="C138" i="16"/>
  <c r="B138" i="16"/>
  <c r="C137" i="16"/>
  <c r="B137" i="16"/>
  <c r="C136" i="16"/>
  <c r="B136" i="16"/>
  <c r="C135" i="16"/>
  <c r="B135" i="16"/>
  <c r="C134" i="16"/>
  <c r="B134" i="16"/>
  <c r="C133" i="16"/>
  <c r="B133" i="16"/>
  <c r="C132" i="16"/>
  <c r="B132" i="16"/>
  <c r="C131" i="16"/>
  <c r="B131" i="16"/>
  <c r="C130" i="16"/>
  <c r="B130" i="16"/>
  <c r="C129" i="16"/>
  <c r="B129" i="16"/>
  <c r="C128" i="16"/>
  <c r="B128" i="16"/>
  <c r="C127" i="16"/>
  <c r="B127" i="16"/>
  <c r="C126" i="16"/>
  <c r="B126" i="16"/>
  <c r="C125" i="16"/>
  <c r="B125" i="16"/>
  <c r="C124" i="16"/>
  <c r="B124" i="16"/>
  <c r="C123" i="16"/>
  <c r="B123" i="16"/>
  <c r="C122" i="16"/>
  <c r="B122" i="16"/>
  <c r="D121" i="16"/>
  <c r="A121" i="16"/>
  <c r="B121" i="16" s="1"/>
  <c r="D120" i="16"/>
  <c r="A120" i="16"/>
  <c r="B120" i="16" s="1"/>
  <c r="D119" i="16"/>
  <c r="A119" i="16"/>
  <c r="B119" i="16" s="1"/>
  <c r="D118" i="16"/>
  <c r="A118" i="16"/>
  <c r="B118" i="16" s="1"/>
  <c r="D117" i="16"/>
  <c r="A117" i="16"/>
  <c r="B117" i="16" s="1"/>
  <c r="D116" i="16"/>
  <c r="D115" i="16"/>
  <c r="D114" i="16"/>
  <c r="D113" i="16"/>
  <c r="D112" i="16"/>
  <c r="P112" i="16" s="1"/>
  <c r="D111" i="16"/>
  <c r="D110" i="16"/>
  <c r="D109" i="16"/>
  <c r="P109" i="16" s="1"/>
  <c r="D108" i="16"/>
  <c r="P108" i="16" s="1"/>
  <c r="D107" i="16"/>
  <c r="P107" i="16" s="1"/>
  <c r="D106" i="16"/>
  <c r="P106" i="16" s="1"/>
  <c r="D105" i="16"/>
  <c r="P105" i="16" s="1"/>
  <c r="D104" i="16"/>
  <c r="P104" i="16" s="1"/>
  <c r="D103" i="16"/>
  <c r="P103" i="16" s="1"/>
  <c r="D102" i="16"/>
  <c r="P102" i="16" s="1"/>
  <c r="D101" i="16"/>
  <c r="P101" i="16" s="1"/>
  <c r="D100" i="16"/>
  <c r="P100" i="16" s="1"/>
  <c r="D99" i="16"/>
  <c r="P99" i="16" s="1"/>
  <c r="D98" i="16"/>
  <c r="P98" i="16" s="1"/>
  <c r="D97" i="16"/>
  <c r="P97" i="16" s="1"/>
  <c r="D96" i="16"/>
  <c r="P96" i="16" s="1"/>
  <c r="D95" i="16"/>
  <c r="P95" i="16" s="1"/>
  <c r="D94" i="16"/>
  <c r="P94" i="16" s="1"/>
  <c r="D93" i="16"/>
  <c r="P93" i="16" s="1"/>
  <c r="D92" i="16"/>
  <c r="P92" i="16" s="1"/>
  <c r="D91" i="16"/>
  <c r="P91" i="16" s="1"/>
  <c r="D90" i="16"/>
  <c r="P90" i="16" s="1"/>
  <c r="D89" i="16"/>
  <c r="P89" i="16" s="1"/>
  <c r="D88" i="16"/>
  <c r="P88" i="16" s="1"/>
  <c r="D87" i="16"/>
  <c r="P87" i="16" s="1"/>
  <c r="D86" i="16"/>
  <c r="P86" i="16" s="1"/>
  <c r="D85" i="16"/>
  <c r="P85" i="16" s="1"/>
  <c r="D84" i="16"/>
  <c r="P84" i="16" s="1"/>
  <c r="D83" i="16"/>
  <c r="P83" i="16" s="1"/>
  <c r="D82" i="16"/>
  <c r="P82" i="16" s="1"/>
  <c r="D81" i="16"/>
  <c r="P81" i="16" s="1"/>
  <c r="D80" i="16"/>
  <c r="P80" i="16" s="1"/>
  <c r="D79" i="16"/>
  <c r="P79" i="16" s="1"/>
  <c r="D78" i="16"/>
  <c r="P78" i="16" s="1"/>
  <c r="D77" i="16"/>
  <c r="P77" i="16" s="1"/>
  <c r="D76" i="16"/>
  <c r="P76" i="16" s="1"/>
  <c r="D75" i="16"/>
  <c r="P75" i="16" s="1"/>
  <c r="D74" i="16"/>
  <c r="P74" i="16" s="1"/>
  <c r="D73" i="16"/>
  <c r="P73" i="16" s="1"/>
  <c r="D72" i="16"/>
  <c r="P72" i="16" s="1"/>
  <c r="D71" i="16"/>
  <c r="P71" i="16" s="1"/>
  <c r="D70" i="16"/>
  <c r="P70" i="16" s="1"/>
  <c r="D69" i="16"/>
  <c r="P69" i="16" s="1"/>
  <c r="D68" i="16"/>
  <c r="P68" i="16" s="1"/>
  <c r="D67" i="16"/>
  <c r="P67" i="16" s="1"/>
  <c r="D66" i="16"/>
  <c r="P66" i="16" s="1"/>
  <c r="D65" i="16"/>
  <c r="P65" i="16" s="1"/>
  <c r="D64" i="16"/>
  <c r="P64" i="16" s="1"/>
  <c r="D63" i="16"/>
  <c r="P63" i="16" s="1"/>
  <c r="D62" i="16"/>
  <c r="P62" i="16" s="1"/>
  <c r="D61" i="16"/>
  <c r="P61" i="16" s="1"/>
  <c r="D60" i="16"/>
  <c r="P60" i="16" s="1"/>
  <c r="D59" i="16"/>
  <c r="P59" i="16" s="1"/>
  <c r="D58" i="16"/>
  <c r="P58" i="16" s="1"/>
  <c r="D57" i="16"/>
  <c r="P57" i="16" s="1"/>
  <c r="D56" i="16"/>
  <c r="P56" i="16" s="1"/>
  <c r="D55" i="16"/>
  <c r="P55" i="16" s="1"/>
  <c r="D54" i="16"/>
  <c r="P54" i="16" s="1"/>
  <c r="D53" i="16"/>
  <c r="P53" i="16" s="1"/>
  <c r="D52" i="16"/>
  <c r="P52" i="16" s="1"/>
  <c r="D51" i="16"/>
  <c r="P51" i="16" s="1"/>
  <c r="D50" i="16"/>
  <c r="P50" i="16" s="1"/>
  <c r="D49" i="16"/>
  <c r="P49" i="16" s="1"/>
  <c r="D48" i="16"/>
  <c r="P48" i="16" s="1"/>
  <c r="D47" i="16"/>
  <c r="P47" i="16" s="1"/>
  <c r="D46" i="16"/>
  <c r="P46" i="16" s="1"/>
  <c r="D45" i="16"/>
  <c r="P45" i="16" s="1"/>
  <c r="D44" i="16"/>
  <c r="P44" i="16" s="1"/>
  <c r="D43" i="16"/>
  <c r="P43" i="16" s="1"/>
  <c r="D42" i="16"/>
  <c r="P42" i="16" s="1"/>
  <c r="D41" i="16"/>
  <c r="P41" i="16" s="1"/>
  <c r="D40" i="16"/>
  <c r="P40" i="16" s="1"/>
  <c r="D39" i="16"/>
  <c r="P39" i="16" s="1"/>
  <c r="D38" i="16"/>
  <c r="P38" i="16" s="1"/>
  <c r="D37" i="16"/>
  <c r="P37" i="16" s="1"/>
  <c r="D36" i="16"/>
  <c r="P36" i="16" s="1"/>
  <c r="D35" i="16"/>
  <c r="P35" i="16" s="1"/>
  <c r="D34" i="16"/>
  <c r="P34" i="16" s="1"/>
  <c r="D33" i="16"/>
  <c r="P33" i="16" s="1"/>
  <c r="D32" i="16"/>
  <c r="P32" i="16" s="1"/>
  <c r="D31" i="16"/>
  <c r="P31" i="16" s="1"/>
  <c r="D30" i="16"/>
  <c r="P30" i="16" s="1"/>
  <c r="D29" i="16"/>
  <c r="P29" i="16" s="1"/>
  <c r="D28" i="16"/>
  <c r="P28" i="16" s="1"/>
  <c r="D27" i="16"/>
  <c r="P27" i="16" s="1"/>
  <c r="D26" i="16"/>
  <c r="P26" i="16" s="1"/>
  <c r="D25" i="16"/>
  <c r="P25" i="16" s="1"/>
  <c r="D24" i="16"/>
  <c r="P24" i="16" s="1"/>
  <c r="D23" i="16"/>
  <c r="P23" i="16" s="1"/>
  <c r="D22" i="16"/>
  <c r="P22" i="16" s="1"/>
  <c r="D21" i="16"/>
  <c r="P21" i="16" s="1"/>
  <c r="D20" i="16"/>
  <c r="P20" i="16" s="1"/>
  <c r="D19" i="16"/>
  <c r="P19" i="16" s="1"/>
  <c r="D18" i="16"/>
  <c r="P18" i="16" s="1"/>
  <c r="D17" i="16"/>
  <c r="P17" i="16" s="1"/>
  <c r="D16" i="16"/>
  <c r="P16" i="16" s="1"/>
  <c r="D15" i="16"/>
  <c r="P15" i="16" s="1"/>
  <c r="D14" i="16"/>
  <c r="P14" i="16" s="1"/>
  <c r="D13" i="16"/>
  <c r="P13" i="16" s="1"/>
  <c r="M12" i="16"/>
  <c r="M24" i="16" s="1"/>
  <c r="M36" i="16" s="1"/>
  <c r="L12" i="16"/>
  <c r="K12" i="16"/>
  <c r="K24" i="16" s="1"/>
  <c r="K36" i="16" s="1"/>
  <c r="K48" i="16" s="1"/>
  <c r="K60" i="16" s="1"/>
  <c r="K72" i="16" s="1"/>
  <c r="K84" i="16" s="1"/>
  <c r="K96" i="16" s="1"/>
  <c r="K108" i="16" s="1"/>
  <c r="J12" i="16"/>
  <c r="I12" i="16"/>
  <c r="I24" i="16" s="1"/>
  <c r="I36" i="16" s="1"/>
  <c r="D12" i="16"/>
  <c r="P12" i="16" s="1"/>
  <c r="M11" i="16"/>
  <c r="M23" i="16" s="1"/>
  <c r="M35" i="16" s="1"/>
  <c r="M47" i="16" s="1"/>
  <c r="M59" i="16" s="1"/>
  <c r="M71" i="16" s="1"/>
  <c r="M83" i="16" s="1"/>
  <c r="M95" i="16" s="1"/>
  <c r="L11" i="16"/>
  <c r="K11" i="16"/>
  <c r="J11" i="16"/>
  <c r="V11" i="16" s="1"/>
  <c r="I11" i="16"/>
  <c r="I23" i="16" s="1"/>
  <c r="I35" i="16" s="1"/>
  <c r="I47" i="16" s="1"/>
  <c r="I59" i="16" s="1"/>
  <c r="I71" i="16" s="1"/>
  <c r="I83" i="16" s="1"/>
  <c r="I95" i="16" s="1"/>
  <c r="D11" i="16"/>
  <c r="P11" i="16" s="1"/>
  <c r="M10" i="16"/>
  <c r="L10" i="16"/>
  <c r="K10" i="16"/>
  <c r="K22" i="16" s="1"/>
  <c r="K34" i="16" s="1"/>
  <c r="K46" i="16" s="1"/>
  <c r="J10" i="16"/>
  <c r="J22" i="16" s="1"/>
  <c r="J34" i="16" s="1"/>
  <c r="J46" i="16" s="1"/>
  <c r="J58" i="16" s="1"/>
  <c r="J70" i="16" s="1"/>
  <c r="J82" i="16" s="1"/>
  <c r="J94" i="16" s="1"/>
  <c r="I10" i="16"/>
  <c r="D10" i="16"/>
  <c r="P10" i="16" s="1"/>
  <c r="M9" i="16"/>
  <c r="L9" i="16"/>
  <c r="L21" i="16" s="1"/>
  <c r="L33" i="16" s="1"/>
  <c r="L45" i="16" s="1"/>
  <c r="K9" i="16"/>
  <c r="K21" i="16" s="1"/>
  <c r="K33" i="16" s="1"/>
  <c r="K45" i="16" s="1"/>
  <c r="K57" i="16" s="1"/>
  <c r="K69" i="16" s="1"/>
  <c r="K81" i="16" s="1"/>
  <c r="K93" i="16" s="1"/>
  <c r="J9" i="16"/>
  <c r="I9" i="16"/>
  <c r="D9" i="16"/>
  <c r="P9" i="16" s="1"/>
  <c r="M8" i="16"/>
  <c r="M20" i="16" s="1"/>
  <c r="M32" i="16" s="1"/>
  <c r="M44" i="16" s="1"/>
  <c r="L8" i="16"/>
  <c r="L20" i="16" s="1"/>
  <c r="L32" i="16" s="1"/>
  <c r="L44" i="16" s="1"/>
  <c r="L56" i="16" s="1"/>
  <c r="L68" i="16" s="1"/>
  <c r="L80" i="16" s="1"/>
  <c r="L92" i="16" s="1"/>
  <c r="K8" i="16"/>
  <c r="J8" i="16"/>
  <c r="I8" i="16"/>
  <c r="U8" i="16" s="1"/>
  <c r="D8" i="16"/>
  <c r="P8" i="16" s="1"/>
  <c r="M7" i="16"/>
  <c r="M19" i="16" s="1"/>
  <c r="M31" i="16" s="1"/>
  <c r="M43" i="16" s="1"/>
  <c r="M55" i="16" s="1"/>
  <c r="M67" i="16" s="1"/>
  <c r="M79" i="16" s="1"/>
  <c r="M91" i="16" s="1"/>
  <c r="L7" i="16"/>
  <c r="K7" i="16"/>
  <c r="J7" i="16"/>
  <c r="J19" i="16" s="1"/>
  <c r="J31" i="16" s="1"/>
  <c r="J43" i="16" s="1"/>
  <c r="I7" i="16"/>
  <c r="I19" i="16" s="1"/>
  <c r="I31" i="16" s="1"/>
  <c r="I43" i="16" s="1"/>
  <c r="I55" i="16" s="1"/>
  <c r="I67" i="16" s="1"/>
  <c r="I79" i="16" s="1"/>
  <c r="I91" i="16" s="1"/>
  <c r="D7" i="16"/>
  <c r="P7" i="16" s="1"/>
  <c r="M6" i="16"/>
  <c r="L6" i="16"/>
  <c r="K6" i="16"/>
  <c r="J6" i="16"/>
  <c r="J18" i="16" s="1"/>
  <c r="J30" i="16" s="1"/>
  <c r="J42" i="16" s="1"/>
  <c r="J54" i="16" s="1"/>
  <c r="J66" i="16" s="1"/>
  <c r="J78" i="16" s="1"/>
  <c r="J90" i="16" s="1"/>
  <c r="I6" i="16"/>
  <c r="D6" i="16"/>
  <c r="P6" i="16" s="1"/>
  <c r="M5" i="16"/>
  <c r="L5" i="16"/>
  <c r="L17" i="16" s="1"/>
  <c r="L29" i="16" s="1"/>
  <c r="K5" i="16"/>
  <c r="K17" i="16" s="1"/>
  <c r="K29" i="16" s="1"/>
  <c r="K41" i="16" s="1"/>
  <c r="K53" i="16" s="1"/>
  <c r="K65" i="16" s="1"/>
  <c r="K77" i="16" s="1"/>
  <c r="K89" i="16" s="1"/>
  <c r="J5" i="16"/>
  <c r="I5" i="16"/>
  <c r="D5" i="16"/>
  <c r="P5" i="16" s="1"/>
  <c r="M4" i="16"/>
  <c r="M16" i="16" s="1"/>
  <c r="L4" i="16"/>
  <c r="L16" i="16" s="1"/>
  <c r="K4" i="16"/>
  <c r="J4" i="16"/>
  <c r="I4" i="16"/>
  <c r="I16" i="16" s="1"/>
  <c r="I28" i="16" s="1"/>
  <c r="I40" i="16" s="1"/>
  <c r="D4" i="16"/>
  <c r="P4" i="16" s="1"/>
  <c r="M3" i="16"/>
  <c r="L3" i="16"/>
  <c r="K3" i="16"/>
  <c r="J3" i="16"/>
  <c r="J15" i="16" s="1"/>
  <c r="J27" i="16" s="1"/>
  <c r="J39" i="16" s="1"/>
  <c r="I3" i="16"/>
  <c r="H3" i="16"/>
  <c r="T3" i="16" s="1"/>
  <c r="D3" i="16"/>
  <c r="P3" i="16" s="1"/>
  <c r="M2" i="16"/>
  <c r="L2" i="16"/>
  <c r="K2" i="16"/>
  <c r="J2" i="16"/>
  <c r="V2" i="16" s="1"/>
  <c r="I2" i="16"/>
  <c r="H2" i="16"/>
  <c r="D2" i="16"/>
  <c r="M1" i="16"/>
  <c r="Y1" i="16" s="1"/>
  <c r="L1" i="16"/>
  <c r="X1" i="16" s="1"/>
  <c r="K1" i="16"/>
  <c r="W1" i="16" s="1"/>
  <c r="J1" i="16"/>
  <c r="V1" i="16" s="1"/>
  <c r="I1" i="16"/>
  <c r="U1" i="16" s="1"/>
  <c r="H1" i="16"/>
  <c r="G1" i="16"/>
  <c r="F1" i="16"/>
  <c r="E1" i="16"/>
  <c r="D1" i="16"/>
  <c r="C1" i="16"/>
  <c r="A1" i="16"/>
  <c r="L145" i="15"/>
  <c r="B145" i="15"/>
  <c r="L144" i="15"/>
  <c r="B144" i="15"/>
  <c r="L143" i="15"/>
  <c r="B143" i="15"/>
  <c r="L142" i="15"/>
  <c r="B142" i="15"/>
  <c r="L141" i="15"/>
  <c r="B141" i="15"/>
  <c r="L140" i="15"/>
  <c r="B140" i="15"/>
  <c r="L139" i="15"/>
  <c r="B139" i="15"/>
  <c r="L138" i="15"/>
  <c r="B138" i="15"/>
  <c r="L137" i="15"/>
  <c r="B137" i="15"/>
  <c r="L136" i="15"/>
  <c r="B136" i="15"/>
  <c r="L135" i="15"/>
  <c r="B135" i="15"/>
  <c r="L134" i="15"/>
  <c r="B134" i="15"/>
  <c r="L133" i="15"/>
  <c r="B133" i="15"/>
  <c r="L132" i="15"/>
  <c r="B132" i="15"/>
  <c r="L131" i="15"/>
  <c r="B131" i="15"/>
  <c r="L130" i="15"/>
  <c r="B130" i="15"/>
  <c r="L129" i="15"/>
  <c r="B129" i="15"/>
  <c r="L128" i="15"/>
  <c r="B128" i="15"/>
  <c r="L127" i="15"/>
  <c r="B127" i="15"/>
  <c r="L126" i="15"/>
  <c r="B126" i="15"/>
  <c r="L125" i="15"/>
  <c r="B125" i="15"/>
  <c r="L124" i="15"/>
  <c r="B124" i="15"/>
  <c r="L123" i="15"/>
  <c r="B123" i="15"/>
  <c r="L122" i="15"/>
  <c r="B122" i="15"/>
  <c r="L121" i="15"/>
  <c r="A121" i="15"/>
  <c r="B121" i="15" s="1"/>
  <c r="L120" i="15"/>
  <c r="A120" i="15"/>
  <c r="B120" i="15" s="1"/>
  <c r="L119" i="15"/>
  <c r="A119" i="15"/>
  <c r="B119" i="15" s="1"/>
  <c r="L118" i="15"/>
  <c r="A118" i="15"/>
  <c r="B118" i="15" s="1"/>
  <c r="L117" i="15"/>
  <c r="A117" i="15"/>
  <c r="B117" i="15" s="1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J13" i="15"/>
  <c r="S13" i="15" s="1"/>
  <c r="I13" i="15"/>
  <c r="R13" i="15" s="1"/>
  <c r="H13" i="15"/>
  <c r="Q13" i="15" s="1"/>
  <c r="L12" i="15"/>
  <c r="J12" i="15"/>
  <c r="S12" i="15" s="1"/>
  <c r="I12" i="15"/>
  <c r="R12" i="15" s="1"/>
  <c r="H12" i="15"/>
  <c r="Q12" i="15" s="1"/>
  <c r="L11" i="15"/>
  <c r="J11" i="15"/>
  <c r="S11" i="15" s="1"/>
  <c r="I11" i="15"/>
  <c r="R11" i="15" s="1"/>
  <c r="H11" i="15"/>
  <c r="Q11" i="15" s="1"/>
  <c r="L10" i="15"/>
  <c r="J10" i="15"/>
  <c r="S10" i="15" s="1"/>
  <c r="I10" i="15"/>
  <c r="R10" i="15" s="1"/>
  <c r="H10" i="15"/>
  <c r="Q10" i="15" s="1"/>
  <c r="L9" i="15"/>
  <c r="J9" i="15"/>
  <c r="S9" i="15" s="1"/>
  <c r="I9" i="15"/>
  <c r="R9" i="15" s="1"/>
  <c r="H9" i="15"/>
  <c r="Q9" i="15" s="1"/>
  <c r="L8" i="15"/>
  <c r="J8" i="15"/>
  <c r="S8" i="15" s="1"/>
  <c r="I8" i="15"/>
  <c r="R8" i="15" s="1"/>
  <c r="H8" i="15"/>
  <c r="Q8" i="15" s="1"/>
  <c r="L7" i="15"/>
  <c r="J7" i="15"/>
  <c r="S7" i="15" s="1"/>
  <c r="I7" i="15"/>
  <c r="R7" i="15" s="1"/>
  <c r="H7" i="15"/>
  <c r="Q7" i="15" s="1"/>
  <c r="L6" i="15"/>
  <c r="J6" i="15"/>
  <c r="S6" i="15" s="1"/>
  <c r="I6" i="15"/>
  <c r="R6" i="15" s="1"/>
  <c r="H6" i="15"/>
  <c r="Q6" i="15" s="1"/>
  <c r="L5" i="15"/>
  <c r="J5" i="15"/>
  <c r="S5" i="15" s="1"/>
  <c r="I5" i="15"/>
  <c r="R5" i="15" s="1"/>
  <c r="H5" i="15"/>
  <c r="Q5" i="15" s="1"/>
  <c r="L4" i="15"/>
  <c r="J4" i="15"/>
  <c r="S4" i="15" s="1"/>
  <c r="I4" i="15"/>
  <c r="R4" i="15" s="1"/>
  <c r="H4" i="15"/>
  <c r="Q4" i="15" s="1"/>
  <c r="L3" i="15"/>
  <c r="J3" i="15"/>
  <c r="S3" i="15" s="1"/>
  <c r="I3" i="15"/>
  <c r="R3" i="15" s="1"/>
  <c r="H3" i="15"/>
  <c r="Q3" i="15" s="1"/>
  <c r="G3" i="15"/>
  <c r="P3" i="15" s="1"/>
  <c r="F3" i="15"/>
  <c r="O3" i="15" s="1"/>
  <c r="J2" i="15"/>
  <c r="S2" i="15" s="1"/>
  <c r="I2" i="15"/>
  <c r="H2" i="15"/>
  <c r="G2" i="15"/>
  <c r="F2" i="15"/>
  <c r="J1" i="15"/>
  <c r="S1" i="15" s="1"/>
  <c r="I1" i="15"/>
  <c r="H1" i="15"/>
  <c r="G1" i="15"/>
  <c r="F1" i="15"/>
  <c r="E1" i="15"/>
  <c r="D1" i="15"/>
  <c r="C1" i="15"/>
  <c r="L97" i="25"/>
  <c r="L96" i="25"/>
  <c r="L95" i="25"/>
  <c r="L94" i="25"/>
  <c r="L93" i="25"/>
  <c r="L92" i="25"/>
  <c r="L91" i="25"/>
  <c r="L90" i="25"/>
  <c r="L89" i="25"/>
  <c r="L88" i="25"/>
  <c r="L87" i="25"/>
  <c r="L86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L3" i="25"/>
  <c r="J97" i="25"/>
  <c r="S97" i="25" s="1"/>
  <c r="J96" i="25"/>
  <c r="S96" i="25" s="1"/>
  <c r="J95" i="25"/>
  <c r="S95" i="25" s="1"/>
  <c r="J94" i="25"/>
  <c r="S94" i="25" s="1"/>
  <c r="J93" i="25"/>
  <c r="S93" i="25" s="1"/>
  <c r="J92" i="25"/>
  <c r="S92" i="25" s="1"/>
  <c r="J91" i="25"/>
  <c r="S91" i="25" s="1"/>
  <c r="J90" i="25"/>
  <c r="S90" i="25" s="1"/>
  <c r="J89" i="25"/>
  <c r="S89" i="25" s="1"/>
  <c r="J88" i="25"/>
  <c r="S88" i="25" s="1"/>
  <c r="J87" i="25"/>
  <c r="S87" i="25" s="1"/>
  <c r="J86" i="25"/>
  <c r="S86" i="25" s="1"/>
  <c r="J85" i="25"/>
  <c r="S85" i="25" s="1"/>
  <c r="J84" i="25"/>
  <c r="S84" i="25" s="1"/>
  <c r="J83" i="25"/>
  <c r="S83" i="25" s="1"/>
  <c r="J82" i="25"/>
  <c r="S82" i="25" s="1"/>
  <c r="J81" i="25"/>
  <c r="S81" i="25" s="1"/>
  <c r="J80" i="25"/>
  <c r="S80" i="25" s="1"/>
  <c r="J79" i="25"/>
  <c r="S79" i="25" s="1"/>
  <c r="J78" i="25"/>
  <c r="S78" i="25" s="1"/>
  <c r="J77" i="25"/>
  <c r="S77" i="25" s="1"/>
  <c r="J76" i="25"/>
  <c r="S76" i="25" s="1"/>
  <c r="J75" i="25"/>
  <c r="S75" i="25" s="1"/>
  <c r="J74" i="25"/>
  <c r="S74" i="25" s="1"/>
  <c r="J73" i="25"/>
  <c r="S73" i="25" s="1"/>
  <c r="J72" i="25"/>
  <c r="S72" i="25" s="1"/>
  <c r="J71" i="25"/>
  <c r="S71" i="25" s="1"/>
  <c r="J70" i="25"/>
  <c r="S70" i="25" s="1"/>
  <c r="J69" i="25"/>
  <c r="S69" i="25" s="1"/>
  <c r="J68" i="25"/>
  <c r="S68" i="25" s="1"/>
  <c r="J67" i="25"/>
  <c r="S67" i="25" s="1"/>
  <c r="J66" i="25"/>
  <c r="S66" i="25" s="1"/>
  <c r="J65" i="25"/>
  <c r="S65" i="25" s="1"/>
  <c r="J64" i="25"/>
  <c r="S64" i="25" s="1"/>
  <c r="J63" i="25"/>
  <c r="S63" i="25" s="1"/>
  <c r="J62" i="25"/>
  <c r="S62" i="25" s="1"/>
  <c r="J61" i="25"/>
  <c r="S61" i="25" s="1"/>
  <c r="J60" i="25"/>
  <c r="S60" i="25" s="1"/>
  <c r="J59" i="25"/>
  <c r="S59" i="25" s="1"/>
  <c r="J58" i="25"/>
  <c r="S58" i="25" s="1"/>
  <c r="J57" i="25"/>
  <c r="S57" i="25" s="1"/>
  <c r="J56" i="25"/>
  <c r="S56" i="25" s="1"/>
  <c r="J55" i="25"/>
  <c r="S55" i="25" s="1"/>
  <c r="J54" i="25"/>
  <c r="S54" i="25" s="1"/>
  <c r="J53" i="25"/>
  <c r="S53" i="25" s="1"/>
  <c r="J52" i="25"/>
  <c r="S52" i="25" s="1"/>
  <c r="J51" i="25"/>
  <c r="S51" i="25" s="1"/>
  <c r="J50" i="25"/>
  <c r="S50" i="25" s="1"/>
  <c r="J49" i="25"/>
  <c r="S49" i="25" s="1"/>
  <c r="J48" i="25"/>
  <c r="S48" i="25" s="1"/>
  <c r="J47" i="25"/>
  <c r="S47" i="25" s="1"/>
  <c r="J46" i="25"/>
  <c r="S46" i="25" s="1"/>
  <c r="J45" i="25"/>
  <c r="S45" i="25" s="1"/>
  <c r="J44" i="25"/>
  <c r="S44" i="25" s="1"/>
  <c r="J43" i="25"/>
  <c r="S43" i="25" s="1"/>
  <c r="J42" i="25"/>
  <c r="S42" i="25" s="1"/>
  <c r="J41" i="25"/>
  <c r="S41" i="25" s="1"/>
  <c r="J40" i="25"/>
  <c r="S40" i="25" s="1"/>
  <c r="J39" i="25"/>
  <c r="S39" i="25" s="1"/>
  <c r="J38" i="25"/>
  <c r="S38" i="25" s="1"/>
  <c r="J37" i="25"/>
  <c r="S37" i="25" s="1"/>
  <c r="J36" i="25"/>
  <c r="S36" i="25" s="1"/>
  <c r="J35" i="25"/>
  <c r="S35" i="25" s="1"/>
  <c r="J34" i="25"/>
  <c r="S34" i="25" s="1"/>
  <c r="J33" i="25"/>
  <c r="S33" i="25" s="1"/>
  <c r="J32" i="25"/>
  <c r="S32" i="25" s="1"/>
  <c r="J31" i="25"/>
  <c r="S31" i="25" s="1"/>
  <c r="J30" i="25"/>
  <c r="S30" i="25" s="1"/>
  <c r="J29" i="25"/>
  <c r="S29" i="25" s="1"/>
  <c r="J28" i="25"/>
  <c r="S28" i="25" s="1"/>
  <c r="J27" i="25"/>
  <c r="S27" i="25" s="1"/>
  <c r="J26" i="25"/>
  <c r="S26" i="25" s="1"/>
  <c r="J25" i="25"/>
  <c r="S25" i="25" s="1"/>
  <c r="J24" i="25"/>
  <c r="S24" i="25" s="1"/>
  <c r="J23" i="25"/>
  <c r="S23" i="25" s="1"/>
  <c r="J22" i="25"/>
  <c r="S22" i="25" s="1"/>
  <c r="J21" i="25"/>
  <c r="S21" i="25" s="1"/>
  <c r="J20" i="25"/>
  <c r="S20" i="25" s="1"/>
  <c r="J19" i="25"/>
  <c r="S19" i="25" s="1"/>
  <c r="J18" i="25"/>
  <c r="S18" i="25" s="1"/>
  <c r="J17" i="25"/>
  <c r="S17" i="25" s="1"/>
  <c r="J16" i="25"/>
  <c r="S16" i="25" s="1"/>
  <c r="J15" i="25"/>
  <c r="S15" i="25" s="1"/>
  <c r="J14" i="25"/>
  <c r="S14" i="25" s="1"/>
  <c r="J13" i="25"/>
  <c r="S13" i="25" s="1"/>
  <c r="J12" i="25"/>
  <c r="S12" i="25" s="1"/>
  <c r="J11" i="25"/>
  <c r="S11" i="25" s="1"/>
  <c r="J10" i="25"/>
  <c r="S10" i="25" s="1"/>
  <c r="J9" i="25"/>
  <c r="S9" i="25" s="1"/>
  <c r="J8" i="25"/>
  <c r="S8" i="25" s="1"/>
  <c r="J7" i="25"/>
  <c r="S7" i="25" s="1"/>
  <c r="J6" i="25"/>
  <c r="S6" i="25" s="1"/>
  <c r="J5" i="25"/>
  <c r="S5" i="25" s="1"/>
  <c r="J4" i="25"/>
  <c r="S4" i="25" s="1"/>
  <c r="J3" i="25"/>
  <c r="S3" i="25" s="1"/>
  <c r="J2" i="25"/>
  <c r="S2" i="25" s="1"/>
  <c r="J1" i="25"/>
  <c r="S1" i="25" s="1"/>
  <c r="I1" i="25"/>
  <c r="R1" i="25" s="1"/>
  <c r="H1" i="25"/>
  <c r="Q1" i="25" s="1"/>
  <c r="G1" i="25"/>
  <c r="P1" i="25" s="1"/>
  <c r="L2" i="25"/>
  <c r="E39" i="25"/>
  <c r="N39" i="25" s="1"/>
  <c r="E27" i="25"/>
  <c r="N27" i="25" s="1"/>
  <c r="E15" i="25"/>
  <c r="N15" i="25" s="1"/>
  <c r="E13" i="25"/>
  <c r="N13" i="25" s="1"/>
  <c r="E12" i="25"/>
  <c r="N12" i="25" s="1"/>
  <c r="E11" i="25"/>
  <c r="N11" i="25" s="1"/>
  <c r="E10" i="25"/>
  <c r="N10" i="25" s="1"/>
  <c r="E9" i="25"/>
  <c r="N9" i="25" s="1"/>
  <c r="E8" i="25"/>
  <c r="N8" i="25" s="1"/>
  <c r="E7" i="25"/>
  <c r="N7" i="25" s="1"/>
  <c r="E6" i="25"/>
  <c r="N6" i="25" s="1"/>
  <c r="E5" i="25"/>
  <c r="N5" i="25" s="1"/>
  <c r="E4" i="25"/>
  <c r="N4" i="25" s="1"/>
  <c r="E3" i="25"/>
  <c r="N3" i="25" s="1"/>
  <c r="E2" i="25"/>
  <c r="N2" i="25" s="1"/>
  <c r="E1" i="25"/>
  <c r="N1" i="25" s="1"/>
  <c r="D1" i="25"/>
  <c r="M1" i="25" s="1"/>
  <c r="A97" i="25"/>
  <c r="B97" i="25" s="1"/>
  <c r="A96" i="25"/>
  <c r="B96" i="25" s="1"/>
  <c r="A95" i="25"/>
  <c r="B95" i="25" s="1"/>
  <c r="A94" i="25"/>
  <c r="B94" i="25" s="1"/>
  <c r="A93" i="25"/>
  <c r="B93" i="25" s="1"/>
  <c r="F1" i="25"/>
  <c r="O1" i="25" s="1"/>
  <c r="C1" i="25"/>
  <c r="A1" i="25"/>
  <c r="U12" i="16" l="1"/>
  <c r="V85" i="16"/>
  <c r="V37" i="16"/>
  <c r="X9" i="16"/>
  <c r="W49" i="16"/>
  <c r="X17" i="16"/>
  <c r="X56" i="16"/>
  <c r="L25" i="16"/>
  <c r="L37" i="16" s="1"/>
  <c r="X37" i="16" s="1"/>
  <c r="X13" i="16"/>
  <c r="X10" i="21"/>
  <c r="AC10" i="21" s="1"/>
  <c r="U4" i="16"/>
  <c r="W37" i="16"/>
  <c r="X44" i="16"/>
  <c r="V73" i="16"/>
  <c r="I20" i="16"/>
  <c r="I32" i="16" s="1"/>
  <c r="I44" i="16" s="1"/>
  <c r="U16" i="16"/>
  <c r="X21" i="16"/>
  <c r="Y32" i="16"/>
  <c r="V61" i="16"/>
  <c r="W73" i="16"/>
  <c r="X80" i="16"/>
  <c r="V31" i="16"/>
  <c r="V49" i="16"/>
  <c r="W61" i="16"/>
  <c r="X68" i="16"/>
  <c r="K14" i="16"/>
  <c r="W2" i="16"/>
  <c r="L28" i="16"/>
  <c r="X16" i="16"/>
  <c r="J20" i="16"/>
  <c r="V8" i="16"/>
  <c r="J21" i="16"/>
  <c r="V9" i="16"/>
  <c r="L24" i="16"/>
  <c r="X12" i="16"/>
  <c r="M28" i="16"/>
  <c r="Y16" i="16"/>
  <c r="I15" i="16"/>
  <c r="U3" i="16"/>
  <c r="M15" i="16"/>
  <c r="Y3" i="16"/>
  <c r="K18" i="16"/>
  <c r="W6" i="16"/>
  <c r="K19" i="16"/>
  <c r="W7" i="16"/>
  <c r="P110" i="16"/>
  <c r="P118" i="16"/>
  <c r="L41" i="16"/>
  <c r="X29" i="16"/>
  <c r="I22" i="16"/>
  <c r="U10" i="16"/>
  <c r="M22" i="16"/>
  <c r="Y10" i="16"/>
  <c r="P114" i="16"/>
  <c r="X5" i="16"/>
  <c r="L14" i="16"/>
  <c r="X2" i="16"/>
  <c r="J51" i="16"/>
  <c r="V39" i="16"/>
  <c r="I52" i="16"/>
  <c r="U40" i="16"/>
  <c r="I17" i="16"/>
  <c r="U5" i="16"/>
  <c r="M17" i="16"/>
  <c r="Y5" i="16"/>
  <c r="L18" i="16"/>
  <c r="X6" i="16"/>
  <c r="L19" i="16"/>
  <c r="X7" i="16"/>
  <c r="K20" i="16"/>
  <c r="W8" i="16"/>
  <c r="I48" i="16"/>
  <c r="U36" i="16"/>
  <c r="M48" i="16"/>
  <c r="Y36" i="16"/>
  <c r="P111" i="16"/>
  <c r="P115" i="16"/>
  <c r="J14" i="16"/>
  <c r="J23" i="16"/>
  <c r="Y4" i="16"/>
  <c r="Y8" i="16"/>
  <c r="Y12" i="16"/>
  <c r="Y20" i="16"/>
  <c r="U24" i="16"/>
  <c r="I14" i="16"/>
  <c r="U2" i="16"/>
  <c r="M14" i="16"/>
  <c r="Y2" i="16"/>
  <c r="K15" i="16"/>
  <c r="W3" i="16"/>
  <c r="J16" i="16"/>
  <c r="V4" i="16"/>
  <c r="J17" i="16"/>
  <c r="V5" i="16"/>
  <c r="I18" i="16"/>
  <c r="U6" i="16"/>
  <c r="M18" i="16"/>
  <c r="Y6" i="16"/>
  <c r="L57" i="16"/>
  <c r="X45" i="16"/>
  <c r="K58" i="16"/>
  <c r="W46" i="16"/>
  <c r="K23" i="16"/>
  <c r="W11" i="16"/>
  <c r="J24" i="16"/>
  <c r="V12" i="16"/>
  <c r="P119" i="16"/>
  <c r="V3" i="16"/>
  <c r="V7" i="16"/>
  <c r="V15" i="16"/>
  <c r="V19" i="16"/>
  <c r="Y24" i="16"/>
  <c r="U28" i="16"/>
  <c r="W34" i="16"/>
  <c r="L15" i="16"/>
  <c r="X3" i="16"/>
  <c r="K16" i="16"/>
  <c r="W4" i="16"/>
  <c r="J55" i="16"/>
  <c r="V43" i="16"/>
  <c r="M56" i="16"/>
  <c r="Y44" i="16"/>
  <c r="I21" i="16"/>
  <c r="U9" i="16"/>
  <c r="M21" i="16"/>
  <c r="Y9" i="16"/>
  <c r="L22" i="16"/>
  <c r="X10" i="16"/>
  <c r="L23" i="16"/>
  <c r="X11" i="16"/>
  <c r="W10" i="16"/>
  <c r="W22" i="16"/>
  <c r="V27" i="16"/>
  <c r="X33" i="16"/>
  <c r="I49" i="16"/>
  <c r="U37" i="16"/>
  <c r="M49" i="16"/>
  <c r="Y37" i="16"/>
  <c r="U13" i="16"/>
  <c r="Y13" i="16"/>
  <c r="U25" i="16"/>
  <c r="Y25" i="16"/>
  <c r="U35" i="16"/>
  <c r="W41" i="16"/>
  <c r="V42" i="16"/>
  <c r="U43" i="16"/>
  <c r="W45" i="16"/>
  <c r="V46" i="16"/>
  <c r="U47" i="16"/>
  <c r="W53" i="16"/>
  <c r="V54" i="16"/>
  <c r="U55" i="16"/>
  <c r="W57" i="16"/>
  <c r="V58" i="16"/>
  <c r="U59" i="16"/>
  <c r="W65" i="16"/>
  <c r="V66" i="16"/>
  <c r="U67" i="16"/>
  <c r="W69" i="16"/>
  <c r="V70" i="16"/>
  <c r="U71" i="16"/>
  <c r="W77" i="16"/>
  <c r="V78" i="16"/>
  <c r="U79" i="16"/>
  <c r="W81" i="16"/>
  <c r="V82" i="16"/>
  <c r="U83" i="16"/>
  <c r="W85" i="16"/>
  <c r="K101" i="16"/>
  <c r="W89" i="16"/>
  <c r="J102" i="16"/>
  <c r="V90" i="16"/>
  <c r="I103" i="16"/>
  <c r="U91" i="16"/>
  <c r="M103" i="16"/>
  <c r="Y91" i="16"/>
  <c r="L104" i="16"/>
  <c r="X92" i="16"/>
  <c r="K105" i="16"/>
  <c r="W93" i="16"/>
  <c r="J106" i="16"/>
  <c r="V94" i="16"/>
  <c r="I107" i="16"/>
  <c r="U95" i="16"/>
  <c r="M107" i="16"/>
  <c r="Y95" i="16"/>
  <c r="K120" i="16"/>
  <c r="W108" i="16"/>
  <c r="P113" i="16"/>
  <c r="P117" i="16"/>
  <c r="P121" i="16"/>
  <c r="J121" i="16"/>
  <c r="V109" i="16"/>
  <c r="W12" i="16"/>
  <c r="V13" i="16"/>
  <c r="W24" i="16"/>
  <c r="V25" i="16"/>
  <c r="V97" i="16"/>
  <c r="P116" i="16"/>
  <c r="P120" i="16"/>
  <c r="K109" i="16"/>
  <c r="W97" i="16"/>
  <c r="X4" i="16"/>
  <c r="W5" i="16"/>
  <c r="V6" i="16"/>
  <c r="U7" i="16"/>
  <c r="Y7" i="16"/>
  <c r="X8" i="16"/>
  <c r="W9" i="16"/>
  <c r="V10" i="16"/>
  <c r="U11" i="16"/>
  <c r="Y11" i="16"/>
  <c r="W13" i="16"/>
  <c r="W17" i="16"/>
  <c r="V18" i="16"/>
  <c r="U19" i="16"/>
  <c r="Y19" i="16"/>
  <c r="X20" i="16"/>
  <c r="W21" i="16"/>
  <c r="V22" i="16"/>
  <c r="U23" i="16"/>
  <c r="Y23" i="16"/>
  <c r="W25" i="16"/>
  <c r="W29" i="16"/>
  <c r="V30" i="16"/>
  <c r="U31" i="16"/>
  <c r="Y31" i="16"/>
  <c r="X32" i="16"/>
  <c r="W33" i="16"/>
  <c r="V34" i="16"/>
  <c r="Y35" i="16"/>
  <c r="W36" i="16"/>
  <c r="Y43" i="16"/>
  <c r="Y47" i="16"/>
  <c r="W48" i="16"/>
  <c r="Y55" i="16"/>
  <c r="Y59" i="16"/>
  <c r="W60" i="16"/>
  <c r="Y67" i="16"/>
  <c r="Y71" i="16"/>
  <c r="W72" i="16"/>
  <c r="Y79" i="16"/>
  <c r="Y83" i="16"/>
  <c r="W84" i="16"/>
  <c r="W96" i="16"/>
  <c r="S10" i="21"/>
  <c r="N12" i="21"/>
  <c r="G10" i="21"/>
  <c r="B10" i="2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H13" i="11"/>
  <c r="O13" i="11" s="1"/>
  <c r="G13" i="11"/>
  <c r="N13" i="11" s="1"/>
  <c r="H12" i="11"/>
  <c r="O12" i="11" s="1"/>
  <c r="G12" i="11"/>
  <c r="N12" i="11" s="1"/>
  <c r="H11" i="11"/>
  <c r="O11" i="11" s="1"/>
  <c r="G11" i="11"/>
  <c r="N11" i="11" s="1"/>
  <c r="H10" i="11"/>
  <c r="O10" i="11" s="1"/>
  <c r="G10" i="11"/>
  <c r="N10" i="11" s="1"/>
  <c r="H9" i="11"/>
  <c r="O9" i="11" s="1"/>
  <c r="G9" i="11"/>
  <c r="N9" i="11" s="1"/>
  <c r="H8" i="11"/>
  <c r="O8" i="11" s="1"/>
  <c r="G8" i="11"/>
  <c r="N8" i="11" s="1"/>
  <c r="H7" i="11"/>
  <c r="O7" i="11" s="1"/>
  <c r="G7" i="11"/>
  <c r="N7" i="11" s="1"/>
  <c r="H6" i="11"/>
  <c r="O6" i="11" s="1"/>
  <c r="G6" i="11"/>
  <c r="N6" i="11" s="1"/>
  <c r="H5" i="11"/>
  <c r="O5" i="11" s="1"/>
  <c r="G5" i="11"/>
  <c r="N5" i="11" s="1"/>
  <c r="H4" i="11"/>
  <c r="O4" i="11" s="1"/>
  <c r="G4" i="11"/>
  <c r="N4" i="11" s="1"/>
  <c r="H3" i="11"/>
  <c r="O3" i="11" s="1"/>
  <c r="G3" i="11"/>
  <c r="N3" i="11" s="1"/>
  <c r="F3" i="11"/>
  <c r="M3" i="11" s="1"/>
  <c r="H2" i="11"/>
  <c r="O2" i="11" s="1"/>
  <c r="G2" i="11"/>
  <c r="N2" i="11" s="1"/>
  <c r="F2" i="11"/>
  <c r="M2" i="11" s="1"/>
  <c r="H1" i="11"/>
  <c r="O1" i="11" s="1"/>
  <c r="G1" i="11"/>
  <c r="N1" i="11" s="1"/>
  <c r="F1" i="11"/>
  <c r="M1" i="11" s="1"/>
  <c r="E1" i="11"/>
  <c r="C1" i="11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U2" i="9"/>
  <c r="T3" i="9"/>
  <c r="T2" i="9"/>
  <c r="U1" i="9"/>
  <c r="O2" i="9"/>
  <c r="S1" i="9"/>
  <c r="C1" i="7"/>
  <c r="D121" i="9"/>
  <c r="P121" i="9" s="1"/>
  <c r="D120" i="9"/>
  <c r="P120" i="9" s="1"/>
  <c r="D119" i="9"/>
  <c r="P119" i="9" s="1"/>
  <c r="D118" i="9"/>
  <c r="P118" i="9" s="1"/>
  <c r="D117" i="9"/>
  <c r="P117" i="9" s="1"/>
  <c r="D116" i="9"/>
  <c r="P116" i="9" s="1"/>
  <c r="D115" i="9"/>
  <c r="P115" i="9" s="1"/>
  <c r="D114" i="9"/>
  <c r="P114" i="9" s="1"/>
  <c r="D113" i="9"/>
  <c r="P113" i="9" s="1"/>
  <c r="D112" i="9"/>
  <c r="P112" i="9" s="1"/>
  <c r="D111" i="9"/>
  <c r="P111" i="9" s="1"/>
  <c r="D110" i="9"/>
  <c r="P110" i="9" s="1"/>
  <c r="D109" i="9"/>
  <c r="P109" i="9" s="1"/>
  <c r="D108" i="9"/>
  <c r="P108" i="9" s="1"/>
  <c r="D107" i="9"/>
  <c r="P107" i="9" s="1"/>
  <c r="D106" i="9"/>
  <c r="P106" i="9" s="1"/>
  <c r="D105" i="9"/>
  <c r="P105" i="9" s="1"/>
  <c r="D104" i="9"/>
  <c r="P104" i="9" s="1"/>
  <c r="D103" i="9"/>
  <c r="P103" i="9" s="1"/>
  <c r="D102" i="9"/>
  <c r="P102" i="9" s="1"/>
  <c r="D101" i="9"/>
  <c r="P101" i="9" s="1"/>
  <c r="D100" i="9"/>
  <c r="P100" i="9" s="1"/>
  <c r="D99" i="9"/>
  <c r="P99" i="9" s="1"/>
  <c r="D98" i="9"/>
  <c r="P98" i="9" s="1"/>
  <c r="D97" i="9"/>
  <c r="P97" i="9" s="1"/>
  <c r="D96" i="9"/>
  <c r="P96" i="9" s="1"/>
  <c r="D95" i="9"/>
  <c r="P95" i="9" s="1"/>
  <c r="D94" i="9"/>
  <c r="P94" i="9" s="1"/>
  <c r="D93" i="9"/>
  <c r="P93" i="9" s="1"/>
  <c r="D92" i="9"/>
  <c r="P92" i="9" s="1"/>
  <c r="D91" i="9"/>
  <c r="P91" i="9" s="1"/>
  <c r="D90" i="9"/>
  <c r="P90" i="9" s="1"/>
  <c r="D89" i="9"/>
  <c r="P89" i="9" s="1"/>
  <c r="D88" i="9"/>
  <c r="P88" i="9" s="1"/>
  <c r="D87" i="9"/>
  <c r="P87" i="9" s="1"/>
  <c r="D86" i="9"/>
  <c r="P86" i="9" s="1"/>
  <c r="D85" i="9"/>
  <c r="P85" i="9" s="1"/>
  <c r="D84" i="9"/>
  <c r="P84" i="9" s="1"/>
  <c r="D83" i="9"/>
  <c r="P83" i="9" s="1"/>
  <c r="D82" i="9"/>
  <c r="P82" i="9" s="1"/>
  <c r="D81" i="9"/>
  <c r="P81" i="9" s="1"/>
  <c r="D80" i="9"/>
  <c r="P80" i="9" s="1"/>
  <c r="D79" i="9"/>
  <c r="P79" i="9" s="1"/>
  <c r="D78" i="9"/>
  <c r="P78" i="9" s="1"/>
  <c r="D77" i="9"/>
  <c r="P77" i="9" s="1"/>
  <c r="D76" i="9"/>
  <c r="P76" i="9" s="1"/>
  <c r="D75" i="9"/>
  <c r="P75" i="9" s="1"/>
  <c r="D74" i="9"/>
  <c r="P74" i="9" s="1"/>
  <c r="D73" i="9"/>
  <c r="P73" i="9" s="1"/>
  <c r="D72" i="9"/>
  <c r="P72" i="9" s="1"/>
  <c r="D71" i="9"/>
  <c r="P71" i="9" s="1"/>
  <c r="D70" i="9"/>
  <c r="P70" i="9" s="1"/>
  <c r="D69" i="9"/>
  <c r="P69" i="9" s="1"/>
  <c r="D68" i="9"/>
  <c r="P68" i="9" s="1"/>
  <c r="D67" i="9"/>
  <c r="P67" i="9" s="1"/>
  <c r="D66" i="9"/>
  <c r="P66" i="9" s="1"/>
  <c r="D65" i="9"/>
  <c r="P65" i="9" s="1"/>
  <c r="D64" i="9"/>
  <c r="P64" i="9" s="1"/>
  <c r="D63" i="9"/>
  <c r="P63" i="9" s="1"/>
  <c r="D62" i="9"/>
  <c r="P62" i="9" s="1"/>
  <c r="D61" i="9"/>
  <c r="P61" i="9" s="1"/>
  <c r="D60" i="9"/>
  <c r="P60" i="9" s="1"/>
  <c r="D59" i="9"/>
  <c r="P59" i="9" s="1"/>
  <c r="D58" i="9"/>
  <c r="P58" i="9" s="1"/>
  <c r="D57" i="9"/>
  <c r="P57" i="9" s="1"/>
  <c r="D56" i="9"/>
  <c r="P56" i="9" s="1"/>
  <c r="D55" i="9"/>
  <c r="P55" i="9" s="1"/>
  <c r="D54" i="9"/>
  <c r="P54" i="9" s="1"/>
  <c r="D53" i="9"/>
  <c r="P53" i="9" s="1"/>
  <c r="D52" i="9"/>
  <c r="P52" i="9" s="1"/>
  <c r="D51" i="9"/>
  <c r="P51" i="9" s="1"/>
  <c r="D50" i="9"/>
  <c r="P50" i="9" s="1"/>
  <c r="D49" i="9"/>
  <c r="P49" i="9" s="1"/>
  <c r="D48" i="9"/>
  <c r="P48" i="9" s="1"/>
  <c r="D47" i="9"/>
  <c r="P47" i="9" s="1"/>
  <c r="D46" i="9"/>
  <c r="P46" i="9" s="1"/>
  <c r="D45" i="9"/>
  <c r="P45" i="9" s="1"/>
  <c r="D44" i="9"/>
  <c r="P44" i="9" s="1"/>
  <c r="D43" i="9"/>
  <c r="P43" i="9" s="1"/>
  <c r="D42" i="9"/>
  <c r="P42" i="9" s="1"/>
  <c r="D41" i="9"/>
  <c r="P41" i="9" s="1"/>
  <c r="D40" i="9"/>
  <c r="P40" i="9" s="1"/>
  <c r="D39" i="9"/>
  <c r="P39" i="9" s="1"/>
  <c r="D38" i="9"/>
  <c r="P38" i="9" s="1"/>
  <c r="D37" i="9"/>
  <c r="P37" i="9" s="1"/>
  <c r="D36" i="9"/>
  <c r="P36" i="9" s="1"/>
  <c r="D35" i="9"/>
  <c r="P35" i="9" s="1"/>
  <c r="D34" i="9"/>
  <c r="P34" i="9" s="1"/>
  <c r="D33" i="9"/>
  <c r="P33" i="9" s="1"/>
  <c r="D32" i="9"/>
  <c r="P32" i="9" s="1"/>
  <c r="D31" i="9"/>
  <c r="P31" i="9" s="1"/>
  <c r="D30" i="9"/>
  <c r="P30" i="9" s="1"/>
  <c r="D29" i="9"/>
  <c r="P29" i="9" s="1"/>
  <c r="D28" i="9"/>
  <c r="P28" i="9" s="1"/>
  <c r="D27" i="9"/>
  <c r="P27" i="9" s="1"/>
  <c r="D26" i="9"/>
  <c r="P26" i="9" s="1"/>
  <c r="D25" i="9"/>
  <c r="P25" i="9" s="1"/>
  <c r="D24" i="9"/>
  <c r="P24" i="9" s="1"/>
  <c r="D23" i="9"/>
  <c r="P23" i="9" s="1"/>
  <c r="D22" i="9"/>
  <c r="P22" i="9" s="1"/>
  <c r="D21" i="9"/>
  <c r="P21" i="9" s="1"/>
  <c r="D20" i="9"/>
  <c r="P20" i="9" s="1"/>
  <c r="D19" i="9"/>
  <c r="P19" i="9" s="1"/>
  <c r="D18" i="9"/>
  <c r="P18" i="9" s="1"/>
  <c r="D17" i="9"/>
  <c r="P17" i="9" s="1"/>
  <c r="D16" i="9"/>
  <c r="P16" i="9" s="1"/>
  <c r="D15" i="9"/>
  <c r="P15" i="9" s="1"/>
  <c r="D14" i="9"/>
  <c r="P14" i="9" s="1"/>
  <c r="D13" i="9"/>
  <c r="P13" i="9" s="1"/>
  <c r="D12" i="9"/>
  <c r="P12" i="9" s="1"/>
  <c r="D11" i="9"/>
  <c r="P11" i="9" s="1"/>
  <c r="D10" i="9"/>
  <c r="P10" i="9" s="1"/>
  <c r="D9" i="9"/>
  <c r="P9" i="9" s="1"/>
  <c r="D8" i="9"/>
  <c r="P8" i="9" s="1"/>
  <c r="D7" i="9"/>
  <c r="P7" i="9" s="1"/>
  <c r="D6" i="9"/>
  <c r="P6" i="9" s="1"/>
  <c r="D5" i="9"/>
  <c r="P5" i="9" s="1"/>
  <c r="D4" i="9"/>
  <c r="P4" i="9" s="1"/>
  <c r="D3" i="9"/>
  <c r="P3" i="9" s="1"/>
  <c r="D2" i="9"/>
  <c r="P2" i="9" s="1"/>
  <c r="D1" i="9"/>
  <c r="P1" i="9" s="1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J13" i="7"/>
  <c r="S13" i="7" s="1"/>
  <c r="I13" i="7"/>
  <c r="R13" i="7" s="1"/>
  <c r="H13" i="7"/>
  <c r="Q13" i="7" s="1"/>
  <c r="J12" i="7"/>
  <c r="S12" i="7" s="1"/>
  <c r="I12" i="7"/>
  <c r="R12" i="7" s="1"/>
  <c r="H12" i="7"/>
  <c r="Q12" i="7" s="1"/>
  <c r="J11" i="7"/>
  <c r="S11" i="7" s="1"/>
  <c r="I11" i="7"/>
  <c r="R11" i="7" s="1"/>
  <c r="H11" i="7"/>
  <c r="Q11" i="7" s="1"/>
  <c r="J10" i="7"/>
  <c r="S10" i="7" s="1"/>
  <c r="I10" i="7"/>
  <c r="R10" i="7" s="1"/>
  <c r="H10" i="7"/>
  <c r="Q10" i="7" s="1"/>
  <c r="J9" i="7"/>
  <c r="S9" i="7" s="1"/>
  <c r="I9" i="7"/>
  <c r="R9" i="7" s="1"/>
  <c r="H9" i="7"/>
  <c r="Q9" i="7" s="1"/>
  <c r="J8" i="7"/>
  <c r="S8" i="7" s="1"/>
  <c r="I8" i="7"/>
  <c r="R8" i="7" s="1"/>
  <c r="H8" i="7"/>
  <c r="Q8" i="7" s="1"/>
  <c r="J7" i="7"/>
  <c r="S7" i="7" s="1"/>
  <c r="I7" i="7"/>
  <c r="R7" i="7" s="1"/>
  <c r="H7" i="7"/>
  <c r="Q7" i="7" s="1"/>
  <c r="J6" i="7"/>
  <c r="S6" i="7" s="1"/>
  <c r="I6" i="7"/>
  <c r="R6" i="7" s="1"/>
  <c r="H6" i="7"/>
  <c r="Q6" i="7" s="1"/>
  <c r="J5" i="7"/>
  <c r="S5" i="7" s="1"/>
  <c r="I5" i="7"/>
  <c r="R5" i="7" s="1"/>
  <c r="H5" i="7"/>
  <c r="Q5" i="7" s="1"/>
  <c r="J4" i="7"/>
  <c r="S4" i="7" s="1"/>
  <c r="I4" i="7"/>
  <c r="R4" i="7" s="1"/>
  <c r="H4" i="7"/>
  <c r="Q4" i="7" s="1"/>
  <c r="J3" i="7"/>
  <c r="S3" i="7" s="1"/>
  <c r="I3" i="7"/>
  <c r="R3" i="7" s="1"/>
  <c r="H3" i="7"/>
  <c r="Q3" i="7" s="1"/>
  <c r="J2" i="7"/>
  <c r="S2" i="7" s="1"/>
  <c r="I2" i="7"/>
  <c r="R2" i="7" s="1"/>
  <c r="H2" i="7"/>
  <c r="Q2" i="7" s="1"/>
  <c r="J1" i="7"/>
  <c r="S1" i="7" s="1"/>
  <c r="I1" i="7"/>
  <c r="R1" i="7" s="1"/>
  <c r="H1" i="7"/>
  <c r="F3" i="7"/>
  <c r="O3" i="7" s="1"/>
  <c r="F2" i="7"/>
  <c r="O2" i="7" s="1"/>
  <c r="F1" i="7"/>
  <c r="O1" i="7" s="1"/>
  <c r="D1" i="11"/>
  <c r="K1" i="11" s="1"/>
  <c r="L1" i="11"/>
  <c r="J2" i="11"/>
  <c r="AQ121" i="3"/>
  <c r="AP121" i="3"/>
  <c r="AQ120" i="3"/>
  <c r="AP120" i="3"/>
  <c r="F96" i="25" s="1"/>
  <c r="O96" i="25" s="1"/>
  <c r="AQ119" i="3"/>
  <c r="AP119" i="3"/>
  <c r="AQ118" i="3"/>
  <c r="AP118" i="3"/>
  <c r="F94" i="25" s="1"/>
  <c r="O94" i="25" s="1"/>
  <c r="AQ117" i="3"/>
  <c r="AP117" i="3"/>
  <c r="AQ116" i="3"/>
  <c r="AP116" i="3"/>
  <c r="F92" i="25" s="1"/>
  <c r="O92" i="25" s="1"/>
  <c r="AQ115" i="3"/>
  <c r="AP115" i="3"/>
  <c r="AQ114" i="3"/>
  <c r="AP114" i="3"/>
  <c r="F90" i="25" s="1"/>
  <c r="O90" i="25" s="1"/>
  <c r="AQ113" i="3"/>
  <c r="AP113" i="3"/>
  <c r="AQ112" i="3"/>
  <c r="AP112" i="3"/>
  <c r="F88" i="25" s="1"/>
  <c r="O88" i="25" s="1"/>
  <c r="AQ111" i="3"/>
  <c r="AP111" i="3"/>
  <c r="AQ110" i="3"/>
  <c r="AP110" i="3"/>
  <c r="F86" i="25" s="1"/>
  <c r="O86" i="25" s="1"/>
  <c r="AQ109" i="3"/>
  <c r="AP109" i="3"/>
  <c r="AQ108" i="3"/>
  <c r="AP108" i="3"/>
  <c r="F84" i="25" s="1"/>
  <c r="O84" i="25" s="1"/>
  <c r="AQ107" i="3"/>
  <c r="AP107" i="3"/>
  <c r="AQ106" i="3"/>
  <c r="AP106" i="3"/>
  <c r="F82" i="25" s="1"/>
  <c r="O82" i="25" s="1"/>
  <c r="AQ105" i="3"/>
  <c r="AP105" i="3"/>
  <c r="AQ104" i="3"/>
  <c r="AP104" i="3"/>
  <c r="F80" i="25" s="1"/>
  <c r="O80" i="25" s="1"/>
  <c r="AQ103" i="3"/>
  <c r="AP103" i="3"/>
  <c r="AQ102" i="3"/>
  <c r="AP102" i="3"/>
  <c r="F78" i="25" s="1"/>
  <c r="O78" i="25" s="1"/>
  <c r="AQ101" i="3"/>
  <c r="AP101" i="3"/>
  <c r="AQ100" i="3"/>
  <c r="AP100" i="3"/>
  <c r="F76" i="25" s="1"/>
  <c r="O76" i="25" s="1"/>
  <c r="AQ99" i="3"/>
  <c r="AP99" i="3"/>
  <c r="AQ98" i="3"/>
  <c r="AP98" i="3"/>
  <c r="F74" i="25" s="1"/>
  <c r="O74" i="25" s="1"/>
  <c r="AQ97" i="3"/>
  <c r="AP97" i="3"/>
  <c r="AQ96" i="3"/>
  <c r="AP96" i="3"/>
  <c r="F72" i="25" s="1"/>
  <c r="O72" i="25" s="1"/>
  <c r="AQ95" i="3"/>
  <c r="AP95" i="3"/>
  <c r="AQ94" i="3"/>
  <c r="AP94" i="3"/>
  <c r="F70" i="25" s="1"/>
  <c r="O70" i="25" s="1"/>
  <c r="AQ93" i="3"/>
  <c r="AP93" i="3"/>
  <c r="AQ92" i="3"/>
  <c r="AP92" i="3"/>
  <c r="F68" i="25" s="1"/>
  <c r="O68" i="25" s="1"/>
  <c r="AQ91" i="3"/>
  <c r="AP91" i="3"/>
  <c r="AQ90" i="3"/>
  <c r="AP90" i="3"/>
  <c r="F66" i="25" s="1"/>
  <c r="O66" i="25" s="1"/>
  <c r="AQ89" i="3"/>
  <c r="AP89" i="3"/>
  <c r="AQ88" i="3"/>
  <c r="AP88" i="3"/>
  <c r="F64" i="25" s="1"/>
  <c r="O64" i="25" s="1"/>
  <c r="AQ87" i="3"/>
  <c r="AP87" i="3"/>
  <c r="AQ86" i="3"/>
  <c r="AP86" i="3"/>
  <c r="F62" i="25" s="1"/>
  <c r="O62" i="25" s="1"/>
  <c r="AQ85" i="3"/>
  <c r="AP85" i="3"/>
  <c r="AQ84" i="3"/>
  <c r="AP84" i="3"/>
  <c r="F60" i="25" s="1"/>
  <c r="O60" i="25" s="1"/>
  <c r="AQ83" i="3"/>
  <c r="AP83" i="3"/>
  <c r="AQ82" i="3"/>
  <c r="AP82" i="3"/>
  <c r="F58" i="25" s="1"/>
  <c r="O58" i="25" s="1"/>
  <c r="AQ81" i="3"/>
  <c r="AP81" i="3"/>
  <c r="AQ80" i="3"/>
  <c r="AP80" i="3"/>
  <c r="F56" i="25" s="1"/>
  <c r="O56" i="25" s="1"/>
  <c r="AQ79" i="3"/>
  <c r="AP79" i="3"/>
  <c r="AQ78" i="3"/>
  <c r="AP78" i="3"/>
  <c r="F54" i="25" s="1"/>
  <c r="O54" i="25" s="1"/>
  <c r="AQ77" i="3"/>
  <c r="AP77" i="3"/>
  <c r="AQ76" i="3"/>
  <c r="AP76" i="3"/>
  <c r="F52" i="25" s="1"/>
  <c r="O52" i="25" s="1"/>
  <c r="AQ75" i="3"/>
  <c r="AP75" i="3"/>
  <c r="AQ74" i="3"/>
  <c r="AP74" i="3"/>
  <c r="F50" i="25" s="1"/>
  <c r="O50" i="25" s="1"/>
  <c r="AQ73" i="3"/>
  <c r="AP73" i="3"/>
  <c r="AQ72" i="3"/>
  <c r="AP72" i="3"/>
  <c r="F48" i="25" s="1"/>
  <c r="O48" i="25" s="1"/>
  <c r="AQ71" i="3"/>
  <c r="AP71" i="3"/>
  <c r="AQ70" i="3"/>
  <c r="AP70" i="3"/>
  <c r="F46" i="25" s="1"/>
  <c r="O46" i="25" s="1"/>
  <c r="AQ69" i="3"/>
  <c r="AP69" i="3"/>
  <c r="AQ68" i="3"/>
  <c r="AP68" i="3"/>
  <c r="F44" i="25" s="1"/>
  <c r="O44" i="25" s="1"/>
  <c r="AQ67" i="3"/>
  <c r="AP67" i="3"/>
  <c r="AQ66" i="3"/>
  <c r="AP66" i="3"/>
  <c r="F42" i="25" s="1"/>
  <c r="O42" i="25" s="1"/>
  <c r="AQ65" i="3"/>
  <c r="AP65" i="3"/>
  <c r="AQ64" i="3"/>
  <c r="AP64" i="3"/>
  <c r="F40" i="25" s="1"/>
  <c r="O40" i="25" s="1"/>
  <c r="AQ63" i="3"/>
  <c r="AP63" i="3"/>
  <c r="AQ62" i="3"/>
  <c r="AP62" i="3"/>
  <c r="F38" i="25" s="1"/>
  <c r="O38" i="25" s="1"/>
  <c r="AQ61" i="3"/>
  <c r="AP61" i="3"/>
  <c r="AQ60" i="3"/>
  <c r="AP60" i="3"/>
  <c r="F36" i="25" s="1"/>
  <c r="O36" i="25" s="1"/>
  <c r="AQ59" i="3"/>
  <c r="AP59" i="3"/>
  <c r="AQ58" i="3"/>
  <c r="AP58" i="3"/>
  <c r="F34" i="25" s="1"/>
  <c r="O34" i="25" s="1"/>
  <c r="AQ57" i="3"/>
  <c r="AP57" i="3"/>
  <c r="AQ56" i="3"/>
  <c r="AP56" i="3"/>
  <c r="F32" i="25" s="1"/>
  <c r="O32" i="25" s="1"/>
  <c r="AQ55" i="3"/>
  <c r="AP55" i="3"/>
  <c r="AQ54" i="3"/>
  <c r="AP54" i="3"/>
  <c r="F30" i="25" s="1"/>
  <c r="O30" i="25" s="1"/>
  <c r="AQ53" i="3"/>
  <c r="AP53" i="3"/>
  <c r="AQ52" i="3"/>
  <c r="AP52" i="3"/>
  <c r="F28" i="25" s="1"/>
  <c r="O28" i="25" s="1"/>
  <c r="AQ51" i="3"/>
  <c r="AP51" i="3"/>
  <c r="AQ50" i="3"/>
  <c r="AP50" i="3"/>
  <c r="F26" i="25" s="1"/>
  <c r="O26" i="25" s="1"/>
  <c r="AQ49" i="3"/>
  <c r="AP49" i="3"/>
  <c r="AQ48" i="3"/>
  <c r="AP48" i="3"/>
  <c r="F24" i="25" s="1"/>
  <c r="O24" i="25" s="1"/>
  <c r="AQ47" i="3"/>
  <c r="AP47" i="3"/>
  <c r="AQ46" i="3"/>
  <c r="AP46" i="3"/>
  <c r="F22" i="25" s="1"/>
  <c r="O22" i="25" s="1"/>
  <c r="AQ45" i="3"/>
  <c r="AP45" i="3"/>
  <c r="AQ44" i="3"/>
  <c r="AP44" i="3"/>
  <c r="F20" i="25" s="1"/>
  <c r="O20" i="25" s="1"/>
  <c r="AQ43" i="3"/>
  <c r="AP43" i="3"/>
  <c r="AQ42" i="3"/>
  <c r="AP42" i="3"/>
  <c r="F18" i="25" s="1"/>
  <c r="O18" i="25" s="1"/>
  <c r="AQ41" i="3"/>
  <c r="AP41" i="3"/>
  <c r="AQ40" i="3"/>
  <c r="AP40" i="3"/>
  <c r="F16" i="25" s="1"/>
  <c r="O16" i="25" s="1"/>
  <c r="AQ39" i="3"/>
  <c r="AP39" i="3"/>
  <c r="AQ38" i="3"/>
  <c r="AP38" i="3"/>
  <c r="F14" i="25" s="1"/>
  <c r="O14" i="25" s="1"/>
  <c r="AQ37" i="3"/>
  <c r="AP37" i="3"/>
  <c r="AQ36" i="3"/>
  <c r="AP36" i="3"/>
  <c r="F12" i="25" s="1"/>
  <c r="O12" i="25" s="1"/>
  <c r="AQ35" i="3"/>
  <c r="AP35" i="3"/>
  <c r="AQ34" i="3"/>
  <c r="AP34" i="3"/>
  <c r="F10" i="25" s="1"/>
  <c r="O10" i="25" s="1"/>
  <c r="AQ33" i="3"/>
  <c r="AP33" i="3"/>
  <c r="AQ32" i="3"/>
  <c r="AP32" i="3"/>
  <c r="F8" i="25" s="1"/>
  <c r="O8" i="25" s="1"/>
  <c r="AQ31" i="3"/>
  <c r="AP31" i="3"/>
  <c r="AQ30" i="3"/>
  <c r="AP30" i="3"/>
  <c r="F6" i="25" s="1"/>
  <c r="O6" i="25" s="1"/>
  <c r="AQ29" i="3"/>
  <c r="AP29" i="3"/>
  <c r="AQ28" i="3"/>
  <c r="AP28" i="3"/>
  <c r="F4" i="25" s="1"/>
  <c r="O4" i="25" s="1"/>
  <c r="AQ27" i="3"/>
  <c r="AP27" i="3"/>
  <c r="AQ26" i="3"/>
  <c r="AP26" i="3"/>
  <c r="F2" i="25" s="1"/>
  <c r="O2" i="25" s="1"/>
  <c r="AQ25" i="3"/>
  <c r="AP25" i="3"/>
  <c r="E25" i="11" s="1"/>
  <c r="L25" i="11" s="1"/>
  <c r="AQ24" i="3"/>
  <c r="AP24" i="3"/>
  <c r="E24" i="11" s="1"/>
  <c r="L24" i="11" s="1"/>
  <c r="AQ23" i="3"/>
  <c r="AP23" i="3"/>
  <c r="E23" i="11" s="1"/>
  <c r="L23" i="11" s="1"/>
  <c r="AQ22" i="3"/>
  <c r="AP22" i="3"/>
  <c r="E22" i="11" s="1"/>
  <c r="L22" i="11" s="1"/>
  <c r="AQ21" i="3"/>
  <c r="AP21" i="3"/>
  <c r="E21" i="11" s="1"/>
  <c r="L21" i="11" s="1"/>
  <c r="AQ20" i="3"/>
  <c r="AP20" i="3"/>
  <c r="E20" i="11" s="1"/>
  <c r="L20" i="11" s="1"/>
  <c r="AQ19" i="3"/>
  <c r="AP19" i="3"/>
  <c r="E19" i="11" s="1"/>
  <c r="L19" i="11" s="1"/>
  <c r="AQ18" i="3"/>
  <c r="AP18" i="3"/>
  <c r="E18" i="11" s="1"/>
  <c r="L18" i="11" s="1"/>
  <c r="AQ17" i="3"/>
  <c r="AP17" i="3"/>
  <c r="E17" i="11" s="1"/>
  <c r="L17" i="11" s="1"/>
  <c r="AQ16" i="3"/>
  <c r="AP16" i="3"/>
  <c r="E16" i="11" s="1"/>
  <c r="L16" i="11" s="1"/>
  <c r="AQ15" i="3"/>
  <c r="AP15" i="3"/>
  <c r="E15" i="11" s="1"/>
  <c r="L15" i="11" s="1"/>
  <c r="AQ14" i="3"/>
  <c r="AP14" i="3"/>
  <c r="E14" i="11" s="1"/>
  <c r="L14" i="11" s="1"/>
  <c r="AQ13" i="3"/>
  <c r="AP13" i="3"/>
  <c r="E13" i="11" s="1"/>
  <c r="L13" i="11" s="1"/>
  <c r="AQ12" i="3"/>
  <c r="AP12" i="3"/>
  <c r="E12" i="11" s="1"/>
  <c r="L12" i="11" s="1"/>
  <c r="AQ11" i="3"/>
  <c r="AP11" i="3"/>
  <c r="E11" i="11" s="1"/>
  <c r="L11" i="11" s="1"/>
  <c r="AQ10" i="3"/>
  <c r="AP10" i="3"/>
  <c r="E10" i="11" s="1"/>
  <c r="L10" i="11" s="1"/>
  <c r="AQ9" i="3"/>
  <c r="AP9" i="3"/>
  <c r="E9" i="11" s="1"/>
  <c r="L9" i="11" s="1"/>
  <c r="AQ8" i="3"/>
  <c r="AP8" i="3"/>
  <c r="E8" i="11" s="1"/>
  <c r="L8" i="11" s="1"/>
  <c r="AQ7" i="3"/>
  <c r="AP7" i="3"/>
  <c r="E7" i="11" s="1"/>
  <c r="L7" i="11" s="1"/>
  <c r="AQ6" i="3"/>
  <c r="AP6" i="3"/>
  <c r="E6" i="11" s="1"/>
  <c r="L6" i="11" s="1"/>
  <c r="AQ5" i="3"/>
  <c r="AP5" i="3"/>
  <c r="E5" i="11" s="1"/>
  <c r="L5" i="11" s="1"/>
  <c r="AQ4" i="3"/>
  <c r="AP4" i="3"/>
  <c r="E4" i="11" s="1"/>
  <c r="L4" i="11" s="1"/>
  <c r="E3" i="11"/>
  <c r="L3" i="11" s="1"/>
  <c r="E2" i="11"/>
  <c r="L2" i="11" s="1"/>
  <c r="AH5" i="19"/>
  <c r="AH6" i="19" s="1"/>
  <c r="AD5" i="19"/>
  <c r="AD6" i="19" s="1"/>
  <c r="Z5" i="19"/>
  <c r="Z6" i="19" s="1"/>
  <c r="V5" i="19"/>
  <c r="V6" i="19" s="1"/>
  <c r="R5" i="19"/>
  <c r="R6" i="19" s="1"/>
  <c r="N5" i="19"/>
  <c r="N6" i="19" s="1"/>
  <c r="J5" i="19"/>
  <c r="J6" i="19" s="1"/>
  <c r="F5" i="19"/>
  <c r="F6" i="19" s="1"/>
  <c r="B121" i="3"/>
  <c r="B120" i="3"/>
  <c r="B119" i="3"/>
  <c r="B118" i="3"/>
  <c r="B117" i="3"/>
  <c r="B5" i="19"/>
  <c r="B6" i="20"/>
  <c r="K5" i="20"/>
  <c r="L49" i="16" l="1"/>
  <c r="X25" i="16"/>
  <c r="U32" i="16"/>
  <c r="U20" i="16"/>
  <c r="AC11" i="21"/>
  <c r="X11" i="21"/>
  <c r="F3" i="25"/>
  <c r="O3" i="25" s="1"/>
  <c r="E27" i="11"/>
  <c r="L27" i="11" s="1"/>
  <c r="F5" i="25"/>
  <c r="O5" i="25" s="1"/>
  <c r="E29" i="11"/>
  <c r="L29" i="11" s="1"/>
  <c r="F7" i="25"/>
  <c r="O7" i="25" s="1"/>
  <c r="E31" i="11"/>
  <c r="L31" i="11" s="1"/>
  <c r="F9" i="25"/>
  <c r="O9" i="25" s="1"/>
  <c r="E33" i="11"/>
  <c r="L33" i="11" s="1"/>
  <c r="F11" i="25"/>
  <c r="O11" i="25" s="1"/>
  <c r="E35" i="11"/>
  <c r="L35" i="11" s="1"/>
  <c r="F13" i="25"/>
  <c r="O13" i="25" s="1"/>
  <c r="E37" i="11"/>
  <c r="L37" i="11" s="1"/>
  <c r="F15" i="25"/>
  <c r="O15" i="25" s="1"/>
  <c r="E39" i="11"/>
  <c r="L39" i="11" s="1"/>
  <c r="F17" i="25"/>
  <c r="O17" i="25" s="1"/>
  <c r="E41" i="11"/>
  <c r="L41" i="11" s="1"/>
  <c r="F19" i="25"/>
  <c r="O19" i="25" s="1"/>
  <c r="E43" i="11"/>
  <c r="L43" i="11" s="1"/>
  <c r="F21" i="25"/>
  <c r="O21" i="25" s="1"/>
  <c r="E45" i="11"/>
  <c r="L45" i="11" s="1"/>
  <c r="F23" i="25"/>
  <c r="O23" i="25" s="1"/>
  <c r="E47" i="11"/>
  <c r="L47" i="11" s="1"/>
  <c r="F25" i="25"/>
  <c r="O25" i="25" s="1"/>
  <c r="E49" i="11"/>
  <c r="L49" i="11" s="1"/>
  <c r="F27" i="25"/>
  <c r="O27" i="25" s="1"/>
  <c r="E51" i="11"/>
  <c r="L51" i="11" s="1"/>
  <c r="F29" i="25"/>
  <c r="O29" i="25" s="1"/>
  <c r="E53" i="11"/>
  <c r="L53" i="11" s="1"/>
  <c r="F31" i="25"/>
  <c r="O31" i="25" s="1"/>
  <c r="E55" i="11"/>
  <c r="L55" i="11" s="1"/>
  <c r="F33" i="25"/>
  <c r="O33" i="25" s="1"/>
  <c r="E57" i="11"/>
  <c r="L57" i="11" s="1"/>
  <c r="F35" i="25"/>
  <c r="O35" i="25" s="1"/>
  <c r="E59" i="11"/>
  <c r="L59" i="11" s="1"/>
  <c r="F37" i="25"/>
  <c r="O37" i="25" s="1"/>
  <c r="E61" i="11"/>
  <c r="L61" i="11" s="1"/>
  <c r="F39" i="25"/>
  <c r="O39" i="25" s="1"/>
  <c r="E63" i="11"/>
  <c r="L63" i="11" s="1"/>
  <c r="F41" i="25"/>
  <c r="O41" i="25" s="1"/>
  <c r="E65" i="11"/>
  <c r="L65" i="11" s="1"/>
  <c r="F43" i="25"/>
  <c r="O43" i="25" s="1"/>
  <c r="E67" i="11"/>
  <c r="L67" i="11" s="1"/>
  <c r="F45" i="25"/>
  <c r="O45" i="25" s="1"/>
  <c r="E69" i="11"/>
  <c r="L69" i="11" s="1"/>
  <c r="F47" i="25"/>
  <c r="O47" i="25" s="1"/>
  <c r="E71" i="11"/>
  <c r="L71" i="11" s="1"/>
  <c r="F49" i="25"/>
  <c r="O49" i="25" s="1"/>
  <c r="E73" i="11"/>
  <c r="L73" i="11" s="1"/>
  <c r="F51" i="25"/>
  <c r="O51" i="25" s="1"/>
  <c r="E75" i="11"/>
  <c r="L75" i="11" s="1"/>
  <c r="F53" i="25"/>
  <c r="O53" i="25" s="1"/>
  <c r="E77" i="11"/>
  <c r="L77" i="11" s="1"/>
  <c r="F55" i="25"/>
  <c r="O55" i="25" s="1"/>
  <c r="E79" i="11"/>
  <c r="L79" i="11" s="1"/>
  <c r="F57" i="25"/>
  <c r="O57" i="25" s="1"/>
  <c r="E81" i="11"/>
  <c r="L81" i="11" s="1"/>
  <c r="F59" i="25"/>
  <c r="O59" i="25" s="1"/>
  <c r="E83" i="11"/>
  <c r="L83" i="11" s="1"/>
  <c r="F61" i="25"/>
  <c r="O61" i="25" s="1"/>
  <c r="E85" i="11"/>
  <c r="L85" i="11" s="1"/>
  <c r="F63" i="25"/>
  <c r="O63" i="25" s="1"/>
  <c r="E87" i="11"/>
  <c r="L87" i="11" s="1"/>
  <c r="F65" i="25"/>
  <c r="O65" i="25" s="1"/>
  <c r="E89" i="11"/>
  <c r="L89" i="11" s="1"/>
  <c r="F67" i="25"/>
  <c r="O67" i="25" s="1"/>
  <c r="E91" i="11"/>
  <c r="L91" i="11" s="1"/>
  <c r="F69" i="25"/>
  <c r="O69" i="25" s="1"/>
  <c r="E93" i="11"/>
  <c r="L93" i="11" s="1"/>
  <c r="F71" i="25"/>
  <c r="O71" i="25" s="1"/>
  <c r="E95" i="11"/>
  <c r="L95" i="11" s="1"/>
  <c r="F73" i="25"/>
  <c r="O73" i="25" s="1"/>
  <c r="E97" i="11"/>
  <c r="L97" i="11" s="1"/>
  <c r="F75" i="25"/>
  <c r="O75" i="25" s="1"/>
  <c r="E99" i="11"/>
  <c r="L99" i="11" s="1"/>
  <c r="F77" i="25"/>
  <c r="O77" i="25" s="1"/>
  <c r="E101" i="11"/>
  <c r="L101" i="11" s="1"/>
  <c r="F79" i="25"/>
  <c r="O79" i="25" s="1"/>
  <c r="E103" i="11"/>
  <c r="L103" i="11" s="1"/>
  <c r="F81" i="25"/>
  <c r="O81" i="25" s="1"/>
  <c r="E105" i="11"/>
  <c r="L105" i="11" s="1"/>
  <c r="F83" i="25"/>
  <c r="O83" i="25" s="1"/>
  <c r="E107" i="11"/>
  <c r="L107" i="11" s="1"/>
  <c r="F85" i="25"/>
  <c r="O85" i="25" s="1"/>
  <c r="E109" i="11"/>
  <c r="L109" i="11" s="1"/>
  <c r="F87" i="25"/>
  <c r="O87" i="25" s="1"/>
  <c r="E111" i="11"/>
  <c r="L111" i="11" s="1"/>
  <c r="F89" i="25"/>
  <c r="O89" i="25" s="1"/>
  <c r="E113" i="11"/>
  <c r="L113" i="11" s="1"/>
  <c r="F91" i="25"/>
  <c r="O91" i="25" s="1"/>
  <c r="E115" i="11"/>
  <c r="L115" i="11" s="1"/>
  <c r="F93" i="25"/>
  <c r="O93" i="25" s="1"/>
  <c r="E117" i="11"/>
  <c r="L117" i="11" s="1"/>
  <c r="F95" i="25"/>
  <c r="O95" i="25" s="1"/>
  <c r="E119" i="11"/>
  <c r="L119" i="11" s="1"/>
  <c r="F97" i="25"/>
  <c r="O97" i="25" s="1"/>
  <c r="E121" i="11"/>
  <c r="L121" i="11" s="1"/>
  <c r="L36" i="16"/>
  <c r="X24" i="16"/>
  <c r="J32" i="16"/>
  <c r="V20" i="16"/>
  <c r="G3" i="9"/>
  <c r="S3" i="9" s="1"/>
  <c r="G3" i="16"/>
  <c r="S3" i="16" s="1"/>
  <c r="G5" i="9"/>
  <c r="S5" i="9" s="1"/>
  <c r="G5" i="16"/>
  <c r="S5" i="16" s="1"/>
  <c r="G7" i="9"/>
  <c r="S7" i="9" s="1"/>
  <c r="G7" i="16"/>
  <c r="S7" i="16" s="1"/>
  <c r="G9" i="9"/>
  <c r="S9" i="9" s="1"/>
  <c r="G9" i="16"/>
  <c r="S9" i="16" s="1"/>
  <c r="G11" i="9"/>
  <c r="S11" i="9" s="1"/>
  <c r="G11" i="16"/>
  <c r="S11" i="16" s="1"/>
  <c r="G13" i="9"/>
  <c r="S13" i="9" s="1"/>
  <c r="G13" i="16"/>
  <c r="S13" i="16" s="1"/>
  <c r="G15" i="9"/>
  <c r="S15" i="9" s="1"/>
  <c r="G15" i="16"/>
  <c r="S15" i="16" s="1"/>
  <c r="G17" i="9"/>
  <c r="S17" i="9" s="1"/>
  <c r="G17" i="16"/>
  <c r="S17" i="16" s="1"/>
  <c r="G19" i="9"/>
  <c r="S19" i="9" s="1"/>
  <c r="G19" i="16"/>
  <c r="S19" i="16" s="1"/>
  <c r="G21" i="9"/>
  <c r="S21" i="9" s="1"/>
  <c r="G21" i="16"/>
  <c r="S21" i="16" s="1"/>
  <c r="G23" i="9"/>
  <c r="S23" i="9" s="1"/>
  <c r="G23" i="16"/>
  <c r="S23" i="16" s="1"/>
  <c r="G25" i="9"/>
  <c r="S25" i="9" s="1"/>
  <c r="G25" i="16"/>
  <c r="S25" i="16" s="1"/>
  <c r="G27" i="9"/>
  <c r="S27" i="9" s="1"/>
  <c r="G27" i="16"/>
  <c r="S27" i="16" s="1"/>
  <c r="G29" i="9"/>
  <c r="S29" i="9" s="1"/>
  <c r="G29" i="16"/>
  <c r="S29" i="16" s="1"/>
  <c r="G31" i="9"/>
  <c r="S31" i="9" s="1"/>
  <c r="G31" i="16"/>
  <c r="S31" i="16" s="1"/>
  <c r="G33" i="9"/>
  <c r="S33" i="9" s="1"/>
  <c r="G33" i="16"/>
  <c r="S33" i="16" s="1"/>
  <c r="G35" i="9"/>
  <c r="S35" i="9" s="1"/>
  <c r="G35" i="16"/>
  <c r="S35" i="16" s="1"/>
  <c r="G37" i="9"/>
  <c r="S37" i="9" s="1"/>
  <c r="G37" i="16"/>
  <c r="S37" i="16" s="1"/>
  <c r="G39" i="9"/>
  <c r="S39" i="9" s="1"/>
  <c r="G39" i="16"/>
  <c r="S39" i="16" s="1"/>
  <c r="G41" i="9"/>
  <c r="S41" i="9" s="1"/>
  <c r="G41" i="16"/>
  <c r="S41" i="16" s="1"/>
  <c r="G43" i="9"/>
  <c r="S43" i="9" s="1"/>
  <c r="G43" i="16"/>
  <c r="S43" i="16" s="1"/>
  <c r="G45" i="9"/>
  <c r="S45" i="9" s="1"/>
  <c r="G45" i="16"/>
  <c r="S45" i="16" s="1"/>
  <c r="G47" i="9"/>
  <c r="S47" i="9" s="1"/>
  <c r="G47" i="16"/>
  <c r="S47" i="16" s="1"/>
  <c r="G49" i="9"/>
  <c r="S49" i="9" s="1"/>
  <c r="G49" i="16"/>
  <c r="S49" i="16" s="1"/>
  <c r="G51" i="9"/>
  <c r="S51" i="9" s="1"/>
  <c r="G51" i="16"/>
  <c r="S51" i="16" s="1"/>
  <c r="G53" i="9"/>
  <c r="S53" i="9" s="1"/>
  <c r="G53" i="16"/>
  <c r="S53" i="16" s="1"/>
  <c r="G55" i="9"/>
  <c r="S55" i="9" s="1"/>
  <c r="G55" i="16"/>
  <c r="S55" i="16" s="1"/>
  <c r="G57" i="9"/>
  <c r="S57" i="9" s="1"/>
  <c r="G57" i="16"/>
  <c r="S57" i="16" s="1"/>
  <c r="G59" i="9"/>
  <c r="S59" i="9" s="1"/>
  <c r="G59" i="16"/>
  <c r="S59" i="16" s="1"/>
  <c r="G61" i="9"/>
  <c r="S61" i="9" s="1"/>
  <c r="G61" i="16"/>
  <c r="S61" i="16" s="1"/>
  <c r="G63" i="9"/>
  <c r="S63" i="9" s="1"/>
  <c r="G63" i="16"/>
  <c r="S63" i="16" s="1"/>
  <c r="G65" i="9"/>
  <c r="S65" i="9" s="1"/>
  <c r="G65" i="16"/>
  <c r="S65" i="16" s="1"/>
  <c r="G67" i="9"/>
  <c r="S67" i="9" s="1"/>
  <c r="G67" i="16"/>
  <c r="S67" i="16" s="1"/>
  <c r="G69" i="9"/>
  <c r="S69" i="9" s="1"/>
  <c r="G69" i="16"/>
  <c r="S69" i="16" s="1"/>
  <c r="G71" i="9"/>
  <c r="S71" i="9" s="1"/>
  <c r="G71" i="16"/>
  <c r="S71" i="16" s="1"/>
  <c r="G73" i="9"/>
  <c r="S73" i="9" s="1"/>
  <c r="G73" i="16"/>
  <c r="S73" i="16" s="1"/>
  <c r="G75" i="9"/>
  <c r="S75" i="9" s="1"/>
  <c r="G75" i="16"/>
  <c r="S75" i="16" s="1"/>
  <c r="G77" i="9"/>
  <c r="S77" i="9" s="1"/>
  <c r="G77" i="16"/>
  <c r="S77" i="16" s="1"/>
  <c r="G79" i="9"/>
  <c r="S79" i="9" s="1"/>
  <c r="G79" i="16"/>
  <c r="S79" i="16" s="1"/>
  <c r="G81" i="9"/>
  <c r="S81" i="9" s="1"/>
  <c r="G81" i="16"/>
  <c r="S81" i="16" s="1"/>
  <c r="G83" i="9"/>
  <c r="S83" i="9" s="1"/>
  <c r="G83" i="16"/>
  <c r="S83" i="16" s="1"/>
  <c r="G85" i="9"/>
  <c r="S85" i="9" s="1"/>
  <c r="G85" i="16"/>
  <c r="S85" i="16" s="1"/>
  <c r="G87" i="9"/>
  <c r="S87" i="9" s="1"/>
  <c r="G87" i="16"/>
  <c r="S87" i="16" s="1"/>
  <c r="G89" i="9"/>
  <c r="S89" i="9" s="1"/>
  <c r="G89" i="16"/>
  <c r="S89" i="16" s="1"/>
  <c r="G91" i="9"/>
  <c r="S91" i="9" s="1"/>
  <c r="G91" i="16"/>
  <c r="S91" i="16" s="1"/>
  <c r="G93" i="9"/>
  <c r="S93" i="9" s="1"/>
  <c r="G93" i="16"/>
  <c r="S93" i="16" s="1"/>
  <c r="G95" i="9"/>
  <c r="S95" i="9" s="1"/>
  <c r="G95" i="16"/>
  <c r="S95" i="16" s="1"/>
  <c r="G97" i="9"/>
  <c r="S97" i="9" s="1"/>
  <c r="G97" i="16"/>
  <c r="S97" i="16" s="1"/>
  <c r="G99" i="9"/>
  <c r="S99" i="9" s="1"/>
  <c r="G99" i="16"/>
  <c r="S99" i="16" s="1"/>
  <c r="G101" i="9"/>
  <c r="S101" i="9" s="1"/>
  <c r="G101" i="16"/>
  <c r="S101" i="16" s="1"/>
  <c r="G103" i="9"/>
  <c r="S103" i="9" s="1"/>
  <c r="G103" i="16"/>
  <c r="S103" i="16" s="1"/>
  <c r="G105" i="9"/>
  <c r="S105" i="9" s="1"/>
  <c r="G105" i="16"/>
  <c r="S105" i="16" s="1"/>
  <c r="G107" i="9"/>
  <c r="S107" i="9" s="1"/>
  <c r="G107" i="16"/>
  <c r="S107" i="16" s="1"/>
  <c r="G109" i="9"/>
  <c r="S109" i="9" s="1"/>
  <c r="G109" i="16"/>
  <c r="S109" i="16" s="1"/>
  <c r="G111" i="9"/>
  <c r="S111" i="9" s="1"/>
  <c r="G111" i="16"/>
  <c r="G113" i="9"/>
  <c r="S113" i="9" s="1"/>
  <c r="G113" i="16"/>
  <c r="G115" i="9"/>
  <c r="S115" i="9" s="1"/>
  <c r="G115" i="16"/>
  <c r="G117" i="9"/>
  <c r="S117" i="9" s="1"/>
  <c r="G117" i="16"/>
  <c r="G119" i="9"/>
  <c r="S119" i="9" s="1"/>
  <c r="G119" i="16"/>
  <c r="G121" i="9"/>
  <c r="S121" i="9" s="1"/>
  <c r="G121" i="16"/>
  <c r="E26" i="11"/>
  <c r="L26" i="11" s="1"/>
  <c r="E28" i="11"/>
  <c r="L28" i="11" s="1"/>
  <c r="E30" i="11"/>
  <c r="L30" i="11" s="1"/>
  <c r="E32" i="11"/>
  <c r="L32" i="11" s="1"/>
  <c r="E34" i="11"/>
  <c r="L34" i="11" s="1"/>
  <c r="E36" i="11"/>
  <c r="L36" i="11" s="1"/>
  <c r="E38" i="11"/>
  <c r="L38" i="11" s="1"/>
  <c r="E40" i="11"/>
  <c r="L40" i="11" s="1"/>
  <c r="E42" i="11"/>
  <c r="L42" i="11" s="1"/>
  <c r="E44" i="11"/>
  <c r="L44" i="11" s="1"/>
  <c r="E46" i="11"/>
  <c r="L46" i="11" s="1"/>
  <c r="E48" i="11"/>
  <c r="L48" i="11" s="1"/>
  <c r="E50" i="11"/>
  <c r="L50" i="11" s="1"/>
  <c r="E52" i="11"/>
  <c r="L52" i="11" s="1"/>
  <c r="E54" i="11"/>
  <c r="L54" i="11" s="1"/>
  <c r="E56" i="11"/>
  <c r="L56" i="11" s="1"/>
  <c r="E58" i="11"/>
  <c r="L58" i="11" s="1"/>
  <c r="E60" i="11"/>
  <c r="L60" i="11" s="1"/>
  <c r="E62" i="11"/>
  <c r="L62" i="11" s="1"/>
  <c r="E64" i="11"/>
  <c r="L64" i="11" s="1"/>
  <c r="E66" i="11"/>
  <c r="L66" i="11" s="1"/>
  <c r="E68" i="11"/>
  <c r="L68" i="11" s="1"/>
  <c r="E70" i="11"/>
  <c r="L70" i="11" s="1"/>
  <c r="E72" i="11"/>
  <c r="L72" i="11" s="1"/>
  <c r="E74" i="11"/>
  <c r="L74" i="11" s="1"/>
  <c r="E76" i="11"/>
  <c r="L76" i="11" s="1"/>
  <c r="E78" i="11"/>
  <c r="L78" i="11" s="1"/>
  <c r="E80" i="11"/>
  <c r="L80" i="11" s="1"/>
  <c r="E82" i="11"/>
  <c r="L82" i="11" s="1"/>
  <c r="E84" i="11"/>
  <c r="L84" i="11" s="1"/>
  <c r="E86" i="11"/>
  <c r="L86" i="11" s="1"/>
  <c r="E88" i="11"/>
  <c r="L88" i="11" s="1"/>
  <c r="E90" i="11"/>
  <c r="L90" i="11" s="1"/>
  <c r="E92" i="11"/>
  <c r="L92" i="11" s="1"/>
  <c r="E94" i="11"/>
  <c r="L94" i="11" s="1"/>
  <c r="E96" i="11"/>
  <c r="L96" i="11" s="1"/>
  <c r="E98" i="11"/>
  <c r="L98" i="11" s="1"/>
  <c r="E100" i="11"/>
  <c r="L100" i="11" s="1"/>
  <c r="E102" i="11"/>
  <c r="L102" i="11" s="1"/>
  <c r="E104" i="11"/>
  <c r="L104" i="11" s="1"/>
  <c r="E106" i="11"/>
  <c r="L106" i="11" s="1"/>
  <c r="E108" i="11"/>
  <c r="L108" i="11" s="1"/>
  <c r="E110" i="11"/>
  <c r="L110" i="11" s="1"/>
  <c r="E112" i="11"/>
  <c r="L112" i="11" s="1"/>
  <c r="E114" i="11"/>
  <c r="L114" i="11" s="1"/>
  <c r="E116" i="11"/>
  <c r="L116" i="11" s="1"/>
  <c r="E118" i="11"/>
  <c r="L118" i="11" s="1"/>
  <c r="E120" i="11"/>
  <c r="L120" i="11" s="1"/>
  <c r="I34" i="16"/>
  <c r="U22" i="16"/>
  <c r="M60" i="16"/>
  <c r="Y48" i="16"/>
  <c r="K32" i="16"/>
  <c r="W20" i="16"/>
  <c r="L30" i="16"/>
  <c r="X18" i="16"/>
  <c r="I29" i="16"/>
  <c r="U17" i="16"/>
  <c r="J63" i="16"/>
  <c r="V51" i="16"/>
  <c r="G2" i="9"/>
  <c r="S2" i="9" s="1"/>
  <c r="G2" i="16"/>
  <c r="G4" i="9"/>
  <c r="S4" i="9" s="1"/>
  <c r="G4" i="16"/>
  <c r="S4" i="16" s="1"/>
  <c r="G6" i="9"/>
  <c r="S6" i="9" s="1"/>
  <c r="G6" i="16"/>
  <c r="S6" i="16" s="1"/>
  <c r="G8" i="9"/>
  <c r="S8" i="9" s="1"/>
  <c r="G8" i="16"/>
  <c r="S8" i="16" s="1"/>
  <c r="G10" i="9"/>
  <c r="S10" i="9" s="1"/>
  <c r="G10" i="16"/>
  <c r="S10" i="16" s="1"/>
  <c r="G12" i="9"/>
  <c r="S12" i="9" s="1"/>
  <c r="G12" i="16"/>
  <c r="S12" i="16" s="1"/>
  <c r="G14" i="9"/>
  <c r="S14" i="9" s="1"/>
  <c r="G14" i="16"/>
  <c r="S14" i="16" s="1"/>
  <c r="G16" i="9"/>
  <c r="S16" i="9" s="1"/>
  <c r="G16" i="16"/>
  <c r="S16" i="16" s="1"/>
  <c r="G18" i="9"/>
  <c r="S18" i="9" s="1"/>
  <c r="G18" i="16"/>
  <c r="S18" i="16" s="1"/>
  <c r="G20" i="9"/>
  <c r="S20" i="9" s="1"/>
  <c r="G20" i="16"/>
  <c r="S20" i="16" s="1"/>
  <c r="G22" i="9"/>
  <c r="S22" i="9" s="1"/>
  <c r="G22" i="16"/>
  <c r="S22" i="16" s="1"/>
  <c r="G24" i="9"/>
  <c r="S24" i="9" s="1"/>
  <c r="G24" i="16"/>
  <c r="S24" i="16" s="1"/>
  <c r="G26" i="9"/>
  <c r="S26" i="9" s="1"/>
  <c r="G26" i="16"/>
  <c r="S26" i="16" s="1"/>
  <c r="G28" i="9"/>
  <c r="S28" i="9" s="1"/>
  <c r="G28" i="16"/>
  <c r="S28" i="16" s="1"/>
  <c r="G30" i="9"/>
  <c r="S30" i="9" s="1"/>
  <c r="G30" i="16"/>
  <c r="S30" i="16" s="1"/>
  <c r="G32" i="9"/>
  <c r="S32" i="9" s="1"/>
  <c r="G32" i="16"/>
  <c r="S32" i="16" s="1"/>
  <c r="G34" i="9"/>
  <c r="S34" i="9" s="1"/>
  <c r="G34" i="16"/>
  <c r="S34" i="16" s="1"/>
  <c r="G36" i="9"/>
  <c r="S36" i="9" s="1"/>
  <c r="G36" i="16"/>
  <c r="S36" i="16" s="1"/>
  <c r="G38" i="9"/>
  <c r="S38" i="9" s="1"/>
  <c r="G38" i="16"/>
  <c r="S38" i="16" s="1"/>
  <c r="G40" i="9"/>
  <c r="S40" i="9" s="1"/>
  <c r="G40" i="16"/>
  <c r="S40" i="16" s="1"/>
  <c r="G42" i="9"/>
  <c r="S42" i="9" s="1"/>
  <c r="G42" i="16"/>
  <c r="S42" i="16" s="1"/>
  <c r="G44" i="9"/>
  <c r="S44" i="9" s="1"/>
  <c r="G44" i="16"/>
  <c r="S44" i="16" s="1"/>
  <c r="G46" i="9"/>
  <c r="S46" i="9" s="1"/>
  <c r="G46" i="16"/>
  <c r="S46" i="16" s="1"/>
  <c r="G48" i="9"/>
  <c r="S48" i="9" s="1"/>
  <c r="G48" i="16"/>
  <c r="S48" i="16" s="1"/>
  <c r="G50" i="9"/>
  <c r="S50" i="9" s="1"/>
  <c r="G50" i="16"/>
  <c r="S50" i="16" s="1"/>
  <c r="G52" i="9"/>
  <c r="S52" i="9" s="1"/>
  <c r="G52" i="16"/>
  <c r="S52" i="16" s="1"/>
  <c r="G54" i="9"/>
  <c r="S54" i="9" s="1"/>
  <c r="G54" i="16"/>
  <c r="S54" i="16" s="1"/>
  <c r="G56" i="9"/>
  <c r="S56" i="9" s="1"/>
  <c r="G56" i="16"/>
  <c r="S56" i="16" s="1"/>
  <c r="G58" i="9"/>
  <c r="S58" i="9" s="1"/>
  <c r="G58" i="16"/>
  <c r="S58" i="16" s="1"/>
  <c r="G60" i="9"/>
  <c r="S60" i="9" s="1"/>
  <c r="G60" i="16"/>
  <c r="S60" i="16" s="1"/>
  <c r="G62" i="9"/>
  <c r="S62" i="9" s="1"/>
  <c r="G62" i="16"/>
  <c r="S62" i="16" s="1"/>
  <c r="G64" i="9"/>
  <c r="S64" i="9" s="1"/>
  <c r="G64" i="16"/>
  <c r="S64" i="16" s="1"/>
  <c r="G66" i="9"/>
  <c r="S66" i="9" s="1"/>
  <c r="G66" i="16"/>
  <c r="S66" i="16" s="1"/>
  <c r="G68" i="9"/>
  <c r="S68" i="9" s="1"/>
  <c r="G68" i="16"/>
  <c r="S68" i="16" s="1"/>
  <c r="G70" i="9"/>
  <c r="S70" i="9" s="1"/>
  <c r="G70" i="16"/>
  <c r="S70" i="16" s="1"/>
  <c r="G72" i="9"/>
  <c r="S72" i="9" s="1"/>
  <c r="G72" i="16"/>
  <c r="S72" i="16" s="1"/>
  <c r="G74" i="9"/>
  <c r="S74" i="9" s="1"/>
  <c r="G74" i="16"/>
  <c r="S74" i="16" s="1"/>
  <c r="G76" i="9"/>
  <c r="S76" i="9" s="1"/>
  <c r="G76" i="16"/>
  <c r="S76" i="16" s="1"/>
  <c r="G78" i="9"/>
  <c r="S78" i="9" s="1"/>
  <c r="G78" i="16"/>
  <c r="S78" i="16" s="1"/>
  <c r="G80" i="9"/>
  <c r="S80" i="9" s="1"/>
  <c r="G80" i="16"/>
  <c r="S80" i="16" s="1"/>
  <c r="G82" i="9"/>
  <c r="S82" i="9" s="1"/>
  <c r="G82" i="16"/>
  <c r="S82" i="16" s="1"/>
  <c r="G84" i="9"/>
  <c r="S84" i="9" s="1"/>
  <c r="G84" i="16"/>
  <c r="S84" i="16" s="1"/>
  <c r="G86" i="9"/>
  <c r="S86" i="9" s="1"/>
  <c r="G86" i="16"/>
  <c r="S86" i="16" s="1"/>
  <c r="G88" i="9"/>
  <c r="S88" i="9" s="1"/>
  <c r="G88" i="16"/>
  <c r="S88" i="16" s="1"/>
  <c r="G90" i="9"/>
  <c r="S90" i="9" s="1"/>
  <c r="G90" i="16"/>
  <c r="S90" i="16" s="1"/>
  <c r="G92" i="9"/>
  <c r="S92" i="9" s="1"/>
  <c r="G92" i="16"/>
  <c r="S92" i="16" s="1"/>
  <c r="G94" i="9"/>
  <c r="S94" i="9" s="1"/>
  <c r="G94" i="16"/>
  <c r="S94" i="16" s="1"/>
  <c r="G96" i="9"/>
  <c r="S96" i="9" s="1"/>
  <c r="G96" i="16"/>
  <c r="S96" i="16" s="1"/>
  <c r="G98" i="9"/>
  <c r="S98" i="9" s="1"/>
  <c r="G98" i="16"/>
  <c r="S98" i="16" s="1"/>
  <c r="G100" i="9"/>
  <c r="S100" i="9" s="1"/>
  <c r="G100" i="16"/>
  <c r="S100" i="16" s="1"/>
  <c r="G102" i="9"/>
  <c r="S102" i="9" s="1"/>
  <c r="G102" i="16"/>
  <c r="S102" i="16" s="1"/>
  <c r="G104" i="9"/>
  <c r="S104" i="9" s="1"/>
  <c r="G104" i="16"/>
  <c r="S104" i="16" s="1"/>
  <c r="G106" i="9"/>
  <c r="S106" i="9" s="1"/>
  <c r="G106" i="16"/>
  <c r="S106" i="16" s="1"/>
  <c r="G108" i="9"/>
  <c r="S108" i="9" s="1"/>
  <c r="G108" i="16"/>
  <c r="S108" i="16" s="1"/>
  <c r="G110" i="9"/>
  <c r="S110" i="9" s="1"/>
  <c r="G110" i="16"/>
  <c r="G112" i="9"/>
  <c r="S112" i="9" s="1"/>
  <c r="G112" i="16"/>
  <c r="G114" i="9"/>
  <c r="S114" i="9" s="1"/>
  <c r="G114" i="16"/>
  <c r="G116" i="9"/>
  <c r="S116" i="9" s="1"/>
  <c r="G116" i="16"/>
  <c r="G118" i="9"/>
  <c r="S118" i="9" s="1"/>
  <c r="G118" i="16"/>
  <c r="G120" i="9"/>
  <c r="S120" i="9" s="1"/>
  <c r="G120" i="16"/>
  <c r="M119" i="16"/>
  <c r="Y107" i="16"/>
  <c r="J118" i="16"/>
  <c r="V106" i="16"/>
  <c r="L116" i="16"/>
  <c r="X104" i="16"/>
  <c r="I115" i="16"/>
  <c r="U103" i="16"/>
  <c r="K113" i="16"/>
  <c r="W101" i="16"/>
  <c r="M61" i="16"/>
  <c r="Y49" i="16"/>
  <c r="K35" i="16"/>
  <c r="W23" i="16"/>
  <c r="L69" i="16"/>
  <c r="X57" i="16"/>
  <c r="I30" i="16"/>
  <c r="U18" i="16"/>
  <c r="J28" i="16"/>
  <c r="V16" i="16"/>
  <c r="M26" i="16"/>
  <c r="Y14" i="16"/>
  <c r="J26" i="16"/>
  <c r="V14" i="16"/>
  <c r="L35" i="16"/>
  <c r="X23" i="16"/>
  <c r="M33" i="16"/>
  <c r="Y21" i="16"/>
  <c r="M68" i="16"/>
  <c r="Y56" i="16"/>
  <c r="K28" i="16"/>
  <c r="W16" i="16"/>
  <c r="J35" i="16"/>
  <c r="V23" i="16"/>
  <c r="I56" i="16"/>
  <c r="U44" i="16"/>
  <c r="K30" i="16"/>
  <c r="W18" i="16"/>
  <c r="I27" i="16"/>
  <c r="U15" i="16"/>
  <c r="K26" i="16"/>
  <c r="W14" i="16"/>
  <c r="K121" i="16"/>
  <c r="W109" i="16"/>
  <c r="J133" i="16"/>
  <c r="V121" i="16"/>
  <c r="K132" i="16"/>
  <c r="W120" i="16"/>
  <c r="I119" i="16"/>
  <c r="U107" i="16"/>
  <c r="K117" i="16"/>
  <c r="W105" i="16"/>
  <c r="M115" i="16"/>
  <c r="Y103" i="16"/>
  <c r="J114" i="16"/>
  <c r="V102" i="16"/>
  <c r="I61" i="16"/>
  <c r="U49" i="16"/>
  <c r="J36" i="16"/>
  <c r="V24" i="16"/>
  <c r="K70" i="16"/>
  <c r="W58" i="16"/>
  <c r="M30" i="16"/>
  <c r="Y18" i="16"/>
  <c r="J29" i="16"/>
  <c r="V17" i="16"/>
  <c r="K27" i="16"/>
  <c r="W15" i="16"/>
  <c r="I26" i="16"/>
  <c r="U14" i="16"/>
  <c r="I60" i="16"/>
  <c r="U48" i="16"/>
  <c r="L31" i="16"/>
  <c r="X19" i="16"/>
  <c r="M29" i="16"/>
  <c r="Y17" i="16"/>
  <c r="I64" i="16"/>
  <c r="U52" i="16"/>
  <c r="L26" i="16"/>
  <c r="X14" i="16"/>
  <c r="M34" i="16"/>
  <c r="Y22" i="16"/>
  <c r="L53" i="16"/>
  <c r="X41" i="16"/>
  <c r="J33" i="16"/>
  <c r="V21" i="16"/>
  <c r="L34" i="16"/>
  <c r="X22" i="16"/>
  <c r="I33" i="16"/>
  <c r="U21" i="16"/>
  <c r="J67" i="16"/>
  <c r="V55" i="16"/>
  <c r="L27" i="16"/>
  <c r="X15" i="16"/>
  <c r="L61" i="16"/>
  <c r="X49" i="16"/>
  <c r="K31" i="16"/>
  <c r="W19" i="16"/>
  <c r="M27" i="16"/>
  <c r="Y15" i="16"/>
  <c r="M40" i="16"/>
  <c r="Y28" i="16"/>
  <c r="L40" i="16"/>
  <c r="X28" i="16"/>
  <c r="S11" i="21"/>
  <c r="N13" i="21"/>
  <c r="G11" i="21"/>
  <c r="B11" i="21"/>
  <c r="T5" i="20"/>
  <c r="AB5" i="20" s="1"/>
  <c r="K6" i="20"/>
  <c r="B7" i="20"/>
  <c r="AH7" i="19"/>
  <c r="AD7" i="19"/>
  <c r="Z7" i="19"/>
  <c r="V7" i="19"/>
  <c r="R7" i="19"/>
  <c r="N7" i="19"/>
  <c r="J7" i="19"/>
  <c r="F7" i="19"/>
  <c r="B6" i="19"/>
  <c r="BF25" i="3"/>
  <c r="BE25" i="3"/>
  <c r="BE37" i="3" s="1"/>
  <c r="BE49" i="3" s="1"/>
  <c r="BE61" i="3" s="1"/>
  <c r="BE73" i="3" s="1"/>
  <c r="BE85" i="3" s="1"/>
  <c r="BE97" i="3" s="1"/>
  <c r="BE109" i="3" s="1"/>
  <c r="BE121" i="3" s="1"/>
  <c r="BD25" i="3"/>
  <c r="BD37" i="3" s="1"/>
  <c r="BD49" i="3" s="1"/>
  <c r="BD61" i="3" s="1"/>
  <c r="BD73" i="3" s="1"/>
  <c r="BD85" i="3" s="1"/>
  <c r="BD97" i="3" s="1"/>
  <c r="BD109" i="3" s="1"/>
  <c r="BD121" i="3" s="1"/>
  <c r="BC25" i="3"/>
  <c r="BB25" i="3"/>
  <c r="BA25" i="3"/>
  <c r="AZ25" i="3"/>
  <c r="AY25" i="3"/>
  <c r="AY37" i="3" s="1"/>
  <c r="AY49" i="3" s="1"/>
  <c r="AY61" i="3" s="1"/>
  <c r="AY73" i="3" s="1"/>
  <c r="AY85" i="3" s="1"/>
  <c r="AY97" i="3" s="1"/>
  <c r="AY109" i="3" s="1"/>
  <c r="AY121" i="3" s="1"/>
  <c r="AX25" i="3"/>
  <c r="AW25" i="3"/>
  <c r="AV25" i="3"/>
  <c r="AU25" i="3"/>
  <c r="AU37" i="3" s="1"/>
  <c r="BF24" i="3"/>
  <c r="BE24" i="3"/>
  <c r="BE36" i="3" s="1"/>
  <c r="BE48" i="3" s="1"/>
  <c r="BE60" i="3" s="1"/>
  <c r="BE72" i="3" s="1"/>
  <c r="BE84" i="3" s="1"/>
  <c r="BE96" i="3" s="1"/>
  <c r="BE108" i="3" s="1"/>
  <c r="BE120" i="3" s="1"/>
  <c r="BD24" i="3"/>
  <c r="BD36" i="3" s="1"/>
  <c r="BD48" i="3" s="1"/>
  <c r="BD60" i="3" s="1"/>
  <c r="BD72" i="3" s="1"/>
  <c r="BD84" i="3" s="1"/>
  <c r="BD96" i="3" s="1"/>
  <c r="BD108" i="3" s="1"/>
  <c r="BD120" i="3" s="1"/>
  <c r="BC24" i="3"/>
  <c r="BB24" i="3"/>
  <c r="BA24" i="3"/>
  <c r="AZ24" i="3"/>
  <c r="AY24" i="3"/>
  <c r="AY36" i="3" s="1"/>
  <c r="AY48" i="3" s="1"/>
  <c r="AY60" i="3" s="1"/>
  <c r="AY72" i="3" s="1"/>
  <c r="AY84" i="3" s="1"/>
  <c r="AY96" i="3" s="1"/>
  <c r="AY108" i="3" s="1"/>
  <c r="AY120" i="3" s="1"/>
  <c r="AX24" i="3"/>
  <c r="AW24" i="3"/>
  <c r="AV24" i="3"/>
  <c r="AU24" i="3"/>
  <c r="AU36" i="3" s="1"/>
  <c r="BF23" i="3"/>
  <c r="BE23" i="3"/>
  <c r="BE35" i="3" s="1"/>
  <c r="BE47" i="3" s="1"/>
  <c r="BE59" i="3" s="1"/>
  <c r="BE71" i="3" s="1"/>
  <c r="BE83" i="3" s="1"/>
  <c r="BE95" i="3" s="1"/>
  <c r="BE107" i="3" s="1"/>
  <c r="BE119" i="3" s="1"/>
  <c r="BD23" i="3"/>
  <c r="BD35" i="3" s="1"/>
  <c r="BD47" i="3" s="1"/>
  <c r="BD59" i="3" s="1"/>
  <c r="BD71" i="3" s="1"/>
  <c r="BD83" i="3" s="1"/>
  <c r="BD95" i="3" s="1"/>
  <c r="BD107" i="3" s="1"/>
  <c r="BD119" i="3" s="1"/>
  <c r="BC23" i="3"/>
  <c r="BB23" i="3"/>
  <c r="BA23" i="3"/>
  <c r="AZ23" i="3"/>
  <c r="AY23" i="3"/>
  <c r="AY35" i="3" s="1"/>
  <c r="AY47" i="3" s="1"/>
  <c r="AY59" i="3" s="1"/>
  <c r="AY71" i="3" s="1"/>
  <c r="AY83" i="3" s="1"/>
  <c r="AY95" i="3" s="1"/>
  <c r="AY107" i="3" s="1"/>
  <c r="AY119" i="3" s="1"/>
  <c r="AX23" i="3"/>
  <c r="AW23" i="3"/>
  <c r="AV23" i="3"/>
  <c r="AU23" i="3"/>
  <c r="AU35" i="3" s="1"/>
  <c r="BF22" i="3"/>
  <c r="BE22" i="3"/>
  <c r="BE34" i="3" s="1"/>
  <c r="BE46" i="3" s="1"/>
  <c r="BE58" i="3" s="1"/>
  <c r="BE70" i="3" s="1"/>
  <c r="BE82" i="3" s="1"/>
  <c r="BE94" i="3" s="1"/>
  <c r="BE106" i="3" s="1"/>
  <c r="BE118" i="3" s="1"/>
  <c r="BD22" i="3"/>
  <c r="BD34" i="3" s="1"/>
  <c r="BD46" i="3" s="1"/>
  <c r="BD58" i="3" s="1"/>
  <c r="BD70" i="3" s="1"/>
  <c r="BD82" i="3" s="1"/>
  <c r="BD94" i="3" s="1"/>
  <c r="BD106" i="3" s="1"/>
  <c r="BD118" i="3" s="1"/>
  <c r="BC22" i="3"/>
  <c r="BB22" i="3"/>
  <c r="BA22" i="3"/>
  <c r="AZ22" i="3"/>
  <c r="AY22" i="3"/>
  <c r="AY34" i="3" s="1"/>
  <c r="AY46" i="3" s="1"/>
  <c r="AY58" i="3" s="1"/>
  <c r="AY70" i="3" s="1"/>
  <c r="AY82" i="3" s="1"/>
  <c r="AY94" i="3" s="1"/>
  <c r="AY106" i="3" s="1"/>
  <c r="AY118" i="3" s="1"/>
  <c r="AX22" i="3"/>
  <c r="AW22" i="3"/>
  <c r="AV22" i="3"/>
  <c r="AU22" i="3"/>
  <c r="AU34" i="3" s="1"/>
  <c r="BF21" i="3"/>
  <c r="BE21" i="3"/>
  <c r="BE33" i="3" s="1"/>
  <c r="BE45" i="3" s="1"/>
  <c r="BE57" i="3" s="1"/>
  <c r="BE69" i="3" s="1"/>
  <c r="BE81" i="3" s="1"/>
  <c r="BE93" i="3" s="1"/>
  <c r="BE105" i="3" s="1"/>
  <c r="BE117" i="3" s="1"/>
  <c r="BD21" i="3"/>
  <c r="BD33" i="3" s="1"/>
  <c r="BD45" i="3" s="1"/>
  <c r="BD57" i="3" s="1"/>
  <c r="BD69" i="3" s="1"/>
  <c r="BD81" i="3" s="1"/>
  <c r="BD93" i="3" s="1"/>
  <c r="BD105" i="3" s="1"/>
  <c r="BD117" i="3" s="1"/>
  <c r="BC21" i="3"/>
  <c r="BB21" i="3"/>
  <c r="BA21" i="3"/>
  <c r="AZ21" i="3"/>
  <c r="AY21" i="3"/>
  <c r="AY33" i="3" s="1"/>
  <c r="AY45" i="3" s="1"/>
  <c r="AY57" i="3" s="1"/>
  <c r="AY69" i="3" s="1"/>
  <c r="AY81" i="3" s="1"/>
  <c r="AY93" i="3" s="1"/>
  <c r="AY105" i="3" s="1"/>
  <c r="AY117" i="3" s="1"/>
  <c r="AX21" i="3"/>
  <c r="AW21" i="3"/>
  <c r="AV21" i="3"/>
  <c r="AU21" i="3"/>
  <c r="AU33" i="3" s="1"/>
  <c r="BF20" i="3"/>
  <c r="BE20" i="3"/>
  <c r="BE32" i="3" s="1"/>
  <c r="BE44" i="3" s="1"/>
  <c r="BE56" i="3" s="1"/>
  <c r="BE68" i="3" s="1"/>
  <c r="BE80" i="3" s="1"/>
  <c r="BE92" i="3" s="1"/>
  <c r="BE104" i="3" s="1"/>
  <c r="BE116" i="3" s="1"/>
  <c r="BD20" i="3"/>
  <c r="BD32" i="3" s="1"/>
  <c r="BD44" i="3" s="1"/>
  <c r="BD56" i="3" s="1"/>
  <c r="BD68" i="3" s="1"/>
  <c r="BD80" i="3" s="1"/>
  <c r="BD92" i="3" s="1"/>
  <c r="BD104" i="3" s="1"/>
  <c r="BD116" i="3" s="1"/>
  <c r="BC20" i="3"/>
  <c r="BB20" i="3"/>
  <c r="BA20" i="3"/>
  <c r="AZ20" i="3"/>
  <c r="AY20" i="3"/>
  <c r="AY32" i="3" s="1"/>
  <c r="AY44" i="3" s="1"/>
  <c r="AY56" i="3" s="1"/>
  <c r="AY68" i="3" s="1"/>
  <c r="AY80" i="3" s="1"/>
  <c r="AY92" i="3" s="1"/>
  <c r="AY104" i="3" s="1"/>
  <c r="AY116" i="3" s="1"/>
  <c r="AX20" i="3"/>
  <c r="AW20" i="3"/>
  <c r="AV20" i="3"/>
  <c r="AU20" i="3"/>
  <c r="AU32" i="3" s="1"/>
  <c r="BF19" i="3"/>
  <c r="BE19" i="3"/>
  <c r="BE31" i="3" s="1"/>
  <c r="BE43" i="3" s="1"/>
  <c r="BE55" i="3" s="1"/>
  <c r="BE67" i="3" s="1"/>
  <c r="BE79" i="3" s="1"/>
  <c r="BE91" i="3" s="1"/>
  <c r="BE103" i="3" s="1"/>
  <c r="BE115" i="3" s="1"/>
  <c r="BD19" i="3"/>
  <c r="BD31" i="3" s="1"/>
  <c r="BD43" i="3" s="1"/>
  <c r="BD55" i="3" s="1"/>
  <c r="BD67" i="3" s="1"/>
  <c r="BD79" i="3" s="1"/>
  <c r="BD91" i="3" s="1"/>
  <c r="BD103" i="3" s="1"/>
  <c r="BD115" i="3" s="1"/>
  <c r="BC19" i="3"/>
  <c r="BB19" i="3"/>
  <c r="BA19" i="3"/>
  <c r="AZ19" i="3"/>
  <c r="AY19" i="3"/>
  <c r="AY31" i="3" s="1"/>
  <c r="AY43" i="3" s="1"/>
  <c r="AY55" i="3" s="1"/>
  <c r="AY67" i="3" s="1"/>
  <c r="AY79" i="3" s="1"/>
  <c r="AY91" i="3" s="1"/>
  <c r="AY103" i="3" s="1"/>
  <c r="AY115" i="3" s="1"/>
  <c r="AX19" i="3"/>
  <c r="AW19" i="3"/>
  <c r="AV19" i="3"/>
  <c r="AU19" i="3"/>
  <c r="AU31" i="3" s="1"/>
  <c r="BF18" i="3"/>
  <c r="BE18" i="3"/>
  <c r="BE30" i="3" s="1"/>
  <c r="BE42" i="3" s="1"/>
  <c r="BE54" i="3" s="1"/>
  <c r="BE66" i="3" s="1"/>
  <c r="BE78" i="3" s="1"/>
  <c r="BE90" i="3" s="1"/>
  <c r="BE102" i="3" s="1"/>
  <c r="BE114" i="3" s="1"/>
  <c r="BD18" i="3"/>
  <c r="BD30" i="3" s="1"/>
  <c r="BD42" i="3" s="1"/>
  <c r="BD54" i="3" s="1"/>
  <c r="BD66" i="3" s="1"/>
  <c r="BD78" i="3" s="1"/>
  <c r="BD90" i="3" s="1"/>
  <c r="BD102" i="3" s="1"/>
  <c r="BD114" i="3" s="1"/>
  <c r="BC18" i="3"/>
  <c r="BB18" i="3"/>
  <c r="BA18" i="3"/>
  <c r="AZ18" i="3"/>
  <c r="AY18" i="3"/>
  <c r="AY30" i="3" s="1"/>
  <c r="AY42" i="3" s="1"/>
  <c r="AY54" i="3" s="1"/>
  <c r="AY66" i="3" s="1"/>
  <c r="AY78" i="3" s="1"/>
  <c r="AY90" i="3" s="1"/>
  <c r="AY102" i="3" s="1"/>
  <c r="AY114" i="3" s="1"/>
  <c r="AX18" i="3"/>
  <c r="AW18" i="3"/>
  <c r="AV18" i="3"/>
  <c r="AU18" i="3"/>
  <c r="AU30" i="3" s="1"/>
  <c r="BF17" i="3"/>
  <c r="BE17" i="3"/>
  <c r="BE29" i="3" s="1"/>
  <c r="BE41" i="3" s="1"/>
  <c r="BE53" i="3" s="1"/>
  <c r="BE65" i="3" s="1"/>
  <c r="BE77" i="3" s="1"/>
  <c r="BE89" i="3" s="1"/>
  <c r="BE101" i="3" s="1"/>
  <c r="BE113" i="3" s="1"/>
  <c r="BD17" i="3"/>
  <c r="BD29" i="3" s="1"/>
  <c r="BD41" i="3" s="1"/>
  <c r="BD53" i="3" s="1"/>
  <c r="BD65" i="3" s="1"/>
  <c r="BD77" i="3" s="1"/>
  <c r="BD89" i="3" s="1"/>
  <c r="BD101" i="3" s="1"/>
  <c r="BD113" i="3" s="1"/>
  <c r="BC17" i="3"/>
  <c r="BB17" i="3"/>
  <c r="BA17" i="3"/>
  <c r="AZ17" i="3"/>
  <c r="AY17" i="3"/>
  <c r="AY29" i="3" s="1"/>
  <c r="AY41" i="3" s="1"/>
  <c r="AY53" i="3" s="1"/>
  <c r="AY65" i="3" s="1"/>
  <c r="AY77" i="3" s="1"/>
  <c r="AY89" i="3" s="1"/>
  <c r="AY101" i="3" s="1"/>
  <c r="AY113" i="3" s="1"/>
  <c r="AX17" i="3"/>
  <c r="AW17" i="3"/>
  <c r="AV17" i="3"/>
  <c r="AU17" i="3"/>
  <c r="AU29" i="3" s="1"/>
  <c r="BF16" i="3"/>
  <c r="BE16" i="3"/>
  <c r="BE28" i="3" s="1"/>
  <c r="BE40" i="3" s="1"/>
  <c r="BE52" i="3" s="1"/>
  <c r="BE64" i="3" s="1"/>
  <c r="BE76" i="3" s="1"/>
  <c r="BE88" i="3" s="1"/>
  <c r="BE100" i="3" s="1"/>
  <c r="BE112" i="3" s="1"/>
  <c r="BD16" i="3"/>
  <c r="BD28" i="3" s="1"/>
  <c r="BD40" i="3" s="1"/>
  <c r="BD52" i="3" s="1"/>
  <c r="BD64" i="3" s="1"/>
  <c r="BD76" i="3" s="1"/>
  <c r="BD88" i="3" s="1"/>
  <c r="BD100" i="3" s="1"/>
  <c r="BD112" i="3" s="1"/>
  <c r="BC16" i="3"/>
  <c r="BB16" i="3"/>
  <c r="BA16" i="3"/>
  <c r="AZ16" i="3"/>
  <c r="AY16" i="3"/>
  <c r="AY28" i="3" s="1"/>
  <c r="AY40" i="3" s="1"/>
  <c r="AY52" i="3" s="1"/>
  <c r="AY64" i="3" s="1"/>
  <c r="AY76" i="3" s="1"/>
  <c r="AY88" i="3" s="1"/>
  <c r="AY100" i="3" s="1"/>
  <c r="AY112" i="3" s="1"/>
  <c r="AX16" i="3"/>
  <c r="AW16" i="3"/>
  <c r="AV16" i="3"/>
  <c r="AU16" i="3"/>
  <c r="AU28" i="3" s="1"/>
  <c r="BF15" i="3"/>
  <c r="BE15" i="3"/>
  <c r="BE27" i="3" s="1"/>
  <c r="BE39" i="3" s="1"/>
  <c r="BE51" i="3" s="1"/>
  <c r="BE63" i="3" s="1"/>
  <c r="BE75" i="3" s="1"/>
  <c r="BE87" i="3" s="1"/>
  <c r="BE99" i="3" s="1"/>
  <c r="BE111" i="3" s="1"/>
  <c r="BD15" i="3"/>
  <c r="BD27" i="3" s="1"/>
  <c r="BD39" i="3" s="1"/>
  <c r="BD51" i="3" s="1"/>
  <c r="BD63" i="3" s="1"/>
  <c r="BD75" i="3" s="1"/>
  <c r="BD87" i="3" s="1"/>
  <c r="BD99" i="3" s="1"/>
  <c r="BD111" i="3" s="1"/>
  <c r="BC15" i="3"/>
  <c r="BB15" i="3"/>
  <c r="BA15" i="3"/>
  <c r="AZ15" i="3"/>
  <c r="AY15" i="3"/>
  <c r="AY27" i="3" s="1"/>
  <c r="AY39" i="3" s="1"/>
  <c r="AY51" i="3" s="1"/>
  <c r="AY63" i="3" s="1"/>
  <c r="AY75" i="3" s="1"/>
  <c r="AY87" i="3" s="1"/>
  <c r="AY99" i="3" s="1"/>
  <c r="AY111" i="3" s="1"/>
  <c r="AX15" i="3"/>
  <c r="AW15" i="3"/>
  <c r="AV15" i="3"/>
  <c r="AU15" i="3"/>
  <c r="AU27" i="3" s="1"/>
  <c r="BF14" i="3"/>
  <c r="BE14" i="3"/>
  <c r="BE26" i="3" s="1"/>
  <c r="BE38" i="3" s="1"/>
  <c r="BE50" i="3" s="1"/>
  <c r="BE62" i="3" s="1"/>
  <c r="BE74" i="3" s="1"/>
  <c r="BE86" i="3" s="1"/>
  <c r="BE98" i="3" s="1"/>
  <c r="BE110" i="3" s="1"/>
  <c r="BD14" i="3"/>
  <c r="BD26" i="3" s="1"/>
  <c r="BD38" i="3" s="1"/>
  <c r="BD50" i="3" s="1"/>
  <c r="BD62" i="3" s="1"/>
  <c r="BD74" i="3" s="1"/>
  <c r="BD86" i="3" s="1"/>
  <c r="BD98" i="3" s="1"/>
  <c r="BD110" i="3" s="1"/>
  <c r="BC14" i="3"/>
  <c r="BB14" i="3"/>
  <c r="BA14" i="3"/>
  <c r="AZ14" i="3"/>
  <c r="AY14" i="3"/>
  <c r="AY26" i="3" s="1"/>
  <c r="AY38" i="3" s="1"/>
  <c r="AY50" i="3" s="1"/>
  <c r="AY62" i="3" s="1"/>
  <c r="AY74" i="3" s="1"/>
  <c r="AY86" i="3" s="1"/>
  <c r="AY98" i="3" s="1"/>
  <c r="AY110" i="3" s="1"/>
  <c r="AX14" i="3"/>
  <c r="AW14" i="3"/>
  <c r="AV14" i="3"/>
  <c r="AU14" i="3"/>
  <c r="AU26" i="3" s="1"/>
  <c r="AS25" i="3"/>
  <c r="AS37" i="3" s="1"/>
  <c r="AR25" i="3"/>
  <c r="AS24" i="3"/>
  <c r="AS36" i="3" s="1"/>
  <c r="AR24" i="3"/>
  <c r="AS23" i="3"/>
  <c r="AS35" i="3" s="1"/>
  <c r="AR23" i="3"/>
  <c r="AS22" i="3"/>
  <c r="AS34" i="3" s="1"/>
  <c r="AR22" i="3"/>
  <c r="AS21" i="3"/>
  <c r="AS33" i="3" s="1"/>
  <c r="AR21" i="3"/>
  <c r="AS20" i="3"/>
  <c r="AS32" i="3" s="1"/>
  <c r="AR20" i="3"/>
  <c r="AR32" i="3" s="1"/>
  <c r="AS19" i="3"/>
  <c r="AS31" i="3" s="1"/>
  <c r="AR19" i="3"/>
  <c r="AS18" i="3"/>
  <c r="AS30" i="3" s="1"/>
  <c r="AR18" i="3"/>
  <c r="AS17" i="3"/>
  <c r="AS29" i="3" s="1"/>
  <c r="AR17" i="3"/>
  <c r="AS16" i="3"/>
  <c r="AS28" i="3" s="1"/>
  <c r="AR16" i="3"/>
  <c r="AS15" i="3"/>
  <c r="AS27" i="3" s="1"/>
  <c r="AR15" i="3"/>
  <c r="AS14" i="3"/>
  <c r="AS26" i="3" s="1"/>
  <c r="AR14" i="3"/>
  <c r="AO13" i="3"/>
  <c r="G13" i="15" s="1"/>
  <c r="P13" i="15" s="1"/>
  <c r="AO12" i="3"/>
  <c r="G12" i="15" s="1"/>
  <c r="P12" i="15" s="1"/>
  <c r="AO11" i="3"/>
  <c r="G11" i="15" s="1"/>
  <c r="P11" i="15" s="1"/>
  <c r="AO10" i="3"/>
  <c r="G10" i="15" s="1"/>
  <c r="P10" i="15" s="1"/>
  <c r="AO9" i="3"/>
  <c r="G9" i="15" s="1"/>
  <c r="P9" i="15" s="1"/>
  <c r="AO8" i="3"/>
  <c r="G8" i="15" s="1"/>
  <c r="P8" i="15" s="1"/>
  <c r="AO7" i="3"/>
  <c r="G7" i="15" s="1"/>
  <c r="P7" i="15" s="1"/>
  <c r="AO6" i="3"/>
  <c r="G6" i="15" s="1"/>
  <c r="P6" i="15" s="1"/>
  <c r="AO5" i="3"/>
  <c r="G5" i="15" s="1"/>
  <c r="P5" i="15" s="1"/>
  <c r="AO4" i="3"/>
  <c r="G4" i="15" s="1"/>
  <c r="P4" i="15" s="1"/>
  <c r="AL121" i="3"/>
  <c r="AK121" i="3"/>
  <c r="D121" i="11" s="1"/>
  <c r="K121" i="11" s="1"/>
  <c r="AL120" i="3"/>
  <c r="AK120" i="3"/>
  <c r="D120" i="11" s="1"/>
  <c r="K120" i="11" s="1"/>
  <c r="AL118" i="3"/>
  <c r="AK117" i="3"/>
  <c r="D117" i="11" s="1"/>
  <c r="K117" i="11" s="1"/>
  <c r="AK116" i="3"/>
  <c r="D116" i="11" s="1"/>
  <c r="K116" i="11" s="1"/>
  <c r="AK115" i="3"/>
  <c r="D115" i="11" s="1"/>
  <c r="K115" i="11" s="1"/>
  <c r="AL114" i="3"/>
  <c r="AL113" i="3"/>
  <c r="AL112" i="3"/>
  <c r="AL111" i="3"/>
  <c r="AK111" i="3"/>
  <c r="D111" i="11" s="1"/>
  <c r="K111" i="11" s="1"/>
  <c r="AL110" i="3"/>
  <c r="AL109" i="3"/>
  <c r="AL108" i="3"/>
  <c r="AL107" i="3"/>
  <c r="AL106" i="3"/>
  <c r="AK106" i="3"/>
  <c r="D106" i="11" s="1"/>
  <c r="K106" i="11" s="1"/>
  <c r="AL105" i="3"/>
  <c r="AK105" i="3"/>
  <c r="D105" i="11" s="1"/>
  <c r="K105" i="11" s="1"/>
  <c r="AL104" i="3"/>
  <c r="AK104" i="3"/>
  <c r="D104" i="11" s="1"/>
  <c r="K104" i="11" s="1"/>
  <c r="AL103" i="3"/>
  <c r="AK103" i="3"/>
  <c r="D103" i="11" s="1"/>
  <c r="K103" i="11" s="1"/>
  <c r="AL102" i="3"/>
  <c r="AK102" i="3"/>
  <c r="D102" i="11" s="1"/>
  <c r="K102" i="11" s="1"/>
  <c r="AL101" i="3"/>
  <c r="AL100" i="3"/>
  <c r="AK100" i="3"/>
  <c r="D100" i="11" s="1"/>
  <c r="K100" i="11" s="1"/>
  <c r="AL99" i="3"/>
  <c r="AK99" i="3"/>
  <c r="D99" i="11" s="1"/>
  <c r="K99" i="11" s="1"/>
  <c r="AL98" i="3"/>
  <c r="AM87" i="3"/>
  <c r="E87" i="25" s="1"/>
  <c r="N87" i="25" s="1"/>
  <c r="AM75" i="3"/>
  <c r="E75" i="25" s="1"/>
  <c r="N75" i="25" s="1"/>
  <c r="AM63" i="3"/>
  <c r="E63" i="25" s="1"/>
  <c r="N63" i="25" s="1"/>
  <c r="AM61" i="3"/>
  <c r="E61" i="25" s="1"/>
  <c r="N61" i="25" s="1"/>
  <c r="AM60" i="3"/>
  <c r="E60" i="25" s="1"/>
  <c r="N60" i="25" s="1"/>
  <c r="AM59" i="3"/>
  <c r="E59" i="25" s="1"/>
  <c r="N59" i="25" s="1"/>
  <c r="AM58" i="3"/>
  <c r="E58" i="25" s="1"/>
  <c r="N58" i="25" s="1"/>
  <c r="AM57" i="3"/>
  <c r="E57" i="25" s="1"/>
  <c r="N57" i="25" s="1"/>
  <c r="AM56" i="3"/>
  <c r="E56" i="25" s="1"/>
  <c r="N56" i="25" s="1"/>
  <c r="AM55" i="3"/>
  <c r="E55" i="25" s="1"/>
  <c r="N55" i="25" s="1"/>
  <c r="AM54" i="3"/>
  <c r="E54" i="25" s="1"/>
  <c r="N54" i="25" s="1"/>
  <c r="AM53" i="3"/>
  <c r="E53" i="25" s="1"/>
  <c r="N53" i="25" s="1"/>
  <c r="AM52" i="3"/>
  <c r="E52" i="25" s="1"/>
  <c r="N52" i="25" s="1"/>
  <c r="AM51" i="3"/>
  <c r="E51" i="25" s="1"/>
  <c r="N51" i="25" s="1"/>
  <c r="AM50" i="3"/>
  <c r="E50" i="25" s="1"/>
  <c r="N50" i="25" s="1"/>
  <c r="AM25" i="3"/>
  <c r="E25" i="25" s="1"/>
  <c r="N25" i="25" s="1"/>
  <c r="AM24" i="3"/>
  <c r="E24" i="25" s="1"/>
  <c r="N24" i="25" s="1"/>
  <c r="AM23" i="3"/>
  <c r="E23" i="25" s="1"/>
  <c r="N23" i="25" s="1"/>
  <c r="AM22" i="3"/>
  <c r="E22" i="25" s="1"/>
  <c r="N22" i="25" s="1"/>
  <c r="AM21" i="3"/>
  <c r="E21" i="25" s="1"/>
  <c r="N21" i="25" s="1"/>
  <c r="AM20" i="3"/>
  <c r="E20" i="25" s="1"/>
  <c r="N20" i="25" s="1"/>
  <c r="AM19" i="3"/>
  <c r="E19" i="25" s="1"/>
  <c r="N19" i="25" s="1"/>
  <c r="AM18" i="3"/>
  <c r="E18" i="25" s="1"/>
  <c r="N18" i="25" s="1"/>
  <c r="AM17" i="3"/>
  <c r="E17" i="25" s="1"/>
  <c r="N17" i="25" s="1"/>
  <c r="AM16" i="3"/>
  <c r="E16" i="25" s="1"/>
  <c r="N16" i="25" s="1"/>
  <c r="AM14" i="3"/>
  <c r="E14" i="25" s="1"/>
  <c r="N14" i="25" s="1"/>
  <c r="AL97" i="3"/>
  <c r="D97" i="25" s="1"/>
  <c r="M97" i="25" s="1"/>
  <c r="AL96" i="3"/>
  <c r="D96" i="25" s="1"/>
  <c r="M96" i="25" s="1"/>
  <c r="AK96" i="3"/>
  <c r="D96" i="11" s="1"/>
  <c r="K96" i="11" s="1"/>
  <c r="AL95" i="3"/>
  <c r="D95" i="25" s="1"/>
  <c r="M95" i="25" s="1"/>
  <c r="AL94" i="3"/>
  <c r="D94" i="25" s="1"/>
  <c r="M94" i="25" s="1"/>
  <c r="AL93" i="3"/>
  <c r="D93" i="25" s="1"/>
  <c r="M93" i="25" s="1"/>
  <c r="AK93" i="3"/>
  <c r="D93" i="11" s="1"/>
  <c r="K93" i="11" s="1"/>
  <c r="AL92" i="3"/>
  <c r="D92" i="25" s="1"/>
  <c r="M92" i="25" s="1"/>
  <c r="AK92" i="3"/>
  <c r="D92" i="11" s="1"/>
  <c r="K92" i="11" s="1"/>
  <c r="AL91" i="3"/>
  <c r="D91" i="25" s="1"/>
  <c r="M91" i="25" s="1"/>
  <c r="AK91" i="3"/>
  <c r="D91" i="11" s="1"/>
  <c r="K91" i="11" s="1"/>
  <c r="AL90" i="3"/>
  <c r="D90" i="25" s="1"/>
  <c r="M90" i="25" s="1"/>
  <c r="AK90" i="3"/>
  <c r="D90" i="11" s="1"/>
  <c r="K90" i="11" s="1"/>
  <c r="AL89" i="3"/>
  <c r="D89" i="25" s="1"/>
  <c r="M89" i="25" s="1"/>
  <c r="AL88" i="3"/>
  <c r="D88" i="25" s="1"/>
  <c r="M88" i="25" s="1"/>
  <c r="AK88" i="3"/>
  <c r="D88" i="11" s="1"/>
  <c r="K88" i="11" s="1"/>
  <c r="AL87" i="3"/>
  <c r="D87" i="25" s="1"/>
  <c r="M87" i="25" s="1"/>
  <c r="AK87" i="3"/>
  <c r="D87" i="11" s="1"/>
  <c r="K87" i="11" s="1"/>
  <c r="AL86" i="3"/>
  <c r="D86" i="25" s="1"/>
  <c r="M86" i="25" s="1"/>
  <c r="AK86" i="3"/>
  <c r="D86" i="11" s="1"/>
  <c r="K86" i="11" s="1"/>
  <c r="AL85" i="3"/>
  <c r="D85" i="25" s="1"/>
  <c r="M85" i="25" s="1"/>
  <c r="AL84" i="3"/>
  <c r="D84" i="25" s="1"/>
  <c r="M84" i="25" s="1"/>
  <c r="AK84" i="3"/>
  <c r="D84" i="11" s="1"/>
  <c r="K84" i="11" s="1"/>
  <c r="AL83" i="3"/>
  <c r="D83" i="25" s="1"/>
  <c r="M83" i="25" s="1"/>
  <c r="AL82" i="3"/>
  <c r="D82" i="25" s="1"/>
  <c r="M82" i="25" s="1"/>
  <c r="AK82" i="3"/>
  <c r="D82" i="11" s="1"/>
  <c r="K82" i="11" s="1"/>
  <c r="AL81" i="3"/>
  <c r="D81" i="25" s="1"/>
  <c r="M81" i="25" s="1"/>
  <c r="AK81" i="3"/>
  <c r="D81" i="11" s="1"/>
  <c r="K81" i="11" s="1"/>
  <c r="AL80" i="3"/>
  <c r="D80" i="25" s="1"/>
  <c r="M80" i="25" s="1"/>
  <c r="AK80" i="3"/>
  <c r="D80" i="11" s="1"/>
  <c r="K80" i="11" s="1"/>
  <c r="AK79" i="3"/>
  <c r="D79" i="11" s="1"/>
  <c r="K79" i="11" s="1"/>
  <c r="AL78" i="3"/>
  <c r="D78" i="25" s="1"/>
  <c r="M78" i="25" s="1"/>
  <c r="AK78" i="3"/>
  <c r="D78" i="11" s="1"/>
  <c r="K78" i="11" s="1"/>
  <c r="AL77" i="3"/>
  <c r="D77" i="25" s="1"/>
  <c r="M77" i="25" s="1"/>
  <c r="AK77" i="3"/>
  <c r="D77" i="11" s="1"/>
  <c r="K77" i="11" s="1"/>
  <c r="AL76" i="3"/>
  <c r="D76" i="25" s="1"/>
  <c r="M76" i="25" s="1"/>
  <c r="AK76" i="3"/>
  <c r="D76" i="11" s="1"/>
  <c r="K76" i="11" s="1"/>
  <c r="AL75" i="3"/>
  <c r="D75" i="25" s="1"/>
  <c r="M75" i="25" s="1"/>
  <c r="AK75" i="3"/>
  <c r="D75" i="11" s="1"/>
  <c r="K75" i="11" s="1"/>
  <c r="AL74" i="3"/>
  <c r="D74" i="25" s="1"/>
  <c r="M74" i="25" s="1"/>
  <c r="AK74" i="3"/>
  <c r="D74" i="11" s="1"/>
  <c r="K74" i="11" s="1"/>
  <c r="AL73" i="3"/>
  <c r="D73" i="25" s="1"/>
  <c r="M73" i="25" s="1"/>
  <c r="AK73" i="3"/>
  <c r="D73" i="11" s="1"/>
  <c r="K73" i="11" s="1"/>
  <c r="AL72" i="3"/>
  <c r="D72" i="25" s="1"/>
  <c r="M72" i="25" s="1"/>
  <c r="AL71" i="3"/>
  <c r="D71" i="25" s="1"/>
  <c r="M71" i="25" s="1"/>
  <c r="AK71" i="3"/>
  <c r="D71" i="11" s="1"/>
  <c r="K71" i="11" s="1"/>
  <c r="AL70" i="3"/>
  <c r="D70" i="25" s="1"/>
  <c r="M70" i="25" s="1"/>
  <c r="AK70" i="3"/>
  <c r="D70" i="11" s="1"/>
  <c r="K70" i="11" s="1"/>
  <c r="AL69" i="3"/>
  <c r="D69" i="25" s="1"/>
  <c r="M69" i="25" s="1"/>
  <c r="AK69" i="3"/>
  <c r="D69" i="11" s="1"/>
  <c r="K69" i="11" s="1"/>
  <c r="AL68" i="3"/>
  <c r="D68" i="25" s="1"/>
  <c r="M68" i="25" s="1"/>
  <c r="AK68" i="3"/>
  <c r="D68" i="11" s="1"/>
  <c r="K68" i="11" s="1"/>
  <c r="AL67" i="3"/>
  <c r="D67" i="25" s="1"/>
  <c r="M67" i="25" s="1"/>
  <c r="AK67" i="3"/>
  <c r="D67" i="11" s="1"/>
  <c r="K67" i="11" s="1"/>
  <c r="AL66" i="3"/>
  <c r="D66" i="25" s="1"/>
  <c r="M66" i="25" s="1"/>
  <c r="AK66" i="3"/>
  <c r="D66" i="11" s="1"/>
  <c r="K66" i="11" s="1"/>
  <c r="AL65" i="3"/>
  <c r="D65" i="25" s="1"/>
  <c r="M65" i="25" s="1"/>
  <c r="AK65" i="3"/>
  <c r="D65" i="11" s="1"/>
  <c r="K65" i="11" s="1"/>
  <c r="AL64" i="3"/>
  <c r="D64" i="25" s="1"/>
  <c r="M64" i="25" s="1"/>
  <c r="AK64" i="3"/>
  <c r="D64" i="11" s="1"/>
  <c r="K64" i="11" s="1"/>
  <c r="AL63" i="3"/>
  <c r="D63" i="25" s="1"/>
  <c r="M63" i="25" s="1"/>
  <c r="AK63" i="3"/>
  <c r="D63" i="11" s="1"/>
  <c r="K63" i="11" s="1"/>
  <c r="AL62" i="3"/>
  <c r="D62" i="25" s="1"/>
  <c r="M62" i="25" s="1"/>
  <c r="AK62" i="3"/>
  <c r="D62" i="11" s="1"/>
  <c r="K62" i="11" s="1"/>
  <c r="AL61" i="3"/>
  <c r="D61" i="25" s="1"/>
  <c r="M61" i="25" s="1"/>
  <c r="AK61" i="3"/>
  <c r="D61" i="11" s="1"/>
  <c r="K61" i="11" s="1"/>
  <c r="AL60" i="3"/>
  <c r="D60" i="25" s="1"/>
  <c r="M60" i="25" s="1"/>
  <c r="AK60" i="3"/>
  <c r="D60" i="11" s="1"/>
  <c r="K60" i="11" s="1"/>
  <c r="AL59" i="3"/>
  <c r="D59" i="25" s="1"/>
  <c r="M59" i="25" s="1"/>
  <c r="AK59" i="3"/>
  <c r="D59" i="11" s="1"/>
  <c r="K59" i="11" s="1"/>
  <c r="AL58" i="3"/>
  <c r="D58" i="25" s="1"/>
  <c r="M58" i="25" s="1"/>
  <c r="AK58" i="3"/>
  <c r="D58" i="11" s="1"/>
  <c r="K58" i="11" s="1"/>
  <c r="AL57" i="3"/>
  <c r="D57" i="25" s="1"/>
  <c r="M57" i="25" s="1"/>
  <c r="AK57" i="3"/>
  <c r="D57" i="11" s="1"/>
  <c r="K57" i="11" s="1"/>
  <c r="AL56" i="3"/>
  <c r="D56" i="25" s="1"/>
  <c r="M56" i="25" s="1"/>
  <c r="AK56" i="3"/>
  <c r="D56" i="11" s="1"/>
  <c r="K56" i="11" s="1"/>
  <c r="AL55" i="3"/>
  <c r="D55" i="25" s="1"/>
  <c r="M55" i="25" s="1"/>
  <c r="AK55" i="3"/>
  <c r="D55" i="11" s="1"/>
  <c r="K55" i="11" s="1"/>
  <c r="AL54" i="3"/>
  <c r="D54" i="25" s="1"/>
  <c r="M54" i="25" s="1"/>
  <c r="AK54" i="3"/>
  <c r="D54" i="11" s="1"/>
  <c r="K54" i="11" s="1"/>
  <c r="AL53" i="3"/>
  <c r="D53" i="25" s="1"/>
  <c r="M53" i="25" s="1"/>
  <c r="AK53" i="3"/>
  <c r="D53" i="11" s="1"/>
  <c r="K53" i="11" s="1"/>
  <c r="AL52" i="3"/>
  <c r="D52" i="25" s="1"/>
  <c r="M52" i="25" s="1"/>
  <c r="AK52" i="3"/>
  <c r="D52" i="11" s="1"/>
  <c r="K52" i="11" s="1"/>
  <c r="AL51" i="3"/>
  <c r="D51" i="25" s="1"/>
  <c r="M51" i="25" s="1"/>
  <c r="AK51" i="3"/>
  <c r="D51" i="11" s="1"/>
  <c r="K51" i="11" s="1"/>
  <c r="AL50" i="3"/>
  <c r="D50" i="25" s="1"/>
  <c r="M50" i="25" s="1"/>
  <c r="AK50" i="3"/>
  <c r="D50" i="11" s="1"/>
  <c r="K50" i="11" s="1"/>
  <c r="AL49" i="3"/>
  <c r="D49" i="25" s="1"/>
  <c r="M49" i="25" s="1"/>
  <c r="AK49" i="3"/>
  <c r="D49" i="11" s="1"/>
  <c r="K49" i="11" s="1"/>
  <c r="AL48" i="3"/>
  <c r="D48" i="25" s="1"/>
  <c r="M48" i="25" s="1"/>
  <c r="AK48" i="3"/>
  <c r="D48" i="11" s="1"/>
  <c r="K48" i="11" s="1"/>
  <c r="AL47" i="3"/>
  <c r="D47" i="25" s="1"/>
  <c r="M47" i="25" s="1"/>
  <c r="AK47" i="3"/>
  <c r="D47" i="11" s="1"/>
  <c r="K47" i="11" s="1"/>
  <c r="AL46" i="3"/>
  <c r="D46" i="25" s="1"/>
  <c r="M46" i="25" s="1"/>
  <c r="AK46" i="3"/>
  <c r="D46" i="11" s="1"/>
  <c r="K46" i="11" s="1"/>
  <c r="AL45" i="3"/>
  <c r="D45" i="25" s="1"/>
  <c r="M45" i="25" s="1"/>
  <c r="AK45" i="3"/>
  <c r="D45" i="11" s="1"/>
  <c r="K45" i="11" s="1"/>
  <c r="AL44" i="3"/>
  <c r="D44" i="25" s="1"/>
  <c r="M44" i="25" s="1"/>
  <c r="AK44" i="3"/>
  <c r="D44" i="11" s="1"/>
  <c r="K44" i="11" s="1"/>
  <c r="AL43" i="3"/>
  <c r="D43" i="25" s="1"/>
  <c r="M43" i="25" s="1"/>
  <c r="AK43" i="3"/>
  <c r="D43" i="11" s="1"/>
  <c r="K43" i="11" s="1"/>
  <c r="AL42" i="3"/>
  <c r="D42" i="25" s="1"/>
  <c r="M42" i="25" s="1"/>
  <c r="AK42" i="3"/>
  <c r="D42" i="11" s="1"/>
  <c r="K42" i="11" s="1"/>
  <c r="AL41" i="3"/>
  <c r="D41" i="25" s="1"/>
  <c r="M41" i="25" s="1"/>
  <c r="AK41" i="3"/>
  <c r="D41" i="11" s="1"/>
  <c r="K41" i="11" s="1"/>
  <c r="AL40" i="3"/>
  <c r="D40" i="25" s="1"/>
  <c r="M40" i="25" s="1"/>
  <c r="AK40" i="3"/>
  <c r="D40" i="11" s="1"/>
  <c r="K40" i="11" s="1"/>
  <c r="AL39" i="3"/>
  <c r="D39" i="25" s="1"/>
  <c r="M39" i="25" s="1"/>
  <c r="AK39" i="3"/>
  <c r="D39" i="11" s="1"/>
  <c r="K39" i="11" s="1"/>
  <c r="AL38" i="3"/>
  <c r="D38" i="25" s="1"/>
  <c r="M38" i="25" s="1"/>
  <c r="AK38" i="3"/>
  <c r="D38" i="11" s="1"/>
  <c r="K38" i="11" s="1"/>
  <c r="AL37" i="3"/>
  <c r="D37" i="25" s="1"/>
  <c r="M37" i="25" s="1"/>
  <c r="AK37" i="3"/>
  <c r="D37" i="11" s="1"/>
  <c r="K37" i="11" s="1"/>
  <c r="AL36" i="3"/>
  <c r="D36" i="25" s="1"/>
  <c r="M36" i="25" s="1"/>
  <c r="AK36" i="3"/>
  <c r="D36" i="11" s="1"/>
  <c r="K36" i="11" s="1"/>
  <c r="AL35" i="3"/>
  <c r="D35" i="25" s="1"/>
  <c r="M35" i="25" s="1"/>
  <c r="AK35" i="3"/>
  <c r="D35" i="11" s="1"/>
  <c r="K35" i="11" s="1"/>
  <c r="AL34" i="3"/>
  <c r="D34" i="25" s="1"/>
  <c r="M34" i="25" s="1"/>
  <c r="AK34" i="3"/>
  <c r="D34" i="11" s="1"/>
  <c r="K34" i="11" s="1"/>
  <c r="AL33" i="3"/>
  <c r="D33" i="25" s="1"/>
  <c r="M33" i="25" s="1"/>
  <c r="AK33" i="3"/>
  <c r="D33" i="11" s="1"/>
  <c r="K33" i="11" s="1"/>
  <c r="AL32" i="3"/>
  <c r="D32" i="25" s="1"/>
  <c r="M32" i="25" s="1"/>
  <c r="AK32" i="3"/>
  <c r="D32" i="11" s="1"/>
  <c r="K32" i="11" s="1"/>
  <c r="AL31" i="3"/>
  <c r="D31" i="25" s="1"/>
  <c r="M31" i="25" s="1"/>
  <c r="AK31" i="3"/>
  <c r="D31" i="11" s="1"/>
  <c r="K31" i="11" s="1"/>
  <c r="AL30" i="3"/>
  <c r="D30" i="25" s="1"/>
  <c r="M30" i="25" s="1"/>
  <c r="AK30" i="3"/>
  <c r="D30" i="11" s="1"/>
  <c r="K30" i="11" s="1"/>
  <c r="AL29" i="3"/>
  <c r="D29" i="25" s="1"/>
  <c r="M29" i="25" s="1"/>
  <c r="AK29" i="3"/>
  <c r="D29" i="11" s="1"/>
  <c r="K29" i="11" s="1"/>
  <c r="AL28" i="3"/>
  <c r="D28" i="25" s="1"/>
  <c r="M28" i="25" s="1"/>
  <c r="AK28" i="3"/>
  <c r="D28" i="11" s="1"/>
  <c r="K28" i="11" s="1"/>
  <c r="AL27" i="3"/>
  <c r="D27" i="25" s="1"/>
  <c r="M27" i="25" s="1"/>
  <c r="AK27" i="3"/>
  <c r="D27" i="11" s="1"/>
  <c r="K27" i="11" s="1"/>
  <c r="AL26" i="3"/>
  <c r="D26" i="25" s="1"/>
  <c r="M26" i="25" s="1"/>
  <c r="AK26" i="3"/>
  <c r="D26" i="11" s="1"/>
  <c r="K26" i="11" s="1"/>
  <c r="AL25" i="3"/>
  <c r="D25" i="25" s="1"/>
  <c r="M25" i="25" s="1"/>
  <c r="AK25" i="3"/>
  <c r="D25" i="11" s="1"/>
  <c r="K25" i="11" s="1"/>
  <c r="AL24" i="3"/>
  <c r="D24" i="25" s="1"/>
  <c r="M24" i="25" s="1"/>
  <c r="AK24" i="3"/>
  <c r="D24" i="11" s="1"/>
  <c r="K24" i="11" s="1"/>
  <c r="AL23" i="3"/>
  <c r="D23" i="25" s="1"/>
  <c r="M23" i="25" s="1"/>
  <c r="AK23" i="3"/>
  <c r="D23" i="11" s="1"/>
  <c r="K23" i="11" s="1"/>
  <c r="AL22" i="3"/>
  <c r="D22" i="25" s="1"/>
  <c r="M22" i="25" s="1"/>
  <c r="AK22" i="3"/>
  <c r="D22" i="11" s="1"/>
  <c r="K22" i="11" s="1"/>
  <c r="AL21" i="3"/>
  <c r="D21" i="25" s="1"/>
  <c r="M21" i="25" s="1"/>
  <c r="AK21" i="3"/>
  <c r="D21" i="11" s="1"/>
  <c r="K21" i="11" s="1"/>
  <c r="AL20" i="3"/>
  <c r="D20" i="25" s="1"/>
  <c r="M20" i="25" s="1"/>
  <c r="AK20" i="3"/>
  <c r="D20" i="11" s="1"/>
  <c r="K20" i="11" s="1"/>
  <c r="AL19" i="3"/>
  <c r="D19" i="25" s="1"/>
  <c r="M19" i="25" s="1"/>
  <c r="AK19" i="3"/>
  <c r="D19" i="11" s="1"/>
  <c r="K19" i="11" s="1"/>
  <c r="AL18" i="3"/>
  <c r="D18" i="25" s="1"/>
  <c r="M18" i="25" s="1"/>
  <c r="AK18" i="3"/>
  <c r="D18" i="11" s="1"/>
  <c r="K18" i="11" s="1"/>
  <c r="AL17" i="3"/>
  <c r="D17" i="25" s="1"/>
  <c r="M17" i="25" s="1"/>
  <c r="AK17" i="3"/>
  <c r="D17" i="11" s="1"/>
  <c r="K17" i="11" s="1"/>
  <c r="AL16" i="3"/>
  <c r="D16" i="25" s="1"/>
  <c r="M16" i="25" s="1"/>
  <c r="AK16" i="3"/>
  <c r="D16" i="11" s="1"/>
  <c r="K16" i="11" s="1"/>
  <c r="AL15" i="3"/>
  <c r="D15" i="25" s="1"/>
  <c r="M15" i="25" s="1"/>
  <c r="AK15" i="3"/>
  <c r="D15" i="11" s="1"/>
  <c r="K15" i="11" s="1"/>
  <c r="AL14" i="3"/>
  <c r="D14" i="25" s="1"/>
  <c r="M14" i="25" s="1"/>
  <c r="AK14" i="3"/>
  <c r="D14" i="11" s="1"/>
  <c r="K14" i="11" s="1"/>
  <c r="AL13" i="3"/>
  <c r="D13" i="25" s="1"/>
  <c r="M13" i="25" s="1"/>
  <c r="AK13" i="3"/>
  <c r="D13" i="11" s="1"/>
  <c r="K13" i="11" s="1"/>
  <c r="AL12" i="3"/>
  <c r="D12" i="25" s="1"/>
  <c r="M12" i="25" s="1"/>
  <c r="AK12" i="3"/>
  <c r="D12" i="11" s="1"/>
  <c r="K12" i="11" s="1"/>
  <c r="AL11" i="3"/>
  <c r="D11" i="25" s="1"/>
  <c r="M11" i="25" s="1"/>
  <c r="AK11" i="3"/>
  <c r="D11" i="11" s="1"/>
  <c r="K11" i="11" s="1"/>
  <c r="AL10" i="3"/>
  <c r="D10" i="25" s="1"/>
  <c r="M10" i="25" s="1"/>
  <c r="AK10" i="3"/>
  <c r="D10" i="11" s="1"/>
  <c r="K10" i="11" s="1"/>
  <c r="AL9" i="3"/>
  <c r="D9" i="25" s="1"/>
  <c r="M9" i="25" s="1"/>
  <c r="AK9" i="3"/>
  <c r="D9" i="11" s="1"/>
  <c r="K9" i="11" s="1"/>
  <c r="AL8" i="3"/>
  <c r="D8" i="25" s="1"/>
  <c r="M8" i="25" s="1"/>
  <c r="AK8" i="3"/>
  <c r="D8" i="11" s="1"/>
  <c r="K8" i="11" s="1"/>
  <c r="AL7" i="3"/>
  <c r="D7" i="25" s="1"/>
  <c r="M7" i="25" s="1"/>
  <c r="AK7" i="3"/>
  <c r="D7" i="11" s="1"/>
  <c r="K7" i="11" s="1"/>
  <c r="AL6" i="3"/>
  <c r="D6" i="25" s="1"/>
  <c r="M6" i="25" s="1"/>
  <c r="AK6" i="3"/>
  <c r="D6" i="11" s="1"/>
  <c r="K6" i="11" s="1"/>
  <c r="AL5" i="3"/>
  <c r="D5" i="25" s="1"/>
  <c r="M5" i="25" s="1"/>
  <c r="AK5" i="3"/>
  <c r="D5" i="11" s="1"/>
  <c r="K5" i="11" s="1"/>
  <c r="AL4" i="3"/>
  <c r="D4" i="25" s="1"/>
  <c r="M4" i="25" s="1"/>
  <c r="AK4" i="3"/>
  <c r="D4" i="11" s="1"/>
  <c r="K4" i="11" s="1"/>
  <c r="D3" i="25"/>
  <c r="M3" i="25" s="1"/>
  <c r="D3" i="11"/>
  <c r="K3" i="11" s="1"/>
  <c r="P3" i="11" s="1"/>
  <c r="D2" i="25"/>
  <c r="M2" i="25" s="1"/>
  <c r="D2" i="11"/>
  <c r="K2" i="11" s="1"/>
  <c r="P2" i="11" s="1"/>
  <c r="L93" i="24"/>
  <c r="K92" i="24"/>
  <c r="J91" i="24"/>
  <c r="I90" i="24"/>
  <c r="H89" i="24"/>
  <c r="G88" i="24"/>
  <c r="B143" i="24"/>
  <c r="B144" i="24" s="1"/>
  <c r="B145" i="24" s="1"/>
  <c r="B146" i="24" s="1"/>
  <c r="B147" i="24" s="1"/>
  <c r="B148" i="24" s="1"/>
  <c r="B149" i="24" s="1"/>
  <c r="E139" i="24"/>
  <c r="F139" i="24" s="1"/>
  <c r="G139" i="24" s="1"/>
  <c r="H139" i="24" s="1"/>
  <c r="I139" i="24" s="1"/>
  <c r="J139" i="24" s="1"/>
  <c r="K139" i="24" s="1"/>
  <c r="L139" i="24" s="1"/>
  <c r="M139" i="24" s="1"/>
  <c r="N139" i="24" s="1"/>
  <c r="B129" i="24"/>
  <c r="B130" i="24" s="1"/>
  <c r="B131" i="24" s="1"/>
  <c r="B132" i="24" s="1"/>
  <c r="B133" i="24" s="1"/>
  <c r="B134" i="24" s="1"/>
  <c r="B135" i="24" s="1"/>
  <c r="E125" i="24"/>
  <c r="F125" i="24" s="1"/>
  <c r="G125" i="24" s="1"/>
  <c r="H125" i="24" s="1"/>
  <c r="I125" i="24" s="1"/>
  <c r="J125" i="24" s="1"/>
  <c r="K125" i="24" s="1"/>
  <c r="L125" i="24" s="1"/>
  <c r="M125" i="24" s="1"/>
  <c r="N125" i="24" s="1"/>
  <c r="B115" i="24"/>
  <c r="B116" i="24" s="1"/>
  <c r="B117" i="24" s="1"/>
  <c r="B118" i="24" s="1"/>
  <c r="B119" i="24" s="1"/>
  <c r="B120" i="24" s="1"/>
  <c r="B121" i="24" s="1"/>
  <c r="E111" i="24"/>
  <c r="F111" i="24" s="1"/>
  <c r="G111" i="24" s="1"/>
  <c r="H111" i="24" s="1"/>
  <c r="I111" i="24" s="1"/>
  <c r="J111" i="24" s="1"/>
  <c r="K111" i="24" s="1"/>
  <c r="L111" i="24" s="1"/>
  <c r="M111" i="24" s="1"/>
  <c r="N111" i="24" s="1"/>
  <c r="B101" i="24"/>
  <c r="B102" i="24" s="1"/>
  <c r="B103" i="24" s="1"/>
  <c r="B104" i="24" s="1"/>
  <c r="B105" i="24" s="1"/>
  <c r="B106" i="24" s="1"/>
  <c r="B107" i="24" s="1"/>
  <c r="E97" i="24"/>
  <c r="F97" i="24" s="1"/>
  <c r="G97" i="24" s="1"/>
  <c r="H97" i="24" s="1"/>
  <c r="I97" i="24" s="1"/>
  <c r="J97" i="24" s="1"/>
  <c r="K97" i="24" s="1"/>
  <c r="L97" i="24" s="1"/>
  <c r="M97" i="24" s="1"/>
  <c r="N97" i="24" s="1"/>
  <c r="K93" i="24"/>
  <c r="J93" i="24"/>
  <c r="I93" i="24"/>
  <c r="H93" i="24"/>
  <c r="G93" i="24"/>
  <c r="F93" i="24"/>
  <c r="E93" i="24"/>
  <c r="D93" i="24"/>
  <c r="C93" i="24"/>
  <c r="L92" i="24"/>
  <c r="J92" i="24"/>
  <c r="I92" i="24"/>
  <c r="H92" i="24"/>
  <c r="G92" i="24"/>
  <c r="F92" i="24"/>
  <c r="E92" i="24"/>
  <c r="D92" i="24"/>
  <c r="C92" i="24"/>
  <c r="L91" i="24"/>
  <c r="K91" i="24"/>
  <c r="I91" i="24"/>
  <c r="H91" i="24"/>
  <c r="G91" i="24"/>
  <c r="F91" i="24"/>
  <c r="E91" i="24"/>
  <c r="D91" i="24"/>
  <c r="C91" i="24"/>
  <c r="L90" i="24"/>
  <c r="K90" i="24"/>
  <c r="B11" i="22" s="1"/>
  <c r="J90" i="24"/>
  <c r="H90" i="24"/>
  <c r="G90" i="24"/>
  <c r="F90" i="24"/>
  <c r="E90" i="24"/>
  <c r="D90" i="24"/>
  <c r="C90" i="24"/>
  <c r="L89" i="24"/>
  <c r="K89" i="24"/>
  <c r="J89" i="24"/>
  <c r="I89" i="24"/>
  <c r="G89" i="24"/>
  <c r="F89" i="24"/>
  <c r="E89" i="24"/>
  <c r="D89" i="24"/>
  <c r="C89" i="24"/>
  <c r="L88" i="24"/>
  <c r="K88" i="24"/>
  <c r="J88" i="24"/>
  <c r="I88" i="24"/>
  <c r="H88" i="24"/>
  <c r="F88" i="24"/>
  <c r="E88" i="24"/>
  <c r="D88" i="24"/>
  <c r="C88" i="24"/>
  <c r="E87" i="24"/>
  <c r="D87" i="24"/>
  <c r="C87" i="24"/>
  <c r="E83" i="24"/>
  <c r="F83" i="24" s="1"/>
  <c r="G83" i="24" s="1"/>
  <c r="H83" i="24" s="1"/>
  <c r="I83" i="24" s="1"/>
  <c r="J83" i="24" s="1"/>
  <c r="K83" i="24" s="1"/>
  <c r="L83" i="24" s="1"/>
  <c r="M83" i="24" s="1"/>
  <c r="N83" i="24" s="1"/>
  <c r="B87" i="24"/>
  <c r="B88" i="24" s="1"/>
  <c r="B89" i="24" s="1"/>
  <c r="B90" i="24" s="1"/>
  <c r="B91" i="24" s="1"/>
  <c r="B92" i="24" s="1"/>
  <c r="B93" i="24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C239" i="4"/>
  <c r="AL119" i="3" s="1"/>
  <c r="B239" i="4"/>
  <c r="AK119" i="3" s="1"/>
  <c r="D119" i="11" s="1"/>
  <c r="K119" i="11" s="1"/>
  <c r="B238" i="4"/>
  <c r="AK118" i="3" s="1"/>
  <c r="D118" i="11" s="1"/>
  <c r="K118" i="11" s="1"/>
  <c r="C237" i="4"/>
  <c r="AL117" i="3" s="1"/>
  <c r="C236" i="4"/>
  <c r="AL116" i="3" s="1"/>
  <c r="C235" i="4"/>
  <c r="AL115" i="3" s="1"/>
  <c r="B234" i="4"/>
  <c r="AK114" i="3" s="1"/>
  <c r="D114" i="11" s="1"/>
  <c r="K114" i="11" s="1"/>
  <c r="B233" i="4"/>
  <c r="AK113" i="3" s="1"/>
  <c r="D113" i="11" s="1"/>
  <c r="K113" i="11" s="1"/>
  <c r="B232" i="4"/>
  <c r="AK112" i="3" s="1"/>
  <c r="D112" i="11" s="1"/>
  <c r="K112" i="11" s="1"/>
  <c r="B230" i="4"/>
  <c r="AK110" i="3" s="1"/>
  <c r="D110" i="11" s="1"/>
  <c r="K110" i="11" s="1"/>
  <c r="B229" i="4"/>
  <c r="AK109" i="3" s="1"/>
  <c r="D109" i="11" s="1"/>
  <c r="K109" i="11" s="1"/>
  <c r="B228" i="4"/>
  <c r="AK108" i="3" s="1"/>
  <c r="D108" i="11" s="1"/>
  <c r="K108" i="11" s="1"/>
  <c r="B227" i="4"/>
  <c r="AK107" i="3" s="1"/>
  <c r="D107" i="11" s="1"/>
  <c r="K107" i="11" s="1"/>
  <c r="B221" i="4"/>
  <c r="AK101" i="3" s="1"/>
  <c r="D101" i="11" s="1"/>
  <c r="K101" i="11" s="1"/>
  <c r="B218" i="4"/>
  <c r="AK98" i="3" s="1"/>
  <c r="D98" i="11" s="1"/>
  <c r="K98" i="11" s="1"/>
  <c r="B217" i="4"/>
  <c r="AK97" i="3" s="1"/>
  <c r="D97" i="11" s="1"/>
  <c r="K97" i="11" s="1"/>
  <c r="B215" i="4"/>
  <c r="AK95" i="3" s="1"/>
  <c r="D95" i="11" s="1"/>
  <c r="K95" i="11" s="1"/>
  <c r="B214" i="4"/>
  <c r="AK94" i="3" s="1"/>
  <c r="D94" i="11" s="1"/>
  <c r="K94" i="11" s="1"/>
  <c r="B209" i="4"/>
  <c r="AK89" i="3" s="1"/>
  <c r="D89" i="11" s="1"/>
  <c r="K89" i="11" s="1"/>
  <c r="B205" i="4"/>
  <c r="AK85" i="3" s="1"/>
  <c r="D85" i="11" s="1"/>
  <c r="K85" i="11" s="1"/>
  <c r="B203" i="4"/>
  <c r="AK83" i="3" s="1"/>
  <c r="D83" i="11" s="1"/>
  <c r="K83" i="11" s="1"/>
  <c r="C199" i="4"/>
  <c r="AL79" i="3" s="1"/>
  <c r="D79" i="25" s="1"/>
  <c r="M79" i="25" s="1"/>
  <c r="B192" i="4"/>
  <c r="AK72" i="3" s="1"/>
  <c r="D72" i="11" s="1"/>
  <c r="K72" i="11" s="1"/>
  <c r="AO15" i="3" l="1"/>
  <c r="G15" i="15" s="1"/>
  <c r="P15" i="15" s="1"/>
  <c r="AO21" i="3"/>
  <c r="G21" i="15" s="1"/>
  <c r="P21" i="15" s="1"/>
  <c r="AO23" i="3"/>
  <c r="G23" i="15" s="1"/>
  <c r="P23" i="15" s="1"/>
  <c r="AO25" i="3"/>
  <c r="G25" i="15" s="1"/>
  <c r="P25" i="15" s="1"/>
  <c r="AO18" i="3"/>
  <c r="G18" i="15" s="1"/>
  <c r="P18" i="15" s="1"/>
  <c r="AO22" i="3"/>
  <c r="G22" i="15" s="1"/>
  <c r="P22" i="15" s="1"/>
  <c r="AM71" i="3"/>
  <c r="E71" i="25" s="1"/>
  <c r="N71" i="25" s="1"/>
  <c r="AM26" i="3"/>
  <c r="E26" i="25" s="1"/>
  <c r="N26" i="25" s="1"/>
  <c r="AM67" i="3"/>
  <c r="E67" i="25" s="1"/>
  <c r="N67" i="25" s="1"/>
  <c r="AW29" i="3"/>
  <c r="I17" i="9"/>
  <c r="U17" i="9" s="1"/>
  <c r="BA29" i="3"/>
  <c r="K17" i="9"/>
  <c r="W17" i="9" s="1"/>
  <c r="AW31" i="3"/>
  <c r="I19" i="9"/>
  <c r="U19" i="9" s="1"/>
  <c r="BA31" i="3"/>
  <c r="K19" i="9"/>
  <c r="W19" i="9" s="1"/>
  <c r="AW33" i="3"/>
  <c r="I21" i="9"/>
  <c r="U21" i="9" s="1"/>
  <c r="BA33" i="3"/>
  <c r="K21" i="9"/>
  <c r="W21" i="9" s="1"/>
  <c r="AW35" i="3"/>
  <c r="I23" i="9"/>
  <c r="U23" i="9" s="1"/>
  <c r="BA35" i="3"/>
  <c r="K23" i="9"/>
  <c r="W23" i="9" s="1"/>
  <c r="BA37" i="3"/>
  <c r="K25" i="9"/>
  <c r="W25" i="9" s="1"/>
  <c r="AS41" i="3"/>
  <c r="G5" i="25"/>
  <c r="P5" i="25" s="1"/>
  <c r="AS45" i="3"/>
  <c r="G9" i="25"/>
  <c r="P9" i="25" s="1"/>
  <c r="AS49" i="3"/>
  <c r="G13" i="25"/>
  <c r="P13" i="25" s="1"/>
  <c r="AX26" i="3"/>
  <c r="G14" i="11"/>
  <c r="N14" i="11" s="1"/>
  <c r="BF26" i="3"/>
  <c r="H14" i="11"/>
  <c r="O14" i="11" s="1"/>
  <c r="AX28" i="3"/>
  <c r="G16" i="11"/>
  <c r="N16" i="11" s="1"/>
  <c r="BB28" i="3"/>
  <c r="L16" i="9"/>
  <c r="X16" i="9" s="1"/>
  <c r="AX29" i="3"/>
  <c r="G17" i="11"/>
  <c r="N17" i="11" s="1"/>
  <c r="AX30" i="3"/>
  <c r="G18" i="11"/>
  <c r="N18" i="11" s="1"/>
  <c r="BF30" i="3"/>
  <c r="H18" i="11"/>
  <c r="O18" i="11" s="1"/>
  <c r="BB31" i="3"/>
  <c r="L19" i="9"/>
  <c r="X19" i="9" s="1"/>
  <c r="AX32" i="3"/>
  <c r="G20" i="11"/>
  <c r="N20" i="11" s="1"/>
  <c r="BB32" i="3"/>
  <c r="L20" i="9"/>
  <c r="X20" i="9" s="1"/>
  <c r="AX33" i="3"/>
  <c r="G21" i="11"/>
  <c r="N21" i="11" s="1"/>
  <c r="BF33" i="3"/>
  <c r="H21" i="11"/>
  <c r="O21" i="11" s="1"/>
  <c r="BB34" i="3"/>
  <c r="L22" i="9"/>
  <c r="X22" i="9" s="1"/>
  <c r="AX35" i="3"/>
  <c r="G23" i="11"/>
  <c r="N23" i="11" s="1"/>
  <c r="BF35" i="3"/>
  <c r="H23" i="11"/>
  <c r="O23" i="11" s="1"/>
  <c r="BB36" i="3"/>
  <c r="L24" i="9"/>
  <c r="X24" i="9" s="1"/>
  <c r="AX37" i="3"/>
  <c r="G25" i="11"/>
  <c r="N25" i="11" s="1"/>
  <c r="BB37" i="3"/>
  <c r="L25" i="9"/>
  <c r="X25" i="9" s="1"/>
  <c r="AC12" i="21"/>
  <c r="AU38" i="3"/>
  <c r="H2" i="25"/>
  <c r="Q2" i="25" s="1"/>
  <c r="BC26" i="3"/>
  <c r="M14" i="9"/>
  <c r="Y14" i="9" s="1"/>
  <c r="J14" i="15"/>
  <c r="S14" i="15" s="1"/>
  <c r="J14" i="7"/>
  <c r="S14" i="7" s="1"/>
  <c r="AU40" i="3"/>
  <c r="H4" i="25"/>
  <c r="Q4" i="25" s="1"/>
  <c r="BC28" i="3"/>
  <c r="M16" i="9"/>
  <c r="Y16" i="9" s="1"/>
  <c r="J16" i="15"/>
  <c r="S16" i="15" s="1"/>
  <c r="J16" i="7"/>
  <c r="S16" i="7" s="1"/>
  <c r="AU41" i="3"/>
  <c r="H5" i="25"/>
  <c r="Q5" i="25" s="1"/>
  <c r="BC29" i="3"/>
  <c r="M17" i="9"/>
  <c r="Y17" i="9" s="1"/>
  <c r="J17" i="15"/>
  <c r="S17" i="15" s="1"/>
  <c r="J17" i="7"/>
  <c r="S17" i="7" s="1"/>
  <c r="AU42" i="3"/>
  <c r="H6" i="25"/>
  <c r="Q6" i="25" s="1"/>
  <c r="BC30" i="3"/>
  <c r="M18" i="9"/>
  <c r="Y18" i="9" s="1"/>
  <c r="J18" i="15"/>
  <c r="S18" i="15" s="1"/>
  <c r="J18" i="7"/>
  <c r="S18" i="7" s="1"/>
  <c r="AU43" i="3"/>
  <c r="H7" i="25"/>
  <c r="Q7" i="25" s="1"/>
  <c r="BC31" i="3"/>
  <c r="M19" i="9"/>
  <c r="Y19" i="9" s="1"/>
  <c r="J19" i="15"/>
  <c r="S19" i="15" s="1"/>
  <c r="J19" i="7"/>
  <c r="S19" i="7" s="1"/>
  <c r="AU44" i="3"/>
  <c r="H8" i="25"/>
  <c r="Q8" i="25" s="1"/>
  <c r="BC32" i="3"/>
  <c r="M20" i="9"/>
  <c r="Y20" i="9" s="1"/>
  <c r="J20" i="15"/>
  <c r="S20" i="15" s="1"/>
  <c r="J20" i="7"/>
  <c r="S20" i="7" s="1"/>
  <c r="AU45" i="3"/>
  <c r="H9" i="25"/>
  <c r="Q9" i="25" s="1"/>
  <c r="BC33" i="3"/>
  <c r="M21" i="9"/>
  <c r="Y21" i="9" s="1"/>
  <c r="J21" i="15"/>
  <c r="S21" i="15" s="1"/>
  <c r="J21" i="7"/>
  <c r="S21" i="7" s="1"/>
  <c r="AU46" i="3"/>
  <c r="H10" i="25"/>
  <c r="Q10" i="25" s="1"/>
  <c r="BC34" i="3"/>
  <c r="M22" i="9"/>
  <c r="Y22" i="9" s="1"/>
  <c r="J22" i="15"/>
  <c r="S22" i="15" s="1"/>
  <c r="J22" i="7"/>
  <c r="S22" i="7" s="1"/>
  <c r="AU47" i="3"/>
  <c r="H11" i="25"/>
  <c r="Q11" i="25" s="1"/>
  <c r="BC35" i="3"/>
  <c r="M23" i="9"/>
  <c r="Y23" i="9" s="1"/>
  <c r="J23" i="15"/>
  <c r="S23" i="15" s="1"/>
  <c r="J23" i="7"/>
  <c r="S23" i="7" s="1"/>
  <c r="AU48" i="3"/>
  <c r="H12" i="25"/>
  <c r="Q12" i="25" s="1"/>
  <c r="BC36" i="3"/>
  <c r="M24" i="9"/>
  <c r="Y24" i="9" s="1"/>
  <c r="J24" i="15"/>
  <c r="S24" i="15" s="1"/>
  <c r="J24" i="7"/>
  <c r="S24" i="7" s="1"/>
  <c r="AU49" i="3"/>
  <c r="H13" i="25"/>
  <c r="Q13" i="25" s="1"/>
  <c r="BC37" i="3"/>
  <c r="M25" i="9"/>
  <c r="Y25" i="9" s="1"/>
  <c r="J25" i="15"/>
  <c r="S25" i="15" s="1"/>
  <c r="J25" i="7"/>
  <c r="S25" i="7" s="1"/>
  <c r="AW26" i="3"/>
  <c r="I14" i="9"/>
  <c r="U14" i="9" s="1"/>
  <c r="BA26" i="3"/>
  <c r="K14" i="9"/>
  <c r="W14" i="9" s="1"/>
  <c r="AW28" i="3"/>
  <c r="I16" i="9"/>
  <c r="U16" i="9" s="1"/>
  <c r="BA28" i="3"/>
  <c r="K16" i="9"/>
  <c r="W16" i="9" s="1"/>
  <c r="AW30" i="3"/>
  <c r="I18" i="9"/>
  <c r="U18" i="9" s="1"/>
  <c r="BA30" i="3"/>
  <c r="K18" i="9"/>
  <c r="W18" i="9" s="1"/>
  <c r="AW32" i="3"/>
  <c r="I20" i="9"/>
  <c r="U20" i="9" s="1"/>
  <c r="BA32" i="3"/>
  <c r="K20" i="9"/>
  <c r="W20" i="9" s="1"/>
  <c r="AW34" i="3"/>
  <c r="I22" i="9"/>
  <c r="U22" i="9" s="1"/>
  <c r="BA34" i="3"/>
  <c r="K22" i="9"/>
  <c r="W22" i="9" s="1"/>
  <c r="AW36" i="3"/>
  <c r="I24" i="9"/>
  <c r="U24" i="9" s="1"/>
  <c r="BA36" i="3"/>
  <c r="K24" i="9"/>
  <c r="W24" i="9" s="1"/>
  <c r="AW37" i="3"/>
  <c r="I25" i="9"/>
  <c r="U25" i="9" s="1"/>
  <c r="AS43" i="3"/>
  <c r="G7" i="25"/>
  <c r="P7" i="25" s="1"/>
  <c r="AS47" i="3"/>
  <c r="G11" i="25"/>
  <c r="P11" i="25" s="1"/>
  <c r="BB26" i="3"/>
  <c r="L14" i="9"/>
  <c r="X14" i="9" s="1"/>
  <c r="BF28" i="3"/>
  <c r="H16" i="11"/>
  <c r="O16" i="11" s="1"/>
  <c r="BB29" i="3"/>
  <c r="L17" i="9"/>
  <c r="X17" i="9" s="1"/>
  <c r="BF29" i="3"/>
  <c r="H17" i="11"/>
  <c r="O17" i="11" s="1"/>
  <c r="BB30" i="3"/>
  <c r="L18" i="9"/>
  <c r="X18" i="9" s="1"/>
  <c r="AX31" i="3"/>
  <c r="G19" i="11"/>
  <c r="N19" i="11" s="1"/>
  <c r="BF31" i="3"/>
  <c r="H19" i="11"/>
  <c r="O19" i="11" s="1"/>
  <c r="BF32" i="3"/>
  <c r="H20" i="11"/>
  <c r="O20" i="11" s="1"/>
  <c r="BB33" i="3"/>
  <c r="L21" i="9"/>
  <c r="X21" i="9" s="1"/>
  <c r="AX34" i="3"/>
  <c r="G22" i="11"/>
  <c r="N22" i="11" s="1"/>
  <c r="BF34" i="3"/>
  <c r="H22" i="11"/>
  <c r="O22" i="11" s="1"/>
  <c r="BB35" i="3"/>
  <c r="L23" i="9"/>
  <c r="X23" i="9" s="1"/>
  <c r="AX36" i="3"/>
  <c r="G24" i="11"/>
  <c r="N24" i="11" s="1"/>
  <c r="BF36" i="3"/>
  <c r="H24" i="11"/>
  <c r="O24" i="11" s="1"/>
  <c r="BF37" i="3"/>
  <c r="H25" i="11"/>
  <c r="O25" i="11" s="1"/>
  <c r="AS38" i="3"/>
  <c r="G2" i="25"/>
  <c r="P2" i="25" s="1"/>
  <c r="AS40" i="3"/>
  <c r="G4" i="25"/>
  <c r="P4" i="25" s="1"/>
  <c r="AS42" i="3"/>
  <c r="G6" i="25"/>
  <c r="P6" i="25" s="1"/>
  <c r="AS44" i="3"/>
  <c r="G8" i="25"/>
  <c r="P8" i="25" s="1"/>
  <c r="AS46" i="3"/>
  <c r="G10" i="25"/>
  <c r="P10" i="25" s="1"/>
  <c r="AS48" i="3"/>
  <c r="G12" i="25"/>
  <c r="P12" i="25" s="1"/>
  <c r="AV26" i="3"/>
  <c r="H14" i="15"/>
  <c r="Q14" i="15" s="1"/>
  <c r="H14" i="7"/>
  <c r="Q14" i="7" s="1"/>
  <c r="AZ26" i="3"/>
  <c r="J14" i="9"/>
  <c r="V14" i="9" s="1"/>
  <c r="I14" i="15"/>
  <c r="R14" i="15" s="1"/>
  <c r="I14" i="7"/>
  <c r="R14" i="7" s="1"/>
  <c r="AV28" i="3"/>
  <c r="H16" i="15"/>
  <c r="Q16" i="15" s="1"/>
  <c r="H16" i="7"/>
  <c r="Q16" i="7" s="1"/>
  <c r="AZ28" i="3"/>
  <c r="J16" i="9"/>
  <c r="V16" i="9" s="1"/>
  <c r="I16" i="15"/>
  <c r="R16" i="15" s="1"/>
  <c r="I16" i="7"/>
  <c r="R16" i="7" s="1"/>
  <c r="AV29" i="3"/>
  <c r="H17" i="15"/>
  <c r="Q17" i="15" s="1"/>
  <c r="H17" i="7"/>
  <c r="Q17" i="7" s="1"/>
  <c r="AZ29" i="3"/>
  <c r="J17" i="9"/>
  <c r="V17" i="9" s="1"/>
  <c r="I17" i="15"/>
  <c r="R17" i="15" s="1"/>
  <c r="I17" i="7"/>
  <c r="R17" i="7" s="1"/>
  <c r="AV30" i="3"/>
  <c r="H18" i="15"/>
  <c r="Q18" i="15" s="1"/>
  <c r="H18" i="7"/>
  <c r="Q18" i="7" s="1"/>
  <c r="AZ30" i="3"/>
  <c r="J18" i="9"/>
  <c r="V18" i="9" s="1"/>
  <c r="I18" i="15"/>
  <c r="R18" i="15" s="1"/>
  <c r="I18" i="7"/>
  <c r="R18" i="7" s="1"/>
  <c r="AV31" i="3"/>
  <c r="H19" i="15"/>
  <c r="Q19" i="15" s="1"/>
  <c r="H19" i="7"/>
  <c r="Q19" i="7" s="1"/>
  <c r="AZ31" i="3"/>
  <c r="J19" i="9"/>
  <c r="V19" i="9" s="1"/>
  <c r="I19" i="15"/>
  <c r="R19" i="15" s="1"/>
  <c r="I19" i="7"/>
  <c r="R19" i="7" s="1"/>
  <c r="AV32" i="3"/>
  <c r="H20" i="15"/>
  <c r="Q20" i="15" s="1"/>
  <c r="H20" i="7"/>
  <c r="Q20" i="7" s="1"/>
  <c r="AZ32" i="3"/>
  <c r="J20" i="9"/>
  <c r="V20" i="9" s="1"/>
  <c r="I20" i="15"/>
  <c r="R20" i="15" s="1"/>
  <c r="I20" i="7"/>
  <c r="R20" i="7" s="1"/>
  <c r="AV33" i="3"/>
  <c r="H21" i="15"/>
  <c r="Q21" i="15" s="1"/>
  <c r="H21" i="7"/>
  <c r="Q21" i="7" s="1"/>
  <c r="AZ33" i="3"/>
  <c r="J21" i="9"/>
  <c r="V21" i="9" s="1"/>
  <c r="I21" i="15"/>
  <c r="R21" i="15" s="1"/>
  <c r="I21" i="7"/>
  <c r="R21" i="7" s="1"/>
  <c r="AV34" i="3"/>
  <c r="H22" i="15"/>
  <c r="Q22" i="15" s="1"/>
  <c r="H22" i="7"/>
  <c r="Q22" i="7" s="1"/>
  <c r="AZ34" i="3"/>
  <c r="J22" i="9"/>
  <c r="V22" i="9" s="1"/>
  <c r="I22" i="15"/>
  <c r="R22" i="15" s="1"/>
  <c r="I22" i="7"/>
  <c r="R22" i="7" s="1"/>
  <c r="AV35" i="3"/>
  <c r="H23" i="15"/>
  <c r="Q23" i="15" s="1"/>
  <c r="H23" i="7"/>
  <c r="Q23" i="7" s="1"/>
  <c r="AZ35" i="3"/>
  <c r="J23" i="9"/>
  <c r="V23" i="9" s="1"/>
  <c r="I23" i="15"/>
  <c r="R23" i="15" s="1"/>
  <c r="I23" i="7"/>
  <c r="R23" i="7" s="1"/>
  <c r="AV36" i="3"/>
  <c r="H24" i="15"/>
  <c r="Q24" i="15" s="1"/>
  <c r="H24" i="7"/>
  <c r="Q24" i="7" s="1"/>
  <c r="AZ36" i="3"/>
  <c r="J24" i="9"/>
  <c r="V24" i="9" s="1"/>
  <c r="I24" i="15"/>
  <c r="R24" i="15" s="1"/>
  <c r="I24" i="7"/>
  <c r="R24" i="7" s="1"/>
  <c r="AV37" i="3"/>
  <c r="H25" i="15"/>
  <c r="Q25" i="15" s="1"/>
  <c r="H25" i="7"/>
  <c r="Q25" i="7" s="1"/>
  <c r="AZ37" i="3"/>
  <c r="J25" i="9"/>
  <c r="V25" i="9" s="1"/>
  <c r="I25" i="15"/>
  <c r="R25" i="15" s="1"/>
  <c r="I25" i="7"/>
  <c r="R25" i="7" s="1"/>
  <c r="X12" i="21"/>
  <c r="AU39" i="3"/>
  <c r="H3" i="25"/>
  <c r="Q3" i="25" s="1"/>
  <c r="BC27" i="3"/>
  <c r="M15" i="9"/>
  <c r="Y15" i="9" s="1"/>
  <c r="J15" i="15"/>
  <c r="S15" i="15" s="1"/>
  <c r="J15" i="7"/>
  <c r="S15" i="7" s="1"/>
  <c r="AV27" i="3"/>
  <c r="H15" i="15"/>
  <c r="Q15" i="15" s="1"/>
  <c r="H15" i="7"/>
  <c r="Q15" i="7" s="1"/>
  <c r="AZ27" i="3"/>
  <c r="J15" i="9"/>
  <c r="V15" i="9" s="1"/>
  <c r="I15" i="15"/>
  <c r="R15" i="15" s="1"/>
  <c r="I15" i="7"/>
  <c r="R15" i="7" s="1"/>
  <c r="AW27" i="3"/>
  <c r="I15" i="9"/>
  <c r="U15" i="9" s="1"/>
  <c r="BA27" i="3"/>
  <c r="K15" i="9"/>
  <c r="W15" i="9" s="1"/>
  <c r="AS39" i="3"/>
  <c r="G3" i="25"/>
  <c r="P3" i="25" s="1"/>
  <c r="AX27" i="3"/>
  <c r="G15" i="11"/>
  <c r="N15" i="11" s="1"/>
  <c r="BB27" i="3"/>
  <c r="L15" i="9"/>
  <c r="X15" i="9" s="1"/>
  <c r="BF27" i="3"/>
  <c r="H15" i="11"/>
  <c r="O15" i="11" s="1"/>
  <c r="G130" i="16"/>
  <c r="S118" i="16"/>
  <c r="G126" i="16"/>
  <c r="S114" i="16"/>
  <c r="G122" i="16"/>
  <c r="S110" i="16"/>
  <c r="J75" i="16"/>
  <c r="V63" i="16"/>
  <c r="L42" i="16"/>
  <c r="X30" i="16"/>
  <c r="M72" i="16"/>
  <c r="Y60" i="16"/>
  <c r="S121" i="16"/>
  <c r="G133" i="16"/>
  <c r="S117" i="16"/>
  <c r="G129" i="16"/>
  <c r="S113" i="16"/>
  <c r="G125" i="16"/>
  <c r="M52" i="16"/>
  <c r="Y40" i="16"/>
  <c r="K43" i="16"/>
  <c r="W31" i="16"/>
  <c r="L39" i="16"/>
  <c r="X27" i="16"/>
  <c r="L38" i="16"/>
  <c r="X26" i="16"/>
  <c r="I72" i="16"/>
  <c r="U60" i="16"/>
  <c r="I38" i="16"/>
  <c r="U26" i="16"/>
  <c r="K82" i="16"/>
  <c r="W70" i="16"/>
  <c r="J126" i="16"/>
  <c r="V114" i="16"/>
  <c r="K144" i="16"/>
  <c r="W144" i="16" s="1"/>
  <c r="W132" i="16"/>
  <c r="K125" i="16"/>
  <c r="W113" i="16"/>
  <c r="M131" i="16"/>
  <c r="Y119" i="16"/>
  <c r="K38" i="16"/>
  <c r="W26" i="16"/>
  <c r="K42" i="16"/>
  <c r="W30" i="16"/>
  <c r="J47" i="16"/>
  <c r="V35" i="16"/>
  <c r="K40" i="16"/>
  <c r="W28" i="16"/>
  <c r="M39" i="16"/>
  <c r="Y27" i="16"/>
  <c r="L73" i="16"/>
  <c r="X61" i="16"/>
  <c r="J79" i="16"/>
  <c r="V67" i="16"/>
  <c r="L46" i="16"/>
  <c r="X34" i="16"/>
  <c r="L65" i="16"/>
  <c r="X53" i="16"/>
  <c r="I76" i="16"/>
  <c r="U64" i="16"/>
  <c r="L43" i="16"/>
  <c r="X31" i="16"/>
  <c r="K39" i="16"/>
  <c r="W27" i="16"/>
  <c r="M42" i="16"/>
  <c r="Y30" i="16"/>
  <c r="J48" i="16"/>
  <c r="V36" i="16"/>
  <c r="I73" i="16"/>
  <c r="U61" i="16"/>
  <c r="M127" i="16"/>
  <c r="Y115" i="16"/>
  <c r="I131" i="16"/>
  <c r="U119" i="16"/>
  <c r="J145" i="16"/>
  <c r="V145" i="16" s="1"/>
  <c r="V133" i="16"/>
  <c r="M38" i="16"/>
  <c r="Y26" i="16"/>
  <c r="I42" i="16"/>
  <c r="U30" i="16"/>
  <c r="K47" i="16"/>
  <c r="W35" i="16"/>
  <c r="M73" i="16"/>
  <c r="Y61" i="16"/>
  <c r="I127" i="16"/>
  <c r="U115" i="16"/>
  <c r="J130" i="16"/>
  <c r="V118" i="16"/>
  <c r="I46" i="16"/>
  <c r="U34" i="16"/>
  <c r="L48" i="16"/>
  <c r="X36" i="16"/>
  <c r="L52" i="16"/>
  <c r="X40" i="16"/>
  <c r="I45" i="16"/>
  <c r="U33" i="16"/>
  <c r="J45" i="16"/>
  <c r="V33" i="16"/>
  <c r="M46" i="16"/>
  <c r="Y34" i="16"/>
  <c r="M41" i="16"/>
  <c r="Y29" i="16"/>
  <c r="J41" i="16"/>
  <c r="V29" i="16"/>
  <c r="K129" i="16"/>
  <c r="W117" i="16"/>
  <c r="K133" i="16"/>
  <c r="W121" i="16"/>
  <c r="J38" i="16"/>
  <c r="V26" i="16"/>
  <c r="J40" i="16"/>
  <c r="V28" i="16"/>
  <c r="L81" i="16"/>
  <c r="X69" i="16"/>
  <c r="L128" i="16"/>
  <c r="X116" i="16"/>
  <c r="J44" i="16"/>
  <c r="V32" i="16"/>
  <c r="M45" i="16"/>
  <c r="Y33" i="16"/>
  <c r="I39" i="16"/>
  <c r="U27" i="16"/>
  <c r="I68" i="16"/>
  <c r="U56" i="16"/>
  <c r="M80" i="16"/>
  <c r="Y68" i="16"/>
  <c r="L47" i="16"/>
  <c r="X35" i="16"/>
  <c r="S120" i="16"/>
  <c r="G132" i="16"/>
  <c r="S116" i="16"/>
  <c r="G128" i="16"/>
  <c r="S112" i="16"/>
  <c r="G124" i="16"/>
  <c r="I41" i="16"/>
  <c r="U29" i="16"/>
  <c r="K44" i="16"/>
  <c r="W32" i="16"/>
  <c r="G131" i="16"/>
  <c r="S119" i="16"/>
  <c r="G127" i="16"/>
  <c r="S115" i="16"/>
  <c r="G123" i="16"/>
  <c r="S111" i="16"/>
  <c r="S12" i="21"/>
  <c r="N14" i="21"/>
  <c r="G12" i="21"/>
  <c r="B12" i="21"/>
  <c r="T6" i="20"/>
  <c r="AL5" i="20"/>
  <c r="B8" i="20"/>
  <c r="K7" i="20"/>
  <c r="AO32" i="3"/>
  <c r="G32" i="15" s="1"/>
  <c r="P32" i="15" s="1"/>
  <c r="AM30" i="3"/>
  <c r="E30" i="25" s="1"/>
  <c r="N30" i="25" s="1"/>
  <c r="AM34" i="3"/>
  <c r="E34" i="25" s="1"/>
  <c r="N34" i="25" s="1"/>
  <c r="AM119" i="3"/>
  <c r="AM99" i="3"/>
  <c r="AM103" i="3"/>
  <c r="AM107" i="3"/>
  <c r="AM111" i="3"/>
  <c r="AM31" i="3"/>
  <c r="E31" i="25" s="1"/>
  <c r="N31" i="25" s="1"/>
  <c r="AM35" i="3"/>
  <c r="E35" i="25" s="1"/>
  <c r="N35" i="25" s="1"/>
  <c r="AM66" i="3"/>
  <c r="E66" i="25" s="1"/>
  <c r="N66" i="25" s="1"/>
  <c r="AM98" i="3"/>
  <c r="AM102" i="3"/>
  <c r="AM106" i="3"/>
  <c r="AO14" i="3"/>
  <c r="G14" i="15" s="1"/>
  <c r="P14" i="15" s="1"/>
  <c r="AO19" i="3"/>
  <c r="G19" i="15" s="1"/>
  <c r="P19" i="15" s="1"/>
  <c r="AR27" i="3"/>
  <c r="AR39" i="3" s="1"/>
  <c r="AR29" i="3"/>
  <c r="AO29" i="3" s="1"/>
  <c r="G29" i="15" s="1"/>
  <c r="P29" i="15" s="1"/>
  <c r="AR31" i="3"/>
  <c r="AR43" i="3" s="1"/>
  <c r="AR33" i="3"/>
  <c r="AO33" i="3" s="1"/>
  <c r="G33" i="15" s="1"/>
  <c r="P33" i="15" s="1"/>
  <c r="AR35" i="3"/>
  <c r="AR47" i="3" s="1"/>
  <c r="AR37" i="3"/>
  <c r="AO37" i="3" s="1"/>
  <c r="G37" i="15" s="1"/>
  <c r="P37" i="15" s="1"/>
  <c r="AM28" i="3"/>
  <c r="E28" i="25" s="1"/>
  <c r="N28" i="25" s="1"/>
  <c r="AM32" i="3"/>
  <c r="E32" i="25" s="1"/>
  <c r="N32" i="25" s="1"/>
  <c r="AM36" i="3"/>
  <c r="E36" i="25" s="1"/>
  <c r="N36" i="25" s="1"/>
  <c r="AM101" i="3"/>
  <c r="AM105" i="3"/>
  <c r="AM109" i="3"/>
  <c r="AM29" i="3"/>
  <c r="E29" i="25" s="1"/>
  <c r="N29" i="25" s="1"/>
  <c r="AM33" i="3"/>
  <c r="E33" i="25" s="1"/>
  <c r="N33" i="25" s="1"/>
  <c r="AM37" i="3"/>
  <c r="E37" i="25" s="1"/>
  <c r="N37" i="25" s="1"/>
  <c r="AM62" i="3"/>
  <c r="E62" i="25" s="1"/>
  <c r="N62" i="25" s="1"/>
  <c r="AM70" i="3"/>
  <c r="E70" i="25" s="1"/>
  <c r="N70" i="25" s="1"/>
  <c r="AM100" i="3"/>
  <c r="AM104" i="3"/>
  <c r="AM108" i="3"/>
  <c r="AO17" i="3"/>
  <c r="G17" i="15" s="1"/>
  <c r="P17" i="15" s="1"/>
  <c r="AO16" i="3"/>
  <c r="G16" i="15" s="1"/>
  <c r="P16" i="15" s="1"/>
  <c r="AR30" i="3"/>
  <c r="AR42" i="3" s="1"/>
  <c r="AO20" i="3"/>
  <c r="G20" i="15" s="1"/>
  <c r="P20" i="15" s="1"/>
  <c r="AR34" i="3"/>
  <c r="AR46" i="3" s="1"/>
  <c r="AO24" i="3"/>
  <c r="G24" i="15" s="1"/>
  <c r="P24" i="15" s="1"/>
  <c r="AR26" i="3"/>
  <c r="AO26" i="3" s="1"/>
  <c r="G26" i="15" s="1"/>
  <c r="P26" i="15" s="1"/>
  <c r="AH8" i="19"/>
  <c r="AD8" i="19"/>
  <c r="Z8" i="19"/>
  <c r="V8" i="19"/>
  <c r="R8" i="19"/>
  <c r="N8" i="19"/>
  <c r="J8" i="19"/>
  <c r="F8" i="19"/>
  <c r="B7" i="19"/>
  <c r="AM64" i="3"/>
  <c r="E64" i="25" s="1"/>
  <c r="N64" i="25" s="1"/>
  <c r="AM68" i="3"/>
  <c r="E68" i="25" s="1"/>
  <c r="N68" i="25" s="1"/>
  <c r="AM72" i="3"/>
  <c r="E72" i="25" s="1"/>
  <c r="N72" i="25" s="1"/>
  <c r="AM65" i="3"/>
  <c r="E65" i="25" s="1"/>
  <c r="N65" i="25" s="1"/>
  <c r="AM69" i="3"/>
  <c r="E69" i="25" s="1"/>
  <c r="N69" i="25" s="1"/>
  <c r="AM73" i="3"/>
  <c r="E73" i="25" s="1"/>
  <c r="N73" i="25" s="1"/>
  <c r="AR28" i="3"/>
  <c r="AR36" i="3"/>
  <c r="AR44" i="3"/>
  <c r="B242" i="4"/>
  <c r="B245" i="4"/>
  <c r="B251" i="4"/>
  <c r="B252" i="4"/>
  <c r="B253" i="4"/>
  <c r="B254" i="4"/>
  <c r="B256" i="4"/>
  <c r="B257" i="4"/>
  <c r="B258" i="4"/>
  <c r="C259" i="4"/>
  <c r="C260" i="4"/>
  <c r="C261" i="4"/>
  <c r="B262" i="4"/>
  <c r="C263" i="4"/>
  <c r="B263" i="4"/>
  <c r="AO31" i="3" l="1"/>
  <c r="G31" i="15" s="1"/>
  <c r="P31" i="15" s="1"/>
  <c r="AM45" i="3"/>
  <c r="E45" i="25" s="1"/>
  <c r="N45" i="25" s="1"/>
  <c r="AM74" i="3"/>
  <c r="E74" i="25" s="1"/>
  <c r="N74" i="25" s="1"/>
  <c r="AM38" i="3"/>
  <c r="E38" i="25" s="1"/>
  <c r="N38" i="25" s="1"/>
  <c r="AO35" i="3"/>
  <c r="G35" i="15" s="1"/>
  <c r="P35" i="15" s="1"/>
  <c r="AM76" i="3"/>
  <c r="E76" i="25" s="1"/>
  <c r="N76" i="25" s="1"/>
  <c r="AO30" i="3"/>
  <c r="G30" i="15" s="1"/>
  <c r="P30" i="15" s="1"/>
  <c r="AM49" i="3"/>
  <c r="E49" i="25" s="1"/>
  <c r="N49" i="25" s="1"/>
  <c r="AO27" i="3"/>
  <c r="G27" i="15" s="1"/>
  <c r="P27" i="15" s="1"/>
  <c r="AR45" i="3"/>
  <c r="AO45" i="3" s="1"/>
  <c r="G45" i="15" s="1"/>
  <c r="P45" i="15" s="1"/>
  <c r="AM48" i="3"/>
  <c r="E48" i="25" s="1"/>
  <c r="N48" i="25" s="1"/>
  <c r="AM115" i="3"/>
  <c r="BC49" i="3"/>
  <c r="M37" i="9"/>
  <c r="Y37" i="9" s="1"/>
  <c r="J37" i="15"/>
  <c r="S37" i="15" s="1"/>
  <c r="J37" i="7"/>
  <c r="S37" i="7" s="1"/>
  <c r="AU60" i="3"/>
  <c r="H24" i="25"/>
  <c r="Q24" i="25" s="1"/>
  <c r="BC47" i="3"/>
  <c r="M35" i="9"/>
  <c r="Y35" i="9" s="1"/>
  <c r="J35" i="15"/>
  <c r="S35" i="15" s="1"/>
  <c r="J35" i="7"/>
  <c r="S35" i="7" s="1"/>
  <c r="AU58" i="3"/>
  <c r="H22" i="25"/>
  <c r="Q22" i="25" s="1"/>
  <c r="BC45" i="3"/>
  <c r="M33" i="9"/>
  <c r="Y33" i="9" s="1"/>
  <c r="J33" i="15"/>
  <c r="S33" i="15" s="1"/>
  <c r="J33" i="7"/>
  <c r="S33" i="7" s="1"/>
  <c r="AU56" i="3"/>
  <c r="H20" i="25"/>
  <c r="Q20" i="25" s="1"/>
  <c r="AU54" i="3"/>
  <c r="H18" i="25"/>
  <c r="Q18" i="25" s="1"/>
  <c r="BC41" i="3"/>
  <c r="M29" i="9"/>
  <c r="Y29" i="9" s="1"/>
  <c r="J29" i="15"/>
  <c r="S29" i="15" s="1"/>
  <c r="J29" i="7"/>
  <c r="S29" i="7" s="1"/>
  <c r="AU52" i="3"/>
  <c r="H16" i="25"/>
  <c r="Q16" i="25" s="1"/>
  <c r="BC38" i="3"/>
  <c r="M26" i="9"/>
  <c r="Y26" i="9" s="1"/>
  <c r="J26" i="15"/>
  <c r="S26" i="15" s="1"/>
  <c r="J26" i="7"/>
  <c r="S26" i="7" s="1"/>
  <c r="BB49" i="3"/>
  <c r="L37" i="9"/>
  <c r="X37" i="9" s="1"/>
  <c r="AX47" i="3"/>
  <c r="G35" i="11"/>
  <c r="N35" i="11" s="1"/>
  <c r="BB44" i="3"/>
  <c r="L32" i="9"/>
  <c r="X32" i="9" s="1"/>
  <c r="AX42" i="3"/>
  <c r="G30" i="11"/>
  <c r="N30" i="11" s="1"/>
  <c r="BF38" i="3"/>
  <c r="H26" i="11"/>
  <c r="O26" i="11" s="1"/>
  <c r="AS53" i="3"/>
  <c r="G17" i="25"/>
  <c r="P17" i="25" s="1"/>
  <c r="AO34" i="3"/>
  <c r="G34" i="15" s="1"/>
  <c r="P34" i="15" s="1"/>
  <c r="AM77" i="3"/>
  <c r="E77" i="25" s="1"/>
  <c r="N77" i="25" s="1"/>
  <c r="AV49" i="3"/>
  <c r="H37" i="15"/>
  <c r="Q37" i="15" s="1"/>
  <c r="I13" i="25"/>
  <c r="R13" i="25" s="1"/>
  <c r="T13" i="25" s="1"/>
  <c r="H37" i="7"/>
  <c r="Q37" i="7" s="1"/>
  <c r="AZ48" i="3"/>
  <c r="J36" i="9"/>
  <c r="V36" i="9" s="1"/>
  <c r="I36" i="15"/>
  <c r="R36" i="15" s="1"/>
  <c r="I36" i="7"/>
  <c r="R36" i="7" s="1"/>
  <c r="AV45" i="3"/>
  <c r="H33" i="15"/>
  <c r="Q33" i="15" s="1"/>
  <c r="I9" i="25"/>
  <c r="R9" i="25" s="1"/>
  <c r="T9" i="25" s="1"/>
  <c r="H33" i="7"/>
  <c r="Q33" i="7" s="1"/>
  <c r="AV41" i="3"/>
  <c r="H29" i="15"/>
  <c r="Q29" i="15" s="1"/>
  <c r="I5" i="25"/>
  <c r="R5" i="25" s="1"/>
  <c r="T5" i="25" s="1"/>
  <c r="H29" i="7"/>
  <c r="Q29" i="7" s="1"/>
  <c r="AZ40" i="3"/>
  <c r="J28" i="9"/>
  <c r="V28" i="9" s="1"/>
  <c r="I28" i="15"/>
  <c r="R28" i="15" s="1"/>
  <c r="I28" i="7"/>
  <c r="R28" i="7" s="1"/>
  <c r="AS56" i="3"/>
  <c r="G20" i="25"/>
  <c r="P20" i="25" s="1"/>
  <c r="AX48" i="3"/>
  <c r="G36" i="11"/>
  <c r="N36" i="11" s="1"/>
  <c r="BF46" i="3"/>
  <c r="H34" i="11"/>
  <c r="O34" i="11" s="1"/>
  <c r="BF43" i="3"/>
  <c r="H31" i="11"/>
  <c r="O31" i="11" s="1"/>
  <c r="BB41" i="3"/>
  <c r="L29" i="9"/>
  <c r="X29" i="9" s="1"/>
  <c r="AS55" i="3"/>
  <c r="G19" i="25"/>
  <c r="P19" i="25" s="1"/>
  <c r="AZ49" i="3"/>
  <c r="J37" i="9"/>
  <c r="V37" i="9" s="1"/>
  <c r="I37" i="15"/>
  <c r="R37" i="15" s="1"/>
  <c r="I37" i="7"/>
  <c r="R37" i="7" s="1"/>
  <c r="AV46" i="3"/>
  <c r="H34" i="15"/>
  <c r="Q34" i="15" s="1"/>
  <c r="I10" i="25"/>
  <c r="R10" i="25" s="1"/>
  <c r="T10" i="25" s="1"/>
  <c r="H34" i="7"/>
  <c r="Q34" i="7" s="1"/>
  <c r="AZ45" i="3"/>
  <c r="J33" i="9"/>
  <c r="V33" i="9" s="1"/>
  <c r="I33" i="15"/>
  <c r="R33" i="15" s="1"/>
  <c r="I33" i="7"/>
  <c r="R33" i="7" s="1"/>
  <c r="AV42" i="3"/>
  <c r="H30" i="15"/>
  <c r="Q30" i="15" s="1"/>
  <c r="I6" i="25"/>
  <c r="R6" i="25" s="1"/>
  <c r="T6" i="25" s="1"/>
  <c r="H30" i="7"/>
  <c r="Q30" i="7" s="1"/>
  <c r="AZ41" i="3"/>
  <c r="J29" i="9"/>
  <c r="V29" i="9" s="1"/>
  <c r="I29" i="15"/>
  <c r="R29" i="15" s="1"/>
  <c r="I29" i="7"/>
  <c r="R29" i="7" s="1"/>
  <c r="AU61" i="3"/>
  <c r="H25" i="25"/>
  <c r="Q25" i="25" s="1"/>
  <c r="BC48" i="3"/>
  <c r="M36" i="9"/>
  <c r="Y36" i="9" s="1"/>
  <c r="J36" i="15"/>
  <c r="S36" i="15" s="1"/>
  <c r="J36" i="7"/>
  <c r="S36" i="7" s="1"/>
  <c r="AU59" i="3"/>
  <c r="H23" i="25"/>
  <c r="Q23" i="25" s="1"/>
  <c r="BC46" i="3"/>
  <c r="M34" i="9"/>
  <c r="Y34" i="9" s="1"/>
  <c r="J34" i="15"/>
  <c r="S34" i="15" s="1"/>
  <c r="J34" i="7"/>
  <c r="S34" i="7" s="1"/>
  <c r="AU57" i="3"/>
  <c r="H21" i="25"/>
  <c r="Q21" i="25" s="1"/>
  <c r="BC44" i="3"/>
  <c r="M32" i="9"/>
  <c r="Y32" i="9" s="1"/>
  <c r="J32" i="15"/>
  <c r="S32" i="15" s="1"/>
  <c r="J32" i="7"/>
  <c r="S32" i="7" s="1"/>
  <c r="AU55" i="3"/>
  <c r="H19" i="25"/>
  <c r="Q19" i="25" s="1"/>
  <c r="BC42" i="3"/>
  <c r="M30" i="9"/>
  <c r="Y30" i="9" s="1"/>
  <c r="J30" i="15"/>
  <c r="S30" i="15" s="1"/>
  <c r="J30" i="7"/>
  <c r="S30" i="7" s="1"/>
  <c r="AU53" i="3"/>
  <c r="H17" i="25"/>
  <c r="Q17" i="25" s="1"/>
  <c r="BC40" i="3"/>
  <c r="M28" i="9"/>
  <c r="Y28" i="9" s="1"/>
  <c r="J28" i="15"/>
  <c r="S28" i="15" s="1"/>
  <c r="J28" i="7"/>
  <c r="S28" i="7" s="1"/>
  <c r="AU50" i="3"/>
  <c r="H14" i="25"/>
  <c r="Q14" i="25" s="1"/>
  <c r="AX49" i="3"/>
  <c r="G37" i="11"/>
  <c r="N37" i="11" s="1"/>
  <c r="BF47" i="3"/>
  <c r="H35" i="11"/>
  <c r="O35" i="11" s="1"/>
  <c r="BB46" i="3"/>
  <c r="L34" i="9"/>
  <c r="X34" i="9" s="1"/>
  <c r="AX45" i="3"/>
  <c r="G33" i="11"/>
  <c r="N33" i="11" s="1"/>
  <c r="AX44" i="3"/>
  <c r="G32" i="11"/>
  <c r="N32" i="11" s="1"/>
  <c r="BF42" i="3"/>
  <c r="H30" i="11"/>
  <c r="O30" i="11" s="1"/>
  <c r="AX41" i="3"/>
  <c r="G29" i="11"/>
  <c r="N29" i="11" s="1"/>
  <c r="AX40" i="3"/>
  <c r="G28" i="11"/>
  <c r="N28" i="11" s="1"/>
  <c r="AX38" i="3"/>
  <c r="G26" i="11"/>
  <c r="N26" i="11" s="1"/>
  <c r="AS57" i="3"/>
  <c r="G21" i="25"/>
  <c r="P21" i="25" s="1"/>
  <c r="AV48" i="3"/>
  <c r="H36" i="15"/>
  <c r="Q36" i="15" s="1"/>
  <c r="I12" i="25"/>
  <c r="R12" i="25" s="1"/>
  <c r="T12" i="25" s="1"/>
  <c r="H36" i="7"/>
  <c r="Q36" i="7" s="1"/>
  <c r="AZ47" i="3"/>
  <c r="J35" i="9"/>
  <c r="V35" i="9" s="1"/>
  <c r="I35" i="15"/>
  <c r="R35" i="15" s="1"/>
  <c r="I35" i="7"/>
  <c r="R35" i="7" s="1"/>
  <c r="AV44" i="3"/>
  <c r="H32" i="15"/>
  <c r="Q32" i="15" s="1"/>
  <c r="I8" i="25"/>
  <c r="R8" i="25" s="1"/>
  <c r="T8" i="25" s="1"/>
  <c r="H32" i="7"/>
  <c r="Q32" i="7" s="1"/>
  <c r="AZ43" i="3"/>
  <c r="J31" i="9"/>
  <c r="V31" i="9" s="1"/>
  <c r="I31" i="15"/>
  <c r="R31" i="15" s="1"/>
  <c r="I31" i="7"/>
  <c r="R31" i="7" s="1"/>
  <c r="AV40" i="3"/>
  <c r="H28" i="15"/>
  <c r="Q28" i="15" s="1"/>
  <c r="I4" i="25"/>
  <c r="R4" i="25" s="1"/>
  <c r="T4" i="25" s="1"/>
  <c r="H28" i="7"/>
  <c r="Q28" i="7" s="1"/>
  <c r="AZ38" i="3"/>
  <c r="J26" i="9"/>
  <c r="V26" i="9" s="1"/>
  <c r="I26" i="15"/>
  <c r="R26" i="15" s="1"/>
  <c r="I26" i="7"/>
  <c r="R26" i="7" s="1"/>
  <c r="BC43" i="3"/>
  <c r="M31" i="9"/>
  <c r="Y31" i="9" s="1"/>
  <c r="J31" i="15"/>
  <c r="S31" i="15" s="1"/>
  <c r="J31" i="7"/>
  <c r="S31" i="7" s="1"/>
  <c r="BB48" i="3"/>
  <c r="L36" i="9"/>
  <c r="X36" i="9" s="1"/>
  <c r="BF45" i="3"/>
  <c r="H33" i="11"/>
  <c r="O33" i="11" s="1"/>
  <c r="BB43" i="3"/>
  <c r="L31" i="9"/>
  <c r="X31" i="9" s="1"/>
  <c r="BB40" i="3"/>
  <c r="L28" i="9"/>
  <c r="X28" i="9" s="1"/>
  <c r="AS61" i="3"/>
  <c r="G25" i="25"/>
  <c r="P25" i="25" s="1"/>
  <c r="AZ44" i="3"/>
  <c r="J32" i="9"/>
  <c r="V32" i="9" s="1"/>
  <c r="I32" i="15"/>
  <c r="R32" i="15" s="1"/>
  <c r="I32" i="7"/>
  <c r="R32" i="7" s="1"/>
  <c r="AS60" i="3"/>
  <c r="G24" i="25"/>
  <c r="P24" i="25" s="1"/>
  <c r="AS52" i="3"/>
  <c r="G16" i="25"/>
  <c r="P16" i="25" s="1"/>
  <c r="BF49" i="3"/>
  <c r="H37" i="11"/>
  <c r="O37" i="11" s="1"/>
  <c r="BB45" i="3"/>
  <c r="L33" i="9"/>
  <c r="X33" i="9" s="1"/>
  <c r="BB42" i="3"/>
  <c r="L30" i="9"/>
  <c r="X30" i="9" s="1"/>
  <c r="BB38" i="3"/>
  <c r="L26" i="9"/>
  <c r="X26" i="9" s="1"/>
  <c r="BA48" i="3"/>
  <c r="K36" i="9"/>
  <c r="W36" i="9" s="1"/>
  <c r="BA46" i="3"/>
  <c r="K34" i="9"/>
  <c r="W34" i="9" s="1"/>
  <c r="BA44" i="3"/>
  <c r="K32" i="9"/>
  <c r="W32" i="9" s="1"/>
  <c r="BA42" i="3"/>
  <c r="K30" i="9"/>
  <c r="W30" i="9" s="1"/>
  <c r="BA40" i="3"/>
  <c r="K28" i="9"/>
  <c r="W28" i="9" s="1"/>
  <c r="BA38" i="3"/>
  <c r="K26" i="9"/>
  <c r="W26" i="9" s="1"/>
  <c r="AC13" i="21"/>
  <c r="BA47" i="3"/>
  <c r="K35" i="9"/>
  <c r="W35" i="9" s="1"/>
  <c r="BA45" i="3"/>
  <c r="K33" i="9"/>
  <c r="W33" i="9" s="1"/>
  <c r="BA43" i="3"/>
  <c r="K31" i="9"/>
  <c r="W31" i="9" s="1"/>
  <c r="BA41" i="3"/>
  <c r="K29" i="9"/>
  <c r="W29" i="9" s="1"/>
  <c r="AR49" i="3"/>
  <c r="AO49" i="3" s="1"/>
  <c r="G49" i="15" s="1"/>
  <c r="P49" i="15" s="1"/>
  <c r="AR41" i="3"/>
  <c r="AO41" i="3" s="1"/>
  <c r="G41" i="15" s="1"/>
  <c r="P41" i="15" s="1"/>
  <c r="AM80" i="3"/>
  <c r="E80" i="25" s="1"/>
  <c r="N80" i="25" s="1"/>
  <c r="X13" i="21"/>
  <c r="AV47" i="3"/>
  <c r="H35" i="15"/>
  <c r="Q35" i="15" s="1"/>
  <c r="I11" i="25"/>
  <c r="R11" i="25" s="1"/>
  <c r="T11" i="25" s="1"/>
  <c r="H35" i="7"/>
  <c r="Q35" i="7" s="1"/>
  <c r="AZ46" i="3"/>
  <c r="J34" i="9"/>
  <c r="V34" i="9" s="1"/>
  <c r="I34" i="15"/>
  <c r="R34" i="15" s="1"/>
  <c r="I34" i="7"/>
  <c r="R34" i="7" s="1"/>
  <c r="AV43" i="3"/>
  <c r="H31" i="15"/>
  <c r="Q31" i="15" s="1"/>
  <c r="I7" i="25"/>
  <c r="R7" i="25" s="1"/>
  <c r="T7" i="25" s="1"/>
  <c r="H31" i="7"/>
  <c r="Q31" i="7" s="1"/>
  <c r="AZ42" i="3"/>
  <c r="J30" i="9"/>
  <c r="V30" i="9" s="1"/>
  <c r="I30" i="15"/>
  <c r="R30" i="15" s="1"/>
  <c r="I30" i="7"/>
  <c r="R30" i="7" s="1"/>
  <c r="AV38" i="3"/>
  <c r="H26" i="15"/>
  <c r="Q26" i="15" s="1"/>
  <c r="I2" i="25"/>
  <c r="R2" i="25" s="1"/>
  <c r="T2" i="25" s="1"/>
  <c r="H26" i="7"/>
  <c r="Q26" i="7" s="1"/>
  <c r="AS58" i="3"/>
  <c r="G22" i="25"/>
  <c r="P22" i="25" s="1"/>
  <c r="AS54" i="3"/>
  <c r="G18" i="25"/>
  <c r="P18" i="25" s="1"/>
  <c r="AS50" i="3"/>
  <c r="G14" i="25"/>
  <c r="P14" i="25" s="1"/>
  <c r="BF48" i="3"/>
  <c r="H36" i="11"/>
  <c r="O36" i="11" s="1"/>
  <c r="BB47" i="3"/>
  <c r="L35" i="9"/>
  <c r="X35" i="9" s="1"/>
  <c r="AX46" i="3"/>
  <c r="G34" i="11"/>
  <c r="N34" i="11" s="1"/>
  <c r="BF44" i="3"/>
  <c r="H32" i="11"/>
  <c r="O32" i="11" s="1"/>
  <c r="AX43" i="3"/>
  <c r="G31" i="11"/>
  <c r="N31" i="11" s="1"/>
  <c r="BF41" i="3"/>
  <c r="H29" i="11"/>
  <c r="O29" i="11" s="1"/>
  <c r="BF40" i="3"/>
  <c r="H28" i="11"/>
  <c r="O28" i="11" s="1"/>
  <c r="AS59" i="3"/>
  <c r="G23" i="25"/>
  <c r="P23" i="25" s="1"/>
  <c r="AW49" i="3"/>
  <c r="I37" i="9"/>
  <c r="U37" i="9" s="1"/>
  <c r="AW48" i="3"/>
  <c r="I36" i="9"/>
  <c r="U36" i="9" s="1"/>
  <c r="AW46" i="3"/>
  <c r="I34" i="9"/>
  <c r="U34" i="9" s="1"/>
  <c r="AW44" i="3"/>
  <c r="I32" i="9"/>
  <c r="U32" i="9" s="1"/>
  <c r="AW42" i="3"/>
  <c r="I30" i="9"/>
  <c r="U30" i="9" s="1"/>
  <c r="AW40" i="3"/>
  <c r="I28" i="9"/>
  <c r="U28" i="9" s="1"/>
  <c r="AW38" i="3"/>
  <c r="I26" i="9"/>
  <c r="U26" i="9" s="1"/>
  <c r="BA49" i="3"/>
  <c r="K37" i="9"/>
  <c r="W37" i="9" s="1"/>
  <c r="AW47" i="3"/>
  <c r="I35" i="9"/>
  <c r="U35" i="9" s="1"/>
  <c r="AW45" i="3"/>
  <c r="I33" i="9"/>
  <c r="U33" i="9" s="1"/>
  <c r="AW43" i="3"/>
  <c r="I31" i="9"/>
  <c r="U31" i="9" s="1"/>
  <c r="AW41" i="3"/>
  <c r="I29" i="9"/>
  <c r="U29" i="9" s="1"/>
  <c r="BA39" i="3"/>
  <c r="K27" i="9"/>
  <c r="W27" i="9" s="1"/>
  <c r="AV39" i="3"/>
  <c r="H27" i="15"/>
  <c r="Q27" i="15" s="1"/>
  <c r="I3" i="25"/>
  <c r="R3" i="25" s="1"/>
  <c r="T3" i="25" s="1"/>
  <c r="H27" i="7"/>
  <c r="Q27" i="7" s="1"/>
  <c r="BB39" i="3"/>
  <c r="L27" i="9"/>
  <c r="X27" i="9" s="1"/>
  <c r="AS51" i="3"/>
  <c r="G15" i="25"/>
  <c r="P15" i="25" s="1"/>
  <c r="AZ39" i="3"/>
  <c r="J27" i="9"/>
  <c r="V27" i="9" s="1"/>
  <c r="I27" i="15"/>
  <c r="R27" i="15" s="1"/>
  <c r="I27" i="7"/>
  <c r="R27" i="7" s="1"/>
  <c r="AU51" i="3"/>
  <c r="H15" i="25"/>
  <c r="Q15" i="25" s="1"/>
  <c r="AW39" i="3"/>
  <c r="I27" i="9"/>
  <c r="U27" i="9" s="1"/>
  <c r="BF39" i="3"/>
  <c r="H27" i="11"/>
  <c r="O27" i="11" s="1"/>
  <c r="AX39" i="3"/>
  <c r="G27" i="11"/>
  <c r="N27" i="11" s="1"/>
  <c r="BC39" i="3"/>
  <c r="M27" i="9"/>
  <c r="Y27" i="9" s="1"/>
  <c r="J27" i="15"/>
  <c r="S27" i="15" s="1"/>
  <c r="J27" i="7"/>
  <c r="S27" i="7" s="1"/>
  <c r="J142" i="16"/>
  <c r="V142" i="16" s="1"/>
  <c r="V130" i="16"/>
  <c r="M85" i="16"/>
  <c r="Y73" i="16"/>
  <c r="I54" i="16"/>
  <c r="U42" i="16"/>
  <c r="M139" i="16"/>
  <c r="Y139" i="16" s="1"/>
  <c r="Y127" i="16"/>
  <c r="L77" i="16"/>
  <c r="X65" i="16"/>
  <c r="K50" i="16"/>
  <c r="W38" i="16"/>
  <c r="I53" i="16"/>
  <c r="U41" i="16"/>
  <c r="L59" i="16"/>
  <c r="X47" i="16"/>
  <c r="L93" i="16"/>
  <c r="X81" i="16"/>
  <c r="J50" i="16"/>
  <c r="V38" i="16"/>
  <c r="M53" i="16"/>
  <c r="Y41" i="16"/>
  <c r="L64" i="16"/>
  <c r="X52" i="16"/>
  <c r="M143" i="16"/>
  <c r="Y143" i="16" s="1"/>
  <c r="Y131" i="16"/>
  <c r="K94" i="16"/>
  <c r="W82" i="16"/>
  <c r="I84" i="16"/>
  <c r="U72" i="16"/>
  <c r="M64" i="16"/>
  <c r="Y52" i="16"/>
  <c r="M84" i="16"/>
  <c r="Y72" i="16"/>
  <c r="G138" i="16"/>
  <c r="S138" i="16" s="1"/>
  <c r="S126" i="16"/>
  <c r="S124" i="16"/>
  <c r="G136" i="16"/>
  <c r="S136" i="16" s="1"/>
  <c r="S132" i="16"/>
  <c r="G144" i="16"/>
  <c r="S144" i="16" s="1"/>
  <c r="I58" i="16"/>
  <c r="U46" i="16"/>
  <c r="I139" i="16"/>
  <c r="U139" i="16" s="1"/>
  <c r="U127" i="16"/>
  <c r="K59" i="16"/>
  <c r="W47" i="16"/>
  <c r="M50" i="16"/>
  <c r="Y38" i="16"/>
  <c r="I143" i="16"/>
  <c r="U143" i="16" s="1"/>
  <c r="U131" i="16"/>
  <c r="I85" i="16"/>
  <c r="U73" i="16"/>
  <c r="M54" i="16"/>
  <c r="Y42" i="16"/>
  <c r="I88" i="16"/>
  <c r="U76" i="16"/>
  <c r="L58" i="16"/>
  <c r="X46" i="16"/>
  <c r="L85" i="16"/>
  <c r="X73" i="16"/>
  <c r="K52" i="16"/>
  <c r="W40" i="16"/>
  <c r="K54" i="16"/>
  <c r="W42" i="16"/>
  <c r="G137" i="16"/>
  <c r="S137" i="16" s="1"/>
  <c r="S125" i="16"/>
  <c r="S133" i="16"/>
  <c r="G145" i="16"/>
  <c r="S145" i="16" s="1"/>
  <c r="S128" i="16"/>
  <c r="G140" i="16"/>
  <c r="S140" i="16" s="1"/>
  <c r="L60" i="16"/>
  <c r="X48" i="16"/>
  <c r="J60" i="16"/>
  <c r="V48" i="16"/>
  <c r="K51" i="16"/>
  <c r="W39" i="16"/>
  <c r="L55" i="16"/>
  <c r="X43" i="16"/>
  <c r="J91" i="16"/>
  <c r="V79" i="16"/>
  <c r="M51" i="16"/>
  <c r="Y39" i="16"/>
  <c r="J59" i="16"/>
  <c r="V47" i="16"/>
  <c r="S129" i="16"/>
  <c r="G141" i="16"/>
  <c r="S141" i="16" s="1"/>
  <c r="G139" i="16"/>
  <c r="S139" i="16" s="1"/>
  <c r="S127" i="16"/>
  <c r="I80" i="16"/>
  <c r="U68" i="16"/>
  <c r="J56" i="16"/>
  <c r="V44" i="16"/>
  <c r="K141" i="16"/>
  <c r="W141" i="16" s="1"/>
  <c r="W129" i="16"/>
  <c r="J57" i="16"/>
  <c r="V45" i="16"/>
  <c r="L51" i="16"/>
  <c r="X39" i="16"/>
  <c r="J87" i="16"/>
  <c r="V75" i="16"/>
  <c r="G135" i="16"/>
  <c r="S135" i="16" s="1"/>
  <c r="S123" i="16"/>
  <c r="G143" i="16"/>
  <c r="S143" i="16" s="1"/>
  <c r="S131" i="16"/>
  <c r="K56" i="16"/>
  <c r="W44" i="16"/>
  <c r="M92" i="16"/>
  <c r="Y80" i="16"/>
  <c r="I51" i="16"/>
  <c r="U39" i="16"/>
  <c r="M57" i="16"/>
  <c r="Y45" i="16"/>
  <c r="L140" i="16"/>
  <c r="X140" i="16" s="1"/>
  <c r="X128" i="16"/>
  <c r="J52" i="16"/>
  <c r="V40" i="16"/>
  <c r="K145" i="16"/>
  <c r="W145" i="16" s="1"/>
  <c r="W133" i="16"/>
  <c r="J53" i="16"/>
  <c r="V41" i="16"/>
  <c r="M58" i="16"/>
  <c r="Y46" i="16"/>
  <c r="I57" i="16"/>
  <c r="U45" i="16"/>
  <c r="K137" i="16"/>
  <c r="W137" i="16" s="1"/>
  <c r="W125" i="16"/>
  <c r="J138" i="16"/>
  <c r="V138" i="16" s="1"/>
  <c r="V126" i="16"/>
  <c r="I50" i="16"/>
  <c r="U38" i="16"/>
  <c r="L50" i="16"/>
  <c r="X38" i="16"/>
  <c r="K55" i="16"/>
  <c r="W43" i="16"/>
  <c r="L54" i="16"/>
  <c r="X42" i="16"/>
  <c r="S122" i="16"/>
  <c r="G134" i="16"/>
  <c r="S134" i="16" s="1"/>
  <c r="G142" i="16"/>
  <c r="S142" i="16" s="1"/>
  <c r="S130" i="16"/>
  <c r="S13" i="21"/>
  <c r="G13" i="21"/>
  <c r="B13" i="21"/>
  <c r="T7" i="20"/>
  <c r="AB6" i="20"/>
  <c r="AT5" i="20"/>
  <c r="K8" i="20"/>
  <c r="B9" i="20"/>
  <c r="AM84" i="3"/>
  <c r="E84" i="25" s="1"/>
  <c r="N84" i="25" s="1"/>
  <c r="AM40" i="3"/>
  <c r="E40" i="25" s="1"/>
  <c r="N40" i="25" s="1"/>
  <c r="AM117" i="3"/>
  <c r="AM112" i="3"/>
  <c r="AM113" i="3"/>
  <c r="AM85" i="3"/>
  <c r="E85" i="25" s="1"/>
  <c r="N85" i="25" s="1"/>
  <c r="AM41" i="3"/>
  <c r="E41" i="25" s="1"/>
  <c r="N41" i="25" s="1"/>
  <c r="AM114" i="3"/>
  <c r="AM43" i="3"/>
  <c r="E43" i="25" s="1"/>
  <c r="N43" i="25" s="1"/>
  <c r="AM79" i="3"/>
  <c r="E79" i="25" s="1"/>
  <c r="N79" i="25" s="1"/>
  <c r="AM42" i="3"/>
  <c r="E42" i="25" s="1"/>
  <c r="N42" i="25" s="1"/>
  <c r="AM78" i="3"/>
  <c r="E78" i="25" s="1"/>
  <c r="N78" i="25" s="1"/>
  <c r="AR38" i="3"/>
  <c r="AM118" i="3"/>
  <c r="AM44" i="3"/>
  <c r="E44" i="25" s="1"/>
  <c r="N44" i="25" s="1"/>
  <c r="AM120" i="3"/>
  <c r="AM121" i="3"/>
  <c r="AM93" i="3"/>
  <c r="E93" i="25" s="1"/>
  <c r="N93" i="25" s="1"/>
  <c r="AM116" i="3"/>
  <c r="AM110" i="3"/>
  <c r="AM81" i="3"/>
  <c r="E81" i="25" s="1"/>
  <c r="N81" i="25" s="1"/>
  <c r="AM83" i="3"/>
  <c r="E83" i="25" s="1"/>
  <c r="N83" i="25" s="1"/>
  <c r="AM47" i="3"/>
  <c r="E47" i="25" s="1"/>
  <c r="N47" i="25" s="1"/>
  <c r="AM82" i="3"/>
  <c r="E82" i="25" s="1"/>
  <c r="N82" i="25" s="1"/>
  <c r="AM46" i="3"/>
  <c r="E46" i="25" s="1"/>
  <c r="N46" i="25" s="1"/>
  <c r="AH9" i="19"/>
  <c r="AD9" i="19"/>
  <c r="Z9" i="19"/>
  <c r="V9" i="19"/>
  <c r="R9" i="19"/>
  <c r="N9" i="19"/>
  <c r="J9" i="19"/>
  <c r="F9" i="19"/>
  <c r="B8" i="19"/>
  <c r="AR59" i="3"/>
  <c r="AO47" i="3"/>
  <c r="G47" i="15" s="1"/>
  <c r="P47" i="15" s="1"/>
  <c r="AR55" i="3"/>
  <c r="AO43" i="3"/>
  <c r="G43" i="15" s="1"/>
  <c r="P43" i="15" s="1"/>
  <c r="AR51" i="3"/>
  <c r="AO39" i="3"/>
  <c r="G39" i="15" s="1"/>
  <c r="P39" i="15" s="1"/>
  <c r="AO46" i="3"/>
  <c r="G46" i="15" s="1"/>
  <c r="P46" i="15" s="1"/>
  <c r="AR58" i="3"/>
  <c r="AR54" i="3"/>
  <c r="AO42" i="3"/>
  <c r="G42" i="15" s="1"/>
  <c r="P42" i="15" s="1"/>
  <c r="AO28" i="3"/>
  <c r="G28" i="15" s="1"/>
  <c r="P28" i="15" s="1"/>
  <c r="AR40" i="3"/>
  <c r="AO44" i="3"/>
  <c r="G44" i="15" s="1"/>
  <c r="P44" i="15" s="1"/>
  <c r="AR56" i="3"/>
  <c r="AO36" i="3"/>
  <c r="G36" i="15" s="1"/>
  <c r="P36" i="15" s="1"/>
  <c r="AR48" i="3"/>
  <c r="E121" i="7"/>
  <c r="N121" i="7" s="1"/>
  <c r="D121" i="7"/>
  <c r="M121" i="7" s="1"/>
  <c r="A121" i="7"/>
  <c r="B121" i="7" s="1"/>
  <c r="E120" i="7"/>
  <c r="N120" i="7" s="1"/>
  <c r="D120" i="7"/>
  <c r="M120" i="7" s="1"/>
  <c r="A120" i="7"/>
  <c r="B120" i="7" s="1"/>
  <c r="E119" i="7"/>
  <c r="N119" i="7" s="1"/>
  <c r="D119" i="7"/>
  <c r="M119" i="7" s="1"/>
  <c r="A119" i="7"/>
  <c r="B119" i="7" s="1"/>
  <c r="E118" i="7"/>
  <c r="N118" i="7" s="1"/>
  <c r="D118" i="7"/>
  <c r="M118" i="7" s="1"/>
  <c r="A118" i="7"/>
  <c r="B118" i="7" s="1"/>
  <c r="E117" i="7"/>
  <c r="N117" i="7" s="1"/>
  <c r="D117" i="7"/>
  <c r="M117" i="7" s="1"/>
  <c r="A117" i="7"/>
  <c r="B117" i="7" s="1"/>
  <c r="E116" i="7"/>
  <c r="N116" i="7" s="1"/>
  <c r="D116" i="7"/>
  <c r="M116" i="7" s="1"/>
  <c r="E115" i="7"/>
  <c r="N115" i="7" s="1"/>
  <c r="D115" i="7"/>
  <c r="M115" i="7" s="1"/>
  <c r="E114" i="7"/>
  <c r="N114" i="7" s="1"/>
  <c r="D114" i="7"/>
  <c r="M114" i="7" s="1"/>
  <c r="E113" i="7"/>
  <c r="N113" i="7" s="1"/>
  <c r="D113" i="7"/>
  <c r="M113" i="7" s="1"/>
  <c r="E112" i="7"/>
  <c r="N112" i="7" s="1"/>
  <c r="D112" i="7"/>
  <c r="M112" i="7" s="1"/>
  <c r="E111" i="7"/>
  <c r="N111" i="7" s="1"/>
  <c r="D111" i="7"/>
  <c r="M111" i="7" s="1"/>
  <c r="E110" i="7"/>
  <c r="N110" i="7" s="1"/>
  <c r="D110" i="7"/>
  <c r="M110" i="7" s="1"/>
  <c r="E109" i="7"/>
  <c r="N109" i="7" s="1"/>
  <c r="D109" i="7"/>
  <c r="M109" i="7" s="1"/>
  <c r="E108" i="7"/>
  <c r="N108" i="7" s="1"/>
  <c r="D108" i="7"/>
  <c r="M108" i="7" s="1"/>
  <c r="E107" i="7"/>
  <c r="N107" i="7" s="1"/>
  <c r="D107" i="7"/>
  <c r="M107" i="7" s="1"/>
  <c r="E106" i="7"/>
  <c r="N106" i="7" s="1"/>
  <c r="D106" i="7"/>
  <c r="M106" i="7" s="1"/>
  <c r="E105" i="7"/>
  <c r="N105" i="7" s="1"/>
  <c r="D105" i="7"/>
  <c r="M105" i="7" s="1"/>
  <c r="E104" i="7"/>
  <c r="N104" i="7" s="1"/>
  <c r="D104" i="7"/>
  <c r="M104" i="7" s="1"/>
  <c r="E103" i="7"/>
  <c r="N103" i="7" s="1"/>
  <c r="D103" i="7"/>
  <c r="M103" i="7" s="1"/>
  <c r="E102" i="7"/>
  <c r="N102" i="7" s="1"/>
  <c r="D102" i="7"/>
  <c r="M102" i="7" s="1"/>
  <c r="E101" i="7"/>
  <c r="N101" i="7" s="1"/>
  <c r="D101" i="7"/>
  <c r="M101" i="7" s="1"/>
  <c r="E100" i="7"/>
  <c r="N100" i="7" s="1"/>
  <c r="D100" i="7"/>
  <c r="M100" i="7" s="1"/>
  <c r="E99" i="7"/>
  <c r="N99" i="7" s="1"/>
  <c r="D99" i="7"/>
  <c r="M99" i="7" s="1"/>
  <c r="E98" i="7"/>
  <c r="N98" i="7" s="1"/>
  <c r="D98" i="7"/>
  <c r="M98" i="7" s="1"/>
  <c r="F121" i="9"/>
  <c r="R121" i="9" s="1"/>
  <c r="E121" i="9"/>
  <c r="Q121" i="9" s="1"/>
  <c r="A121" i="9"/>
  <c r="B121" i="9" s="1"/>
  <c r="F120" i="9"/>
  <c r="R120" i="9" s="1"/>
  <c r="E120" i="9"/>
  <c r="Q120" i="9" s="1"/>
  <c r="A120" i="9"/>
  <c r="B120" i="9" s="1"/>
  <c r="F119" i="9"/>
  <c r="R119" i="9" s="1"/>
  <c r="E119" i="9"/>
  <c r="Q119" i="9" s="1"/>
  <c r="A119" i="9"/>
  <c r="B119" i="9" s="1"/>
  <c r="F118" i="9"/>
  <c r="R118" i="9" s="1"/>
  <c r="E118" i="9"/>
  <c r="Q118" i="9" s="1"/>
  <c r="A118" i="9"/>
  <c r="B118" i="9" s="1"/>
  <c r="F117" i="9"/>
  <c r="R117" i="9" s="1"/>
  <c r="E117" i="9"/>
  <c r="Q117" i="9" s="1"/>
  <c r="A117" i="9"/>
  <c r="B117" i="9" s="1"/>
  <c r="F116" i="9"/>
  <c r="R116" i="9" s="1"/>
  <c r="E116" i="9"/>
  <c r="Q116" i="9" s="1"/>
  <c r="F115" i="9"/>
  <c r="R115" i="9" s="1"/>
  <c r="E115" i="9"/>
  <c r="Q115" i="9" s="1"/>
  <c r="F114" i="9"/>
  <c r="R114" i="9" s="1"/>
  <c r="E114" i="9"/>
  <c r="Q114" i="9" s="1"/>
  <c r="F113" i="9"/>
  <c r="R113" i="9" s="1"/>
  <c r="E113" i="9"/>
  <c r="Q113" i="9" s="1"/>
  <c r="F112" i="9"/>
  <c r="R112" i="9" s="1"/>
  <c r="E112" i="9"/>
  <c r="Q112" i="9" s="1"/>
  <c r="F111" i="9"/>
  <c r="R111" i="9" s="1"/>
  <c r="E111" i="9"/>
  <c r="Q111" i="9" s="1"/>
  <c r="F110" i="9"/>
  <c r="R110" i="9" s="1"/>
  <c r="E110" i="9"/>
  <c r="Q110" i="9" s="1"/>
  <c r="F109" i="9"/>
  <c r="R109" i="9" s="1"/>
  <c r="E109" i="9"/>
  <c r="Q109" i="9" s="1"/>
  <c r="F108" i="9"/>
  <c r="R108" i="9" s="1"/>
  <c r="E108" i="9"/>
  <c r="Q108" i="9" s="1"/>
  <c r="F107" i="9"/>
  <c r="R107" i="9" s="1"/>
  <c r="E107" i="9"/>
  <c r="Q107" i="9" s="1"/>
  <c r="F106" i="9"/>
  <c r="R106" i="9" s="1"/>
  <c r="E106" i="9"/>
  <c r="Q106" i="9" s="1"/>
  <c r="F105" i="9"/>
  <c r="R105" i="9" s="1"/>
  <c r="E105" i="9"/>
  <c r="Q105" i="9" s="1"/>
  <c r="F104" i="9"/>
  <c r="R104" i="9" s="1"/>
  <c r="E104" i="9"/>
  <c r="Q104" i="9" s="1"/>
  <c r="F103" i="9"/>
  <c r="R103" i="9" s="1"/>
  <c r="E103" i="9"/>
  <c r="Q103" i="9" s="1"/>
  <c r="F102" i="9"/>
  <c r="R102" i="9" s="1"/>
  <c r="E102" i="9"/>
  <c r="Q102" i="9" s="1"/>
  <c r="F101" i="9"/>
  <c r="R101" i="9" s="1"/>
  <c r="E101" i="9"/>
  <c r="Q101" i="9" s="1"/>
  <c r="F100" i="9"/>
  <c r="R100" i="9" s="1"/>
  <c r="E100" i="9"/>
  <c r="Q100" i="9" s="1"/>
  <c r="F99" i="9"/>
  <c r="R99" i="9" s="1"/>
  <c r="E99" i="9"/>
  <c r="Q99" i="9" s="1"/>
  <c r="F98" i="9"/>
  <c r="R98" i="9" s="1"/>
  <c r="E98" i="9"/>
  <c r="Q98" i="9" s="1"/>
  <c r="A121" i="11"/>
  <c r="B121" i="11" s="1"/>
  <c r="A120" i="11"/>
  <c r="B120" i="11" s="1"/>
  <c r="A119" i="11"/>
  <c r="B119" i="11" s="1"/>
  <c r="A118" i="11"/>
  <c r="B118" i="11" s="1"/>
  <c r="A117" i="11"/>
  <c r="B117" i="11" s="1"/>
  <c r="L27" i="24"/>
  <c r="K27" i="24"/>
  <c r="J27" i="24"/>
  <c r="I27" i="24"/>
  <c r="H27" i="24"/>
  <c r="G27" i="24"/>
  <c r="F27" i="24"/>
  <c r="E27" i="24"/>
  <c r="D27" i="24"/>
  <c r="C27" i="24"/>
  <c r="L26" i="24"/>
  <c r="K26" i="24"/>
  <c r="J26" i="24"/>
  <c r="I26" i="24"/>
  <c r="H26" i="24"/>
  <c r="G26" i="24"/>
  <c r="F26" i="24"/>
  <c r="E26" i="24"/>
  <c r="D26" i="24"/>
  <c r="C26" i="24"/>
  <c r="L25" i="24"/>
  <c r="K25" i="24"/>
  <c r="J25" i="24"/>
  <c r="I25" i="24"/>
  <c r="H25" i="24"/>
  <c r="G25" i="24"/>
  <c r="F25" i="24"/>
  <c r="E25" i="24"/>
  <c r="D25" i="24"/>
  <c r="C25" i="24"/>
  <c r="E24" i="24"/>
  <c r="F24" i="24" s="1"/>
  <c r="G24" i="24" s="1"/>
  <c r="H24" i="24" s="1"/>
  <c r="I24" i="24" s="1"/>
  <c r="J24" i="24" s="1"/>
  <c r="K24" i="24" s="1"/>
  <c r="L24" i="24" s="1"/>
  <c r="M24" i="24" s="1"/>
  <c r="N24" i="24" s="1"/>
  <c r="F64" i="24"/>
  <c r="F71" i="24" s="1"/>
  <c r="F51" i="24"/>
  <c r="F58" i="24" s="1"/>
  <c r="F38" i="24"/>
  <c r="E17" i="24"/>
  <c r="F17" i="24" s="1"/>
  <c r="G17" i="24" s="1"/>
  <c r="H17" i="24" s="1"/>
  <c r="I17" i="24" s="1"/>
  <c r="J17" i="24" s="1"/>
  <c r="K17" i="24" s="1"/>
  <c r="L17" i="24" s="1"/>
  <c r="M17" i="24" s="1"/>
  <c r="N17" i="24" s="1"/>
  <c r="E10" i="24"/>
  <c r="F10" i="24" s="1"/>
  <c r="G10" i="24" s="1"/>
  <c r="H10" i="24" s="1"/>
  <c r="I10" i="24" s="1"/>
  <c r="J10" i="24" s="1"/>
  <c r="K10" i="24" s="1"/>
  <c r="L10" i="24" s="1"/>
  <c r="M10" i="24" s="1"/>
  <c r="N10" i="24" s="1"/>
  <c r="E3" i="24"/>
  <c r="F3" i="24" s="1"/>
  <c r="G3" i="24" s="1"/>
  <c r="H3" i="24" s="1"/>
  <c r="I3" i="24" s="1"/>
  <c r="J3" i="24" s="1"/>
  <c r="K3" i="24" s="1"/>
  <c r="L3" i="24" s="1"/>
  <c r="M3" i="24" s="1"/>
  <c r="N3" i="24" s="1"/>
  <c r="B53" i="24"/>
  <c r="B54" i="24" s="1"/>
  <c r="B55" i="24" s="1"/>
  <c r="B56" i="24" s="1"/>
  <c r="E71" i="24"/>
  <c r="D71" i="24"/>
  <c r="C71" i="24"/>
  <c r="B66" i="24"/>
  <c r="B67" i="24" s="1"/>
  <c r="B68" i="24" s="1"/>
  <c r="B69" i="24" s="1"/>
  <c r="E63" i="24"/>
  <c r="F63" i="24" s="1"/>
  <c r="G63" i="24" s="1"/>
  <c r="H63" i="24" s="1"/>
  <c r="I63" i="24" s="1"/>
  <c r="J63" i="24" s="1"/>
  <c r="K63" i="24" s="1"/>
  <c r="L63" i="24" s="1"/>
  <c r="M63" i="24" s="1"/>
  <c r="N63" i="24" s="1"/>
  <c r="E58" i="24"/>
  <c r="D58" i="24"/>
  <c r="C58" i="24"/>
  <c r="E50" i="24"/>
  <c r="F50" i="24" s="1"/>
  <c r="G50" i="24" s="1"/>
  <c r="H50" i="24" s="1"/>
  <c r="I50" i="24" s="1"/>
  <c r="J50" i="24" s="1"/>
  <c r="K50" i="24" s="1"/>
  <c r="L50" i="24" s="1"/>
  <c r="M50" i="24" s="1"/>
  <c r="N50" i="24" s="1"/>
  <c r="E45" i="24"/>
  <c r="D45" i="24"/>
  <c r="C45" i="24"/>
  <c r="B40" i="24"/>
  <c r="B41" i="24" s="1"/>
  <c r="B42" i="24" s="1"/>
  <c r="B43" i="24" s="1"/>
  <c r="E37" i="24"/>
  <c r="F37" i="24" s="1"/>
  <c r="G37" i="24" s="1"/>
  <c r="H37" i="24" s="1"/>
  <c r="I37" i="24" s="1"/>
  <c r="J37" i="24" s="1"/>
  <c r="K37" i="24" s="1"/>
  <c r="L37" i="24" s="1"/>
  <c r="M37" i="24" s="1"/>
  <c r="N37" i="24" s="1"/>
  <c r="AM86" i="3" l="1"/>
  <c r="E86" i="25" s="1"/>
  <c r="N86" i="25" s="1"/>
  <c r="AR53" i="3"/>
  <c r="AR57" i="3"/>
  <c r="AR69" i="3" s="1"/>
  <c r="BF5" i="20"/>
  <c r="AM96" i="3"/>
  <c r="E96" i="25" s="1"/>
  <c r="N96" i="25" s="1"/>
  <c r="AM97" i="3"/>
  <c r="E97" i="25" s="1"/>
  <c r="N97" i="25" s="1"/>
  <c r="AR61" i="3"/>
  <c r="AO61" i="3" s="1"/>
  <c r="G61" i="15" s="1"/>
  <c r="P61" i="15" s="1"/>
  <c r="AW53" i="3"/>
  <c r="I41" i="9"/>
  <c r="U41" i="9" s="1"/>
  <c r="BA61" i="3"/>
  <c r="K49" i="9"/>
  <c r="W49" i="9" s="1"/>
  <c r="AW52" i="3"/>
  <c r="I40" i="9"/>
  <c r="U40" i="9" s="1"/>
  <c r="AW60" i="3"/>
  <c r="I48" i="9"/>
  <c r="U48" i="9" s="1"/>
  <c r="AS71" i="3"/>
  <c r="G35" i="25"/>
  <c r="P35" i="25" s="1"/>
  <c r="BF56" i="3"/>
  <c r="H44" i="11"/>
  <c r="O44" i="11" s="1"/>
  <c r="BB59" i="3"/>
  <c r="L47" i="9"/>
  <c r="X47" i="9" s="1"/>
  <c r="AS62" i="3"/>
  <c r="G26" i="25"/>
  <c r="P26" i="25" s="1"/>
  <c r="AV50" i="3"/>
  <c r="H38" i="15"/>
  <c r="Q38" i="15" s="1"/>
  <c r="I14" i="25"/>
  <c r="R14" i="25" s="1"/>
  <c r="T14" i="25" s="1"/>
  <c r="H38" i="7"/>
  <c r="Q38" i="7" s="1"/>
  <c r="AZ54" i="3"/>
  <c r="J42" i="9"/>
  <c r="V42" i="9" s="1"/>
  <c r="I42" i="15"/>
  <c r="R42" i="15" s="1"/>
  <c r="I42" i="7"/>
  <c r="R42" i="7" s="1"/>
  <c r="AV55" i="3"/>
  <c r="I19" i="25"/>
  <c r="R19" i="25" s="1"/>
  <c r="T19" i="25" s="1"/>
  <c r="H43" i="15"/>
  <c r="Q43" i="15" s="1"/>
  <c r="H43" i="7"/>
  <c r="Q43" i="7" s="1"/>
  <c r="AZ58" i="3"/>
  <c r="J46" i="9"/>
  <c r="V46" i="9" s="1"/>
  <c r="I46" i="15"/>
  <c r="R46" i="15" s="1"/>
  <c r="I46" i="7"/>
  <c r="R46" i="7" s="1"/>
  <c r="AV59" i="3"/>
  <c r="H47" i="15"/>
  <c r="Q47" i="15" s="1"/>
  <c r="I23" i="25"/>
  <c r="R23" i="25" s="1"/>
  <c r="T23" i="25" s="1"/>
  <c r="H47" i="7"/>
  <c r="Q47" i="7" s="1"/>
  <c r="BA53" i="3"/>
  <c r="K41" i="9"/>
  <c r="W41" i="9" s="1"/>
  <c r="BA57" i="3"/>
  <c r="K45" i="9"/>
  <c r="W45" i="9" s="1"/>
  <c r="BA52" i="3"/>
  <c r="K40" i="9"/>
  <c r="W40" i="9" s="1"/>
  <c r="BA60" i="3"/>
  <c r="K48" i="9"/>
  <c r="W48" i="9" s="1"/>
  <c r="BF61" i="3"/>
  <c r="H49" i="11"/>
  <c r="O49" i="11" s="1"/>
  <c r="AZ56" i="3"/>
  <c r="J44" i="9"/>
  <c r="V44" i="9" s="1"/>
  <c r="I44" i="15"/>
  <c r="R44" i="15" s="1"/>
  <c r="I44" i="7"/>
  <c r="R44" i="7" s="1"/>
  <c r="BC53" i="3"/>
  <c r="M41" i="9"/>
  <c r="Y41" i="9" s="1"/>
  <c r="J41" i="15"/>
  <c r="S41" i="15" s="1"/>
  <c r="J41" i="7"/>
  <c r="S41" i="7" s="1"/>
  <c r="BC61" i="3"/>
  <c r="M49" i="9"/>
  <c r="Y49" i="9" s="1"/>
  <c r="J49" i="15"/>
  <c r="S49" i="15" s="1"/>
  <c r="J49" i="7"/>
  <c r="S49" i="7" s="1"/>
  <c r="BF57" i="3"/>
  <c r="H45" i="11"/>
  <c r="O45" i="11" s="1"/>
  <c r="AS69" i="3"/>
  <c r="G33" i="25"/>
  <c r="P33" i="25" s="1"/>
  <c r="BF54" i="3"/>
  <c r="H42" i="11"/>
  <c r="O42" i="11" s="1"/>
  <c r="BF59" i="3"/>
  <c r="H47" i="11"/>
  <c r="O47" i="11" s="1"/>
  <c r="BC56" i="3"/>
  <c r="M44" i="9"/>
  <c r="Y44" i="9" s="1"/>
  <c r="J44" i="15"/>
  <c r="S44" i="15" s="1"/>
  <c r="J44" i="7"/>
  <c r="S44" i="7" s="1"/>
  <c r="AU71" i="3"/>
  <c r="H35" i="25"/>
  <c r="Q35" i="25" s="1"/>
  <c r="AS67" i="3"/>
  <c r="G31" i="25"/>
  <c r="P31" i="25" s="1"/>
  <c r="G64" i="24"/>
  <c r="G71" i="24" s="1"/>
  <c r="AW55" i="3"/>
  <c r="I43" i="9"/>
  <c r="U43" i="9" s="1"/>
  <c r="AW59" i="3"/>
  <c r="I47" i="9"/>
  <c r="U47" i="9" s="1"/>
  <c r="AW50" i="3"/>
  <c r="I38" i="9"/>
  <c r="U38" i="9" s="1"/>
  <c r="AW54" i="3"/>
  <c r="I42" i="9"/>
  <c r="U42" i="9" s="1"/>
  <c r="AW58" i="3"/>
  <c r="I46" i="9"/>
  <c r="U46" i="9" s="1"/>
  <c r="AW61" i="3"/>
  <c r="I49" i="9"/>
  <c r="U49" i="9" s="1"/>
  <c r="BF52" i="3"/>
  <c r="H40" i="11"/>
  <c r="O40" i="11" s="1"/>
  <c r="AX55" i="3"/>
  <c r="G43" i="11"/>
  <c r="N43" i="11" s="1"/>
  <c r="AX58" i="3"/>
  <c r="G46" i="11"/>
  <c r="N46" i="11" s="1"/>
  <c r="BF60" i="3"/>
  <c r="H48" i="11"/>
  <c r="O48" i="11" s="1"/>
  <c r="AS66" i="3"/>
  <c r="G30" i="25"/>
  <c r="P30" i="25" s="1"/>
  <c r="BA55" i="3"/>
  <c r="K43" i="9"/>
  <c r="W43" i="9" s="1"/>
  <c r="BA59" i="3"/>
  <c r="K47" i="9"/>
  <c r="W47" i="9" s="1"/>
  <c r="BA50" i="3"/>
  <c r="K38" i="9"/>
  <c r="W38" i="9" s="1"/>
  <c r="BA54" i="3"/>
  <c r="K42" i="9"/>
  <c r="W42" i="9" s="1"/>
  <c r="BA58" i="3"/>
  <c r="K46" i="9"/>
  <c r="W46" i="9" s="1"/>
  <c r="BB50" i="3"/>
  <c r="L38" i="9"/>
  <c r="X38" i="9" s="1"/>
  <c r="BB57" i="3"/>
  <c r="L45" i="9"/>
  <c r="X45" i="9" s="1"/>
  <c r="AS64" i="3"/>
  <c r="G28" i="25"/>
  <c r="P28" i="25" s="1"/>
  <c r="BF50" i="3"/>
  <c r="H38" i="11"/>
  <c r="O38" i="11" s="1"/>
  <c r="BB56" i="3"/>
  <c r="L44" i="9"/>
  <c r="X44" i="9" s="1"/>
  <c r="BB61" i="3"/>
  <c r="L49" i="9"/>
  <c r="X49" i="9" s="1"/>
  <c r="BC50" i="3"/>
  <c r="M38" i="9"/>
  <c r="Y38" i="9" s="1"/>
  <c r="J38" i="15"/>
  <c r="S38" i="15" s="1"/>
  <c r="J38" i="7"/>
  <c r="S38" i="7" s="1"/>
  <c r="AU66" i="3"/>
  <c r="H30" i="25"/>
  <c r="Q30" i="25" s="1"/>
  <c r="AU70" i="3"/>
  <c r="H34" i="25"/>
  <c r="Q34" i="25" s="1"/>
  <c r="BC59" i="3"/>
  <c r="M47" i="9"/>
  <c r="Y47" i="9" s="1"/>
  <c r="J47" i="15"/>
  <c r="S47" i="15" s="1"/>
  <c r="J47" i="7"/>
  <c r="S47" i="7" s="1"/>
  <c r="AW57" i="3"/>
  <c r="I45" i="9"/>
  <c r="U45" i="9" s="1"/>
  <c r="AW56" i="3"/>
  <c r="I44" i="9"/>
  <c r="U44" i="9" s="1"/>
  <c r="BF53" i="3"/>
  <c r="H41" i="11"/>
  <c r="O41" i="11" s="1"/>
  <c r="AS70" i="3"/>
  <c r="G34" i="25"/>
  <c r="P34" i="25" s="1"/>
  <c r="BA56" i="3"/>
  <c r="K44" i="9"/>
  <c r="W44" i="9" s="1"/>
  <c r="BB54" i="3"/>
  <c r="L42" i="9"/>
  <c r="X42" i="9" s="1"/>
  <c r="AS72" i="3"/>
  <c r="G36" i="25"/>
  <c r="P36" i="25" s="1"/>
  <c r="AS65" i="3"/>
  <c r="G29" i="25"/>
  <c r="P29" i="25" s="1"/>
  <c r="AX54" i="3"/>
  <c r="G42" i="11"/>
  <c r="N42" i="11" s="1"/>
  <c r="AX59" i="3"/>
  <c r="G47" i="11"/>
  <c r="N47" i="11" s="1"/>
  <c r="AU64" i="3"/>
  <c r="H28" i="25"/>
  <c r="Q28" i="25" s="1"/>
  <c r="AU68" i="3"/>
  <c r="H32" i="25"/>
  <c r="Q32" i="25" s="1"/>
  <c r="BC57" i="3"/>
  <c r="M45" i="9"/>
  <c r="Y45" i="9" s="1"/>
  <c r="J45" i="15"/>
  <c r="S45" i="15" s="1"/>
  <c r="J45" i="7"/>
  <c r="S45" i="7" s="1"/>
  <c r="AU72" i="3"/>
  <c r="H36" i="25"/>
  <c r="Q36" i="25" s="1"/>
  <c r="X14" i="21"/>
  <c r="BB52" i="3"/>
  <c r="L40" i="9"/>
  <c r="X40" i="9" s="1"/>
  <c r="AX52" i="3"/>
  <c r="G40" i="11"/>
  <c r="N40" i="11" s="1"/>
  <c r="AX57" i="3"/>
  <c r="G45" i="11"/>
  <c r="N45" i="11" s="1"/>
  <c r="AU62" i="3"/>
  <c r="H26" i="25"/>
  <c r="Q26" i="25" s="1"/>
  <c r="BC52" i="3"/>
  <c r="M40" i="9"/>
  <c r="Y40" i="9" s="1"/>
  <c r="J40" i="15"/>
  <c r="S40" i="15" s="1"/>
  <c r="J40" i="7"/>
  <c r="S40" i="7" s="1"/>
  <c r="AU67" i="3"/>
  <c r="H31" i="25"/>
  <c r="Q31" i="25" s="1"/>
  <c r="BC60" i="3"/>
  <c r="M48" i="9"/>
  <c r="Y48" i="9" s="1"/>
  <c r="J48" i="15"/>
  <c r="S48" i="15" s="1"/>
  <c r="J48" i="7"/>
  <c r="S48" i="7" s="1"/>
  <c r="BF55" i="3"/>
  <c r="H43" i="11"/>
  <c r="O43" i="11" s="1"/>
  <c r="AX60" i="3"/>
  <c r="G48" i="11"/>
  <c r="N48" i="11" s="1"/>
  <c r="G51" i="24"/>
  <c r="G58" i="24" s="1"/>
  <c r="AC14" i="21"/>
  <c r="AS73" i="3"/>
  <c r="G37" i="25"/>
  <c r="P37" i="25" s="1"/>
  <c r="BB55" i="3"/>
  <c r="L43" i="9"/>
  <c r="X43" i="9" s="1"/>
  <c r="BB60" i="3"/>
  <c r="L48" i="9"/>
  <c r="X48" i="9" s="1"/>
  <c r="BC55" i="3"/>
  <c r="M43" i="9"/>
  <c r="Y43" i="9" s="1"/>
  <c r="J43" i="15"/>
  <c r="S43" i="15" s="1"/>
  <c r="J43" i="7"/>
  <c r="S43" i="7" s="1"/>
  <c r="AZ50" i="3"/>
  <c r="J38" i="9"/>
  <c r="V38" i="9" s="1"/>
  <c r="I38" i="15"/>
  <c r="R38" i="15" s="1"/>
  <c r="I38" i="7"/>
  <c r="R38" i="7" s="1"/>
  <c r="AV52" i="3"/>
  <c r="H40" i="15"/>
  <c r="Q40" i="15" s="1"/>
  <c r="I16" i="25"/>
  <c r="R16" i="25" s="1"/>
  <c r="T16" i="25" s="1"/>
  <c r="H40" i="7"/>
  <c r="Q40" i="7" s="1"/>
  <c r="AZ55" i="3"/>
  <c r="J43" i="9"/>
  <c r="V43" i="9" s="1"/>
  <c r="I43" i="15"/>
  <c r="R43" i="15" s="1"/>
  <c r="I43" i="7"/>
  <c r="R43" i="7" s="1"/>
  <c r="AV56" i="3"/>
  <c r="H44" i="15"/>
  <c r="Q44" i="15" s="1"/>
  <c r="I20" i="25"/>
  <c r="R20" i="25" s="1"/>
  <c r="T20" i="25" s="1"/>
  <c r="H44" i="7"/>
  <c r="Q44" i="7" s="1"/>
  <c r="AZ59" i="3"/>
  <c r="J47" i="9"/>
  <c r="V47" i="9" s="1"/>
  <c r="I47" i="15"/>
  <c r="R47" i="15" s="1"/>
  <c r="I47" i="7"/>
  <c r="R47" i="7" s="1"/>
  <c r="AV60" i="3"/>
  <c r="I24" i="25"/>
  <c r="R24" i="25" s="1"/>
  <c r="T24" i="25" s="1"/>
  <c r="H48" i="15"/>
  <c r="Q48" i="15" s="1"/>
  <c r="H48" i="7"/>
  <c r="Q48" i="7" s="1"/>
  <c r="AX50" i="3"/>
  <c r="G38" i="11"/>
  <c r="N38" i="11" s="1"/>
  <c r="AX53" i="3"/>
  <c r="G41" i="11"/>
  <c r="N41" i="11" s="1"/>
  <c r="AX56" i="3"/>
  <c r="G44" i="11"/>
  <c r="N44" i="11" s="1"/>
  <c r="BB58" i="3"/>
  <c r="L46" i="9"/>
  <c r="X46" i="9" s="1"/>
  <c r="AX61" i="3"/>
  <c r="G49" i="11"/>
  <c r="N49" i="11" s="1"/>
  <c r="AU65" i="3"/>
  <c r="H29" i="25"/>
  <c r="Q29" i="25" s="1"/>
  <c r="BC54" i="3"/>
  <c r="M42" i="9"/>
  <c r="Y42" i="9" s="1"/>
  <c r="J42" i="15"/>
  <c r="S42" i="15" s="1"/>
  <c r="J42" i="7"/>
  <c r="S42" i="7" s="1"/>
  <c r="AU69" i="3"/>
  <c r="H33" i="25"/>
  <c r="Q33" i="25" s="1"/>
  <c r="BC58" i="3"/>
  <c r="M46" i="9"/>
  <c r="Y46" i="9" s="1"/>
  <c r="J46" i="15"/>
  <c r="S46" i="15" s="1"/>
  <c r="J46" i="7"/>
  <c r="S46" i="7" s="1"/>
  <c r="AU73" i="3"/>
  <c r="H37" i="25"/>
  <c r="Q37" i="25" s="1"/>
  <c r="AZ53" i="3"/>
  <c r="J41" i="9"/>
  <c r="V41" i="9" s="1"/>
  <c r="I41" i="15"/>
  <c r="R41" i="15" s="1"/>
  <c r="I41" i="7"/>
  <c r="R41" i="7" s="1"/>
  <c r="AV54" i="3"/>
  <c r="H42" i="15"/>
  <c r="Q42" i="15" s="1"/>
  <c r="I18" i="25"/>
  <c r="R18" i="25" s="1"/>
  <c r="T18" i="25" s="1"/>
  <c r="H42" i="7"/>
  <c r="Q42" i="7" s="1"/>
  <c r="AZ57" i="3"/>
  <c r="J45" i="9"/>
  <c r="V45" i="9" s="1"/>
  <c r="I45" i="15"/>
  <c r="R45" i="15" s="1"/>
  <c r="I45" i="7"/>
  <c r="R45" i="7" s="1"/>
  <c r="AV58" i="3"/>
  <c r="I22" i="25"/>
  <c r="R22" i="25" s="1"/>
  <c r="T22" i="25" s="1"/>
  <c r="H46" i="15"/>
  <c r="Q46" i="15" s="1"/>
  <c r="H46" i="7"/>
  <c r="Q46" i="7" s="1"/>
  <c r="AZ61" i="3"/>
  <c r="J49" i="9"/>
  <c r="V49" i="9" s="1"/>
  <c r="I49" i="15"/>
  <c r="R49" i="15" s="1"/>
  <c r="I49" i="7"/>
  <c r="R49" i="7" s="1"/>
  <c r="BB53" i="3"/>
  <c r="L41" i="9"/>
  <c r="X41" i="9" s="1"/>
  <c r="BF58" i="3"/>
  <c r="H46" i="11"/>
  <c r="O46" i="11" s="1"/>
  <c r="AS68" i="3"/>
  <c r="G32" i="25"/>
  <c r="P32" i="25" s="1"/>
  <c r="AZ52" i="3"/>
  <c r="J40" i="9"/>
  <c r="V40" i="9" s="1"/>
  <c r="I40" i="15"/>
  <c r="R40" i="15" s="1"/>
  <c r="I40" i="7"/>
  <c r="R40" i="7" s="1"/>
  <c r="AV53" i="3"/>
  <c r="H41" i="15"/>
  <c r="Q41" i="15" s="1"/>
  <c r="I17" i="25"/>
  <c r="R17" i="25" s="1"/>
  <c r="T17" i="25" s="1"/>
  <c r="H41" i="7"/>
  <c r="Q41" i="7" s="1"/>
  <c r="AV57" i="3"/>
  <c r="H45" i="15"/>
  <c r="Q45" i="15" s="1"/>
  <c r="I21" i="25"/>
  <c r="R21" i="25" s="1"/>
  <c r="T21" i="25" s="1"/>
  <c r="H45" i="7"/>
  <c r="Q45" i="7" s="1"/>
  <c r="AZ60" i="3"/>
  <c r="J48" i="9"/>
  <c r="V48" i="9" s="1"/>
  <c r="I48" i="15"/>
  <c r="R48" i="15" s="1"/>
  <c r="I48" i="7"/>
  <c r="R48" i="7" s="1"/>
  <c r="AV61" i="3"/>
  <c r="H49" i="15"/>
  <c r="Q49" i="15" s="1"/>
  <c r="I25" i="25"/>
  <c r="R25" i="25" s="1"/>
  <c r="T25" i="25" s="1"/>
  <c r="H49" i="7"/>
  <c r="Q49" i="7" s="1"/>
  <c r="BC51" i="3"/>
  <c r="M39" i="9"/>
  <c r="Y39" i="9" s="1"/>
  <c r="J39" i="15"/>
  <c r="S39" i="15" s="1"/>
  <c r="J39" i="7"/>
  <c r="S39" i="7" s="1"/>
  <c r="BF51" i="3"/>
  <c r="H39" i="11"/>
  <c r="O39" i="11" s="1"/>
  <c r="AU63" i="3"/>
  <c r="H27" i="25"/>
  <c r="Q27" i="25" s="1"/>
  <c r="AZ51" i="3"/>
  <c r="J39" i="9"/>
  <c r="V39" i="9" s="1"/>
  <c r="I39" i="15"/>
  <c r="R39" i="15" s="1"/>
  <c r="I39" i="7"/>
  <c r="R39" i="7" s="1"/>
  <c r="BB51" i="3"/>
  <c r="L39" i="9"/>
  <c r="X39" i="9" s="1"/>
  <c r="AV51" i="3"/>
  <c r="H39" i="15"/>
  <c r="Q39" i="15" s="1"/>
  <c r="I15" i="25"/>
  <c r="R15" i="25" s="1"/>
  <c r="T15" i="25" s="1"/>
  <c r="H39" i="7"/>
  <c r="Q39" i="7" s="1"/>
  <c r="AX51" i="3"/>
  <c r="G39" i="11"/>
  <c r="N39" i="11" s="1"/>
  <c r="AW51" i="3"/>
  <c r="I39" i="9"/>
  <c r="U39" i="9" s="1"/>
  <c r="AS63" i="3"/>
  <c r="G27" i="25"/>
  <c r="P27" i="25" s="1"/>
  <c r="BA51" i="3"/>
  <c r="K39" i="9"/>
  <c r="W39" i="9" s="1"/>
  <c r="L62" i="16"/>
  <c r="X50" i="16"/>
  <c r="L63" i="16"/>
  <c r="X51" i="16"/>
  <c r="L97" i="16"/>
  <c r="X85" i="16"/>
  <c r="I70" i="16"/>
  <c r="U58" i="16"/>
  <c r="K62" i="16"/>
  <c r="W50" i="16"/>
  <c r="M97" i="16"/>
  <c r="Y85" i="16"/>
  <c r="M65" i="16"/>
  <c r="Y53" i="16"/>
  <c r="L105" i="16"/>
  <c r="X93" i="16"/>
  <c r="I65" i="16"/>
  <c r="U53" i="16"/>
  <c r="K67" i="16"/>
  <c r="W55" i="16"/>
  <c r="I62" i="16"/>
  <c r="U50" i="16"/>
  <c r="M70" i="16"/>
  <c r="Y58" i="16"/>
  <c r="I63" i="16"/>
  <c r="U51" i="16"/>
  <c r="K68" i="16"/>
  <c r="W56" i="16"/>
  <c r="J99" i="16"/>
  <c r="V87" i="16"/>
  <c r="J69" i="16"/>
  <c r="V57" i="16"/>
  <c r="J68" i="16"/>
  <c r="V56" i="16"/>
  <c r="J71" i="16"/>
  <c r="V59" i="16"/>
  <c r="J103" i="16"/>
  <c r="V91" i="16"/>
  <c r="K63" i="16"/>
  <c r="W51" i="16"/>
  <c r="L72" i="16"/>
  <c r="X60" i="16"/>
  <c r="K64" i="16"/>
  <c r="W52" i="16"/>
  <c r="L70" i="16"/>
  <c r="X58" i="16"/>
  <c r="I97" i="16"/>
  <c r="U85" i="16"/>
  <c r="M62" i="16"/>
  <c r="Y50" i="16"/>
  <c r="L89" i="16"/>
  <c r="X77" i="16"/>
  <c r="I66" i="16"/>
  <c r="U54" i="16"/>
  <c r="L66" i="16"/>
  <c r="X54" i="16"/>
  <c r="I69" i="16"/>
  <c r="U57" i="16"/>
  <c r="J65" i="16"/>
  <c r="V53" i="16"/>
  <c r="J64" i="16"/>
  <c r="V52" i="16"/>
  <c r="M69" i="16"/>
  <c r="Y57" i="16"/>
  <c r="M104" i="16"/>
  <c r="Y92" i="16"/>
  <c r="I92" i="16"/>
  <c r="U80" i="16"/>
  <c r="M63" i="16"/>
  <c r="Y51" i="16"/>
  <c r="L67" i="16"/>
  <c r="X55" i="16"/>
  <c r="J72" i="16"/>
  <c r="V60" i="16"/>
  <c r="K66" i="16"/>
  <c r="W54" i="16"/>
  <c r="I100" i="16"/>
  <c r="U88" i="16"/>
  <c r="M66" i="16"/>
  <c r="Y54" i="16"/>
  <c r="K71" i="16"/>
  <c r="W59" i="16"/>
  <c r="M96" i="16"/>
  <c r="Y84" i="16"/>
  <c r="I96" i="16"/>
  <c r="U84" i="16"/>
  <c r="M76" i="16"/>
  <c r="Y64" i="16"/>
  <c r="K106" i="16"/>
  <c r="W94" i="16"/>
  <c r="L76" i="16"/>
  <c r="X64" i="16"/>
  <c r="J62" i="16"/>
  <c r="V50" i="16"/>
  <c r="L71" i="16"/>
  <c r="X59" i="16"/>
  <c r="S14" i="21"/>
  <c r="G14" i="21"/>
  <c r="B14" i="21"/>
  <c r="F45" i="24"/>
  <c r="F87" i="24"/>
  <c r="T8" i="20"/>
  <c r="AB8" i="20" s="1"/>
  <c r="AB7" i="20"/>
  <c r="AL7" i="20" s="1"/>
  <c r="AL6" i="20"/>
  <c r="K9" i="20"/>
  <c r="B10" i="20"/>
  <c r="AM94" i="3"/>
  <c r="E94" i="25" s="1"/>
  <c r="N94" i="25" s="1"/>
  <c r="AR50" i="3"/>
  <c r="AO38" i="3"/>
  <c r="G38" i="15" s="1"/>
  <c r="P38" i="15" s="1"/>
  <c r="AM90" i="3"/>
  <c r="E90" i="25" s="1"/>
  <c r="N90" i="25" s="1"/>
  <c r="AM92" i="3"/>
  <c r="E92" i="25" s="1"/>
  <c r="N92" i="25" s="1"/>
  <c r="AM91" i="3"/>
  <c r="E91" i="25" s="1"/>
  <c r="N91" i="25" s="1"/>
  <c r="AM89" i="3"/>
  <c r="E89" i="25" s="1"/>
  <c r="N89" i="25" s="1"/>
  <c r="AM88" i="3"/>
  <c r="E88" i="25" s="1"/>
  <c r="N88" i="25" s="1"/>
  <c r="AM95" i="3"/>
  <c r="E95" i="25" s="1"/>
  <c r="N95" i="25" s="1"/>
  <c r="AH10" i="19"/>
  <c r="AD10" i="19"/>
  <c r="Z10" i="19"/>
  <c r="V10" i="19"/>
  <c r="R10" i="19"/>
  <c r="N10" i="19"/>
  <c r="J10" i="19"/>
  <c r="F10" i="19"/>
  <c r="B9" i="19"/>
  <c r="AO56" i="3"/>
  <c r="G56" i="15" s="1"/>
  <c r="P56" i="15" s="1"/>
  <c r="AR68" i="3"/>
  <c r="AO40" i="3"/>
  <c r="G40" i="15" s="1"/>
  <c r="P40" i="15" s="1"/>
  <c r="AR52" i="3"/>
  <c r="AO53" i="3"/>
  <c r="G53" i="15" s="1"/>
  <c r="P53" i="15" s="1"/>
  <c r="AR65" i="3"/>
  <c r="AR67" i="3"/>
  <c r="AO55" i="3"/>
  <c r="G55" i="15" s="1"/>
  <c r="P55" i="15" s="1"/>
  <c r="AR70" i="3"/>
  <c r="AO58" i="3"/>
  <c r="G58" i="15" s="1"/>
  <c r="P58" i="15" s="1"/>
  <c r="AO48" i="3"/>
  <c r="G48" i="15" s="1"/>
  <c r="P48" i="15" s="1"/>
  <c r="AR60" i="3"/>
  <c r="AO57" i="3"/>
  <c r="G57" i="15" s="1"/>
  <c r="P57" i="15" s="1"/>
  <c r="AR66" i="3"/>
  <c r="AO54" i="3"/>
  <c r="G54" i="15" s="1"/>
  <c r="P54" i="15" s="1"/>
  <c r="AR63" i="3"/>
  <c r="AO51" i="3"/>
  <c r="G51" i="15" s="1"/>
  <c r="P51" i="15" s="1"/>
  <c r="AR71" i="3"/>
  <c r="AO59" i="3"/>
  <c r="G59" i="15" s="1"/>
  <c r="P59" i="15" s="1"/>
  <c r="G38" i="24"/>
  <c r="G87" i="24" s="1"/>
  <c r="D125" i="2"/>
  <c r="AR73" i="3" l="1"/>
  <c r="H51" i="24"/>
  <c r="H64" i="24"/>
  <c r="I64" i="24" s="1"/>
  <c r="J64" i="24" s="1"/>
  <c r="K64" i="24" s="1"/>
  <c r="AS80" i="3"/>
  <c r="G44" i="25"/>
  <c r="P44" i="25" s="1"/>
  <c r="AZ73" i="3"/>
  <c r="J61" i="9"/>
  <c r="V61" i="9" s="1"/>
  <c r="I61" i="15"/>
  <c r="R61" i="15" s="1"/>
  <c r="I61" i="7"/>
  <c r="R61" i="7" s="1"/>
  <c r="AZ69" i="3"/>
  <c r="J57" i="9"/>
  <c r="V57" i="9" s="1"/>
  <c r="I57" i="15"/>
  <c r="R57" i="15" s="1"/>
  <c r="I57" i="7"/>
  <c r="R57" i="7" s="1"/>
  <c r="AZ65" i="3"/>
  <c r="J53" i="9"/>
  <c r="V53" i="9" s="1"/>
  <c r="I53" i="15"/>
  <c r="R53" i="15" s="1"/>
  <c r="I53" i="7"/>
  <c r="R53" i="7" s="1"/>
  <c r="AU81" i="3"/>
  <c r="H45" i="25"/>
  <c r="Q45" i="25" s="1"/>
  <c r="AX68" i="3"/>
  <c r="G56" i="11"/>
  <c r="N56" i="11" s="1"/>
  <c r="AV72" i="3"/>
  <c r="H60" i="15"/>
  <c r="Q60" i="15" s="1"/>
  <c r="I36" i="25"/>
  <c r="R36" i="25" s="1"/>
  <c r="T36" i="25" s="1"/>
  <c r="H60" i="7"/>
  <c r="Q60" i="7" s="1"/>
  <c r="AV68" i="3"/>
  <c r="H56" i="15"/>
  <c r="Q56" i="15" s="1"/>
  <c r="I32" i="25"/>
  <c r="R32" i="25" s="1"/>
  <c r="T32" i="25" s="1"/>
  <c r="H56" i="7"/>
  <c r="Q56" i="7" s="1"/>
  <c r="AZ67" i="3"/>
  <c r="J55" i="9"/>
  <c r="V55" i="9" s="1"/>
  <c r="I55" i="15"/>
  <c r="R55" i="15" s="1"/>
  <c r="I55" i="7"/>
  <c r="R55" i="7" s="1"/>
  <c r="AZ62" i="3"/>
  <c r="J50" i="9"/>
  <c r="V50" i="9" s="1"/>
  <c r="I50" i="15"/>
  <c r="R50" i="15" s="1"/>
  <c r="I50" i="7"/>
  <c r="R50" i="7" s="1"/>
  <c r="BB67" i="3"/>
  <c r="L55" i="9"/>
  <c r="X55" i="9" s="1"/>
  <c r="AX72" i="3"/>
  <c r="G60" i="11"/>
  <c r="N60" i="11" s="1"/>
  <c r="BC64" i="3"/>
  <c r="M52" i="9"/>
  <c r="Y52" i="9" s="1"/>
  <c r="J52" i="15"/>
  <c r="S52" i="15" s="1"/>
  <c r="J52" i="7"/>
  <c r="S52" i="7" s="1"/>
  <c r="AS84" i="3"/>
  <c r="G48" i="25"/>
  <c r="P48" i="25" s="1"/>
  <c r="BF65" i="3"/>
  <c r="H53" i="11"/>
  <c r="O53" i="11" s="1"/>
  <c r="BA64" i="3"/>
  <c r="K52" i="9"/>
  <c r="W52" i="9" s="1"/>
  <c r="AV71" i="3"/>
  <c r="H59" i="15"/>
  <c r="Q59" i="15" s="1"/>
  <c r="I35" i="25"/>
  <c r="R35" i="25" s="1"/>
  <c r="T35" i="25" s="1"/>
  <c r="H59" i="7"/>
  <c r="Q59" i="7" s="1"/>
  <c r="AZ70" i="3"/>
  <c r="J58" i="9"/>
  <c r="V58" i="9" s="1"/>
  <c r="I58" i="15"/>
  <c r="R58" i="15" s="1"/>
  <c r="I58" i="7"/>
  <c r="R58" i="7" s="1"/>
  <c r="AZ66" i="3"/>
  <c r="J54" i="9"/>
  <c r="V54" i="9" s="1"/>
  <c r="I54" i="15"/>
  <c r="R54" i="15" s="1"/>
  <c r="I54" i="7"/>
  <c r="R54" i="7" s="1"/>
  <c r="AV62" i="3"/>
  <c r="H50" i="15"/>
  <c r="Q50" i="15" s="1"/>
  <c r="I26" i="25"/>
  <c r="R26" i="25" s="1"/>
  <c r="H50" i="7"/>
  <c r="Q50" i="7" s="1"/>
  <c r="AW64" i="3"/>
  <c r="I52" i="9"/>
  <c r="U52" i="9" s="1"/>
  <c r="AX71" i="3"/>
  <c r="G59" i="11"/>
  <c r="N59" i="11" s="1"/>
  <c r="BB65" i="3"/>
  <c r="L53" i="9"/>
  <c r="X53" i="9" s="1"/>
  <c r="AV70" i="3"/>
  <c r="H58" i="15"/>
  <c r="Q58" i="15" s="1"/>
  <c r="I34" i="25"/>
  <c r="R34" i="25" s="1"/>
  <c r="T34" i="25" s="1"/>
  <c r="H58" i="7"/>
  <c r="Q58" i="7" s="1"/>
  <c r="AV66" i="3"/>
  <c r="H54" i="15"/>
  <c r="Q54" i="15" s="1"/>
  <c r="I30" i="25"/>
  <c r="R30" i="25" s="1"/>
  <c r="T30" i="25" s="1"/>
  <c r="H54" i="7"/>
  <c r="Q54" i="7" s="1"/>
  <c r="BC66" i="3"/>
  <c r="M54" i="9"/>
  <c r="Y54" i="9" s="1"/>
  <c r="J54" i="15"/>
  <c r="S54" i="15" s="1"/>
  <c r="J54" i="7"/>
  <c r="S54" i="7" s="1"/>
  <c r="AX69" i="3"/>
  <c r="G57" i="11"/>
  <c r="N57" i="11" s="1"/>
  <c r="BA68" i="3"/>
  <c r="K56" i="9"/>
  <c r="W56" i="9" s="1"/>
  <c r="AW69" i="3"/>
  <c r="I57" i="9"/>
  <c r="U57" i="9" s="1"/>
  <c r="AS79" i="3"/>
  <c r="G43" i="25"/>
  <c r="P43" i="25" s="1"/>
  <c r="AS81" i="3"/>
  <c r="G45" i="25"/>
  <c r="P45" i="25" s="1"/>
  <c r="BF73" i="3"/>
  <c r="H61" i="11"/>
  <c r="O61" i="11" s="1"/>
  <c r="BA65" i="3"/>
  <c r="K53" i="9"/>
  <c r="W53" i="9" s="1"/>
  <c r="AV67" i="3"/>
  <c r="H55" i="15"/>
  <c r="Q55" i="15" s="1"/>
  <c r="I31" i="25"/>
  <c r="R31" i="25" s="1"/>
  <c r="T31" i="25" s="1"/>
  <c r="H55" i="7"/>
  <c r="Q55" i="7" s="1"/>
  <c r="BB71" i="3"/>
  <c r="L59" i="9"/>
  <c r="X59" i="9" s="1"/>
  <c r="AW65" i="3"/>
  <c r="I53" i="9"/>
  <c r="U53" i="9" s="1"/>
  <c r="AU80" i="3"/>
  <c r="H44" i="25"/>
  <c r="Q44" i="25" s="1"/>
  <c r="AU82" i="3"/>
  <c r="H46" i="25"/>
  <c r="Q46" i="25" s="1"/>
  <c r="BB73" i="3"/>
  <c r="L61" i="9"/>
  <c r="X61" i="9" s="1"/>
  <c r="AS76" i="3"/>
  <c r="G40" i="25"/>
  <c r="P40" i="25" s="1"/>
  <c r="BA66" i="3"/>
  <c r="K54" i="9"/>
  <c r="W54" i="9" s="1"/>
  <c r="AS78" i="3"/>
  <c r="G42" i="25"/>
  <c r="P42" i="25" s="1"/>
  <c r="AX70" i="3"/>
  <c r="G58" i="11"/>
  <c r="N58" i="11" s="1"/>
  <c r="AW70" i="3"/>
  <c r="I58" i="9"/>
  <c r="U58" i="9" s="1"/>
  <c r="AW67" i="3"/>
  <c r="I55" i="9"/>
  <c r="U55" i="9" s="1"/>
  <c r="BC73" i="3"/>
  <c r="M61" i="9"/>
  <c r="Y61" i="9" s="1"/>
  <c r="J61" i="15"/>
  <c r="S61" i="15" s="1"/>
  <c r="J61" i="7"/>
  <c r="S61" i="7" s="1"/>
  <c r="T26" i="25"/>
  <c r="AV69" i="3"/>
  <c r="H57" i="15"/>
  <c r="Q57" i="15" s="1"/>
  <c r="I33" i="25"/>
  <c r="R33" i="25" s="1"/>
  <c r="T33" i="25" s="1"/>
  <c r="H57" i="7"/>
  <c r="Q57" i="7" s="1"/>
  <c r="AZ64" i="3"/>
  <c r="J52" i="9"/>
  <c r="V52" i="9" s="1"/>
  <c r="I52" i="15"/>
  <c r="R52" i="15" s="1"/>
  <c r="I52" i="7"/>
  <c r="R52" i="7" s="1"/>
  <c r="BF70" i="3"/>
  <c r="H58" i="11"/>
  <c r="O58" i="11" s="1"/>
  <c r="AU77" i="3"/>
  <c r="H41" i="25"/>
  <c r="Q41" i="25" s="1"/>
  <c r="AX65" i="3"/>
  <c r="G53" i="11"/>
  <c r="N53" i="11" s="1"/>
  <c r="BB72" i="3"/>
  <c r="L60" i="9"/>
  <c r="X60" i="9" s="1"/>
  <c r="AS85" i="3"/>
  <c r="G49" i="25"/>
  <c r="P49" i="25" s="1"/>
  <c r="BF67" i="3"/>
  <c r="H55" i="11"/>
  <c r="O55" i="11" s="1"/>
  <c r="BC72" i="3"/>
  <c r="M60" i="9"/>
  <c r="Y60" i="9" s="1"/>
  <c r="J60" i="15"/>
  <c r="S60" i="15" s="1"/>
  <c r="J60" i="7"/>
  <c r="S60" i="7" s="1"/>
  <c r="AU74" i="3"/>
  <c r="H38" i="25"/>
  <c r="Q38" i="25" s="1"/>
  <c r="AX64" i="3"/>
  <c r="G52" i="11"/>
  <c r="N52" i="11" s="1"/>
  <c r="BB66" i="3"/>
  <c r="L54" i="9"/>
  <c r="X54" i="9" s="1"/>
  <c r="AS82" i="3"/>
  <c r="G46" i="25"/>
  <c r="P46" i="25" s="1"/>
  <c r="AW68" i="3"/>
  <c r="I56" i="9"/>
  <c r="U56" i="9" s="1"/>
  <c r="AU83" i="3"/>
  <c r="H47" i="25"/>
  <c r="Q47" i="25" s="1"/>
  <c r="BC68" i="3"/>
  <c r="M56" i="9"/>
  <c r="Y56" i="9" s="1"/>
  <c r="J56" i="15"/>
  <c r="S56" i="15" s="1"/>
  <c r="J56" i="7"/>
  <c r="S56" i="7" s="1"/>
  <c r="BF66" i="3"/>
  <c r="H54" i="11"/>
  <c r="O54" i="11" s="1"/>
  <c r="BF69" i="3"/>
  <c r="H57" i="11"/>
  <c r="O57" i="11" s="1"/>
  <c r="AZ68" i="3"/>
  <c r="J56" i="9"/>
  <c r="V56" i="9" s="1"/>
  <c r="I56" i="15"/>
  <c r="R56" i="15" s="1"/>
  <c r="I56" i="7"/>
  <c r="R56" i="7" s="1"/>
  <c r="BA72" i="3"/>
  <c r="K60" i="9"/>
  <c r="W60" i="9" s="1"/>
  <c r="BA69" i="3"/>
  <c r="K57" i="9"/>
  <c r="W57" i="9" s="1"/>
  <c r="AS74" i="3"/>
  <c r="G38" i="25"/>
  <c r="P38" i="25" s="1"/>
  <c r="BF68" i="3"/>
  <c r="H56" i="11"/>
  <c r="O56" i="11" s="1"/>
  <c r="AW72" i="3"/>
  <c r="I60" i="9"/>
  <c r="U60" i="9" s="1"/>
  <c r="BA73" i="3"/>
  <c r="K61" i="9"/>
  <c r="W61" i="9" s="1"/>
  <c r="L64" i="24"/>
  <c r="K71" i="24"/>
  <c r="AX73" i="3"/>
  <c r="G61" i="11"/>
  <c r="N61" i="11" s="1"/>
  <c r="AX62" i="3"/>
  <c r="G50" i="11"/>
  <c r="N50" i="11" s="1"/>
  <c r="AZ71" i="3"/>
  <c r="J59" i="9"/>
  <c r="V59" i="9" s="1"/>
  <c r="I59" i="15"/>
  <c r="R59" i="15" s="1"/>
  <c r="I59" i="7"/>
  <c r="R59" i="7" s="1"/>
  <c r="AV64" i="3"/>
  <c r="H52" i="15"/>
  <c r="Q52" i="15" s="1"/>
  <c r="I28" i="25"/>
  <c r="R28" i="25" s="1"/>
  <c r="T28" i="25" s="1"/>
  <c r="H52" i="7"/>
  <c r="Q52" i="7" s="1"/>
  <c r="BC67" i="3"/>
  <c r="M55" i="9"/>
  <c r="Y55" i="9" s="1"/>
  <c r="J55" i="15"/>
  <c r="S55" i="15" s="1"/>
  <c r="J55" i="7"/>
  <c r="S55" i="7" s="1"/>
  <c r="AU79" i="3"/>
  <c r="H43" i="25"/>
  <c r="Q43" i="25" s="1"/>
  <c r="BB64" i="3"/>
  <c r="L52" i="9"/>
  <c r="X52" i="9" s="1"/>
  <c r="BF71" i="3"/>
  <c r="H59" i="11"/>
  <c r="O59" i="11" s="1"/>
  <c r="AS83" i="3"/>
  <c r="G47" i="25"/>
  <c r="P47" i="25" s="1"/>
  <c r="AS77" i="3"/>
  <c r="G41" i="25"/>
  <c r="P41" i="25" s="1"/>
  <c r="BF62" i="3"/>
  <c r="H50" i="11"/>
  <c r="O50" i="11" s="1"/>
  <c r="BB62" i="3"/>
  <c r="L50" i="9"/>
  <c r="X50" i="9" s="1"/>
  <c r="BA71" i="3"/>
  <c r="K59" i="9"/>
  <c r="W59" i="9" s="1"/>
  <c r="BF64" i="3"/>
  <c r="H52" i="11"/>
  <c r="O52" i="11" s="1"/>
  <c r="AW62" i="3"/>
  <c r="I50" i="9"/>
  <c r="U50" i="9" s="1"/>
  <c r="BC65" i="3"/>
  <c r="M53" i="9"/>
  <c r="Y53" i="9" s="1"/>
  <c r="J53" i="15"/>
  <c r="S53" i="15" s="1"/>
  <c r="J53" i="7"/>
  <c r="S53" i="7" s="1"/>
  <c r="AV73" i="3"/>
  <c r="H61" i="15"/>
  <c r="Q61" i="15" s="1"/>
  <c r="I37" i="25"/>
  <c r="R37" i="25" s="1"/>
  <c r="T37" i="25" s="1"/>
  <c r="H61" i="7"/>
  <c r="Q61" i="7" s="1"/>
  <c r="AZ72" i="3"/>
  <c r="J60" i="9"/>
  <c r="V60" i="9" s="1"/>
  <c r="I60" i="15"/>
  <c r="R60" i="15" s="1"/>
  <c r="I60" i="7"/>
  <c r="R60" i="7" s="1"/>
  <c r="AV65" i="3"/>
  <c r="H53" i="15"/>
  <c r="Q53" i="15" s="1"/>
  <c r="I29" i="25"/>
  <c r="R29" i="25" s="1"/>
  <c r="T29" i="25" s="1"/>
  <c r="H53" i="7"/>
  <c r="Q53" i="7" s="1"/>
  <c r="AU85" i="3"/>
  <c r="H49" i="25"/>
  <c r="Q49" i="25" s="1"/>
  <c r="BC70" i="3"/>
  <c r="M58" i="9"/>
  <c r="Y58" i="9" s="1"/>
  <c r="J58" i="15"/>
  <c r="S58" i="15" s="1"/>
  <c r="J58" i="7"/>
  <c r="S58" i="7" s="1"/>
  <c r="BB70" i="3"/>
  <c r="L58" i="9"/>
  <c r="X58" i="9" s="1"/>
  <c r="AU84" i="3"/>
  <c r="H48" i="25"/>
  <c r="Q48" i="25" s="1"/>
  <c r="BC69" i="3"/>
  <c r="M57" i="9"/>
  <c r="Y57" i="9" s="1"/>
  <c r="J57" i="15"/>
  <c r="S57" i="15" s="1"/>
  <c r="J57" i="7"/>
  <c r="S57" i="7" s="1"/>
  <c r="AU76" i="3"/>
  <c r="H40" i="25"/>
  <c r="Q40" i="25" s="1"/>
  <c r="AX66" i="3"/>
  <c r="G54" i="11"/>
  <c r="N54" i="11" s="1"/>
  <c r="BC71" i="3"/>
  <c r="M59" i="9"/>
  <c r="Y59" i="9" s="1"/>
  <c r="J59" i="15"/>
  <c r="S59" i="15" s="1"/>
  <c r="J59" i="7"/>
  <c r="S59" i="7" s="1"/>
  <c r="AU78" i="3"/>
  <c r="H42" i="25"/>
  <c r="Q42" i="25" s="1"/>
  <c r="BC62" i="3"/>
  <c r="M50" i="9"/>
  <c r="Y50" i="9" s="1"/>
  <c r="J50" i="15"/>
  <c r="S50" i="15" s="1"/>
  <c r="J50" i="7"/>
  <c r="S50" i="7" s="1"/>
  <c r="BB68" i="3"/>
  <c r="L56" i="9"/>
  <c r="X56" i="9" s="1"/>
  <c r="BB69" i="3"/>
  <c r="L57" i="9"/>
  <c r="X57" i="9" s="1"/>
  <c r="BA70" i="3"/>
  <c r="K58" i="9"/>
  <c r="W58" i="9" s="1"/>
  <c r="BA62" i="3"/>
  <c r="K50" i="9"/>
  <c r="W50" i="9" s="1"/>
  <c r="BA67" i="3"/>
  <c r="K55" i="9"/>
  <c r="W55" i="9" s="1"/>
  <c r="BF72" i="3"/>
  <c r="H60" i="11"/>
  <c r="O60" i="11" s="1"/>
  <c r="AX67" i="3"/>
  <c r="G55" i="11"/>
  <c r="N55" i="11" s="1"/>
  <c r="AW73" i="3"/>
  <c r="I61" i="9"/>
  <c r="U61" i="9" s="1"/>
  <c r="AW66" i="3"/>
  <c r="I54" i="9"/>
  <c r="U54" i="9" s="1"/>
  <c r="AW71" i="3"/>
  <c r="I59" i="9"/>
  <c r="U59" i="9" s="1"/>
  <c r="BA63" i="3"/>
  <c r="K51" i="9"/>
  <c r="W51" i="9" s="1"/>
  <c r="AW63" i="3"/>
  <c r="I51" i="9"/>
  <c r="U51" i="9" s="1"/>
  <c r="AV63" i="3"/>
  <c r="H51" i="15"/>
  <c r="Q51" i="15" s="1"/>
  <c r="I27" i="25"/>
  <c r="R27" i="25" s="1"/>
  <c r="T27" i="25" s="1"/>
  <c r="H51" i="7"/>
  <c r="Q51" i="7" s="1"/>
  <c r="AU75" i="3"/>
  <c r="H39" i="25"/>
  <c r="Q39" i="25" s="1"/>
  <c r="AS75" i="3"/>
  <c r="G39" i="25"/>
  <c r="P39" i="25" s="1"/>
  <c r="AX63" i="3"/>
  <c r="G51" i="11"/>
  <c r="N51" i="11" s="1"/>
  <c r="BB63" i="3"/>
  <c r="L51" i="9"/>
  <c r="X51" i="9" s="1"/>
  <c r="AZ63" i="3"/>
  <c r="J51" i="9"/>
  <c r="V51" i="9" s="1"/>
  <c r="I51" i="15"/>
  <c r="R51" i="15" s="1"/>
  <c r="I51" i="7"/>
  <c r="R51" i="7" s="1"/>
  <c r="BF63" i="3"/>
  <c r="H51" i="11"/>
  <c r="O51" i="11" s="1"/>
  <c r="BC63" i="3"/>
  <c r="M51" i="9"/>
  <c r="Y51" i="9" s="1"/>
  <c r="J51" i="15"/>
  <c r="S51" i="15" s="1"/>
  <c r="J51" i="7"/>
  <c r="S51" i="7" s="1"/>
  <c r="M108" i="16"/>
  <c r="Y96" i="16"/>
  <c r="I112" i="16"/>
  <c r="U100" i="16"/>
  <c r="M116" i="16"/>
  <c r="Y104" i="16"/>
  <c r="I81" i="16"/>
  <c r="U69" i="16"/>
  <c r="M74" i="16"/>
  <c r="Y62" i="16"/>
  <c r="K76" i="16"/>
  <c r="W64" i="16"/>
  <c r="J115" i="16"/>
  <c r="V103" i="16"/>
  <c r="J111" i="16"/>
  <c r="V99" i="16"/>
  <c r="I75" i="16"/>
  <c r="U63" i="16"/>
  <c r="I74" i="16"/>
  <c r="U62" i="16"/>
  <c r="L117" i="16"/>
  <c r="X105" i="16"/>
  <c r="K74" i="16"/>
  <c r="W62" i="16"/>
  <c r="L74" i="16"/>
  <c r="X62" i="16"/>
  <c r="K118" i="16"/>
  <c r="W106" i="16"/>
  <c r="I108" i="16"/>
  <c r="U96" i="16"/>
  <c r="M78" i="16"/>
  <c r="Y66" i="16"/>
  <c r="K78" i="16"/>
  <c r="W66" i="16"/>
  <c r="L79" i="16"/>
  <c r="X67" i="16"/>
  <c r="I104" i="16"/>
  <c r="U92" i="16"/>
  <c r="M81" i="16"/>
  <c r="Y69" i="16"/>
  <c r="J77" i="16"/>
  <c r="V65" i="16"/>
  <c r="L78" i="16"/>
  <c r="X66" i="16"/>
  <c r="L101" i="16"/>
  <c r="X89" i="16"/>
  <c r="I109" i="16"/>
  <c r="U97" i="16"/>
  <c r="L82" i="16"/>
  <c r="X70" i="16"/>
  <c r="K75" i="16"/>
  <c r="W63" i="16"/>
  <c r="J83" i="16"/>
  <c r="V71" i="16"/>
  <c r="J81" i="16"/>
  <c r="V69" i="16"/>
  <c r="K80" i="16"/>
  <c r="W68" i="16"/>
  <c r="M82" i="16"/>
  <c r="Y70" i="16"/>
  <c r="K79" i="16"/>
  <c r="W67" i="16"/>
  <c r="I77" i="16"/>
  <c r="U65" i="16"/>
  <c r="M77" i="16"/>
  <c r="Y65" i="16"/>
  <c r="M109" i="16"/>
  <c r="Y97" i="16"/>
  <c r="I82" i="16"/>
  <c r="U70" i="16"/>
  <c r="L75" i="16"/>
  <c r="X63" i="16"/>
  <c r="K83" i="16"/>
  <c r="W71" i="16"/>
  <c r="J84" i="16"/>
  <c r="V72" i="16"/>
  <c r="M75" i="16"/>
  <c r="Y63" i="16"/>
  <c r="J76" i="16"/>
  <c r="V64" i="16"/>
  <c r="I78" i="16"/>
  <c r="U66" i="16"/>
  <c r="L84" i="16"/>
  <c r="X72" i="16"/>
  <c r="J80" i="16"/>
  <c r="V68" i="16"/>
  <c r="L109" i="16"/>
  <c r="X97" i="16"/>
  <c r="J74" i="16"/>
  <c r="V62" i="16"/>
  <c r="L83" i="16"/>
  <c r="X71" i="16"/>
  <c r="L88" i="16"/>
  <c r="X76" i="16"/>
  <c r="M88" i="16"/>
  <c r="Y76" i="16"/>
  <c r="T9" i="20"/>
  <c r="AB9" i="20" s="1"/>
  <c r="AT6" i="20"/>
  <c r="AT7" i="20"/>
  <c r="AL8" i="20"/>
  <c r="K10" i="20"/>
  <c r="B11" i="20"/>
  <c r="AR62" i="3"/>
  <c r="AO50" i="3"/>
  <c r="G50" i="15" s="1"/>
  <c r="P50" i="15" s="1"/>
  <c r="AH11" i="19"/>
  <c r="AD11" i="19"/>
  <c r="Z11" i="19"/>
  <c r="V11" i="19"/>
  <c r="R11" i="19"/>
  <c r="N11" i="19"/>
  <c r="J11" i="19"/>
  <c r="F11" i="19"/>
  <c r="B10" i="19"/>
  <c r="AO65" i="3"/>
  <c r="G65" i="15" s="1"/>
  <c r="P65" i="15" s="1"/>
  <c r="AR77" i="3"/>
  <c r="AO68" i="3"/>
  <c r="G68" i="15" s="1"/>
  <c r="P68" i="15" s="1"/>
  <c r="AR80" i="3"/>
  <c r="AR83" i="3"/>
  <c r="AO71" i="3"/>
  <c r="G71" i="15" s="1"/>
  <c r="P71" i="15" s="1"/>
  <c r="AO66" i="3"/>
  <c r="G66" i="15" s="1"/>
  <c r="P66" i="15" s="1"/>
  <c r="AR78" i="3"/>
  <c r="AR82" i="3"/>
  <c r="AO70" i="3"/>
  <c r="G70" i="15" s="1"/>
  <c r="P70" i="15" s="1"/>
  <c r="AO73" i="3"/>
  <c r="G73" i="15" s="1"/>
  <c r="P73" i="15" s="1"/>
  <c r="AR85" i="3"/>
  <c r="AO60" i="3"/>
  <c r="G60" i="15" s="1"/>
  <c r="P60" i="15" s="1"/>
  <c r="AR72" i="3"/>
  <c r="AO52" i="3"/>
  <c r="G52" i="15" s="1"/>
  <c r="P52" i="15" s="1"/>
  <c r="AR64" i="3"/>
  <c r="AO69" i="3"/>
  <c r="G69" i="15" s="1"/>
  <c r="P69" i="15" s="1"/>
  <c r="AR81" i="3"/>
  <c r="AR75" i="3"/>
  <c r="AO63" i="3"/>
  <c r="G63" i="15" s="1"/>
  <c r="P63" i="15" s="1"/>
  <c r="AR79" i="3"/>
  <c r="AO67" i="3"/>
  <c r="G67" i="15" s="1"/>
  <c r="P67" i="15" s="1"/>
  <c r="G45" i="24"/>
  <c r="H38" i="24"/>
  <c r="H58" i="24"/>
  <c r="I51" i="24"/>
  <c r="J51" i="24" s="1"/>
  <c r="K51" i="24" s="1"/>
  <c r="C122" i="1"/>
  <c r="C141" i="1"/>
  <c r="H71" i="24" l="1"/>
  <c r="BF7" i="20"/>
  <c r="BF6" i="20"/>
  <c r="BB82" i="3"/>
  <c r="L70" i="9"/>
  <c r="X70" i="9" s="1"/>
  <c r="BC77" i="3"/>
  <c r="M65" i="9"/>
  <c r="Y65" i="9" s="1"/>
  <c r="J65" i="15"/>
  <c r="S65" i="15" s="1"/>
  <c r="J65" i="7"/>
  <c r="S65" i="7" s="1"/>
  <c r="M64" i="24"/>
  <c r="L71" i="24"/>
  <c r="AS86" i="3"/>
  <c r="G50" i="25"/>
  <c r="P50" i="25" s="1"/>
  <c r="AZ80" i="3"/>
  <c r="J68" i="9"/>
  <c r="V68" i="9" s="1"/>
  <c r="I68" i="15"/>
  <c r="R68" i="15" s="1"/>
  <c r="I68" i="7"/>
  <c r="R68" i="7" s="1"/>
  <c r="AW80" i="3"/>
  <c r="I68" i="9"/>
  <c r="U68" i="9" s="1"/>
  <c r="BB78" i="3"/>
  <c r="L66" i="9"/>
  <c r="X66" i="9" s="1"/>
  <c r="AX82" i="3"/>
  <c r="G70" i="11"/>
  <c r="N70" i="11" s="1"/>
  <c r="BB85" i="3"/>
  <c r="L73" i="9"/>
  <c r="X73" i="9" s="1"/>
  <c r="BC78" i="3"/>
  <c r="M66" i="9"/>
  <c r="Y66" i="9" s="1"/>
  <c r="J66" i="15"/>
  <c r="S66" i="15" s="1"/>
  <c r="J66" i="7"/>
  <c r="S66" i="7" s="1"/>
  <c r="L51" i="24"/>
  <c r="L58" i="24" s="1"/>
  <c r="K58" i="24"/>
  <c r="AW83" i="3"/>
  <c r="I71" i="9"/>
  <c r="U71" i="9" s="1"/>
  <c r="AW85" i="3"/>
  <c r="I73" i="9"/>
  <c r="U73" i="9" s="1"/>
  <c r="BF84" i="3"/>
  <c r="H72" i="11"/>
  <c r="O72" i="11" s="1"/>
  <c r="BA74" i="3"/>
  <c r="K62" i="9"/>
  <c r="W62" i="9" s="1"/>
  <c r="BB81" i="3"/>
  <c r="L69" i="9"/>
  <c r="X69" i="9" s="1"/>
  <c r="AU90" i="3"/>
  <c r="H54" i="25"/>
  <c r="Q54" i="25" s="1"/>
  <c r="BC83" i="3"/>
  <c r="M71" i="9"/>
  <c r="Y71" i="9" s="1"/>
  <c r="J71" i="15"/>
  <c r="S71" i="15" s="1"/>
  <c r="J71" i="7"/>
  <c r="S71" i="7" s="1"/>
  <c r="BF83" i="3"/>
  <c r="H71" i="11"/>
  <c r="O71" i="11" s="1"/>
  <c r="AU86" i="3"/>
  <c r="H50" i="25"/>
  <c r="Q50" i="25" s="1"/>
  <c r="BC84" i="3"/>
  <c r="M72" i="9"/>
  <c r="Y72" i="9" s="1"/>
  <c r="J72" i="15"/>
  <c r="S72" i="15" s="1"/>
  <c r="J72" i="7"/>
  <c r="S72" i="7" s="1"/>
  <c r="AS97" i="3"/>
  <c r="G61" i="25"/>
  <c r="P61" i="25" s="1"/>
  <c r="AX77" i="3"/>
  <c r="G65" i="11"/>
  <c r="N65" i="11" s="1"/>
  <c r="BF82" i="3"/>
  <c r="H70" i="11"/>
  <c r="O70" i="11" s="1"/>
  <c r="AZ76" i="3"/>
  <c r="J64" i="9"/>
  <c r="V64" i="9" s="1"/>
  <c r="I64" i="15"/>
  <c r="R64" i="15" s="1"/>
  <c r="I64" i="7"/>
  <c r="R64" i="7" s="1"/>
  <c r="AV81" i="3"/>
  <c r="H69" i="15"/>
  <c r="Q69" i="15" s="1"/>
  <c r="I45" i="25"/>
  <c r="R45" i="25" s="1"/>
  <c r="H69" i="7"/>
  <c r="Q69" i="7" s="1"/>
  <c r="AU92" i="3"/>
  <c r="H56" i="25"/>
  <c r="Q56" i="25" s="1"/>
  <c r="AW77" i="3"/>
  <c r="I65" i="9"/>
  <c r="U65" i="9" s="1"/>
  <c r="BA77" i="3"/>
  <c r="K65" i="9"/>
  <c r="W65" i="9" s="1"/>
  <c r="AS93" i="3"/>
  <c r="G57" i="25"/>
  <c r="P57" i="25" s="1"/>
  <c r="AW76" i="3"/>
  <c r="I64" i="9"/>
  <c r="U64" i="9" s="1"/>
  <c r="AV74" i="3"/>
  <c r="H62" i="15"/>
  <c r="Q62" i="15" s="1"/>
  <c r="I38" i="25"/>
  <c r="R38" i="25" s="1"/>
  <c r="T38" i="25" s="1"/>
  <c r="H62" i="7"/>
  <c r="Q62" i="7" s="1"/>
  <c r="AZ78" i="3"/>
  <c r="J66" i="9"/>
  <c r="V66" i="9" s="1"/>
  <c r="I66" i="15"/>
  <c r="R66" i="15" s="1"/>
  <c r="I66" i="7"/>
  <c r="R66" i="7" s="1"/>
  <c r="AZ82" i="3"/>
  <c r="J70" i="9"/>
  <c r="V70" i="9" s="1"/>
  <c r="I70" i="15"/>
  <c r="R70" i="15" s="1"/>
  <c r="I70" i="7"/>
  <c r="R70" i="7" s="1"/>
  <c r="AV83" i="3"/>
  <c r="I47" i="25"/>
  <c r="R47" i="25" s="1"/>
  <c r="T47" i="25" s="1"/>
  <c r="H71" i="15"/>
  <c r="Q71" i="15" s="1"/>
  <c r="H71" i="7"/>
  <c r="Q71" i="7" s="1"/>
  <c r="BF77" i="3"/>
  <c r="H65" i="11"/>
  <c r="O65" i="11" s="1"/>
  <c r="AX84" i="3"/>
  <c r="G72" i="11"/>
  <c r="N72" i="11" s="1"/>
  <c r="AX80" i="3"/>
  <c r="G68" i="11"/>
  <c r="N68" i="11" s="1"/>
  <c r="AS92" i="3"/>
  <c r="G56" i="25"/>
  <c r="P56" i="25" s="1"/>
  <c r="BB74" i="3"/>
  <c r="L62" i="9"/>
  <c r="X62" i="9" s="1"/>
  <c r="BB76" i="3"/>
  <c r="L64" i="9"/>
  <c r="X64" i="9" s="1"/>
  <c r="AX74" i="3"/>
  <c r="G62" i="11"/>
  <c r="N62" i="11" s="1"/>
  <c r="BC80" i="3"/>
  <c r="M68" i="9"/>
  <c r="Y68" i="9" s="1"/>
  <c r="J68" i="15"/>
  <c r="S68" i="15" s="1"/>
  <c r="J68" i="7"/>
  <c r="S68" i="7" s="1"/>
  <c r="AV82" i="3"/>
  <c r="H70" i="15"/>
  <c r="Q70" i="15" s="1"/>
  <c r="I46" i="25"/>
  <c r="R46" i="25" s="1"/>
  <c r="T46" i="25" s="1"/>
  <c r="H70" i="7"/>
  <c r="Q70" i="7" s="1"/>
  <c r="AU88" i="3"/>
  <c r="H52" i="25"/>
  <c r="Q52" i="25" s="1"/>
  <c r="BC81" i="3"/>
  <c r="M69" i="9"/>
  <c r="Y69" i="9" s="1"/>
  <c r="J69" i="15"/>
  <c r="S69" i="15" s="1"/>
  <c r="J69" i="7"/>
  <c r="S69" i="7" s="1"/>
  <c r="AU97" i="3"/>
  <c r="H61" i="25"/>
  <c r="Q61" i="25" s="1"/>
  <c r="AV77" i="3"/>
  <c r="H65" i="15"/>
  <c r="Q65" i="15" s="1"/>
  <c r="I41" i="25"/>
  <c r="R41" i="25" s="1"/>
  <c r="T41" i="25" s="1"/>
  <c r="H65" i="7"/>
  <c r="Q65" i="7" s="1"/>
  <c r="AZ84" i="3"/>
  <c r="J72" i="9"/>
  <c r="V72" i="9" s="1"/>
  <c r="I72" i="15"/>
  <c r="R72" i="15" s="1"/>
  <c r="I72" i="7"/>
  <c r="R72" i="7" s="1"/>
  <c r="AV85" i="3"/>
  <c r="H73" i="15"/>
  <c r="Q73" i="15" s="1"/>
  <c r="I49" i="25"/>
  <c r="R49" i="25" s="1"/>
  <c r="T49" i="25" s="1"/>
  <c r="H73" i="7"/>
  <c r="Q73" i="7" s="1"/>
  <c r="AW74" i="3"/>
  <c r="I62" i="9"/>
  <c r="U62" i="9" s="1"/>
  <c r="BA83" i="3"/>
  <c r="K71" i="9"/>
  <c r="W71" i="9" s="1"/>
  <c r="BF74" i="3"/>
  <c r="H62" i="11"/>
  <c r="O62" i="11" s="1"/>
  <c r="AU91" i="3"/>
  <c r="H55" i="25"/>
  <c r="Q55" i="25" s="1"/>
  <c r="BC79" i="3"/>
  <c r="M67" i="9"/>
  <c r="Y67" i="9" s="1"/>
  <c r="J67" i="15"/>
  <c r="S67" i="15" s="1"/>
  <c r="J67" i="7"/>
  <c r="S67" i="7" s="1"/>
  <c r="AV76" i="3"/>
  <c r="H64" i="15"/>
  <c r="Q64" i="15" s="1"/>
  <c r="I40" i="25"/>
  <c r="R40" i="25" s="1"/>
  <c r="T40" i="25" s="1"/>
  <c r="H64" i="7"/>
  <c r="Q64" i="7" s="1"/>
  <c r="AZ83" i="3"/>
  <c r="J71" i="9"/>
  <c r="V71" i="9" s="1"/>
  <c r="I71" i="15"/>
  <c r="R71" i="15" s="1"/>
  <c r="I71" i="7"/>
  <c r="R71" i="7" s="1"/>
  <c r="AX85" i="3"/>
  <c r="G73" i="11"/>
  <c r="N73" i="11" s="1"/>
  <c r="BA85" i="3"/>
  <c r="K73" i="9"/>
  <c r="W73" i="9" s="1"/>
  <c r="BF80" i="3"/>
  <c r="H68" i="11"/>
  <c r="O68" i="11" s="1"/>
  <c r="BA81" i="3"/>
  <c r="K69" i="9"/>
  <c r="W69" i="9" s="1"/>
  <c r="BF81" i="3"/>
  <c r="H69" i="11"/>
  <c r="O69" i="11" s="1"/>
  <c r="AU95" i="3"/>
  <c r="H59" i="25"/>
  <c r="Q59" i="25" s="1"/>
  <c r="AS94" i="3"/>
  <c r="G58" i="25"/>
  <c r="P58" i="25" s="1"/>
  <c r="BC85" i="3"/>
  <c r="M73" i="9"/>
  <c r="Y73" i="9" s="1"/>
  <c r="J73" i="15"/>
  <c r="S73" i="15" s="1"/>
  <c r="J73" i="7"/>
  <c r="S73" i="7" s="1"/>
  <c r="AW82" i="3"/>
  <c r="I70" i="9"/>
  <c r="U70" i="9" s="1"/>
  <c r="AS90" i="3"/>
  <c r="G54" i="25"/>
  <c r="P54" i="25" s="1"/>
  <c r="AS88" i="3"/>
  <c r="G52" i="25"/>
  <c r="P52" i="25" s="1"/>
  <c r="AU94" i="3"/>
  <c r="H58" i="25"/>
  <c r="Q58" i="25" s="1"/>
  <c r="AW81" i="3"/>
  <c r="I69" i="9"/>
  <c r="U69" i="9" s="1"/>
  <c r="BB77" i="3"/>
  <c r="L65" i="9"/>
  <c r="X65" i="9" s="1"/>
  <c r="AX83" i="3"/>
  <c r="G71" i="11"/>
  <c r="N71" i="11" s="1"/>
  <c r="AX78" i="3"/>
  <c r="G66" i="11"/>
  <c r="N66" i="11" s="1"/>
  <c r="AU96" i="3"/>
  <c r="H60" i="25"/>
  <c r="Q60" i="25" s="1"/>
  <c r="BC82" i="3"/>
  <c r="M70" i="9"/>
  <c r="Y70" i="9" s="1"/>
  <c r="J70" i="15"/>
  <c r="S70" i="15" s="1"/>
  <c r="J70" i="7"/>
  <c r="S70" i="7" s="1"/>
  <c r="BF76" i="3"/>
  <c r="H64" i="11"/>
  <c r="O64" i="11" s="1"/>
  <c r="AS89" i="3"/>
  <c r="G53" i="25"/>
  <c r="P53" i="25" s="1"/>
  <c r="AW84" i="3"/>
  <c r="I72" i="9"/>
  <c r="U72" i="9" s="1"/>
  <c r="BA84" i="3"/>
  <c r="K72" i="9"/>
  <c r="W72" i="9" s="1"/>
  <c r="BF78" i="3"/>
  <c r="H66" i="11"/>
  <c r="O66" i="11" s="1"/>
  <c r="AW79" i="3"/>
  <c r="I67" i="9"/>
  <c r="U67" i="9" s="1"/>
  <c r="BA78" i="3"/>
  <c r="K66" i="9"/>
  <c r="W66" i="9" s="1"/>
  <c r="T45" i="25"/>
  <c r="BA80" i="3"/>
  <c r="K68" i="9"/>
  <c r="W68" i="9" s="1"/>
  <c r="AV78" i="3"/>
  <c r="H66" i="15"/>
  <c r="Q66" i="15" s="1"/>
  <c r="I42" i="25"/>
  <c r="R42" i="25" s="1"/>
  <c r="T42" i="25" s="1"/>
  <c r="H66" i="7"/>
  <c r="Q66" i="7" s="1"/>
  <c r="AW78" i="3"/>
  <c r="I66" i="9"/>
  <c r="U66" i="9" s="1"/>
  <c r="AX79" i="3"/>
  <c r="G67" i="11"/>
  <c r="N67" i="11" s="1"/>
  <c r="BA79" i="3"/>
  <c r="K67" i="9"/>
  <c r="W67" i="9" s="1"/>
  <c r="BA82" i="3"/>
  <c r="K70" i="9"/>
  <c r="W70" i="9" s="1"/>
  <c r="BB80" i="3"/>
  <c r="L68" i="9"/>
  <c r="X68" i="9" s="1"/>
  <c r="BC74" i="3"/>
  <c r="M62" i="9"/>
  <c r="Y62" i="9" s="1"/>
  <c r="J62" i="15"/>
  <c r="S62" i="15" s="1"/>
  <c r="J62" i="7"/>
  <c r="S62" i="7" s="1"/>
  <c r="AS95" i="3"/>
  <c r="G59" i="25"/>
  <c r="P59" i="25" s="1"/>
  <c r="AX76" i="3"/>
  <c r="G64" i="11"/>
  <c r="N64" i="11" s="1"/>
  <c r="BF79" i="3"/>
  <c r="H67" i="11"/>
  <c r="O67" i="11" s="1"/>
  <c r="BB84" i="3"/>
  <c r="L72" i="9"/>
  <c r="X72" i="9" s="1"/>
  <c r="AU89" i="3"/>
  <c r="H53" i="25"/>
  <c r="Q53" i="25" s="1"/>
  <c r="BB83" i="3"/>
  <c r="L71" i="9"/>
  <c r="X71" i="9" s="1"/>
  <c r="AV79" i="3"/>
  <c r="I43" i="25"/>
  <c r="R43" i="25" s="1"/>
  <c r="T43" i="25" s="1"/>
  <c r="H67" i="15"/>
  <c r="Q67" i="15" s="1"/>
  <c r="H67" i="7"/>
  <c r="Q67" i="7" s="1"/>
  <c r="BF85" i="3"/>
  <c r="H73" i="11"/>
  <c r="O73" i="11" s="1"/>
  <c r="AS91" i="3"/>
  <c r="G55" i="25"/>
  <c r="P55" i="25" s="1"/>
  <c r="AX81" i="3"/>
  <c r="G69" i="11"/>
  <c r="N69" i="11" s="1"/>
  <c r="BA76" i="3"/>
  <c r="K64" i="9"/>
  <c r="W64" i="9" s="1"/>
  <c r="AS96" i="3"/>
  <c r="G60" i="25"/>
  <c r="P60" i="25" s="1"/>
  <c r="BC76" i="3"/>
  <c r="M64" i="9"/>
  <c r="Y64" i="9" s="1"/>
  <c r="J64" i="15"/>
  <c r="S64" i="15" s="1"/>
  <c r="J64" i="7"/>
  <c r="S64" i="7" s="1"/>
  <c r="BB79" i="3"/>
  <c r="L67" i="9"/>
  <c r="X67" i="9" s="1"/>
  <c r="AZ74" i="3"/>
  <c r="J62" i="9"/>
  <c r="V62" i="9" s="1"/>
  <c r="I62" i="15"/>
  <c r="R62" i="15" s="1"/>
  <c r="I62" i="7"/>
  <c r="R62" i="7" s="1"/>
  <c r="AZ79" i="3"/>
  <c r="J67" i="9"/>
  <c r="V67" i="9" s="1"/>
  <c r="I67" i="15"/>
  <c r="R67" i="15" s="1"/>
  <c r="I67" i="7"/>
  <c r="R67" i="7" s="1"/>
  <c r="AV80" i="3"/>
  <c r="I44" i="25"/>
  <c r="R44" i="25" s="1"/>
  <c r="T44" i="25" s="1"/>
  <c r="H68" i="15"/>
  <c r="Q68" i="15" s="1"/>
  <c r="H68" i="7"/>
  <c r="Q68" i="7" s="1"/>
  <c r="AV84" i="3"/>
  <c r="I48" i="25"/>
  <c r="R48" i="25" s="1"/>
  <c r="T48" i="25" s="1"/>
  <c r="H72" i="15"/>
  <c r="Q72" i="15" s="1"/>
  <c r="H72" i="7"/>
  <c r="Q72" i="7" s="1"/>
  <c r="AU93" i="3"/>
  <c r="H57" i="25"/>
  <c r="Q57" i="25" s="1"/>
  <c r="AZ77" i="3"/>
  <c r="J65" i="9"/>
  <c r="V65" i="9" s="1"/>
  <c r="I65" i="15"/>
  <c r="R65" i="15" s="1"/>
  <c r="I65" i="7"/>
  <c r="R65" i="7" s="1"/>
  <c r="AZ81" i="3"/>
  <c r="J69" i="9"/>
  <c r="V69" i="9" s="1"/>
  <c r="I69" i="15"/>
  <c r="R69" i="15" s="1"/>
  <c r="I69" i="7"/>
  <c r="R69" i="7" s="1"/>
  <c r="AZ85" i="3"/>
  <c r="J73" i="9"/>
  <c r="V73" i="9" s="1"/>
  <c r="I73" i="15"/>
  <c r="R73" i="15" s="1"/>
  <c r="I73" i="7"/>
  <c r="R73" i="7" s="1"/>
  <c r="BC75" i="3"/>
  <c r="M63" i="9"/>
  <c r="Y63" i="9" s="1"/>
  <c r="J63" i="15"/>
  <c r="S63" i="15" s="1"/>
  <c r="J63" i="7"/>
  <c r="S63" i="7" s="1"/>
  <c r="BB75" i="3"/>
  <c r="L63" i="9"/>
  <c r="X63" i="9" s="1"/>
  <c r="AS87" i="3"/>
  <c r="G51" i="25"/>
  <c r="P51" i="25" s="1"/>
  <c r="AW75" i="3"/>
  <c r="I63" i="9"/>
  <c r="U63" i="9" s="1"/>
  <c r="BF75" i="3"/>
  <c r="H63" i="11"/>
  <c r="O63" i="11" s="1"/>
  <c r="AZ75" i="3"/>
  <c r="J63" i="9"/>
  <c r="V63" i="9" s="1"/>
  <c r="I63" i="15"/>
  <c r="R63" i="15" s="1"/>
  <c r="I63" i="7"/>
  <c r="R63" i="7" s="1"/>
  <c r="AX75" i="3"/>
  <c r="G63" i="11"/>
  <c r="N63" i="11" s="1"/>
  <c r="AU87" i="3"/>
  <c r="H51" i="25"/>
  <c r="Q51" i="25" s="1"/>
  <c r="AV75" i="3"/>
  <c r="H63" i="15"/>
  <c r="Q63" i="15" s="1"/>
  <c r="I39" i="25"/>
  <c r="R39" i="25" s="1"/>
  <c r="T39" i="25" s="1"/>
  <c r="H63" i="7"/>
  <c r="Q63" i="7" s="1"/>
  <c r="BA75" i="3"/>
  <c r="K63" i="9"/>
  <c r="W63" i="9" s="1"/>
  <c r="L100" i="16"/>
  <c r="X88" i="16"/>
  <c r="L121" i="16"/>
  <c r="X109" i="16"/>
  <c r="I90" i="16"/>
  <c r="U78" i="16"/>
  <c r="K95" i="16"/>
  <c r="W83" i="16"/>
  <c r="I94" i="16"/>
  <c r="U82" i="16"/>
  <c r="K91" i="16"/>
  <c r="W79" i="16"/>
  <c r="J95" i="16"/>
  <c r="V83" i="16"/>
  <c r="L94" i="16"/>
  <c r="X82" i="16"/>
  <c r="J89" i="16"/>
  <c r="V77" i="16"/>
  <c r="K90" i="16"/>
  <c r="W78" i="16"/>
  <c r="I120" i="16"/>
  <c r="U108" i="16"/>
  <c r="J86" i="16"/>
  <c r="V74" i="16"/>
  <c r="K130" i="16"/>
  <c r="W118" i="16"/>
  <c r="K86" i="16"/>
  <c r="W74" i="16"/>
  <c r="J123" i="16"/>
  <c r="V111" i="16"/>
  <c r="K88" i="16"/>
  <c r="W76" i="16"/>
  <c r="I93" i="16"/>
  <c r="U81" i="16"/>
  <c r="I124" i="16"/>
  <c r="U112" i="16"/>
  <c r="M100" i="16"/>
  <c r="Y88" i="16"/>
  <c r="L95" i="16"/>
  <c r="X83" i="16"/>
  <c r="J92" i="16"/>
  <c r="V80" i="16"/>
  <c r="J88" i="16"/>
  <c r="V76" i="16"/>
  <c r="J96" i="16"/>
  <c r="V84" i="16"/>
  <c r="L87" i="16"/>
  <c r="X75" i="16"/>
  <c r="M121" i="16"/>
  <c r="Y109" i="16"/>
  <c r="I89" i="16"/>
  <c r="U77" i="16"/>
  <c r="M94" i="16"/>
  <c r="Y82" i="16"/>
  <c r="J93" i="16"/>
  <c r="V81" i="16"/>
  <c r="K87" i="16"/>
  <c r="W75" i="16"/>
  <c r="I121" i="16"/>
  <c r="U109" i="16"/>
  <c r="L90" i="16"/>
  <c r="X78" i="16"/>
  <c r="M93" i="16"/>
  <c r="Y81" i="16"/>
  <c r="L91" i="16"/>
  <c r="X79" i="16"/>
  <c r="M90" i="16"/>
  <c r="Y78" i="16"/>
  <c r="L96" i="16"/>
  <c r="X84" i="16"/>
  <c r="M87" i="16"/>
  <c r="Y75" i="16"/>
  <c r="M89" i="16"/>
  <c r="Y77" i="16"/>
  <c r="K92" i="16"/>
  <c r="W80" i="16"/>
  <c r="L113" i="16"/>
  <c r="X101" i="16"/>
  <c r="I116" i="16"/>
  <c r="U104" i="16"/>
  <c r="I86" i="16"/>
  <c r="U74" i="16"/>
  <c r="L86" i="16"/>
  <c r="X74" i="16"/>
  <c r="L129" i="16"/>
  <c r="X117" i="16"/>
  <c r="I87" i="16"/>
  <c r="U75" i="16"/>
  <c r="J127" i="16"/>
  <c r="V115" i="16"/>
  <c r="M86" i="16"/>
  <c r="Y74" i="16"/>
  <c r="M128" i="16"/>
  <c r="Y116" i="16"/>
  <c r="M120" i="16"/>
  <c r="Y108" i="16"/>
  <c r="I38" i="24"/>
  <c r="H87" i="24"/>
  <c r="T10" i="20"/>
  <c r="AB10" i="20" s="1"/>
  <c r="BL5" i="20"/>
  <c r="AT8" i="20"/>
  <c r="AL9" i="20"/>
  <c r="K11" i="20"/>
  <c r="B12" i="20"/>
  <c r="AR74" i="3"/>
  <c r="AO62" i="3"/>
  <c r="G62" i="15" s="1"/>
  <c r="P62" i="15" s="1"/>
  <c r="AH12" i="19"/>
  <c r="AD12" i="19"/>
  <c r="Z12" i="19"/>
  <c r="V12" i="19"/>
  <c r="R12" i="19"/>
  <c r="N12" i="19"/>
  <c r="J12" i="19"/>
  <c r="F12" i="19"/>
  <c r="B11" i="19"/>
  <c r="AO64" i="3"/>
  <c r="G64" i="15" s="1"/>
  <c r="P64" i="15" s="1"/>
  <c r="AR76" i="3"/>
  <c r="AR90" i="3"/>
  <c r="AO78" i="3"/>
  <c r="G78" i="15" s="1"/>
  <c r="P78" i="15" s="1"/>
  <c r="AO80" i="3"/>
  <c r="G80" i="15" s="1"/>
  <c r="P80" i="15" s="1"/>
  <c r="AR92" i="3"/>
  <c r="AR87" i="3"/>
  <c r="AO75" i="3"/>
  <c r="G75" i="15" s="1"/>
  <c r="P75" i="15" s="1"/>
  <c r="AO77" i="3"/>
  <c r="G77" i="15" s="1"/>
  <c r="P77" i="15" s="1"/>
  <c r="AR89" i="3"/>
  <c r="AO85" i="3"/>
  <c r="G85" i="15" s="1"/>
  <c r="P85" i="15" s="1"/>
  <c r="AR97" i="3"/>
  <c r="AO81" i="3"/>
  <c r="G81" i="15" s="1"/>
  <c r="P81" i="15" s="1"/>
  <c r="AR93" i="3"/>
  <c r="AO72" i="3"/>
  <c r="G72" i="15" s="1"/>
  <c r="P72" i="15" s="1"/>
  <c r="AR84" i="3"/>
  <c r="AR91" i="3"/>
  <c r="AO79" i="3"/>
  <c r="G79" i="15" s="1"/>
  <c r="P79" i="15" s="1"/>
  <c r="AR94" i="3"/>
  <c r="AO82" i="3"/>
  <c r="G82" i="15" s="1"/>
  <c r="P82" i="15" s="1"/>
  <c r="AR95" i="3"/>
  <c r="AO83" i="3"/>
  <c r="G83" i="15" s="1"/>
  <c r="P83" i="15" s="1"/>
  <c r="I71" i="24"/>
  <c r="I58" i="24"/>
  <c r="H45" i="24"/>
  <c r="B165" i="2"/>
  <c r="C117" i="3" s="1"/>
  <c r="C165" i="2"/>
  <c r="F117" i="3" s="1"/>
  <c r="D165" i="2"/>
  <c r="I117" i="3" s="1"/>
  <c r="E165" i="2"/>
  <c r="L117" i="3" s="1"/>
  <c r="F165" i="2"/>
  <c r="O117" i="3" s="1"/>
  <c r="G165" i="2"/>
  <c r="R117" i="3" s="1"/>
  <c r="H165" i="2"/>
  <c r="S117" i="3" s="1"/>
  <c r="I165" i="2"/>
  <c r="T117" i="3" s="1"/>
  <c r="J165" i="2"/>
  <c r="U117" i="3" s="1"/>
  <c r="B166" i="2"/>
  <c r="C118" i="3" s="1"/>
  <c r="C166" i="2"/>
  <c r="F118" i="3" s="1"/>
  <c r="D166" i="2"/>
  <c r="I118" i="3" s="1"/>
  <c r="E166" i="2"/>
  <c r="L118" i="3" s="1"/>
  <c r="F166" i="2"/>
  <c r="O118" i="3" s="1"/>
  <c r="G166" i="2"/>
  <c r="R118" i="3" s="1"/>
  <c r="H166" i="2"/>
  <c r="S118" i="3" s="1"/>
  <c r="I166" i="2"/>
  <c r="T118" i="3" s="1"/>
  <c r="J166" i="2"/>
  <c r="U118" i="3" s="1"/>
  <c r="B167" i="2"/>
  <c r="C119" i="3" s="1"/>
  <c r="C167" i="2"/>
  <c r="F119" i="3" s="1"/>
  <c r="D167" i="2"/>
  <c r="I119" i="3" s="1"/>
  <c r="E167" i="2"/>
  <c r="L119" i="3" s="1"/>
  <c r="F167" i="2"/>
  <c r="O119" i="3" s="1"/>
  <c r="G167" i="2"/>
  <c r="R119" i="3" s="1"/>
  <c r="H167" i="2"/>
  <c r="S119" i="3" s="1"/>
  <c r="I167" i="2"/>
  <c r="T119" i="3" s="1"/>
  <c r="J167" i="2"/>
  <c r="U119" i="3" s="1"/>
  <c r="B168" i="2"/>
  <c r="C120" i="3" s="1"/>
  <c r="C168" i="2"/>
  <c r="F120" i="3" s="1"/>
  <c r="D168" i="2"/>
  <c r="I120" i="3" s="1"/>
  <c r="E168" i="2"/>
  <c r="L120" i="3" s="1"/>
  <c r="F168" i="2"/>
  <c r="O120" i="3" s="1"/>
  <c r="G168" i="2"/>
  <c r="R120" i="3" s="1"/>
  <c r="H168" i="2"/>
  <c r="S120" i="3" s="1"/>
  <c r="I168" i="2"/>
  <c r="T120" i="3" s="1"/>
  <c r="J168" i="2"/>
  <c r="U120" i="3" s="1"/>
  <c r="B169" i="2"/>
  <c r="C121" i="3" s="1"/>
  <c r="C169" i="2"/>
  <c r="F121" i="3" s="1"/>
  <c r="D169" i="2"/>
  <c r="I121" i="3" s="1"/>
  <c r="E169" i="2"/>
  <c r="L121" i="3" s="1"/>
  <c r="F169" i="2"/>
  <c r="O121" i="3" s="1"/>
  <c r="G169" i="2"/>
  <c r="R121" i="3" s="1"/>
  <c r="H169" i="2"/>
  <c r="S121" i="3" s="1"/>
  <c r="I169" i="2"/>
  <c r="T121" i="3" s="1"/>
  <c r="J169" i="2"/>
  <c r="U121" i="3" s="1"/>
  <c r="A165" i="2"/>
  <c r="A166" i="2"/>
  <c r="A167" i="2"/>
  <c r="A168" i="2"/>
  <c r="A169" i="2"/>
  <c r="B164" i="2"/>
  <c r="C116" i="3" s="1"/>
  <c r="C164" i="2"/>
  <c r="F116" i="3" s="1"/>
  <c r="D164" i="2"/>
  <c r="I116" i="3" s="1"/>
  <c r="E164" i="2"/>
  <c r="L116" i="3" s="1"/>
  <c r="F164" i="2"/>
  <c r="O116" i="3" s="1"/>
  <c r="H164" i="2"/>
  <c r="S116" i="3" s="1"/>
  <c r="I164" i="2"/>
  <c r="T116" i="3" s="1"/>
  <c r="J164" i="2"/>
  <c r="U116" i="3" s="1"/>
  <c r="BF8" i="20" l="1"/>
  <c r="AV92" i="3"/>
  <c r="H80" i="15"/>
  <c r="Q80" i="15" s="1"/>
  <c r="I56" i="25"/>
  <c r="R56" i="25" s="1"/>
  <c r="T56" i="25" s="1"/>
  <c r="H80" i="7"/>
  <c r="Q80" i="7" s="1"/>
  <c r="AS108" i="3"/>
  <c r="G72" i="25"/>
  <c r="P72" i="25" s="1"/>
  <c r="AW91" i="3"/>
  <c r="I79" i="9"/>
  <c r="U79" i="9" s="1"/>
  <c r="AS101" i="3"/>
  <c r="G65" i="25"/>
  <c r="P65" i="25" s="1"/>
  <c r="AU106" i="3"/>
  <c r="H70" i="25"/>
  <c r="Q70" i="25" s="1"/>
  <c r="AS106" i="3"/>
  <c r="G70" i="25"/>
  <c r="P70" i="25" s="1"/>
  <c r="AX97" i="3"/>
  <c r="G85" i="11"/>
  <c r="N85" i="11" s="1"/>
  <c r="AV88" i="3"/>
  <c r="H76" i="15"/>
  <c r="Q76" i="15" s="1"/>
  <c r="I52" i="25"/>
  <c r="R52" i="25" s="1"/>
  <c r="T52" i="25" s="1"/>
  <c r="H76" i="7"/>
  <c r="Q76" i="7" s="1"/>
  <c r="BC90" i="3"/>
  <c r="M78" i="9"/>
  <c r="Y78" i="9" s="1"/>
  <c r="J78" i="15"/>
  <c r="S78" i="15" s="1"/>
  <c r="J78" i="7"/>
  <c r="S78" i="7" s="1"/>
  <c r="AX94" i="3"/>
  <c r="G82" i="11"/>
  <c r="N82" i="11" s="1"/>
  <c r="AS107" i="3"/>
  <c r="G71" i="25"/>
  <c r="P71" i="25" s="1"/>
  <c r="AV90" i="3"/>
  <c r="I54" i="25"/>
  <c r="R54" i="25" s="1"/>
  <c r="T54" i="25" s="1"/>
  <c r="H78" i="15"/>
  <c r="Q78" i="15" s="1"/>
  <c r="H78" i="7"/>
  <c r="Q78" i="7" s="1"/>
  <c r="AX95" i="3"/>
  <c r="G83" i="11"/>
  <c r="N83" i="11" s="1"/>
  <c r="AW93" i="3"/>
  <c r="I81" i="9"/>
  <c r="U81" i="9" s="1"/>
  <c r="BF86" i="3"/>
  <c r="H74" i="11"/>
  <c r="O74" i="11" s="1"/>
  <c r="AW86" i="3"/>
  <c r="I74" i="9"/>
  <c r="U74" i="9" s="1"/>
  <c r="AV97" i="3"/>
  <c r="H85" i="15"/>
  <c r="Q85" i="15" s="1"/>
  <c r="I61" i="25"/>
  <c r="R61" i="25" s="1"/>
  <c r="T61" i="25" s="1"/>
  <c r="H85" i="7"/>
  <c r="Q85" i="7" s="1"/>
  <c r="AZ96" i="3"/>
  <c r="J84" i="9"/>
  <c r="V84" i="9" s="1"/>
  <c r="I84" i="15"/>
  <c r="R84" i="15" s="1"/>
  <c r="I84" i="7"/>
  <c r="R84" i="7" s="1"/>
  <c r="AV89" i="3"/>
  <c r="H77" i="15"/>
  <c r="Q77" i="15" s="1"/>
  <c r="I53" i="25"/>
  <c r="R53" i="25" s="1"/>
  <c r="T53" i="25" s="1"/>
  <c r="H77" i="7"/>
  <c r="Q77" i="7" s="1"/>
  <c r="AU100" i="3"/>
  <c r="H64" i="25"/>
  <c r="Q64" i="25" s="1"/>
  <c r="AV94" i="3"/>
  <c r="H82" i="15"/>
  <c r="Q82" i="15" s="1"/>
  <c r="I58" i="25"/>
  <c r="R58" i="25" s="1"/>
  <c r="H82" i="7"/>
  <c r="Q82" i="7" s="1"/>
  <c r="BC92" i="3"/>
  <c r="M80" i="9"/>
  <c r="Y80" i="9" s="1"/>
  <c r="J80" i="15"/>
  <c r="S80" i="15" s="1"/>
  <c r="J80" i="7"/>
  <c r="S80" i="7" s="1"/>
  <c r="BB88" i="3"/>
  <c r="L76" i="9"/>
  <c r="X76" i="9" s="1"/>
  <c r="AS104" i="3"/>
  <c r="G68" i="25"/>
  <c r="P68" i="25" s="1"/>
  <c r="AX96" i="3"/>
  <c r="G84" i="11"/>
  <c r="N84" i="11" s="1"/>
  <c r="AW88" i="3"/>
  <c r="I76" i="9"/>
  <c r="U76" i="9" s="1"/>
  <c r="BA89" i="3"/>
  <c r="K77" i="9"/>
  <c r="W77" i="9" s="1"/>
  <c r="AU104" i="3"/>
  <c r="H68" i="25"/>
  <c r="Q68" i="25" s="1"/>
  <c r="BF94" i="3"/>
  <c r="H82" i="11"/>
  <c r="O82" i="11" s="1"/>
  <c r="AS109" i="3"/>
  <c r="G73" i="25"/>
  <c r="P73" i="25" s="1"/>
  <c r="BC96" i="3"/>
  <c r="M84" i="9"/>
  <c r="Y84" i="9" s="1"/>
  <c r="J84" i="15"/>
  <c r="S84" i="15" s="1"/>
  <c r="J84" i="7"/>
  <c r="S84" i="7" s="1"/>
  <c r="AW92" i="3"/>
  <c r="I80" i="9"/>
  <c r="U80" i="9" s="1"/>
  <c r="AZ92" i="3"/>
  <c r="J80" i="9"/>
  <c r="V80" i="9" s="1"/>
  <c r="I80" i="15"/>
  <c r="R80" i="15" s="1"/>
  <c r="I80" i="7"/>
  <c r="R80" i="7" s="1"/>
  <c r="N64" i="24"/>
  <c r="N71" i="24" s="1"/>
  <c r="M71" i="24"/>
  <c r="BC89" i="3"/>
  <c r="M77" i="9"/>
  <c r="Y77" i="9" s="1"/>
  <c r="J77" i="15"/>
  <c r="S77" i="15" s="1"/>
  <c r="J77" i="7"/>
  <c r="S77" i="7" s="1"/>
  <c r="AU105" i="3"/>
  <c r="H69" i="25"/>
  <c r="Q69" i="25" s="1"/>
  <c r="AX93" i="3"/>
  <c r="G81" i="11"/>
  <c r="N81" i="11" s="1"/>
  <c r="AV91" i="3"/>
  <c r="I55" i="25"/>
  <c r="R55" i="25" s="1"/>
  <c r="T55" i="25" s="1"/>
  <c r="H79" i="15"/>
  <c r="Q79" i="15" s="1"/>
  <c r="H79" i="7"/>
  <c r="Q79" i="7" s="1"/>
  <c r="AU101" i="3"/>
  <c r="H65" i="25"/>
  <c r="Q65" i="25" s="1"/>
  <c r="BF91" i="3"/>
  <c r="H79" i="11"/>
  <c r="O79" i="11" s="1"/>
  <c r="BB92" i="3"/>
  <c r="L80" i="9"/>
  <c r="X80" i="9" s="1"/>
  <c r="AW90" i="3"/>
  <c r="I78" i="9"/>
  <c r="U78" i="9" s="1"/>
  <c r="BA96" i="3"/>
  <c r="K84" i="9"/>
  <c r="W84" i="9" s="1"/>
  <c r="AS102" i="3"/>
  <c r="G66" i="25"/>
  <c r="P66" i="25" s="1"/>
  <c r="BF92" i="3"/>
  <c r="H80" i="11"/>
  <c r="O80" i="11" s="1"/>
  <c r="BC91" i="3"/>
  <c r="M79" i="9"/>
  <c r="Y79" i="9" s="1"/>
  <c r="J79" i="15"/>
  <c r="S79" i="15" s="1"/>
  <c r="J79" i="7"/>
  <c r="S79" i="7" s="1"/>
  <c r="AZ97" i="3"/>
  <c r="J85" i="9"/>
  <c r="V85" i="9" s="1"/>
  <c r="I85" i="15"/>
  <c r="R85" i="15" s="1"/>
  <c r="I85" i="7"/>
  <c r="R85" i="7" s="1"/>
  <c r="AZ93" i="3"/>
  <c r="J81" i="9"/>
  <c r="V81" i="9" s="1"/>
  <c r="I81" i="15"/>
  <c r="R81" i="15" s="1"/>
  <c r="I81" i="7"/>
  <c r="R81" i="7" s="1"/>
  <c r="AZ89" i="3"/>
  <c r="J77" i="9"/>
  <c r="V77" i="9" s="1"/>
  <c r="I77" i="15"/>
  <c r="R77" i="15" s="1"/>
  <c r="I77" i="7"/>
  <c r="R77" i="7" s="1"/>
  <c r="BB91" i="3"/>
  <c r="L79" i="9"/>
  <c r="X79" i="9" s="1"/>
  <c r="BC88" i="3"/>
  <c r="M76" i="9"/>
  <c r="Y76" i="9" s="1"/>
  <c r="J76" i="15"/>
  <c r="S76" i="15" s="1"/>
  <c r="J76" i="7"/>
  <c r="S76" i="7" s="1"/>
  <c r="BA88" i="3"/>
  <c r="K76" i="9"/>
  <c r="W76" i="9" s="1"/>
  <c r="AS103" i="3"/>
  <c r="G67" i="25"/>
  <c r="P67" i="25" s="1"/>
  <c r="BB95" i="3"/>
  <c r="L83" i="9"/>
  <c r="X83" i="9" s="1"/>
  <c r="BB96" i="3"/>
  <c r="L84" i="9"/>
  <c r="X84" i="9" s="1"/>
  <c r="AX88" i="3"/>
  <c r="G76" i="11"/>
  <c r="N76" i="11" s="1"/>
  <c r="BC86" i="3"/>
  <c r="M74" i="9"/>
  <c r="Y74" i="9" s="1"/>
  <c r="J74" i="15"/>
  <c r="S74" i="15" s="1"/>
  <c r="J74" i="7"/>
  <c r="S74" i="7" s="1"/>
  <c r="BA94" i="3"/>
  <c r="K82" i="9"/>
  <c r="W82" i="9" s="1"/>
  <c r="AX91" i="3"/>
  <c r="G79" i="11"/>
  <c r="N79" i="11" s="1"/>
  <c r="BA90" i="3"/>
  <c r="K78" i="9"/>
  <c r="W78" i="9" s="1"/>
  <c r="BF90" i="3"/>
  <c r="H78" i="11"/>
  <c r="O78" i="11" s="1"/>
  <c r="AW96" i="3"/>
  <c r="I84" i="9"/>
  <c r="U84" i="9" s="1"/>
  <c r="BF88" i="3"/>
  <c r="H76" i="11"/>
  <c r="O76" i="11" s="1"/>
  <c r="BC94" i="3"/>
  <c r="M82" i="9"/>
  <c r="Y82" i="9" s="1"/>
  <c r="J82" i="15"/>
  <c r="S82" i="15" s="1"/>
  <c r="J82" i="7"/>
  <c r="S82" i="7" s="1"/>
  <c r="AX90" i="3"/>
  <c r="G78" i="11"/>
  <c r="N78" i="11" s="1"/>
  <c r="AS100" i="3"/>
  <c r="G64" i="25"/>
  <c r="P64" i="25" s="1"/>
  <c r="AW94" i="3"/>
  <c r="I82" i="9"/>
  <c r="U82" i="9" s="1"/>
  <c r="BC97" i="3"/>
  <c r="M85" i="9"/>
  <c r="Y85" i="9" s="1"/>
  <c r="J85" i="15"/>
  <c r="S85" i="15" s="1"/>
  <c r="J85" i="7"/>
  <c r="S85" i="7" s="1"/>
  <c r="AU107" i="3"/>
  <c r="H71" i="25"/>
  <c r="Q71" i="25" s="1"/>
  <c r="BA93" i="3"/>
  <c r="K81" i="9"/>
  <c r="W81" i="9" s="1"/>
  <c r="BA97" i="3"/>
  <c r="K85" i="9"/>
  <c r="W85" i="9" s="1"/>
  <c r="AU103" i="3"/>
  <c r="H67" i="25"/>
  <c r="Q67" i="25" s="1"/>
  <c r="BF95" i="3"/>
  <c r="H83" i="11"/>
  <c r="O83" i="11" s="1"/>
  <c r="BC95" i="3"/>
  <c r="M83" i="9"/>
  <c r="Y83" i="9" s="1"/>
  <c r="J83" i="15"/>
  <c r="S83" i="15" s="1"/>
  <c r="J83" i="7"/>
  <c r="S83" i="7" s="1"/>
  <c r="BB93" i="3"/>
  <c r="L81" i="9"/>
  <c r="X81" i="9" s="1"/>
  <c r="BF96" i="3"/>
  <c r="H84" i="11"/>
  <c r="O84" i="11" s="1"/>
  <c r="AW95" i="3"/>
  <c r="I83" i="9"/>
  <c r="U83" i="9" s="1"/>
  <c r="BB97" i="3"/>
  <c r="L85" i="9"/>
  <c r="X85" i="9" s="1"/>
  <c r="AV96" i="3"/>
  <c r="H84" i="15"/>
  <c r="Q84" i="15" s="1"/>
  <c r="I60" i="25"/>
  <c r="R60" i="25" s="1"/>
  <c r="T60" i="25" s="1"/>
  <c r="H84" i="7"/>
  <c r="Q84" i="7" s="1"/>
  <c r="AZ91" i="3"/>
  <c r="J79" i="9"/>
  <c r="V79" i="9" s="1"/>
  <c r="I79" i="15"/>
  <c r="R79" i="15" s="1"/>
  <c r="I79" i="7"/>
  <c r="R79" i="7" s="1"/>
  <c r="AZ86" i="3"/>
  <c r="J74" i="9"/>
  <c r="V74" i="9" s="1"/>
  <c r="I74" i="15"/>
  <c r="R74" i="15" s="1"/>
  <c r="I74" i="7"/>
  <c r="R74" i="7" s="1"/>
  <c r="BF97" i="3"/>
  <c r="H85" i="11"/>
  <c r="O85" i="11" s="1"/>
  <c r="BA91" i="3"/>
  <c r="K79" i="9"/>
  <c r="W79" i="9" s="1"/>
  <c r="AU108" i="3"/>
  <c r="H72" i="25"/>
  <c r="Q72" i="25" s="1"/>
  <c r="BF93" i="3"/>
  <c r="H81" i="11"/>
  <c r="O81" i="11" s="1"/>
  <c r="AZ95" i="3"/>
  <c r="J83" i="9"/>
  <c r="V83" i="9" s="1"/>
  <c r="I83" i="15"/>
  <c r="R83" i="15" s="1"/>
  <c r="I83" i="7"/>
  <c r="R83" i="7" s="1"/>
  <c r="AU102" i="3"/>
  <c r="H66" i="25"/>
  <c r="Q66" i="25" s="1"/>
  <c r="BA86" i="3"/>
  <c r="K74" i="9"/>
  <c r="W74" i="9" s="1"/>
  <c r="AW97" i="3"/>
  <c r="I85" i="9"/>
  <c r="U85" i="9" s="1"/>
  <c r="BA92" i="3"/>
  <c r="K80" i="9"/>
  <c r="W80" i="9" s="1"/>
  <c r="BB89" i="3"/>
  <c r="L77" i="9"/>
  <c r="X77" i="9" s="1"/>
  <c r="T58" i="25"/>
  <c r="BA95" i="3"/>
  <c r="K83" i="9"/>
  <c r="W83" i="9" s="1"/>
  <c r="AU109" i="3"/>
  <c r="H73" i="25"/>
  <c r="Q73" i="25" s="1"/>
  <c r="BC93" i="3"/>
  <c r="M81" i="9"/>
  <c r="Y81" i="9" s="1"/>
  <c r="J81" i="15"/>
  <c r="S81" i="15" s="1"/>
  <c r="J81" i="7"/>
  <c r="S81" i="7" s="1"/>
  <c r="AX86" i="3"/>
  <c r="G74" i="11"/>
  <c r="N74" i="11" s="1"/>
  <c r="BB86" i="3"/>
  <c r="L74" i="9"/>
  <c r="X74" i="9" s="1"/>
  <c r="AX92" i="3"/>
  <c r="G80" i="11"/>
  <c r="N80" i="11" s="1"/>
  <c r="BF89" i="3"/>
  <c r="H77" i="11"/>
  <c r="O77" i="11" s="1"/>
  <c r="AV95" i="3"/>
  <c r="I59" i="25"/>
  <c r="R59" i="25" s="1"/>
  <c r="T59" i="25" s="1"/>
  <c r="H83" i="15"/>
  <c r="Q83" i="15" s="1"/>
  <c r="H83" i="7"/>
  <c r="Q83" i="7" s="1"/>
  <c r="AZ94" i="3"/>
  <c r="J82" i="9"/>
  <c r="V82" i="9" s="1"/>
  <c r="I82" i="15"/>
  <c r="R82" i="15" s="1"/>
  <c r="I82" i="7"/>
  <c r="R82" i="7" s="1"/>
  <c r="AZ90" i="3"/>
  <c r="J78" i="9"/>
  <c r="V78" i="9" s="1"/>
  <c r="I78" i="15"/>
  <c r="R78" i="15" s="1"/>
  <c r="I78" i="7"/>
  <c r="R78" i="7" s="1"/>
  <c r="AV86" i="3"/>
  <c r="H74" i="15"/>
  <c r="Q74" i="15" s="1"/>
  <c r="I50" i="25"/>
  <c r="R50" i="25" s="1"/>
  <c r="T50" i="25" s="1"/>
  <c r="H74" i="7"/>
  <c r="Q74" i="7" s="1"/>
  <c r="AS105" i="3"/>
  <c r="G69" i="25"/>
  <c r="P69" i="25" s="1"/>
  <c r="AW89" i="3"/>
  <c r="I77" i="9"/>
  <c r="U77" i="9" s="1"/>
  <c r="AV93" i="3"/>
  <c r="H81" i="15"/>
  <c r="Q81" i="15" s="1"/>
  <c r="I57" i="25"/>
  <c r="R57" i="25" s="1"/>
  <c r="T57" i="25" s="1"/>
  <c r="H81" i="7"/>
  <c r="Q81" i="7" s="1"/>
  <c r="AZ88" i="3"/>
  <c r="J76" i="9"/>
  <c r="V76" i="9" s="1"/>
  <c r="I76" i="15"/>
  <c r="R76" i="15" s="1"/>
  <c r="I76" i="7"/>
  <c r="R76" i="7" s="1"/>
  <c r="AX89" i="3"/>
  <c r="G77" i="11"/>
  <c r="N77" i="11" s="1"/>
  <c r="AU98" i="3"/>
  <c r="H62" i="25"/>
  <c r="Q62" i="25" s="1"/>
  <c r="BB90" i="3"/>
  <c r="L78" i="9"/>
  <c r="X78" i="9" s="1"/>
  <c r="AS98" i="3"/>
  <c r="G62" i="25"/>
  <c r="P62" i="25" s="1"/>
  <c r="BB94" i="3"/>
  <c r="L82" i="9"/>
  <c r="X82" i="9" s="1"/>
  <c r="AU99" i="3"/>
  <c r="H63" i="25"/>
  <c r="Q63" i="25" s="1"/>
  <c r="BF87" i="3"/>
  <c r="H75" i="11"/>
  <c r="O75" i="11" s="1"/>
  <c r="AS99" i="3"/>
  <c r="G63" i="25"/>
  <c r="P63" i="25" s="1"/>
  <c r="BA87" i="3"/>
  <c r="K75" i="9"/>
  <c r="W75" i="9" s="1"/>
  <c r="AV87" i="3"/>
  <c r="H75" i="15"/>
  <c r="Q75" i="15" s="1"/>
  <c r="I51" i="25"/>
  <c r="R51" i="25" s="1"/>
  <c r="T51" i="25" s="1"/>
  <c r="H75" i="7"/>
  <c r="Q75" i="7" s="1"/>
  <c r="AX87" i="3"/>
  <c r="G75" i="11"/>
  <c r="N75" i="11" s="1"/>
  <c r="AZ87" i="3"/>
  <c r="J75" i="9"/>
  <c r="V75" i="9" s="1"/>
  <c r="I75" i="15"/>
  <c r="R75" i="15" s="1"/>
  <c r="I75" i="7"/>
  <c r="R75" i="7" s="1"/>
  <c r="AW87" i="3"/>
  <c r="I75" i="9"/>
  <c r="U75" i="9" s="1"/>
  <c r="BB87" i="3"/>
  <c r="L75" i="9"/>
  <c r="X75" i="9" s="1"/>
  <c r="BC87" i="3"/>
  <c r="M75" i="9"/>
  <c r="Y75" i="9" s="1"/>
  <c r="J75" i="15"/>
  <c r="S75" i="15" s="1"/>
  <c r="J75" i="7"/>
  <c r="S75" i="7" s="1"/>
  <c r="L125" i="16"/>
  <c r="X113" i="16"/>
  <c r="L103" i="16"/>
  <c r="X91" i="16"/>
  <c r="M106" i="16"/>
  <c r="Y94" i="16"/>
  <c r="K100" i="16"/>
  <c r="W88" i="16"/>
  <c r="J98" i="16"/>
  <c r="V86" i="16"/>
  <c r="L106" i="16"/>
  <c r="X94" i="16"/>
  <c r="K103" i="16"/>
  <c r="W91" i="16"/>
  <c r="L133" i="16"/>
  <c r="X121" i="16"/>
  <c r="L108" i="16"/>
  <c r="X96" i="16"/>
  <c r="L102" i="16"/>
  <c r="X90" i="16"/>
  <c r="M133" i="16"/>
  <c r="Y121" i="16"/>
  <c r="L107" i="16"/>
  <c r="X95" i="16"/>
  <c r="M101" i="16"/>
  <c r="Y89" i="16"/>
  <c r="K99" i="16"/>
  <c r="W87" i="16"/>
  <c r="J108" i="16"/>
  <c r="V96" i="16"/>
  <c r="M140" i="16"/>
  <c r="Y140" i="16" s="1"/>
  <c r="Y128" i="16"/>
  <c r="J139" i="16"/>
  <c r="V139" i="16" s="1"/>
  <c r="V127" i="16"/>
  <c r="L141" i="16"/>
  <c r="X141" i="16" s="1"/>
  <c r="X129" i="16"/>
  <c r="I136" i="16"/>
  <c r="U136" i="16" s="1"/>
  <c r="U124" i="16"/>
  <c r="K98" i="16"/>
  <c r="W86" i="16"/>
  <c r="K102" i="16"/>
  <c r="W90" i="16"/>
  <c r="K107" i="16"/>
  <c r="W95" i="16"/>
  <c r="I128" i="16"/>
  <c r="U116" i="16"/>
  <c r="K104" i="16"/>
  <c r="W92" i="16"/>
  <c r="M99" i="16"/>
  <c r="Y87" i="16"/>
  <c r="M102" i="16"/>
  <c r="Y90" i="16"/>
  <c r="M105" i="16"/>
  <c r="Y93" i="16"/>
  <c r="I133" i="16"/>
  <c r="U121" i="16"/>
  <c r="J105" i="16"/>
  <c r="V93" i="16"/>
  <c r="I101" i="16"/>
  <c r="U89" i="16"/>
  <c r="L99" i="16"/>
  <c r="X87" i="16"/>
  <c r="J100" i="16"/>
  <c r="V88" i="16"/>
  <c r="J104" i="16"/>
  <c r="V92" i="16"/>
  <c r="M112" i="16"/>
  <c r="Y100" i="16"/>
  <c r="M132" i="16"/>
  <c r="Y120" i="16"/>
  <c r="M98" i="16"/>
  <c r="Y86" i="16"/>
  <c r="I99" i="16"/>
  <c r="U87" i="16"/>
  <c r="L98" i="16"/>
  <c r="X86" i="16"/>
  <c r="I98" i="16"/>
  <c r="U86" i="16"/>
  <c r="I105" i="16"/>
  <c r="U93" i="16"/>
  <c r="J135" i="16"/>
  <c r="V135" i="16" s="1"/>
  <c r="V123" i="16"/>
  <c r="K142" i="16"/>
  <c r="W142" i="16" s="1"/>
  <c r="W130" i="16"/>
  <c r="I132" i="16"/>
  <c r="U120" i="16"/>
  <c r="J101" i="16"/>
  <c r="V89" i="16"/>
  <c r="J107" i="16"/>
  <c r="V95" i="16"/>
  <c r="I106" i="16"/>
  <c r="U94" i="16"/>
  <c r="I102" i="16"/>
  <c r="U90" i="16"/>
  <c r="L112" i="16"/>
  <c r="X100" i="16"/>
  <c r="J38" i="24"/>
  <c r="K38" i="24" s="1"/>
  <c r="I87" i="24"/>
  <c r="T11" i="20"/>
  <c r="AT9" i="20"/>
  <c r="AL10" i="20"/>
  <c r="K12" i="20"/>
  <c r="B13" i="20"/>
  <c r="AR86" i="3"/>
  <c r="AO74" i="3"/>
  <c r="G74" i="15" s="1"/>
  <c r="P74" i="15" s="1"/>
  <c r="AH13" i="19"/>
  <c r="AD13" i="19"/>
  <c r="Z13" i="19"/>
  <c r="V13" i="19"/>
  <c r="R13" i="19"/>
  <c r="N13" i="19"/>
  <c r="J13" i="19"/>
  <c r="F13" i="19"/>
  <c r="B12" i="19"/>
  <c r="AO89" i="3"/>
  <c r="G89" i="15" s="1"/>
  <c r="P89" i="15" s="1"/>
  <c r="AR101" i="3"/>
  <c r="AR107" i="3"/>
  <c r="AO95" i="3"/>
  <c r="G95" i="15" s="1"/>
  <c r="P95" i="15" s="1"/>
  <c r="AR103" i="3"/>
  <c r="AO91" i="3"/>
  <c r="G91" i="15" s="1"/>
  <c r="P91" i="15" s="1"/>
  <c r="AR102" i="3"/>
  <c r="AO90" i="3"/>
  <c r="G90" i="15" s="1"/>
  <c r="P90" i="15" s="1"/>
  <c r="AO84" i="3"/>
  <c r="G84" i="15" s="1"/>
  <c r="P84" i="15" s="1"/>
  <c r="AR96" i="3"/>
  <c r="AO97" i="3"/>
  <c r="G97" i="15" s="1"/>
  <c r="P97" i="15" s="1"/>
  <c r="AR109" i="3"/>
  <c r="AO92" i="3"/>
  <c r="G92" i="15" s="1"/>
  <c r="P92" i="15" s="1"/>
  <c r="AR104" i="3"/>
  <c r="AO76" i="3"/>
  <c r="G76" i="15" s="1"/>
  <c r="P76" i="15" s="1"/>
  <c r="AR88" i="3"/>
  <c r="AO93" i="3"/>
  <c r="G93" i="15" s="1"/>
  <c r="P93" i="15" s="1"/>
  <c r="AR105" i="3"/>
  <c r="AR106" i="3"/>
  <c r="AO94" i="3"/>
  <c r="G94" i="15" s="1"/>
  <c r="P94" i="15" s="1"/>
  <c r="AR99" i="3"/>
  <c r="AO87" i="3"/>
  <c r="G87" i="15" s="1"/>
  <c r="P87" i="15" s="1"/>
  <c r="J58" i="24"/>
  <c r="I45" i="24"/>
  <c r="J71" i="24"/>
  <c r="P166" i="1"/>
  <c r="AC174" i="1"/>
  <c r="AC175" i="1"/>
  <c r="AC176" i="1"/>
  <c r="AC177" i="1"/>
  <c r="AC178" i="1"/>
  <c r="Z173" i="1"/>
  <c r="G164" i="2" s="1"/>
  <c r="R116" i="3" s="1"/>
  <c r="BF9" i="20" l="1"/>
  <c r="J87" i="24"/>
  <c r="AS110" i="3"/>
  <c r="G86" i="25" s="1"/>
  <c r="P86" i="25" s="1"/>
  <c r="G74" i="25"/>
  <c r="P74" i="25" s="1"/>
  <c r="AU110" i="3"/>
  <c r="H86" i="25" s="1"/>
  <c r="Q86" i="25" s="1"/>
  <c r="H74" i="25"/>
  <c r="Q74" i="25" s="1"/>
  <c r="AW101" i="3"/>
  <c r="I89" i="9"/>
  <c r="U89" i="9" s="1"/>
  <c r="BF101" i="3"/>
  <c r="H89" i="11"/>
  <c r="O89" i="11" s="1"/>
  <c r="BB98" i="3"/>
  <c r="L86" i="9"/>
  <c r="X86" i="9" s="1"/>
  <c r="AU121" i="3"/>
  <c r="H97" i="25" s="1"/>
  <c r="Q97" i="25" s="1"/>
  <c r="H85" i="25"/>
  <c r="Q85" i="25" s="1"/>
  <c r="AW109" i="3"/>
  <c r="I97" i="9"/>
  <c r="U97" i="9" s="1"/>
  <c r="AU114" i="3"/>
  <c r="H90" i="25" s="1"/>
  <c r="Q90" i="25" s="1"/>
  <c r="H78" i="25"/>
  <c r="Q78" i="25" s="1"/>
  <c r="BF105" i="3"/>
  <c r="H93" i="11"/>
  <c r="O93" i="11" s="1"/>
  <c r="BA103" i="3"/>
  <c r="K91" i="9"/>
  <c r="W91" i="9" s="1"/>
  <c r="AU115" i="3"/>
  <c r="H91" i="25" s="1"/>
  <c r="Q91" i="25" s="1"/>
  <c r="H79" i="25"/>
  <c r="Q79" i="25" s="1"/>
  <c r="BA105" i="3"/>
  <c r="K93" i="9"/>
  <c r="W93" i="9" s="1"/>
  <c r="AW106" i="3"/>
  <c r="I94" i="9"/>
  <c r="U94" i="9" s="1"/>
  <c r="AX102" i="3"/>
  <c r="G90" i="11"/>
  <c r="N90" i="11" s="1"/>
  <c r="BC106" i="3"/>
  <c r="M94" i="9"/>
  <c r="Y94" i="9" s="1"/>
  <c r="J94" i="15"/>
  <c r="S94" i="15" s="1"/>
  <c r="J94" i="7"/>
  <c r="S94" i="7" s="1"/>
  <c r="AW108" i="3"/>
  <c r="I96" i="9"/>
  <c r="U96" i="9" s="1"/>
  <c r="BA102" i="3"/>
  <c r="K90" i="9"/>
  <c r="W90" i="9" s="1"/>
  <c r="BA106" i="3"/>
  <c r="K94" i="9"/>
  <c r="W94" i="9" s="1"/>
  <c r="BC98" i="3"/>
  <c r="M86" i="9"/>
  <c r="Y86" i="9" s="1"/>
  <c r="J86" i="15"/>
  <c r="S86" i="15" s="1"/>
  <c r="J86" i="7"/>
  <c r="S86" i="7" s="1"/>
  <c r="BB108" i="3"/>
  <c r="L96" i="9"/>
  <c r="X96" i="9" s="1"/>
  <c r="AS115" i="3"/>
  <c r="G91" i="25" s="1"/>
  <c r="P91" i="25" s="1"/>
  <c r="G79" i="25"/>
  <c r="P79" i="25" s="1"/>
  <c r="BB103" i="3"/>
  <c r="L91" i="9"/>
  <c r="X91" i="9" s="1"/>
  <c r="AZ101" i="3"/>
  <c r="J89" i="9"/>
  <c r="V89" i="9" s="1"/>
  <c r="I89" i="15"/>
  <c r="R89" i="15" s="1"/>
  <c r="I89" i="7"/>
  <c r="R89" i="7" s="1"/>
  <c r="AZ105" i="3"/>
  <c r="J93" i="9"/>
  <c r="V93" i="9" s="1"/>
  <c r="I93" i="15"/>
  <c r="R93" i="15" s="1"/>
  <c r="I93" i="7"/>
  <c r="R93" i="7" s="1"/>
  <c r="AZ109" i="3"/>
  <c r="J97" i="9"/>
  <c r="V97" i="9" s="1"/>
  <c r="I97" i="15"/>
  <c r="R97" i="15" s="1"/>
  <c r="I97" i="7"/>
  <c r="R97" i="7" s="1"/>
  <c r="BC103" i="3"/>
  <c r="M91" i="9"/>
  <c r="Y91" i="9" s="1"/>
  <c r="J91" i="15"/>
  <c r="S91" i="15" s="1"/>
  <c r="J91" i="7"/>
  <c r="S91" i="7" s="1"/>
  <c r="AS114" i="3"/>
  <c r="G90" i="25" s="1"/>
  <c r="P90" i="25" s="1"/>
  <c r="G78" i="25"/>
  <c r="P78" i="25" s="1"/>
  <c r="AW102" i="3"/>
  <c r="I90" i="9"/>
  <c r="U90" i="9" s="1"/>
  <c r="BF103" i="3"/>
  <c r="H91" i="11"/>
  <c r="O91" i="11" s="1"/>
  <c r="AX105" i="3"/>
  <c r="G93" i="11"/>
  <c r="N93" i="11" s="1"/>
  <c r="AZ104" i="3"/>
  <c r="J92" i="9"/>
  <c r="V92" i="9" s="1"/>
  <c r="I92" i="15"/>
  <c r="R92" i="15" s="1"/>
  <c r="I92" i="7"/>
  <c r="R92" i="7" s="1"/>
  <c r="AS121" i="3"/>
  <c r="G97" i="25" s="1"/>
  <c r="P97" i="25" s="1"/>
  <c r="G85" i="25"/>
  <c r="P85" i="25" s="1"/>
  <c r="AU116" i="3"/>
  <c r="H92" i="25" s="1"/>
  <c r="Q92" i="25" s="1"/>
  <c r="H80" i="25"/>
  <c r="Q80" i="25" s="1"/>
  <c r="AW100" i="3"/>
  <c r="I88" i="9"/>
  <c r="U88" i="9" s="1"/>
  <c r="AS116" i="3"/>
  <c r="G92" i="25" s="1"/>
  <c r="P92" i="25" s="1"/>
  <c r="G80" i="25"/>
  <c r="P80" i="25" s="1"/>
  <c r="AU112" i="3"/>
  <c r="H88" i="25" s="1"/>
  <c r="Q88" i="25" s="1"/>
  <c r="H76" i="25"/>
  <c r="Q76" i="25" s="1"/>
  <c r="AV101" i="3"/>
  <c r="H89" i="15"/>
  <c r="Q89" i="15" s="1"/>
  <c r="I65" i="25"/>
  <c r="R65" i="25" s="1"/>
  <c r="H89" i="7"/>
  <c r="Q89" i="7" s="1"/>
  <c r="AZ108" i="3"/>
  <c r="J96" i="9"/>
  <c r="V96" i="9" s="1"/>
  <c r="I96" i="15"/>
  <c r="R96" i="15" s="1"/>
  <c r="I96" i="7"/>
  <c r="R96" i="7" s="1"/>
  <c r="AV109" i="3"/>
  <c r="H97" i="15"/>
  <c r="Q97" i="15" s="1"/>
  <c r="I73" i="25"/>
  <c r="R73" i="25" s="1"/>
  <c r="H97" i="7"/>
  <c r="Q97" i="7" s="1"/>
  <c r="BF98" i="3"/>
  <c r="H86" i="11"/>
  <c r="O86" i="11" s="1"/>
  <c r="AX109" i="3"/>
  <c r="G97" i="11"/>
  <c r="N97" i="11" s="1"/>
  <c r="AU118" i="3"/>
  <c r="H94" i="25" s="1"/>
  <c r="Q94" i="25" s="1"/>
  <c r="H82" i="25"/>
  <c r="Q82" i="25" s="1"/>
  <c r="AW103" i="3"/>
  <c r="I91" i="9"/>
  <c r="U91" i="9" s="1"/>
  <c r="BA104" i="3"/>
  <c r="K92" i="9"/>
  <c r="W92" i="9" s="1"/>
  <c r="BB109" i="3"/>
  <c r="L97" i="9"/>
  <c r="X97" i="9" s="1"/>
  <c r="BF108" i="3"/>
  <c r="H96" i="11"/>
  <c r="O96" i="11" s="1"/>
  <c r="BF107" i="3"/>
  <c r="H95" i="11"/>
  <c r="O95" i="11" s="1"/>
  <c r="AX107" i="3"/>
  <c r="G95" i="11"/>
  <c r="N95" i="11" s="1"/>
  <c r="AV102" i="3"/>
  <c r="I66" i="25"/>
  <c r="R66" i="25" s="1"/>
  <c r="T66" i="25" s="1"/>
  <c r="H90" i="15"/>
  <c r="Q90" i="15" s="1"/>
  <c r="H90" i="7"/>
  <c r="Q90" i="7" s="1"/>
  <c r="T65" i="25"/>
  <c r="L38" i="24"/>
  <c r="L45" i="24" s="1"/>
  <c r="K45" i="24"/>
  <c r="BB106" i="3"/>
  <c r="L94" i="9"/>
  <c r="X94" i="9" s="1"/>
  <c r="BB102" i="3"/>
  <c r="L90" i="9"/>
  <c r="X90" i="9" s="1"/>
  <c r="AX101" i="3"/>
  <c r="G89" i="11"/>
  <c r="N89" i="11" s="1"/>
  <c r="AZ100" i="3"/>
  <c r="J88" i="9"/>
  <c r="V88" i="9" s="1"/>
  <c r="I88" i="15"/>
  <c r="R88" i="15" s="1"/>
  <c r="I88" i="7"/>
  <c r="R88" i="7" s="1"/>
  <c r="AV105" i="3"/>
  <c r="H93" i="15"/>
  <c r="Q93" i="15" s="1"/>
  <c r="I69" i="25"/>
  <c r="R69" i="25" s="1"/>
  <c r="T69" i="25" s="1"/>
  <c r="H93" i="7"/>
  <c r="Q93" i="7" s="1"/>
  <c r="AS117" i="3"/>
  <c r="G93" i="25" s="1"/>
  <c r="P93" i="25" s="1"/>
  <c r="G81" i="25"/>
  <c r="P81" i="25" s="1"/>
  <c r="AV98" i="3"/>
  <c r="H86" i="15"/>
  <c r="Q86" i="15" s="1"/>
  <c r="I62" i="25"/>
  <c r="R62" i="25" s="1"/>
  <c r="T62" i="25" s="1"/>
  <c r="H86" i="7"/>
  <c r="Q86" i="7" s="1"/>
  <c r="AZ102" i="3"/>
  <c r="J90" i="9"/>
  <c r="V90" i="9" s="1"/>
  <c r="I90" i="15"/>
  <c r="R90" i="15" s="1"/>
  <c r="I90" i="7"/>
  <c r="R90" i="7" s="1"/>
  <c r="AZ106" i="3"/>
  <c r="J94" i="9"/>
  <c r="V94" i="9" s="1"/>
  <c r="I94" i="15"/>
  <c r="R94" i="15" s="1"/>
  <c r="I94" i="7"/>
  <c r="R94" i="7" s="1"/>
  <c r="AV107" i="3"/>
  <c r="H95" i="15"/>
  <c r="Q95" i="15" s="1"/>
  <c r="I71" i="25"/>
  <c r="R71" i="25" s="1"/>
  <c r="H95" i="7"/>
  <c r="Q95" i="7" s="1"/>
  <c r="AX104" i="3"/>
  <c r="G92" i="11"/>
  <c r="N92" i="11" s="1"/>
  <c r="AX98" i="3"/>
  <c r="G86" i="11"/>
  <c r="N86" i="11" s="1"/>
  <c r="BC105" i="3"/>
  <c r="M93" i="9"/>
  <c r="Y93" i="9" s="1"/>
  <c r="J93" i="15"/>
  <c r="S93" i="15" s="1"/>
  <c r="J93" i="7"/>
  <c r="S93" i="7" s="1"/>
  <c r="BA107" i="3"/>
  <c r="K95" i="9"/>
  <c r="W95" i="9" s="1"/>
  <c r="BB101" i="3"/>
  <c r="L89" i="9"/>
  <c r="X89" i="9" s="1"/>
  <c r="BA98" i="3"/>
  <c r="K86" i="9"/>
  <c r="W86" i="9" s="1"/>
  <c r="AZ107" i="3"/>
  <c r="J95" i="9"/>
  <c r="V95" i="9" s="1"/>
  <c r="I95" i="15"/>
  <c r="R95" i="15" s="1"/>
  <c r="I95" i="7"/>
  <c r="R95" i="7" s="1"/>
  <c r="AU120" i="3"/>
  <c r="H96" i="25" s="1"/>
  <c r="Q96" i="25" s="1"/>
  <c r="H84" i="25"/>
  <c r="Q84" i="25" s="1"/>
  <c r="BF109" i="3"/>
  <c r="H97" i="11"/>
  <c r="O97" i="11" s="1"/>
  <c r="AZ98" i="3"/>
  <c r="J86" i="9"/>
  <c r="V86" i="9" s="1"/>
  <c r="I86" i="15"/>
  <c r="R86" i="15" s="1"/>
  <c r="I86" i="7"/>
  <c r="R86" i="7" s="1"/>
  <c r="AZ103" i="3"/>
  <c r="J91" i="9"/>
  <c r="V91" i="9" s="1"/>
  <c r="I91" i="15"/>
  <c r="R91" i="15" s="1"/>
  <c r="I91" i="7"/>
  <c r="R91" i="7" s="1"/>
  <c r="AV108" i="3"/>
  <c r="I72" i="25"/>
  <c r="R72" i="25" s="1"/>
  <c r="T72" i="25" s="1"/>
  <c r="H96" i="15"/>
  <c r="Q96" i="15" s="1"/>
  <c r="H96" i="7"/>
  <c r="Q96" i="7" s="1"/>
  <c r="BA109" i="3"/>
  <c r="K97" i="9"/>
  <c r="W97" i="9" s="1"/>
  <c r="AU119" i="3"/>
  <c r="H95" i="25" s="1"/>
  <c r="Q95" i="25" s="1"/>
  <c r="H83" i="25"/>
  <c r="Q83" i="25" s="1"/>
  <c r="BC109" i="3"/>
  <c r="M97" i="9"/>
  <c r="Y97" i="9" s="1"/>
  <c r="J97" i="15"/>
  <c r="S97" i="15" s="1"/>
  <c r="J97" i="7"/>
  <c r="S97" i="7" s="1"/>
  <c r="AS112" i="3"/>
  <c r="G88" i="25" s="1"/>
  <c r="P88" i="25" s="1"/>
  <c r="G76" i="25"/>
  <c r="P76" i="25" s="1"/>
  <c r="BF100" i="3"/>
  <c r="H88" i="11"/>
  <c r="O88" i="11" s="1"/>
  <c r="BF102" i="3"/>
  <c r="H90" i="11"/>
  <c r="O90" i="11" s="1"/>
  <c r="AX103" i="3"/>
  <c r="G91" i="11"/>
  <c r="N91" i="11" s="1"/>
  <c r="AX100" i="3"/>
  <c r="G88" i="11"/>
  <c r="N88" i="11" s="1"/>
  <c r="BB107" i="3"/>
  <c r="L95" i="9"/>
  <c r="X95" i="9" s="1"/>
  <c r="BA100" i="3"/>
  <c r="K88" i="9"/>
  <c r="W88" i="9" s="1"/>
  <c r="BC100" i="3"/>
  <c r="M88" i="9"/>
  <c r="Y88" i="9" s="1"/>
  <c r="J88" i="15"/>
  <c r="S88" i="15" s="1"/>
  <c r="J88" i="7"/>
  <c r="S88" i="7" s="1"/>
  <c r="BF104" i="3"/>
  <c r="H92" i="11"/>
  <c r="O92" i="11" s="1"/>
  <c r="BA108" i="3"/>
  <c r="K96" i="9"/>
  <c r="W96" i="9" s="1"/>
  <c r="BB104" i="3"/>
  <c r="L92" i="9"/>
  <c r="X92" i="9" s="1"/>
  <c r="AU113" i="3"/>
  <c r="H89" i="25" s="1"/>
  <c r="Q89" i="25" s="1"/>
  <c r="H77" i="25"/>
  <c r="Q77" i="25" s="1"/>
  <c r="AV103" i="3"/>
  <c r="H91" i="15"/>
  <c r="Q91" i="15" s="1"/>
  <c r="I67" i="25"/>
  <c r="R67" i="25" s="1"/>
  <c r="T67" i="25" s="1"/>
  <c r="H91" i="7"/>
  <c r="Q91" i="7" s="1"/>
  <c r="AU117" i="3"/>
  <c r="H93" i="25" s="1"/>
  <c r="Q93" i="25" s="1"/>
  <c r="H81" i="25"/>
  <c r="Q81" i="25" s="1"/>
  <c r="BC101" i="3"/>
  <c r="M89" i="9"/>
  <c r="Y89" i="9" s="1"/>
  <c r="J89" i="15"/>
  <c r="S89" i="15" s="1"/>
  <c r="J89" i="7"/>
  <c r="S89" i="7" s="1"/>
  <c r="AW104" i="3"/>
  <c r="I92" i="9"/>
  <c r="U92" i="9" s="1"/>
  <c r="BC108" i="3"/>
  <c r="M96" i="9"/>
  <c r="Y96" i="9" s="1"/>
  <c r="J96" i="15"/>
  <c r="S96" i="15" s="1"/>
  <c r="J96" i="7"/>
  <c r="S96" i="7" s="1"/>
  <c r="BF106" i="3"/>
  <c r="H94" i="11"/>
  <c r="O94" i="11" s="1"/>
  <c r="BA101" i="3"/>
  <c r="K89" i="9"/>
  <c r="W89" i="9" s="1"/>
  <c r="AX108" i="3"/>
  <c r="G96" i="11"/>
  <c r="N96" i="11" s="1"/>
  <c r="BB100" i="3"/>
  <c r="L88" i="9"/>
  <c r="X88" i="9" s="1"/>
  <c r="BC104" i="3"/>
  <c r="M92" i="9"/>
  <c r="Y92" i="9" s="1"/>
  <c r="J92" i="15"/>
  <c r="S92" i="15" s="1"/>
  <c r="J92" i="7"/>
  <c r="S92" i="7" s="1"/>
  <c r="AV106" i="3"/>
  <c r="I70" i="25"/>
  <c r="R70" i="25" s="1"/>
  <c r="T70" i="25" s="1"/>
  <c r="H94" i="15"/>
  <c r="Q94" i="15" s="1"/>
  <c r="H94" i="7"/>
  <c r="Q94" i="7" s="1"/>
  <c r="AW98" i="3"/>
  <c r="I86" i="9"/>
  <c r="U86" i="9" s="1"/>
  <c r="T71" i="25"/>
  <c r="AX106" i="3"/>
  <c r="G94" i="11"/>
  <c r="N94" i="11" s="1"/>
  <c r="BC102" i="3"/>
  <c r="M90" i="9"/>
  <c r="Y90" i="9" s="1"/>
  <c r="J90" i="15"/>
  <c r="S90" i="15" s="1"/>
  <c r="J90" i="7"/>
  <c r="S90" i="7" s="1"/>
  <c r="AV100" i="3"/>
  <c r="I64" i="25"/>
  <c r="R64" i="25" s="1"/>
  <c r="T64" i="25" s="1"/>
  <c r="H88" i="15"/>
  <c r="Q88" i="15" s="1"/>
  <c r="H88" i="7"/>
  <c r="Q88" i="7" s="1"/>
  <c r="AS118" i="3"/>
  <c r="G94" i="25" s="1"/>
  <c r="P94" i="25" s="1"/>
  <c r="G82" i="25"/>
  <c r="P82" i="25" s="1"/>
  <c r="AS113" i="3"/>
  <c r="G89" i="25" s="1"/>
  <c r="P89" i="25" s="1"/>
  <c r="G77" i="25"/>
  <c r="P77" i="25" s="1"/>
  <c r="AW107" i="3"/>
  <c r="I95" i="9"/>
  <c r="U95" i="9" s="1"/>
  <c r="BB105" i="3"/>
  <c r="L93" i="9"/>
  <c r="X93" i="9" s="1"/>
  <c r="BC107" i="3"/>
  <c r="M95" i="9"/>
  <c r="Y95" i="9" s="1"/>
  <c r="J95" i="15"/>
  <c r="S95" i="15" s="1"/>
  <c r="J95" i="7"/>
  <c r="S95" i="7" s="1"/>
  <c r="T73" i="25"/>
  <c r="AW105" i="3"/>
  <c r="I93" i="9"/>
  <c r="U93" i="9" s="1"/>
  <c r="AS119" i="3"/>
  <c r="G95" i="25" s="1"/>
  <c r="P95" i="25" s="1"/>
  <c r="G83" i="25"/>
  <c r="P83" i="25" s="1"/>
  <c r="AS120" i="3"/>
  <c r="G96" i="25" s="1"/>
  <c r="P96" i="25" s="1"/>
  <c r="G84" i="25"/>
  <c r="P84" i="25" s="1"/>
  <c r="AV104" i="3"/>
  <c r="I68" i="25"/>
  <c r="R68" i="25" s="1"/>
  <c r="T68" i="25" s="1"/>
  <c r="H92" i="15"/>
  <c r="Q92" i="15" s="1"/>
  <c r="H92" i="7"/>
  <c r="Q92" i="7" s="1"/>
  <c r="BC99" i="3"/>
  <c r="M87" i="9"/>
  <c r="Y87" i="9" s="1"/>
  <c r="J87" i="15"/>
  <c r="S87" i="15" s="1"/>
  <c r="J87" i="7"/>
  <c r="S87" i="7" s="1"/>
  <c r="AW99" i="3"/>
  <c r="I87" i="9"/>
  <c r="U87" i="9" s="1"/>
  <c r="AZ99" i="3"/>
  <c r="J87" i="9"/>
  <c r="V87" i="9" s="1"/>
  <c r="I87" i="15"/>
  <c r="R87" i="15" s="1"/>
  <c r="I87" i="7"/>
  <c r="R87" i="7" s="1"/>
  <c r="BA99" i="3"/>
  <c r="K87" i="9"/>
  <c r="W87" i="9" s="1"/>
  <c r="BF99" i="3"/>
  <c r="H87" i="11"/>
  <c r="O87" i="11" s="1"/>
  <c r="BB99" i="3"/>
  <c r="L87" i="9"/>
  <c r="X87" i="9" s="1"/>
  <c r="AX99" i="3"/>
  <c r="G87" i="11"/>
  <c r="N87" i="11" s="1"/>
  <c r="AV99" i="3"/>
  <c r="H87" i="15"/>
  <c r="Q87" i="15" s="1"/>
  <c r="I63" i="25"/>
  <c r="R63" i="25" s="1"/>
  <c r="T63" i="25" s="1"/>
  <c r="H87" i="7"/>
  <c r="Q87" i="7" s="1"/>
  <c r="AS111" i="3"/>
  <c r="G87" i="25" s="1"/>
  <c r="P87" i="25" s="1"/>
  <c r="G75" i="25"/>
  <c r="P75" i="25" s="1"/>
  <c r="AU111" i="3"/>
  <c r="H87" i="25" s="1"/>
  <c r="Q87" i="25" s="1"/>
  <c r="H75" i="25"/>
  <c r="Q75" i="25" s="1"/>
  <c r="I114" i="16"/>
  <c r="U102" i="16"/>
  <c r="J119" i="16"/>
  <c r="V107" i="16"/>
  <c r="I144" i="16"/>
  <c r="U144" i="16" s="1"/>
  <c r="U132" i="16"/>
  <c r="I110" i="16"/>
  <c r="U98" i="16"/>
  <c r="I111" i="16"/>
  <c r="U99" i="16"/>
  <c r="M144" i="16"/>
  <c r="Y144" i="16" s="1"/>
  <c r="Y132" i="16"/>
  <c r="J116" i="16"/>
  <c r="V104" i="16"/>
  <c r="L111" i="16"/>
  <c r="X99" i="16"/>
  <c r="J117" i="16"/>
  <c r="V105" i="16"/>
  <c r="M117" i="16"/>
  <c r="Y105" i="16"/>
  <c r="M111" i="16"/>
  <c r="Y99" i="16"/>
  <c r="I140" i="16"/>
  <c r="U140" i="16" s="1"/>
  <c r="U128" i="16"/>
  <c r="L119" i="16"/>
  <c r="X107" i="16"/>
  <c r="L114" i="16"/>
  <c r="X102" i="16"/>
  <c r="L145" i="16"/>
  <c r="X145" i="16" s="1"/>
  <c r="X133" i="16"/>
  <c r="L118" i="16"/>
  <c r="X106" i="16"/>
  <c r="K112" i="16"/>
  <c r="W100" i="16"/>
  <c r="L115" i="16"/>
  <c r="X103" i="16"/>
  <c r="K110" i="16"/>
  <c r="W98" i="16"/>
  <c r="K111" i="16"/>
  <c r="W99" i="16"/>
  <c r="K114" i="16"/>
  <c r="W102" i="16"/>
  <c r="J120" i="16"/>
  <c r="V108" i="16"/>
  <c r="M113" i="16"/>
  <c r="Y101" i="16"/>
  <c r="K119" i="16"/>
  <c r="W107" i="16"/>
  <c r="L124" i="16"/>
  <c r="X112" i="16"/>
  <c r="I118" i="16"/>
  <c r="U106" i="16"/>
  <c r="J113" i="16"/>
  <c r="V101" i="16"/>
  <c r="I117" i="16"/>
  <c r="U105" i="16"/>
  <c r="L110" i="16"/>
  <c r="X98" i="16"/>
  <c r="M110" i="16"/>
  <c r="Y98" i="16"/>
  <c r="M124" i="16"/>
  <c r="Y112" i="16"/>
  <c r="J112" i="16"/>
  <c r="V100" i="16"/>
  <c r="I113" i="16"/>
  <c r="U101" i="16"/>
  <c r="I145" i="16"/>
  <c r="U145" i="16" s="1"/>
  <c r="U133" i="16"/>
  <c r="M114" i="16"/>
  <c r="Y102" i="16"/>
  <c r="K116" i="16"/>
  <c r="W104" i="16"/>
  <c r="M145" i="16"/>
  <c r="Y145" i="16" s="1"/>
  <c r="Y133" i="16"/>
  <c r="L120" i="16"/>
  <c r="X108" i="16"/>
  <c r="K115" i="16"/>
  <c r="W103" i="16"/>
  <c r="J110" i="16"/>
  <c r="V98" i="16"/>
  <c r="M118" i="16"/>
  <c r="Y106" i="16"/>
  <c r="L137" i="16"/>
  <c r="X137" i="16" s="1"/>
  <c r="X125" i="16"/>
  <c r="AB11" i="20"/>
  <c r="AL11" i="20" s="1"/>
  <c r="BL6" i="20"/>
  <c r="T12" i="20"/>
  <c r="BL7" i="20"/>
  <c r="AT10" i="20"/>
  <c r="BF10" i="20" s="1"/>
  <c r="B14" i="20"/>
  <c r="K13" i="20"/>
  <c r="AR98" i="3"/>
  <c r="AO86" i="3"/>
  <c r="G86" i="15" s="1"/>
  <c r="P86" i="15" s="1"/>
  <c r="AH14" i="19"/>
  <c r="AH15" i="19" s="1"/>
  <c r="AD14" i="19"/>
  <c r="AD15" i="19" s="1"/>
  <c r="Z14" i="19"/>
  <c r="Z15" i="19" s="1"/>
  <c r="V14" i="19"/>
  <c r="V15" i="19" s="1"/>
  <c r="R14" i="19"/>
  <c r="R15" i="19" s="1"/>
  <c r="N14" i="19"/>
  <c r="N15" i="19" s="1"/>
  <c r="J14" i="19"/>
  <c r="J15" i="19" s="1"/>
  <c r="F14" i="19"/>
  <c r="F15" i="19" s="1"/>
  <c r="B13" i="19"/>
  <c r="AR111" i="3"/>
  <c r="AO99" i="3"/>
  <c r="G99" i="15" s="1"/>
  <c r="P99" i="15" s="1"/>
  <c r="AO88" i="3"/>
  <c r="G88" i="15" s="1"/>
  <c r="P88" i="15" s="1"/>
  <c r="AR100" i="3"/>
  <c r="AO109" i="3"/>
  <c r="G109" i="15" s="1"/>
  <c r="P109" i="15" s="1"/>
  <c r="AR121" i="3"/>
  <c r="AR119" i="3"/>
  <c r="AO107" i="3"/>
  <c r="G107" i="15" s="1"/>
  <c r="P107" i="15" s="1"/>
  <c r="AR118" i="3"/>
  <c r="AO106" i="3"/>
  <c r="G106" i="15" s="1"/>
  <c r="P106" i="15" s="1"/>
  <c r="AO105" i="3"/>
  <c r="G105" i="15" s="1"/>
  <c r="P105" i="15" s="1"/>
  <c r="AR117" i="3"/>
  <c r="AO104" i="3"/>
  <c r="G104" i="15" s="1"/>
  <c r="P104" i="15" s="1"/>
  <c r="AR116" i="3"/>
  <c r="AO96" i="3"/>
  <c r="G96" i="15" s="1"/>
  <c r="P96" i="15" s="1"/>
  <c r="AR108" i="3"/>
  <c r="AR114" i="3"/>
  <c r="AO102" i="3"/>
  <c r="G102" i="15" s="1"/>
  <c r="P102" i="15" s="1"/>
  <c r="AR115" i="3"/>
  <c r="AO103" i="3"/>
  <c r="G103" i="15" s="1"/>
  <c r="P103" i="15" s="1"/>
  <c r="AO101" i="3"/>
  <c r="G101" i="15" s="1"/>
  <c r="P101" i="15" s="1"/>
  <c r="AR113" i="3"/>
  <c r="J45" i="24"/>
  <c r="K87" i="24"/>
  <c r="AC173" i="1"/>
  <c r="AV116" i="3" l="1"/>
  <c r="H104" i="15"/>
  <c r="Q104" i="15" s="1"/>
  <c r="I80" i="25"/>
  <c r="R80" i="25" s="1"/>
  <c r="H104" i="7"/>
  <c r="Q104" i="7" s="1"/>
  <c r="BB117" i="3"/>
  <c r="L117" i="9" s="1"/>
  <c r="X117" i="9" s="1"/>
  <c r="L105" i="9"/>
  <c r="X105" i="9" s="1"/>
  <c r="AV112" i="3"/>
  <c r="H100" i="15"/>
  <c r="Q100" i="15" s="1"/>
  <c r="I76" i="25"/>
  <c r="R76" i="25" s="1"/>
  <c r="T76" i="25" s="1"/>
  <c r="H100" i="7"/>
  <c r="Q100" i="7" s="1"/>
  <c r="BF120" i="3"/>
  <c r="H120" i="11" s="1"/>
  <c r="O120" i="11" s="1"/>
  <c r="H108" i="11"/>
  <c r="O108" i="11" s="1"/>
  <c r="AW110" i="3"/>
  <c r="I110" i="9" s="1"/>
  <c r="U110" i="9" s="1"/>
  <c r="I98" i="9"/>
  <c r="U98" i="9" s="1"/>
  <c r="AV118" i="3"/>
  <c r="I82" i="25"/>
  <c r="R82" i="25" s="1"/>
  <c r="T82" i="25" s="1"/>
  <c r="H106" i="15"/>
  <c r="Q106" i="15" s="1"/>
  <c r="H106" i="7"/>
  <c r="Q106" i="7" s="1"/>
  <c r="BC116" i="3"/>
  <c r="M104" i="9"/>
  <c r="Y104" i="9" s="1"/>
  <c r="J104" i="15"/>
  <c r="S104" i="15" s="1"/>
  <c r="J104" i="7"/>
  <c r="S104" i="7" s="1"/>
  <c r="AX120" i="3"/>
  <c r="G120" i="11" s="1"/>
  <c r="N120" i="11" s="1"/>
  <c r="G108" i="11"/>
  <c r="N108" i="11" s="1"/>
  <c r="BF118" i="3"/>
  <c r="H118" i="11" s="1"/>
  <c r="O118" i="11" s="1"/>
  <c r="H106" i="11"/>
  <c r="O106" i="11" s="1"/>
  <c r="BC120" i="3"/>
  <c r="M108" i="9"/>
  <c r="Y108" i="9" s="1"/>
  <c r="J108" i="15"/>
  <c r="S108" i="15" s="1"/>
  <c r="J108" i="7"/>
  <c r="S108" i="7" s="1"/>
  <c r="AV115" i="3"/>
  <c r="I79" i="25"/>
  <c r="R79" i="25" s="1"/>
  <c r="T79" i="25" s="1"/>
  <c r="H103" i="15"/>
  <c r="Q103" i="15" s="1"/>
  <c r="H103" i="7"/>
  <c r="Q103" i="7" s="1"/>
  <c r="BB116" i="3"/>
  <c r="L116" i="9" s="1"/>
  <c r="X116" i="9" s="1"/>
  <c r="L104" i="9"/>
  <c r="X104" i="9" s="1"/>
  <c r="BF116" i="3"/>
  <c r="H116" i="11" s="1"/>
  <c r="O116" i="11" s="1"/>
  <c r="H104" i="11"/>
  <c r="O104" i="11" s="1"/>
  <c r="BC112" i="3"/>
  <c r="M100" i="9"/>
  <c r="Y100" i="9" s="1"/>
  <c r="J100" i="15"/>
  <c r="S100" i="15" s="1"/>
  <c r="J100" i="7"/>
  <c r="S100" i="7" s="1"/>
  <c r="BB119" i="3"/>
  <c r="L119" i="9" s="1"/>
  <c r="X119" i="9" s="1"/>
  <c r="L107" i="9"/>
  <c r="X107" i="9" s="1"/>
  <c r="AX115" i="3"/>
  <c r="G115" i="11" s="1"/>
  <c r="N115" i="11" s="1"/>
  <c r="G103" i="11"/>
  <c r="N103" i="11" s="1"/>
  <c r="BF112" i="3"/>
  <c r="H112" i="11" s="1"/>
  <c r="O112" i="11" s="1"/>
  <c r="H100" i="11"/>
  <c r="O100" i="11" s="1"/>
  <c r="BF121" i="3"/>
  <c r="H121" i="11" s="1"/>
  <c r="O121" i="11" s="1"/>
  <c r="H109" i="11"/>
  <c r="O109" i="11" s="1"/>
  <c r="BA110" i="3"/>
  <c r="K110" i="9" s="1"/>
  <c r="W110" i="9" s="1"/>
  <c r="K98" i="9"/>
  <c r="W98" i="9" s="1"/>
  <c r="BA119" i="3"/>
  <c r="K119" i="9" s="1"/>
  <c r="W119" i="9" s="1"/>
  <c r="K107" i="9"/>
  <c r="W107" i="9" s="1"/>
  <c r="BC117" i="3"/>
  <c r="M105" i="9"/>
  <c r="Y105" i="9" s="1"/>
  <c r="J105" i="15"/>
  <c r="S105" i="15" s="1"/>
  <c r="J105" i="7"/>
  <c r="S105" i="7" s="1"/>
  <c r="AX116" i="3"/>
  <c r="G116" i="11" s="1"/>
  <c r="N116" i="11" s="1"/>
  <c r="G104" i="11"/>
  <c r="N104" i="11" s="1"/>
  <c r="AV119" i="3"/>
  <c r="I83" i="25"/>
  <c r="R83" i="25" s="1"/>
  <c r="T83" i="25" s="1"/>
  <c r="H107" i="15"/>
  <c r="Q107" i="15" s="1"/>
  <c r="H107" i="7"/>
  <c r="Q107" i="7" s="1"/>
  <c r="AZ118" i="3"/>
  <c r="J106" i="9"/>
  <c r="V106" i="9" s="1"/>
  <c r="I106" i="15"/>
  <c r="R106" i="15" s="1"/>
  <c r="I106" i="7"/>
  <c r="R106" i="7" s="1"/>
  <c r="AZ114" i="3"/>
  <c r="J102" i="9"/>
  <c r="V102" i="9" s="1"/>
  <c r="I102" i="15"/>
  <c r="R102" i="15" s="1"/>
  <c r="I102" i="7"/>
  <c r="R102" i="7" s="1"/>
  <c r="AV110" i="3"/>
  <c r="I74" i="25"/>
  <c r="R74" i="25" s="1"/>
  <c r="T74" i="25" s="1"/>
  <c r="H98" i="15"/>
  <c r="Q98" i="15" s="1"/>
  <c r="H98" i="7"/>
  <c r="Q98" i="7" s="1"/>
  <c r="AX113" i="3"/>
  <c r="G113" i="11" s="1"/>
  <c r="N113" i="11" s="1"/>
  <c r="G101" i="11"/>
  <c r="N101" i="11" s="1"/>
  <c r="BB118" i="3"/>
  <c r="L118" i="9" s="1"/>
  <c r="X118" i="9" s="1"/>
  <c r="L106" i="9"/>
  <c r="X106" i="9" s="1"/>
  <c r="AV114" i="3"/>
  <c r="I78" i="25"/>
  <c r="R78" i="25" s="1"/>
  <c r="T78" i="25" s="1"/>
  <c r="H102" i="15"/>
  <c r="Q102" i="15" s="1"/>
  <c r="H102" i="7"/>
  <c r="Q102" i="7" s="1"/>
  <c r="BF110" i="3"/>
  <c r="H110" i="11" s="1"/>
  <c r="O110" i="11" s="1"/>
  <c r="H98" i="11"/>
  <c r="O98" i="11" s="1"/>
  <c r="AV121" i="3"/>
  <c r="H109" i="15"/>
  <c r="Q109" i="15" s="1"/>
  <c r="I85" i="25"/>
  <c r="R85" i="25" s="1"/>
  <c r="T85" i="25" s="1"/>
  <c r="H109" i="7"/>
  <c r="Q109" i="7" s="1"/>
  <c r="AZ120" i="3"/>
  <c r="J108" i="9"/>
  <c r="V108" i="9" s="1"/>
  <c r="I108" i="15"/>
  <c r="R108" i="15" s="1"/>
  <c r="I108" i="7"/>
  <c r="R108" i="7" s="1"/>
  <c r="AV113" i="3"/>
  <c r="H101" i="15"/>
  <c r="Q101" i="15" s="1"/>
  <c r="I77" i="25"/>
  <c r="R77" i="25" s="1"/>
  <c r="T77" i="25" s="1"/>
  <c r="H101" i="7"/>
  <c r="Q101" i="7" s="1"/>
  <c r="AX117" i="3"/>
  <c r="G117" i="11" s="1"/>
  <c r="N117" i="11" s="1"/>
  <c r="G105" i="11"/>
  <c r="N105" i="11" s="1"/>
  <c r="AW114" i="3"/>
  <c r="I114" i="9" s="1"/>
  <c r="U114" i="9" s="1"/>
  <c r="I102" i="9"/>
  <c r="U102" i="9" s="1"/>
  <c r="BB115" i="3"/>
  <c r="L115" i="9" s="1"/>
  <c r="X115" i="9" s="1"/>
  <c r="L103" i="9"/>
  <c r="X103" i="9" s="1"/>
  <c r="BB120" i="3"/>
  <c r="L120" i="9" s="1"/>
  <c r="X120" i="9" s="1"/>
  <c r="L108" i="9"/>
  <c r="X108" i="9" s="1"/>
  <c r="BC110" i="3"/>
  <c r="M98" i="9"/>
  <c r="Y98" i="9" s="1"/>
  <c r="J98" i="15"/>
  <c r="S98" i="15" s="1"/>
  <c r="J98" i="7"/>
  <c r="S98" i="7" s="1"/>
  <c r="BA114" i="3"/>
  <c r="K114" i="9" s="1"/>
  <c r="W114" i="9" s="1"/>
  <c r="K102" i="9"/>
  <c r="W102" i="9" s="1"/>
  <c r="AX114" i="3"/>
  <c r="G114" i="11" s="1"/>
  <c r="N114" i="11" s="1"/>
  <c r="G102" i="11"/>
  <c r="N102" i="11" s="1"/>
  <c r="BA117" i="3"/>
  <c r="K117" i="9" s="1"/>
  <c r="W117" i="9" s="1"/>
  <c r="K105" i="9"/>
  <c r="W105" i="9" s="1"/>
  <c r="BA115" i="3"/>
  <c r="K115" i="9" s="1"/>
  <c r="W115" i="9" s="1"/>
  <c r="K103" i="9"/>
  <c r="W103" i="9" s="1"/>
  <c r="BF113" i="3"/>
  <c r="H113" i="11" s="1"/>
  <c r="O113" i="11" s="1"/>
  <c r="H101" i="11"/>
  <c r="O101" i="11" s="1"/>
  <c r="BA116" i="3"/>
  <c r="K116" i="9" s="1"/>
  <c r="W116" i="9" s="1"/>
  <c r="K104" i="9"/>
  <c r="W104" i="9" s="1"/>
  <c r="T80" i="25"/>
  <c r="AW117" i="3"/>
  <c r="I117" i="9" s="1"/>
  <c r="U117" i="9" s="1"/>
  <c r="I105" i="9"/>
  <c r="U105" i="9" s="1"/>
  <c r="BC119" i="3"/>
  <c r="M107" i="9"/>
  <c r="Y107" i="9" s="1"/>
  <c r="J107" i="15"/>
  <c r="S107" i="15" s="1"/>
  <c r="J107" i="7"/>
  <c r="S107" i="7" s="1"/>
  <c r="AW119" i="3"/>
  <c r="I119" i="9" s="1"/>
  <c r="U119" i="9" s="1"/>
  <c r="I107" i="9"/>
  <c r="U107" i="9" s="1"/>
  <c r="AX118" i="3"/>
  <c r="G118" i="11" s="1"/>
  <c r="N118" i="11" s="1"/>
  <c r="G106" i="11"/>
  <c r="N106" i="11" s="1"/>
  <c r="BF119" i="3"/>
  <c r="H119" i="11" s="1"/>
  <c r="O119" i="11" s="1"/>
  <c r="H107" i="11"/>
  <c r="O107" i="11" s="1"/>
  <c r="BB121" i="3"/>
  <c r="L121" i="9" s="1"/>
  <c r="X121" i="9" s="1"/>
  <c r="L109" i="9"/>
  <c r="X109" i="9" s="1"/>
  <c r="BC114" i="3"/>
  <c r="M102" i="9"/>
  <c r="Y102" i="9" s="1"/>
  <c r="J102" i="15"/>
  <c r="S102" i="15" s="1"/>
  <c r="J102" i="7"/>
  <c r="S102" i="7" s="1"/>
  <c r="BB112" i="3"/>
  <c r="L112" i="9" s="1"/>
  <c r="X112" i="9" s="1"/>
  <c r="L100" i="9"/>
  <c r="X100" i="9" s="1"/>
  <c r="BA113" i="3"/>
  <c r="K113" i="9" s="1"/>
  <c r="W113" i="9" s="1"/>
  <c r="K101" i="9"/>
  <c r="W101" i="9" s="1"/>
  <c r="AW116" i="3"/>
  <c r="I116" i="9" s="1"/>
  <c r="U116" i="9" s="1"/>
  <c r="I104" i="9"/>
  <c r="U104" i="9" s="1"/>
  <c r="BC113" i="3"/>
  <c r="M101" i="9"/>
  <c r="Y101" i="9" s="1"/>
  <c r="J101" i="15"/>
  <c r="S101" i="15" s="1"/>
  <c r="J101" i="7"/>
  <c r="S101" i="7" s="1"/>
  <c r="BA120" i="3"/>
  <c r="K120" i="9" s="1"/>
  <c r="W120" i="9" s="1"/>
  <c r="K108" i="9"/>
  <c r="W108" i="9" s="1"/>
  <c r="BA112" i="3"/>
  <c r="K112" i="9" s="1"/>
  <c r="W112" i="9" s="1"/>
  <c r="K100" i="9"/>
  <c r="W100" i="9" s="1"/>
  <c r="AX112" i="3"/>
  <c r="G112" i="11" s="1"/>
  <c r="N112" i="11" s="1"/>
  <c r="G100" i="11"/>
  <c r="N100" i="11" s="1"/>
  <c r="BF114" i="3"/>
  <c r="H114" i="11" s="1"/>
  <c r="O114" i="11" s="1"/>
  <c r="H102" i="11"/>
  <c r="O102" i="11" s="1"/>
  <c r="BC121" i="3"/>
  <c r="M109" i="9"/>
  <c r="Y109" i="9" s="1"/>
  <c r="J109" i="15"/>
  <c r="S109" i="15" s="1"/>
  <c r="J109" i="7"/>
  <c r="S109" i="7" s="1"/>
  <c r="BA121" i="3"/>
  <c r="K121" i="9" s="1"/>
  <c r="W121" i="9" s="1"/>
  <c r="K109" i="9"/>
  <c r="W109" i="9" s="1"/>
  <c r="AV120" i="3"/>
  <c r="H108" i="15"/>
  <c r="Q108" i="15" s="1"/>
  <c r="I84" i="25"/>
  <c r="R84" i="25" s="1"/>
  <c r="T84" i="25" s="1"/>
  <c r="H108" i="7"/>
  <c r="Q108" i="7" s="1"/>
  <c r="AZ115" i="3"/>
  <c r="J103" i="9"/>
  <c r="V103" i="9" s="1"/>
  <c r="I103" i="15"/>
  <c r="R103" i="15" s="1"/>
  <c r="I103" i="7"/>
  <c r="R103" i="7" s="1"/>
  <c r="AZ110" i="3"/>
  <c r="J98" i="9"/>
  <c r="V98" i="9" s="1"/>
  <c r="I98" i="15"/>
  <c r="R98" i="15" s="1"/>
  <c r="I98" i="7"/>
  <c r="R98" i="7" s="1"/>
  <c r="AZ119" i="3"/>
  <c r="J107" i="9"/>
  <c r="V107" i="9" s="1"/>
  <c r="I107" i="15"/>
  <c r="R107" i="15" s="1"/>
  <c r="I107" i="7"/>
  <c r="R107" i="7" s="1"/>
  <c r="BB113" i="3"/>
  <c r="L113" i="9" s="1"/>
  <c r="X113" i="9" s="1"/>
  <c r="L101" i="9"/>
  <c r="X101" i="9" s="1"/>
  <c r="AX110" i="3"/>
  <c r="G110" i="11" s="1"/>
  <c r="N110" i="11" s="1"/>
  <c r="G98" i="11"/>
  <c r="N98" i="11" s="1"/>
  <c r="AV117" i="3"/>
  <c r="H105" i="15"/>
  <c r="Q105" i="15" s="1"/>
  <c r="I81" i="25"/>
  <c r="R81" i="25" s="1"/>
  <c r="T81" i="25" s="1"/>
  <c r="H105" i="7"/>
  <c r="Q105" i="7" s="1"/>
  <c r="AZ112" i="3"/>
  <c r="J100" i="9"/>
  <c r="V100" i="9" s="1"/>
  <c r="I100" i="15"/>
  <c r="R100" i="15" s="1"/>
  <c r="I100" i="7"/>
  <c r="R100" i="7" s="1"/>
  <c r="BB114" i="3"/>
  <c r="L114" i="9" s="1"/>
  <c r="X114" i="9" s="1"/>
  <c r="L102" i="9"/>
  <c r="X102" i="9" s="1"/>
  <c r="AX119" i="3"/>
  <c r="G119" i="11" s="1"/>
  <c r="N119" i="11" s="1"/>
  <c r="G107" i="11"/>
  <c r="N107" i="11" s="1"/>
  <c r="AW115" i="3"/>
  <c r="I115" i="9" s="1"/>
  <c r="U115" i="9" s="1"/>
  <c r="I103" i="9"/>
  <c r="U103" i="9" s="1"/>
  <c r="AX121" i="3"/>
  <c r="G121" i="11" s="1"/>
  <c r="N121" i="11" s="1"/>
  <c r="G109" i="11"/>
  <c r="N109" i="11" s="1"/>
  <c r="AW112" i="3"/>
  <c r="I112" i="9" s="1"/>
  <c r="U112" i="9" s="1"/>
  <c r="I100" i="9"/>
  <c r="U100" i="9" s="1"/>
  <c r="AZ116" i="3"/>
  <c r="J104" i="9"/>
  <c r="V104" i="9" s="1"/>
  <c r="I104" i="15"/>
  <c r="R104" i="15" s="1"/>
  <c r="I104" i="7"/>
  <c r="R104" i="7" s="1"/>
  <c r="BF115" i="3"/>
  <c r="H115" i="11" s="1"/>
  <c r="O115" i="11" s="1"/>
  <c r="H103" i="11"/>
  <c r="O103" i="11" s="1"/>
  <c r="BC115" i="3"/>
  <c r="M103" i="9"/>
  <c r="Y103" i="9" s="1"/>
  <c r="J103" i="15"/>
  <c r="S103" i="15" s="1"/>
  <c r="J103" i="7"/>
  <c r="S103" i="7" s="1"/>
  <c r="AZ121" i="3"/>
  <c r="J109" i="9"/>
  <c r="V109" i="9" s="1"/>
  <c r="I109" i="15"/>
  <c r="R109" i="15" s="1"/>
  <c r="I109" i="7"/>
  <c r="R109" i="7" s="1"/>
  <c r="AZ117" i="3"/>
  <c r="J105" i="9"/>
  <c r="V105" i="9" s="1"/>
  <c r="I105" i="15"/>
  <c r="R105" i="15" s="1"/>
  <c r="I105" i="7"/>
  <c r="R105" i="7" s="1"/>
  <c r="AZ113" i="3"/>
  <c r="J101" i="9"/>
  <c r="V101" i="9" s="1"/>
  <c r="I101" i="15"/>
  <c r="R101" i="15" s="1"/>
  <c r="I101" i="7"/>
  <c r="R101" i="7" s="1"/>
  <c r="BA118" i="3"/>
  <c r="K118" i="9" s="1"/>
  <c r="W118" i="9" s="1"/>
  <c r="K106" i="9"/>
  <c r="W106" i="9" s="1"/>
  <c r="AW120" i="3"/>
  <c r="I120" i="9" s="1"/>
  <c r="U120" i="9" s="1"/>
  <c r="I108" i="9"/>
  <c r="U108" i="9" s="1"/>
  <c r="BC118" i="3"/>
  <c r="M106" i="9"/>
  <c r="Y106" i="9" s="1"/>
  <c r="J106" i="15"/>
  <c r="S106" i="15" s="1"/>
  <c r="J106" i="7"/>
  <c r="S106" i="7" s="1"/>
  <c r="AW118" i="3"/>
  <c r="I118" i="9" s="1"/>
  <c r="U118" i="9" s="1"/>
  <c r="I106" i="9"/>
  <c r="U106" i="9" s="1"/>
  <c r="BF117" i="3"/>
  <c r="H117" i="11" s="1"/>
  <c r="O117" i="11" s="1"/>
  <c r="H105" i="11"/>
  <c r="O105" i="11" s="1"/>
  <c r="AW121" i="3"/>
  <c r="I121" i="9" s="1"/>
  <c r="U121" i="9" s="1"/>
  <c r="I109" i="9"/>
  <c r="U109" i="9" s="1"/>
  <c r="BB110" i="3"/>
  <c r="L110" i="9" s="1"/>
  <c r="X110" i="9" s="1"/>
  <c r="L98" i="9"/>
  <c r="X98" i="9" s="1"/>
  <c r="AW113" i="3"/>
  <c r="I113" i="9" s="1"/>
  <c r="U113" i="9" s="1"/>
  <c r="I101" i="9"/>
  <c r="U101" i="9" s="1"/>
  <c r="AV111" i="3"/>
  <c r="H99" i="15"/>
  <c r="Q99" i="15" s="1"/>
  <c r="I75" i="25"/>
  <c r="R75" i="25" s="1"/>
  <c r="H99" i="7"/>
  <c r="Q99" i="7" s="1"/>
  <c r="BB111" i="3"/>
  <c r="L111" i="9" s="1"/>
  <c r="X111" i="9" s="1"/>
  <c r="L99" i="9"/>
  <c r="X99" i="9" s="1"/>
  <c r="BA111" i="3"/>
  <c r="K111" i="9" s="1"/>
  <c r="W111" i="9" s="1"/>
  <c r="K99" i="9"/>
  <c r="W99" i="9" s="1"/>
  <c r="AZ111" i="3"/>
  <c r="J99" i="9"/>
  <c r="V99" i="9" s="1"/>
  <c r="I99" i="15"/>
  <c r="R99" i="15" s="1"/>
  <c r="I99" i="7"/>
  <c r="R99" i="7" s="1"/>
  <c r="AX111" i="3"/>
  <c r="G111" i="11" s="1"/>
  <c r="N111" i="11" s="1"/>
  <c r="G99" i="11"/>
  <c r="N99" i="11" s="1"/>
  <c r="T75" i="25"/>
  <c r="BF111" i="3"/>
  <c r="H111" i="11" s="1"/>
  <c r="O111" i="11" s="1"/>
  <c r="H99" i="11"/>
  <c r="O99" i="11" s="1"/>
  <c r="AW111" i="3"/>
  <c r="I111" i="9" s="1"/>
  <c r="U111" i="9" s="1"/>
  <c r="I99" i="9"/>
  <c r="U99" i="9" s="1"/>
  <c r="BC111" i="3"/>
  <c r="M99" i="9"/>
  <c r="Y99" i="9" s="1"/>
  <c r="J99" i="15"/>
  <c r="S99" i="15" s="1"/>
  <c r="J99" i="7"/>
  <c r="S99" i="7" s="1"/>
  <c r="M129" i="16"/>
  <c r="Y117" i="16"/>
  <c r="M130" i="16"/>
  <c r="Y118" i="16"/>
  <c r="K127" i="16"/>
  <c r="W115" i="16"/>
  <c r="M126" i="16"/>
  <c r="Y114" i="16"/>
  <c r="I125" i="16"/>
  <c r="U113" i="16"/>
  <c r="M136" i="16"/>
  <c r="Y136" i="16" s="1"/>
  <c r="Y124" i="16"/>
  <c r="L122" i="16"/>
  <c r="X110" i="16"/>
  <c r="J125" i="16"/>
  <c r="V113" i="16"/>
  <c r="L136" i="16"/>
  <c r="X136" i="16" s="1"/>
  <c r="X124" i="16"/>
  <c r="K131" i="16"/>
  <c r="W119" i="16"/>
  <c r="K122" i="16"/>
  <c r="W110" i="16"/>
  <c r="L123" i="16"/>
  <c r="X111" i="16"/>
  <c r="J131" i="16"/>
  <c r="V119" i="16"/>
  <c r="J132" i="16"/>
  <c r="V120" i="16"/>
  <c r="K123" i="16"/>
  <c r="W111" i="16"/>
  <c r="L127" i="16"/>
  <c r="X115" i="16"/>
  <c r="K124" i="16"/>
  <c r="W112" i="16"/>
  <c r="L131" i="16"/>
  <c r="X119" i="16"/>
  <c r="M123" i="16"/>
  <c r="Y111" i="16"/>
  <c r="J129" i="16"/>
  <c r="V117" i="16"/>
  <c r="J128" i="16"/>
  <c r="V116" i="16"/>
  <c r="I123" i="16"/>
  <c r="U111" i="16"/>
  <c r="I126" i="16"/>
  <c r="U114" i="16"/>
  <c r="M125" i="16"/>
  <c r="Y113" i="16"/>
  <c r="K126" i="16"/>
  <c r="W114" i="16"/>
  <c r="L130" i="16"/>
  <c r="X118" i="16"/>
  <c r="L126" i="16"/>
  <c r="X114" i="16"/>
  <c r="I122" i="16"/>
  <c r="U110" i="16"/>
  <c r="J122" i="16"/>
  <c r="V110" i="16"/>
  <c r="L132" i="16"/>
  <c r="X120" i="16"/>
  <c r="K128" i="16"/>
  <c r="W116" i="16"/>
  <c r="J124" i="16"/>
  <c r="V112" i="16"/>
  <c r="M122" i="16"/>
  <c r="Y110" i="16"/>
  <c r="I129" i="16"/>
  <c r="U117" i="16"/>
  <c r="I130" i="16"/>
  <c r="U118" i="16"/>
  <c r="M51" i="24"/>
  <c r="M58" i="24" s="1"/>
  <c r="T13" i="20"/>
  <c r="AB13" i="20" s="1"/>
  <c r="AB12" i="20"/>
  <c r="AL12" i="20" s="1"/>
  <c r="AZ10" i="20"/>
  <c r="BL8" i="20"/>
  <c r="AT11" i="20"/>
  <c r="BF11" i="20" s="1"/>
  <c r="K14" i="20"/>
  <c r="B15" i="20"/>
  <c r="AO114" i="3"/>
  <c r="G114" i="15" s="1"/>
  <c r="AO115" i="3"/>
  <c r="G115" i="15" s="1"/>
  <c r="AO119" i="3"/>
  <c r="G119" i="15" s="1"/>
  <c r="AO113" i="3"/>
  <c r="G113" i="15" s="1"/>
  <c r="AO116" i="3"/>
  <c r="G116" i="15" s="1"/>
  <c r="AO121" i="3"/>
  <c r="G121" i="15" s="1"/>
  <c r="AR110" i="3"/>
  <c r="AO98" i="3"/>
  <c r="G98" i="15" s="1"/>
  <c r="P98" i="15" s="1"/>
  <c r="AO118" i="3"/>
  <c r="G118" i="15" s="1"/>
  <c r="AO111" i="3"/>
  <c r="G111" i="15" s="1"/>
  <c r="AO117" i="3"/>
  <c r="G117" i="15" s="1"/>
  <c r="B14" i="19"/>
  <c r="G116" i="7"/>
  <c r="P116" i="7" s="1"/>
  <c r="G101" i="7"/>
  <c r="P101" i="7" s="1"/>
  <c r="G104" i="7"/>
  <c r="P104" i="7" s="1"/>
  <c r="G99" i="7"/>
  <c r="P99" i="7" s="1"/>
  <c r="G106" i="7"/>
  <c r="P106" i="7" s="1"/>
  <c r="G103" i="7"/>
  <c r="P103" i="7" s="1"/>
  <c r="G109" i="7"/>
  <c r="P109" i="7" s="1"/>
  <c r="G102" i="7"/>
  <c r="P102" i="7" s="1"/>
  <c r="AO108" i="3"/>
  <c r="G108" i="15" s="1"/>
  <c r="P108" i="15" s="1"/>
  <c r="AR120" i="3"/>
  <c r="G105" i="7"/>
  <c r="P105" i="7" s="1"/>
  <c r="G107" i="7"/>
  <c r="P107" i="7" s="1"/>
  <c r="AO100" i="3"/>
  <c r="G100" i="15" s="1"/>
  <c r="P100" i="15" s="1"/>
  <c r="AR112" i="3"/>
  <c r="G156" i="2"/>
  <c r="G157" i="2"/>
  <c r="R109" i="3" s="1"/>
  <c r="G158" i="2"/>
  <c r="R110" i="3" s="1"/>
  <c r="G159" i="2"/>
  <c r="R111" i="3" s="1"/>
  <c r="G160" i="2"/>
  <c r="R112" i="3" s="1"/>
  <c r="G161" i="2"/>
  <c r="R113" i="3" s="1"/>
  <c r="G162" i="2"/>
  <c r="R114" i="3" s="1"/>
  <c r="G163" i="2"/>
  <c r="R115" i="3" s="1"/>
  <c r="D154" i="2"/>
  <c r="D155" i="2"/>
  <c r="D156" i="2"/>
  <c r="D157" i="2"/>
  <c r="I109" i="3" s="1"/>
  <c r="D158" i="2"/>
  <c r="I110" i="3" s="1"/>
  <c r="D159" i="2"/>
  <c r="I111" i="3" s="1"/>
  <c r="D160" i="2"/>
  <c r="I112" i="3" s="1"/>
  <c r="D161" i="2"/>
  <c r="I113" i="3" s="1"/>
  <c r="D149" i="2"/>
  <c r="D150" i="2"/>
  <c r="D151" i="2"/>
  <c r="E157" i="2"/>
  <c r="L109" i="3" s="1"/>
  <c r="E158" i="2"/>
  <c r="L110" i="3" s="1"/>
  <c r="E159" i="2"/>
  <c r="L111" i="3" s="1"/>
  <c r="E160" i="2"/>
  <c r="L112" i="3" s="1"/>
  <c r="E161" i="2"/>
  <c r="L113" i="3" s="1"/>
  <c r="E162" i="2"/>
  <c r="L114" i="3" s="1"/>
  <c r="E163" i="2"/>
  <c r="L115" i="3" s="1"/>
  <c r="I157" i="2"/>
  <c r="T109" i="3" s="1"/>
  <c r="I158" i="2"/>
  <c r="T110" i="3" s="1"/>
  <c r="I159" i="2"/>
  <c r="T111" i="3" s="1"/>
  <c r="I160" i="2"/>
  <c r="T112" i="3" s="1"/>
  <c r="I161" i="2"/>
  <c r="T113" i="3" s="1"/>
  <c r="I162" i="2"/>
  <c r="T114" i="3" s="1"/>
  <c r="I163" i="2"/>
  <c r="T115" i="3" s="1"/>
  <c r="H157" i="2"/>
  <c r="S109" i="3" s="1"/>
  <c r="H158" i="2"/>
  <c r="S110" i="3" s="1"/>
  <c r="H159" i="2"/>
  <c r="S111" i="3" s="1"/>
  <c r="H160" i="2"/>
  <c r="S112" i="3" s="1"/>
  <c r="H161" i="2"/>
  <c r="S113" i="3" s="1"/>
  <c r="H162" i="2"/>
  <c r="S114" i="3" s="1"/>
  <c r="H163" i="2"/>
  <c r="S115" i="3" s="1"/>
  <c r="AA161" i="1"/>
  <c r="D152" i="2" s="1"/>
  <c r="AA162" i="1"/>
  <c r="D153" i="2" s="1"/>
  <c r="AA129" i="1"/>
  <c r="AA130" i="1"/>
  <c r="AA157" i="1"/>
  <c r="D148" i="2" s="1"/>
  <c r="AA156" i="1"/>
  <c r="AA172" i="1"/>
  <c r="D163" i="2" s="1"/>
  <c r="I115" i="3" s="1"/>
  <c r="AA171" i="1"/>
  <c r="D162" i="2" s="1"/>
  <c r="I114" i="3" s="1"/>
  <c r="G118" i="7" l="1"/>
  <c r="P118" i="7" s="1"/>
  <c r="G119" i="7"/>
  <c r="P119" i="7" s="1"/>
  <c r="G117" i="7"/>
  <c r="P117" i="7" s="1"/>
  <c r="G115" i="7"/>
  <c r="P115" i="7" s="1"/>
  <c r="G121" i="7"/>
  <c r="P121" i="7" s="1"/>
  <c r="G111" i="7"/>
  <c r="P111" i="7" s="1"/>
  <c r="G113" i="7"/>
  <c r="P113" i="7" s="1"/>
  <c r="P114" i="15"/>
  <c r="G126" i="15"/>
  <c r="M121" i="9"/>
  <c r="Y121" i="9" s="1"/>
  <c r="J121" i="15"/>
  <c r="J121" i="7"/>
  <c r="S121" i="7" s="1"/>
  <c r="P113" i="15"/>
  <c r="G125" i="15"/>
  <c r="J112" i="9"/>
  <c r="V112" i="9" s="1"/>
  <c r="I112" i="15"/>
  <c r="I112" i="7"/>
  <c r="R112" i="7" s="1"/>
  <c r="H117" i="15"/>
  <c r="I93" i="25"/>
  <c r="R93" i="25" s="1"/>
  <c r="T93" i="25" s="1"/>
  <c r="H117" i="7"/>
  <c r="Q117" i="7" s="1"/>
  <c r="M113" i="9"/>
  <c r="Y113" i="9" s="1"/>
  <c r="J113" i="15"/>
  <c r="J113" i="7"/>
  <c r="S113" i="7" s="1"/>
  <c r="M114" i="9"/>
  <c r="Y114" i="9" s="1"/>
  <c r="J114" i="15"/>
  <c r="J114" i="7"/>
  <c r="S114" i="7" s="1"/>
  <c r="M119" i="9"/>
  <c r="Y119" i="9" s="1"/>
  <c r="J119" i="15"/>
  <c r="J119" i="7"/>
  <c r="S119" i="7" s="1"/>
  <c r="I90" i="25"/>
  <c r="R90" i="25" s="1"/>
  <c r="T90" i="25" s="1"/>
  <c r="H114" i="15"/>
  <c r="H114" i="7"/>
  <c r="Q114" i="7" s="1"/>
  <c r="I86" i="25"/>
  <c r="R86" i="25" s="1"/>
  <c r="T86" i="25" s="1"/>
  <c r="H110" i="15"/>
  <c r="H110" i="7"/>
  <c r="Q110" i="7" s="1"/>
  <c r="J114" i="9"/>
  <c r="V114" i="9" s="1"/>
  <c r="I114" i="15"/>
  <c r="I114" i="7"/>
  <c r="R114" i="7" s="1"/>
  <c r="J118" i="9"/>
  <c r="V118" i="9" s="1"/>
  <c r="I118" i="15"/>
  <c r="I118" i="7"/>
  <c r="R118" i="7" s="1"/>
  <c r="H119" i="15"/>
  <c r="I95" i="25"/>
  <c r="R95" i="25" s="1"/>
  <c r="T95" i="25" s="1"/>
  <c r="H119" i="7"/>
  <c r="Q119" i="7" s="1"/>
  <c r="I88" i="25"/>
  <c r="R88" i="25" s="1"/>
  <c r="T88" i="25" s="1"/>
  <c r="H112" i="15"/>
  <c r="H112" i="7"/>
  <c r="Q112" i="7" s="1"/>
  <c r="P118" i="15"/>
  <c r="G130" i="15"/>
  <c r="G114" i="7"/>
  <c r="P114" i="7" s="1"/>
  <c r="P117" i="15"/>
  <c r="G129" i="15"/>
  <c r="P119" i="15"/>
  <c r="G131" i="15"/>
  <c r="M118" i="9"/>
  <c r="Y118" i="9" s="1"/>
  <c r="J118" i="15"/>
  <c r="J118" i="7"/>
  <c r="S118" i="7" s="1"/>
  <c r="J116" i="9"/>
  <c r="V116" i="9" s="1"/>
  <c r="I116" i="15"/>
  <c r="I116" i="7"/>
  <c r="R116" i="7" s="1"/>
  <c r="J119" i="9"/>
  <c r="V119" i="9" s="1"/>
  <c r="I119" i="15"/>
  <c r="I119" i="7"/>
  <c r="R119" i="7" s="1"/>
  <c r="J110" i="9"/>
  <c r="V110" i="9" s="1"/>
  <c r="I110" i="15"/>
  <c r="I110" i="7"/>
  <c r="R110" i="7" s="1"/>
  <c r="J115" i="9"/>
  <c r="V115" i="9" s="1"/>
  <c r="I115" i="15"/>
  <c r="I115" i="7"/>
  <c r="R115" i="7" s="1"/>
  <c r="I96" i="25"/>
  <c r="R96" i="25" s="1"/>
  <c r="T96" i="25" s="1"/>
  <c r="H120" i="15"/>
  <c r="H120" i="7"/>
  <c r="Q120" i="7" s="1"/>
  <c r="M110" i="9"/>
  <c r="Y110" i="9" s="1"/>
  <c r="J110" i="15"/>
  <c r="J110" i="7"/>
  <c r="S110" i="7" s="1"/>
  <c r="P116" i="15"/>
  <c r="G128" i="15"/>
  <c r="P121" i="15"/>
  <c r="G133" i="15"/>
  <c r="P115" i="15"/>
  <c r="G127" i="15"/>
  <c r="J113" i="9"/>
  <c r="V113" i="9" s="1"/>
  <c r="I113" i="15"/>
  <c r="I113" i="7"/>
  <c r="R113" i="7" s="1"/>
  <c r="J117" i="9"/>
  <c r="V117" i="9" s="1"/>
  <c r="I117" i="15"/>
  <c r="I117" i="7"/>
  <c r="R117" i="7" s="1"/>
  <c r="J121" i="9"/>
  <c r="V121" i="9" s="1"/>
  <c r="I121" i="15"/>
  <c r="I121" i="7"/>
  <c r="R121" i="7" s="1"/>
  <c r="M115" i="9"/>
  <c r="Y115" i="9" s="1"/>
  <c r="J115" i="15"/>
  <c r="J115" i="7"/>
  <c r="S115" i="7" s="1"/>
  <c r="H113" i="15"/>
  <c r="I89" i="25"/>
  <c r="R89" i="25" s="1"/>
  <c r="T89" i="25" s="1"/>
  <c r="H113" i="7"/>
  <c r="Q113" i="7" s="1"/>
  <c r="J120" i="9"/>
  <c r="V120" i="9" s="1"/>
  <c r="I120" i="15"/>
  <c r="I120" i="7"/>
  <c r="R120" i="7" s="1"/>
  <c r="H121" i="15"/>
  <c r="I97" i="25"/>
  <c r="R97" i="25" s="1"/>
  <c r="T97" i="25" s="1"/>
  <c r="H121" i="7"/>
  <c r="Q121" i="7" s="1"/>
  <c r="M117" i="9"/>
  <c r="Y117" i="9" s="1"/>
  <c r="J117" i="15"/>
  <c r="J117" i="7"/>
  <c r="S117" i="7" s="1"/>
  <c r="M112" i="9"/>
  <c r="Y112" i="9" s="1"/>
  <c r="J112" i="15"/>
  <c r="J112" i="7"/>
  <c r="S112" i="7" s="1"/>
  <c r="H115" i="15"/>
  <c r="I91" i="25"/>
  <c r="R91" i="25" s="1"/>
  <c r="T91" i="25" s="1"/>
  <c r="H115" i="7"/>
  <c r="Q115" i="7" s="1"/>
  <c r="M120" i="9"/>
  <c r="Y120" i="9" s="1"/>
  <c r="J120" i="15"/>
  <c r="J120" i="7"/>
  <c r="S120" i="7" s="1"/>
  <c r="M116" i="9"/>
  <c r="Y116" i="9" s="1"/>
  <c r="J116" i="15"/>
  <c r="J116" i="7"/>
  <c r="S116" i="7" s="1"/>
  <c r="H118" i="15"/>
  <c r="I94" i="25"/>
  <c r="R94" i="25" s="1"/>
  <c r="T94" i="25" s="1"/>
  <c r="H118" i="7"/>
  <c r="Q118" i="7" s="1"/>
  <c r="I92" i="25"/>
  <c r="R92" i="25" s="1"/>
  <c r="T92" i="25" s="1"/>
  <c r="H116" i="15"/>
  <c r="H116" i="7"/>
  <c r="Q116" i="7" s="1"/>
  <c r="P111" i="15"/>
  <c r="G123" i="15"/>
  <c r="J111" i="9"/>
  <c r="V111" i="9" s="1"/>
  <c r="I111" i="15"/>
  <c r="I111" i="7"/>
  <c r="R111" i="7" s="1"/>
  <c r="H111" i="15"/>
  <c r="I87" i="25"/>
  <c r="R87" i="25" s="1"/>
  <c r="T87" i="25" s="1"/>
  <c r="H111" i="7"/>
  <c r="Q111" i="7" s="1"/>
  <c r="M111" i="9"/>
  <c r="Y111" i="9" s="1"/>
  <c r="J111" i="15"/>
  <c r="J111" i="7"/>
  <c r="S111" i="7" s="1"/>
  <c r="J143" i="16"/>
  <c r="V143" i="16" s="1"/>
  <c r="V131" i="16"/>
  <c r="J137" i="16"/>
  <c r="V137" i="16" s="1"/>
  <c r="V125" i="16"/>
  <c r="M142" i="16"/>
  <c r="Y142" i="16" s="1"/>
  <c r="Y130" i="16"/>
  <c r="M134" i="16"/>
  <c r="Y134" i="16" s="1"/>
  <c r="Y122" i="16"/>
  <c r="J134" i="16"/>
  <c r="V134" i="16" s="1"/>
  <c r="V122" i="16"/>
  <c r="L138" i="16"/>
  <c r="X138" i="16" s="1"/>
  <c r="X126" i="16"/>
  <c r="M137" i="16"/>
  <c r="Y137" i="16" s="1"/>
  <c r="Y125" i="16"/>
  <c r="J141" i="16"/>
  <c r="V141" i="16" s="1"/>
  <c r="V129" i="16"/>
  <c r="L143" i="16"/>
  <c r="X143" i="16" s="1"/>
  <c r="X131" i="16"/>
  <c r="J144" i="16"/>
  <c r="V144" i="16" s="1"/>
  <c r="V132" i="16"/>
  <c r="L135" i="16"/>
  <c r="X135" i="16" s="1"/>
  <c r="X123" i="16"/>
  <c r="K143" i="16"/>
  <c r="W143" i="16" s="1"/>
  <c r="W131" i="16"/>
  <c r="L134" i="16"/>
  <c r="X134" i="16" s="1"/>
  <c r="X122" i="16"/>
  <c r="I137" i="16"/>
  <c r="U137" i="16" s="1"/>
  <c r="U125" i="16"/>
  <c r="K139" i="16"/>
  <c r="W139" i="16" s="1"/>
  <c r="W127" i="16"/>
  <c r="K134" i="16"/>
  <c r="W134" i="16" s="1"/>
  <c r="W122" i="16"/>
  <c r="M138" i="16"/>
  <c r="Y138" i="16" s="1"/>
  <c r="Y126" i="16"/>
  <c r="I142" i="16"/>
  <c r="U142" i="16" s="1"/>
  <c r="U130" i="16"/>
  <c r="K140" i="16"/>
  <c r="W140" i="16" s="1"/>
  <c r="W128" i="16"/>
  <c r="I135" i="16"/>
  <c r="U135" i="16" s="1"/>
  <c r="U123" i="16"/>
  <c r="L139" i="16"/>
  <c r="X139" i="16" s="1"/>
  <c r="X127" i="16"/>
  <c r="I141" i="16"/>
  <c r="U141" i="16" s="1"/>
  <c r="U129" i="16"/>
  <c r="J136" i="16"/>
  <c r="V136" i="16" s="1"/>
  <c r="V124" i="16"/>
  <c r="L144" i="16"/>
  <c r="X144" i="16" s="1"/>
  <c r="X132" i="16"/>
  <c r="I134" i="16"/>
  <c r="U134" i="16" s="1"/>
  <c r="U122" i="16"/>
  <c r="L142" i="16"/>
  <c r="X142" i="16" s="1"/>
  <c r="X130" i="16"/>
  <c r="K138" i="16"/>
  <c r="W138" i="16" s="1"/>
  <c r="W126" i="16"/>
  <c r="I138" i="16"/>
  <c r="U138" i="16" s="1"/>
  <c r="U126" i="16"/>
  <c r="J140" i="16"/>
  <c r="V140" i="16" s="1"/>
  <c r="V128" i="16"/>
  <c r="M135" i="16"/>
  <c r="Y135" i="16" s="1"/>
  <c r="Y123" i="16"/>
  <c r="K136" i="16"/>
  <c r="W136" i="16" s="1"/>
  <c r="W124" i="16"/>
  <c r="K135" i="16"/>
  <c r="W135" i="16" s="1"/>
  <c r="W123" i="16"/>
  <c r="M141" i="16"/>
  <c r="Y141" i="16" s="1"/>
  <c r="Y129" i="16"/>
  <c r="M38" i="24"/>
  <c r="M45" i="24" s="1"/>
  <c r="L87" i="24"/>
  <c r="N51" i="24"/>
  <c r="N58" i="24" s="1"/>
  <c r="T14" i="20"/>
  <c r="AB14" i="20" s="1"/>
  <c r="BL9" i="20"/>
  <c r="AZ11" i="20"/>
  <c r="AT12" i="20"/>
  <c r="BF12" i="20" s="1"/>
  <c r="AL13" i="20"/>
  <c r="B16" i="20"/>
  <c r="K16" i="20" s="1"/>
  <c r="T16" i="20" s="1"/>
  <c r="AB16" i="20" s="1"/>
  <c r="AL16" i="20" s="1"/>
  <c r="AT16" i="20" s="1"/>
  <c r="AZ16" i="20" s="1"/>
  <c r="BF16" i="20" s="1"/>
  <c r="BL16" i="20" s="1"/>
  <c r="K15" i="20"/>
  <c r="T15" i="20" s="1"/>
  <c r="AB15" i="20" s="1"/>
  <c r="AL15" i="20" s="1"/>
  <c r="AT15" i="20" s="1"/>
  <c r="AZ15" i="20" s="1"/>
  <c r="BF15" i="20" s="1"/>
  <c r="BL15" i="20" s="1"/>
  <c r="AO112" i="3"/>
  <c r="G112" i="15" s="1"/>
  <c r="G98" i="7"/>
  <c r="P98" i="7" s="1"/>
  <c r="AO110" i="3"/>
  <c r="G110" i="15" s="1"/>
  <c r="AO120" i="3"/>
  <c r="G120" i="15" s="1"/>
  <c r="B15" i="19"/>
  <c r="G100" i="7"/>
  <c r="P100" i="7" s="1"/>
  <c r="G108" i="7"/>
  <c r="P108" i="7" s="1"/>
  <c r="B158" i="2"/>
  <c r="C110" i="3" s="1"/>
  <c r="C158" i="2"/>
  <c r="F110" i="3" s="1"/>
  <c r="F158" i="2"/>
  <c r="O110" i="3" s="1"/>
  <c r="J158" i="2"/>
  <c r="U110" i="3" s="1"/>
  <c r="B159" i="2"/>
  <c r="C111" i="3" s="1"/>
  <c r="C159" i="2"/>
  <c r="F111" i="3" s="1"/>
  <c r="F159" i="2"/>
  <c r="O111" i="3" s="1"/>
  <c r="J159" i="2"/>
  <c r="U111" i="3" s="1"/>
  <c r="B160" i="2"/>
  <c r="C112" i="3" s="1"/>
  <c r="C160" i="2"/>
  <c r="F112" i="3" s="1"/>
  <c r="F160" i="2"/>
  <c r="O112" i="3" s="1"/>
  <c r="J160" i="2"/>
  <c r="U112" i="3" s="1"/>
  <c r="B161" i="2"/>
  <c r="C113" i="3" s="1"/>
  <c r="C161" i="2"/>
  <c r="F113" i="3" s="1"/>
  <c r="F161" i="2"/>
  <c r="O113" i="3" s="1"/>
  <c r="J161" i="2"/>
  <c r="U113" i="3" s="1"/>
  <c r="B162" i="2"/>
  <c r="C114" i="3" s="1"/>
  <c r="C162" i="2"/>
  <c r="F114" i="3" s="1"/>
  <c r="F162" i="2"/>
  <c r="O114" i="3" s="1"/>
  <c r="J162" i="2"/>
  <c r="U114" i="3" s="1"/>
  <c r="B163" i="2"/>
  <c r="C115" i="3" s="1"/>
  <c r="C163" i="2"/>
  <c r="F115" i="3" s="1"/>
  <c r="F163" i="2"/>
  <c r="O115" i="3" s="1"/>
  <c r="J163" i="2"/>
  <c r="U115" i="3" s="1"/>
  <c r="A158" i="2"/>
  <c r="A159" i="2"/>
  <c r="A160" i="2"/>
  <c r="A161" i="2"/>
  <c r="A162" i="2"/>
  <c r="A163" i="2"/>
  <c r="A164" i="2"/>
  <c r="A116" i="3" s="1"/>
  <c r="AC166" i="1"/>
  <c r="AC167" i="1"/>
  <c r="AC168" i="1"/>
  <c r="AC169" i="1"/>
  <c r="AC170" i="1"/>
  <c r="AC171" i="1"/>
  <c r="AC172" i="1"/>
  <c r="G120" i="7" l="1"/>
  <c r="P120" i="7" s="1"/>
  <c r="R113" i="15"/>
  <c r="I125" i="15"/>
  <c r="G145" i="15"/>
  <c r="P145" i="15" s="1"/>
  <c r="P133" i="15"/>
  <c r="Q120" i="15"/>
  <c r="H132" i="15"/>
  <c r="R116" i="15"/>
  <c r="I128" i="15"/>
  <c r="Q114" i="15"/>
  <c r="H126" i="15"/>
  <c r="S121" i="15"/>
  <c r="J133" i="15"/>
  <c r="S112" i="15"/>
  <c r="J124" i="15"/>
  <c r="G112" i="7"/>
  <c r="P112" i="7" s="1"/>
  <c r="Q116" i="15"/>
  <c r="H128" i="15"/>
  <c r="Q118" i="15"/>
  <c r="H130" i="15"/>
  <c r="R120" i="15"/>
  <c r="I132" i="15"/>
  <c r="Q113" i="15"/>
  <c r="H125" i="15"/>
  <c r="R117" i="15"/>
  <c r="I129" i="15"/>
  <c r="S110" i="15"/>
  <c r="J122" i="15"/>
  <c r="R119" i="15"/>
  <c r="I131" i="15"/>
  <c r="G143" i="15"/>
  <c r="P143" i="15" s="1"/>
  <c r="P131" i="15"/>
  <c r="Q112" i="15"/>
  <c r="H124" i="15"/>
  <c r="Q119" i="15"/>
  <c r="H131" i="15"/>
  <c r="H122" i="15"/>
  <c r="Q110" i="15"/>
  <c r="S113" i="15"/>
  <c r="J125" i="15"/>
  <c r="Q117" i="15"/>
  <c r="H129" i="15"/>
  <c r="G137" i="15"/>
  <c r="P137" i="15" s="1"/>
  <c r="P125" i="15"/>
  <c r="P110" i="15"/>
  <c r="G122" i="15"/>
  <c r="P112" i="15"/>
  <c r="G124" i="15"/>
  <c r="S120" i="15"/>
  <c r="J132" i="15"/>
  <c r="Q115" i="15"/>
  <c r="H127" i="15"/>
  <c r="R121" i="15"/>
  <c r="I133" i="15"/>
  <c r="G139" i="15"/>
  <c r="P139" i="15" s="1"/>
  <c r="P127" i="15"/>
  <c r="G140" i="15"/>
  <c r="P140" i="15" s="1"/>
  <c r="P128" i="15"/>
  <c r="I122" i="15"/>
  <c r="R110" i="15"/>
  <c r="G142" i="15"/>
  <c r="P142" i="15" s="1"/>
  <c r="P130" i="15"/>
  <c r="R114" i="15"/>
  <c r="I126" i="15"/>
  <c r="S114" i="15"/>
  <c r="J126" i="15"/>
  <c r="G138" i="15"/>
  <c r="P138" i="15" s="1"/>
  <c r="P126" i="15"/>
  <c r="P120" i="15"/>
  <c r="G132" i="15"/>
  <c r="S116" i="15"/>
  <c r="J128" i="15"/>
  <c r="S117" i="15"/>
  <c r="J129" i="15"/>
  <c r="Q121" i="15"/>
  <c r="H133" i="15"/>
  <c r="S115" i="15"/>
  <c r="J127" i="15"/>
  <c r="R115" i="15"/>
  <c r="I127" i="15"/>
  <c r="S118" i="15"/>
  <c r="J130" i="15"/>
  <c r="G141" i="15"/>
  <c r="P141" i="15" s="1"/>
  <c r="P129" i="15"/>
  <c r="R118" i="15"/>
  <c r="I130" i="15"/>
  <c r="S119" i="15"/>
  <c r="J131" i="15"/>
  <c r="R112" i="15"/>
  <c r="I124" i="15"/>
  <c r="S111" i="15"/>
  <c r="J123" i="15"/>
  <c r="Q111" i="15"/>
  <c r="H123" i="15"/>
  <c r="G135" i="15"/>
  <c r="P135" i="15" s="1"/>
  <c r="P123" i="15"/>
  <c r="R111" i="15"/>
  <c r="I123" i="15"/>
  <c r="A116" i="16"/>
  <c r="B116" i="16" s="1"/>
  <c r="A116" i="15"/>
  <c r="B116" i="15" s="1"/>
  <c r="A92" i="25"/>
  <c r="B92" i="25" s="1"/>
  <c r="M87" i="24"/>
  <c r="N38" i="24"/>
  <c r="N45" i="24" s="1"/>
  <c r="BL10" i="20"/>
  <c r="AZ12" i="20"/>
  <c r="AT13" i="20"/>
  <c r="BF13" i="20" s="1"/>
  <c r="AL14" i="20"/>
  <c r="B116" i="3"/>
  <c r="G110" i="7"/>
  <c r="P110" i="7" s="1"/>
  <c r="A116" i="7"/>
  <c r="B116" i="7" s="1"/>
  <c r="A116" i="9"/>
  <c r="B116" i="9" s="1"/>
  <c r="A116" i="11"/>
  <c r="B116" i="11" s="1"/>
  <c r="A155" i="2"/>
  <c r="A110" i="3"/>
  <c r="A111" i="3"/>
  <c r="A112" i="3"/>
  <c r="A113" i="3"/>
  <c r="A114" i="3"/>
  <c r="A115" i="3"/>
  <c r="J132" i="2"/>
  <c r="H134" i="15" l="1"/>
  <c r="Q134" i="15" s="1"/>
  <c r="Q122" i="15"/>
  <c r="S131" i="15"/>
  <c r="J143" i="15"/>
  <c r="S143" i="15" s="1"/>
  <c r="I139" i="15"/>
  <c r="R139" i="15" s="1"/>
  <c r="R127" i="15"/>
  <c r="H145" i="15"/>
  <c r="Q145" i="15" s="1"/>
  <c r="Q133" i="15"/>
  <c r="J140" i="15"/>
  <c r="S140" i="15" s="1"/>
  <c r="S128" i="15"/>
  <c r="I138" i="15"/>
  <c r="R138" i="15" s="1"/>
  <c r="R126" i="15"/>
  <c r="Q127" i="15"/>
  <c r="H139" i="15"/>
  <c r="Q139" i="15" s="1"/>
  <c r="G136" i="15"/>
  <c r="P136" i="15" s="1"/>
  <c r="P124" i="15"/>
  <c r="S125" i="15"/>
  <c r="J137" i="15"/>
  <c r="S137" i="15" s="1"/>
  <c r="H143" i="15"/>
  <c r="Q143" i="15" s="1"/>
  <c r="Q131" i="15"/>
  <c r="S122" i="15"/>
  <c r="J134" i="15"/>
  <c r="S134" i="15" s="1"/>
  <c r="H137" i="15"/>
  <c r="Q137" i="15" s="1"/>
  <c r="Q125" i="15"/>
  <c r="H142" i="15"/>
  <c r="Q142" i="15" s="1"/>
  <c r="Q130" i="15"/>
  <c r="S133" i="15"/>
  <c r="J145" i="15"/>
  <c r="S145" i="15" s="1"/>
  <c r="J136" i="15"/>
  <c r="S136" i="15" s="1"/>
  <c r="S124" i="15"/>
  <c r="H138" i="15"/>
  <c r="Q138" i="15" s="1"/>
  <c r="Q126" i="15"/>
  <c r="H144" i="15"/>
  <c r="Q144" i="15" s="1"/>
  <c r="Q132" i="15"/>
  <c r="I137" i="15"/>
  <c r="R137" i="15" s="1"/>
  <c r="R125" i="15"/>
  <c r="I140" i="15"/>
  <c r="R140" i="15" s="1"/>
  <c r="R128" i="15"/>
  <c r="I134" i="15"/>
  <c r="R134" i="15" s="1"/>
  <c r="R122" i="15"/>
  <c r="I136" i="15"/>
  <c r="R136" i="15" s="1"/>
  <c r="R124" i="15"/>
  <c r="I142" i="15"/>
  <c r="R142" i="15" s="1"/>
  <c r="R130" i="15"/>
  <c r="J142" i="15"/>
  <c r="S142" i="15" s="1"/>
  <c r="S130" i="15"/>
  <c r="J139" i="15"/>
  <c r="S139" i="15" s="1"/>
  <c r="S127" i="15"/>
  <c r="J141" i="15"/>
  <c r="S141" i="15" s="1"/>
  <c r="S129" i="15"/>
  <c r="G144" i="15"/>
  <c r="P144" i="15" s="1"/>
  <c r="P132" i="15"/>
  <c r="J138" i="15"/>
  <c r="S138" i="15" s="1"/>
  <c r="S126" i="15"/>
  <c r="I145" i="15"/>
  <c r="R145" i="15" s="1"/>
  <c r="R133" i="15"/>
  <c r="J144" i="15"/>
  <c r="S144" i="15" s="1"/>
  <c r="S132" i="15"/>
  <c r="G134" i="15"/>
  <c r="P134" i="15" s="1"/>
  <c r="P122" i="15"/>
  <c r="H141" i="15"/>
  <c r="Q141" i="15" s="1"/>
  <c r="Q129" i="15"/>
  <c r="H136" i="15"/>
  <c r="Q136" i="15" s="1"/>
  <c r="Q124" i="15"/>
  <c r="I143" i="15"/>
  <c r="R143" i="15" s="1"/>
  <c r="R131" i="15"/>
  <c r="I141" i="15"/>
  <c r="R141" i="15" s="1"/>
  <c r="R129" i="15"/>
  <c r="I144" i="15"/>
  <c r="R144" i="15" s="1"/>
  <c r="R132" i="15"/>
  <c r="H140" i="15"/>
  <c r="Q140" i="15" s="1"/>
  <c r="Q128" i="15"/>
  <c r="J135" i="15"/>
  <c r="S135" i="15" s="1"/>
  <c r="S123" i="15"/>
  <c r="H135" i="15"/>
  <c r="Q135" i="15" s="1"/>
  <c r="Q123" i="15"/>
  <c r="I135" i="15"/>
  <c r="R135" i="15" s="1"/>
  <c r="R123" i="15"/>
  <c r="A113" i="16"/>
  <c r="B113" i="16" s="1"/>
  <c r="A113" i="15"/>
  <c r="B113" i="15" s="1"/>
  <c r="A89" i="25"/>
  <c r="B89" i="25" s="1"/>
  <c r="A112" i="16"/>
  <c r="B112" i="16" s="1"/>
  <c r="A112" i="15"/>
  <c r="B112" i="15" s="1"/>
  <c r="A88" i="25"/>
  <c r="B88" i="25" s="1"/>
  <c r="A115" i="16"/>
  <c r="B115" i="16" s="1"/>
  <c r="A115" i="15"/>
  <c r="B115" i="15" s="1"/>
  <c r="A91" i="25"/>
  <c r="B91" i="25" s="1"/>
  <c r="A111" i="16"/>
  <c r="B111" i="16" s="1"/>
  <c r="A111" i="15"/>
  <c r="B111" i="15" s="1"/>
  <c r="A87" i="25"/>
  <c r="B87" i="25" s="1"/>
  <c r="A114" i="16"/>
  <c r="B114" i="16" s="1"/>
  <c r="A114" i="15"/>
  <c r="B114" i="15" s="1"/>
  <c r="A90" i="25"/>
  <c r="B90" i="25" s="1"/>
  <c r="A110" i="16"/>
  <c r="B110" i="16" s="1"/>
  <c r="A86" i="25"/>
  <c r="B86" i="25" s="1"/>
  <c r="A110" i="15"/>
  <c r="B110" i="15" s="1"/>
  <c r="N87" i="24"/>
  <c r="AZ13" i="20"/>
  <c r="BL11" i="20"/>
  <c r="AT14" i="20"/>
  <c r="BF14" i="20" s="1"/>
  <c r="B113" i="3"/>
  <c r="B115" i="3"/>
  <c r="B114" i="3"/>
  <c r="B110" i="3"/>
  <c r="B112" i="3"/>
  <c r="B111" i="3"/>
  <c r="A113" i="11"/>
  <c r="B113" i="11" s="1"/>
  <c r="A113" i="7"/>
  <c r="B113" i="7" s="1"/>
  <c r="A113" i="9"/>
  <c r="B113" i="9" s="1"/>
  <c r="A112" i="7"/>
  <c r="B112" i="7" s="1"/>
  <c r="A112" i="9"/>
  <c r="B112" i="9" s="1"/>
  <c r="A112" i="11"/>
  <c r="B112" i="11" s="1"/>
  <c r="A115" i="7"/>
  <c r="B115" i="7" s="1"/>
  <c r="A115" i="9"/>
  <c r="B115" i="9" s="1"/>
  <c r="A115" i="11"/>
  <c r="B115" i="11" s="1"/>
  <c r="A111" i="7"/>
  <c r="B111" i="7" s="1"/>
  <c r="A111" i="9"/>
  <c r="B111" i="9" s="1"/>
  <c r="A111" i="11"/>
  <c r="B111" i="11" s="1"/>
  <c r="A114" i="11"/>
  <c r="B114" i="11" s="1"/>
  <c r="A114" i="7"/>
  <c r="B114" i="7" s="1"/>
  <c r="A114" i="9"/>
  <c r="B114" i="9" s="1"/>
  <c r="A110" i="9"/>
  <c r="B110" i="9" s="1"/>
  <c r="A110" i="11"/>
  <c r="B110" i="11" s="1"/>
  <c r="A110" i="7"/>
  <c r="B110" i="7" s="1"/>
  <c r="U84" i="3"/>
  <c r="U85" i="3"/>
  <c r="H76" i="2"/>
  <c r="S28" i="3" s="1"/>
  <c r="BL12" i="20" l="1"/>
  <c r="AZ14" i="20"/>
  <c r="I52" i="2"/>
  <c r="I46" i="2"/>
  <c r="I50" i="2"/>
  <c r="I101" i="3"/>
  <c r="I102" i="3"/>
  <c r="I106" i="3"/>
  <c r="R108" i="3"/>
  <c r="A107" i="3"/>
  <c r="C146" i="2"/>
  <c r="F98" i="3" s="1"/>
  <c r="D146" i="2"/>
  <c r="I98" i="3" s="1"/>
  <c r="E146" i="2"/>
  <c r="L98" i="3" s="1"/>
  <c r="F146" i="2"/>
  <c r="O98" i="3" s="1"/>
  <c r="G146" i="2"/>
  <c r="R98" i="3" s="1"/>
  <c r="H146" i="2"/>
  <c r="S98" i="3" s="1"/>
  <c r="I146" i="2"/>
  <c r="T98" i="3" s="1"/>
  <c r="J146" i="2"/>
  <c r="U98" i="3" s="1"/>
  <c r="C147" i="2"/>
  <c r="F99" i="3" s="1"/>
  <c r="D147" i="2"/>
  <c r="I99" i="3" s="1"/>
  <c r="E147" i="2"/>
  <c r="L99" i="3" s="1"/>
  <c r="F147" i="2"/>
  <c r="O99" i="3" s="1"/>
  <c r="G147" i="2"/>
  <c r="R99" i="3" s="1"/>
  <c r="H147" i="2"/>
  <c r="S99" i="3" s="1"/>
  <c r="I147" i="2"/>
  <c r="T99" i="3" s="1"/>
  <c r="J147" i="2"/>
  <c r="U99" i="3" s="1"/>
  <c r="C148" i="2"/>
  <c r="F100" i="3" s="1"/>
  <c r="I100" i="3"/>
  <c r="E148" i="2"/>
  <c r="L100" i="3" s="1"/>
  <c r="F148" i="2"/>
  <c r="O100" i="3" s="1"/>
  <c r="G148" i="2"/>
  <c r="R100" i="3" s="1"/>
  <c r="H148" i="2"/>
  <c r="S100" i="3" s="1"/>
  <c r="I148" i="2"/>
  <c r="T100" i="3" s="1"/>
  <c r="J148" i="2"/>
  <c r="U100" i="3" s="1"/>
  <c r="C149" i="2"/>
  <c r="F101" i="3" s="1"/>
  <c r="E149" i="2"/>
  <c r="L101" i="3" s="1"/>
  <c r="F149" i="2"/>
  <c r="O101" i="3" s="1"/>
  <c r="G149" i="2"/>
  <c r="R101" i="3" s="1"/>
  <c r="H149" i="2"/>
  <c r="S101" i="3" s="1"/>
  <c r="I149" i="2"/>
  <c r="T101" i="3" s="1"/>
  <c r="J149" i="2"/>
  <c r="U101" i="3" s="1"/>
  <c r="C150" i="2"/>
  <c r="F102" i="3" s="1"/>
  <c r="E150" i="2"/>
  <c r="L102" i="3" s="1"/>
  <c r="F150" i="2"/>
  <c r="O102" i="3" s="1"/>
  <c r="G150" i="2"/>
  <c r="R102" i="3" s="1"/>
  <c r="H150" i="2"/>
  <c r="S102" i="3" s="1"/>
  <c r="I150" i="2"/>
  <c r="T102" i="3" s="1"/>
  <c r="J150" i="2"/>
  <c r="U102" i="3" s="1"/>
  <c r="C151" i="2"/>
  <c r="F103" i="3" s="1"/>
  <c r="I103" i="3"/>
  <c r="E151" i="2"/>
  <c r="L103" i="3" s="1"/>
  <c r="F151" i="2"/>
  <c r="O103" i="3" s="1"/>
  <c r="G151" i="2"/>
  <c r="R103" i="3" s="1"/>
  <c r="H151" i="2"/>
  <c r="S103" i="3" s="1"/>
  <c r="I151" i="2"/>
  <c r="T103" i="3" s="1"/>
  <c r="J151" i="2"/>
  <c r="U103" i="3" s="1"/>
  <c r="C152" i="2"/>
  <c r="F104" i="3" s="1"/>
  <c r="I104" i="3"/>
  <c r="E152" i="2"/>
  <c r="L104" i="3" s="1"/>
  <c r="F152" i="2"/>
  <c r="O104" i="3" s="1"/>
  <c r="G152" i="2"/>
  <c r="R104" i="3" s="1"/>
  <c r="H152" i="2"/>
  <c r="S104" i="3" s="1"/>
  <c r="I152" i="2"/>
  <c r="T104" i="3" s="1"/>
  <c r="J152" i="2"/>
  <c r="U104" i="3" s="1"/>
  <c r="C153" i="2"/>
  <c r="F105" i="3" s="1"/>
  <c r="I105" i="3"/>
  <c r="E153" i="2"/>
  <c r="L105" i="3" s="1"/>
  <c r="F153" i="2"/>
  <c r="O105" i="3" s="1"/>
  <c r="G153" i="2"/>
  <c r="R105" i="3" s="1"/>
  <c r="H153" i="2"/>
  <c r="S105" i="3" s="1"/>
  <c r="I153" i="2"/>
  <c r="T105" i="3" s="1"/>
  <c r="J153" i="2"/>
  <c r="U105" i="3" s="1"/>
  <c r="C154" i="2"/>
  <c r="F106" i="3" s="1"/>
  <c r="E154" i="2"/>
  <c r="L106" i="3" s="1"/>
  <c r="F154" i="2"/>
  <c r="O106" i="3" s="1"/>
  <c r="G154" i="2"/>
  <c r="R106" i="3" s="1"/>
  <c r="H154" i="2"/>
  <c r="S106" i="3" s="1"/>
  <c r="I154" i="2"/>
  <c r="T106" i="3" s="1"/>
  <c r="J154" i="2"/>
  <c r="U106" i="3" s="1"/>
  <c r="C155" i="2"/>
  <c r="F107" i="3" s="1"/>
  <c r="I107" i="3"/>
  <c r="E155" i="2"/>
  <c r="L107" i="3" s="1"/>
  <c r="F155" i="2"/>
  <c r="O107" i="3" s="1"/>
  <c r="G155" i="2"/>
  <c r="R107" i="3" s="1"/>
  <c r="H155" i="2"/>
  <c r="S107" i="3" s="1"/>
  <c r="I155" i="2"/>
  <c r="T107" i="3" s="1"/>
  <c r="J155" i="2"/>
  <c r="U107" i="3" s="1"/>
  <c r="C156" i="2"/>
  <c r="F108" i="3" s="1"/>
  <c r="I108" i="3"/>
  <c r="E156" i="2"/>
  <c r="L108" i="3" s="1"/>
  <c r="F156" i="2"/>
  <c r="O108" i="3" s="1"/>
  <c r="H156" i="2"/>
  <c r="S108" i="3" s="1"/>
  <c r="I156" i="2"/>
  <c r="T108" i="3" s="1"/>
  <c r="J156" i="2"/>
  <c r="U108" i="3" s="1"/>
  <c r="C157" i="2"/>
  <c r="F109" i="3" s="1"/>
  <c r="F157" i="2"/>
  <c r="O109" i="3" s="1"/>
  <c r="J157" i="2"/>
  <c r="U109" i="3" s="1"/>
  <c r="B146" i="2"/>
  <c r="C98" i="3" s="1"/>
  <c r="B147" i="2"/>
  <c r="C99" i="3" s="1"/>
  <c r="B148" i="2"/>
  <c r="C100" i="3" s="1"/>
  <c r="B149" i="2"/>
  <c r="C101" i="3" s="1"/>
  <c r="B150" i="2"/>
  <c r="C102" i="3" s="1"/>
  <c r="B151" i="2"/>
  <c r="C103" i="3" s="1"/>
  <c r="B152" i="2"/>
  <c r="C104" i="3" s="1"/>
  <c r="B153" i="2"/>
  <c r="C105" i="3" s="1"/>
  <c r="B154" i="2"/>
  <c r="C106" i="3" s="1"/>
  <c r="B155" i="2"/>
  <c r="C107" i="3" s="1"/>
  <c r="B156" i="2"/>
  <c r="C108" i="3" s="1"/>
  <c r="B157" i="2"/>
  <c r="C109" i="3" s="1"/>
  <c r="A146" i="2"/>
  <c r="A98" i="3" s="1"/>
  <c r="A147" i="2"/>
  <c r="A99" i="3" s="1"/>
  <c r="A148" i="2"/>
  <c r="A100" i="3" s="1"/>
  <c r="A149" i="2"/>
  <c r="A101" i="3" s="1"/>
  <c r="A150" i="2"/>
  <c r="A102" i="3" s="1"/>
  <c r="A151" i="2"/>
  <c r="A103" i="3" s="1"/>
  <c r="A152" i="2"/>
  <c r="A104" i="3" s="1"/>
  <c r="A153" i="2"/>
  <c r="A105" i="3" s="1"/>
  <c r="A154" i="2"/>
  <c r="A106" i="3" s="1"/>
  <c r="A156" i="2"/>
  <c r="A108" i="3" s="1"/>
  <c r="A157" i="2"/>
  <c r="A109" i="3" s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53" i="1"/>
  <c r="A108" i="16" l="1"/>
  <c r="B108" i="16" s="1"/>
  <c r="A108" i="15"/>
  <c r="B108" i="15" s="1"/>
  <c r="A84" i="25"/>
  <c r="B84" i="25" s="1"/>
  <c r="A99" i="16"/>
  <c r="B99" i="16" s="1"/>
  <c r="A99" i="15"/>
  <c r="B99" i="15" s="1"/>
  <c r="A75" i="25"/>
  <c r="B75" i="25" s="1"/>
  <c r="A106" i="16"/>
  <c r="B106" i="16" s="1"/>
  <c r="A82" i="25"/>
  <c r="B82" i="25" s="1"/>
  <c r="A106" i="15"/>
  <c r="B106" i="15" s="1"/>
  <c r="A98" i="16"/>
  <c r="B98" i="16" s="1"/>
  <c r="A98" i="15"/>
  <c r="B98" i="15" s="1"/>
  <c r="A74" i="25"/>
  <c r="B74" i="25" s="1"/>
  <c r="A105" i="16"/>
  <c r="B105" i="16" s="1"/>
  <c r="A105" i="15"/>
  <c r="B105" i="15" s="1"/>
  <c r="A81" i="25"/>
  <c r="B81" i="25" s="1"/>
  <c r="A103" i="16"/>
  <c r="B103" i="16" s="1"/>
  <c r="A103" i="15"/>
  <c r="B103" i="15" s="1"/>
  <c r="A79" i="25"/>
  <c r="B79" i="25" s="1"/>
  <c r="A102" i="16"/>
  <c r="B102" i="16" s="1"/>
  <c r="A102" i="15"/>
  <c r="B102" i="15" s="1"/>
  <c r="A78" i="25"/>
  <c r="B78" i="25" s="1"/>
  <c r="A107" i="16"/>
  <c r="B107" i="16" s="1"/>
  <c r="A107" i="15"/>
  <c r="B107" i="15" s="1"/>
  <c r="A83" i="25"/>
  <c r="B83" i="25" s="1"/>
  <c r="A101" i="16"/>
  <c r="B101" i="16" s="1"/>
  <c r="A77" i="25"/>
  <c r="B77" i="25" s="1"/>
  <c r="A101" i="15"/>
  <c r="B101" i="15" s="1"/>
  <c r="A109" i="16"/>
  <c r="B109" i="16" s="1"/>
  <c r="A109" i="15"/>
  <c r="B109" i="15" s="1"/>
  <c r="A85" i="25"/>
  <c r="B85" i="25" s="1"/>
  <c r="A104" i="16"/>
  <c r="B104" i="16" s="1"/>
  <c r="A104" i="15"/>
  <c r="B104" i="15" s="1"/>
  <c r="A80" i="25"/>
  <c r="B80" i="25" s="1"/>
  <c r="A100" i="16"/>
  <c r="B100" i="16" s="1"/>
  <c r="A100" i="15"/>
  <c r="B100" i="15" s="1"/>
  <c r="A76" i="25"/>
  <c r="B76" i="25" s="1"/>
  <c r="BL13" i="20"/>
  <c r="B108" i="3"/>
  <c r="B98" i="3"/>
  <c r="B107" i="3"/>
  <c r="B103" i="3"/>
  <c r="B102" i="3"/>
  <c r="B105" i="3"/>
  <c r="B101" i="3"/>
  <c r="B99" i="3"/>
  <c r="B106" i="3"/>
  <c r="B109" i="3"/>
  <c r="B104" i="3"/>
  <c r="B100" i="3"/>
  <c r="A98" i="7"/>
  <c r="B98" i="7" s="1"/>
  <c r="A98" i="11"/>
  <c r="B98" i="11" s="1"/>
  <c r="A98" i="9"/>
  <c r="B98" i="9" s="1"/>
  <c r="A105" i="11"/>
  <c r="B105" i="11" s="1"/>
  <c r="A105" i="7"/>
  <c r="B105" i="7" s="1"/>
  <c r="A105" i="9"/>
  <c r="B105" i="9" s="1"/>
  <c r="A101" i="7"/>
  <c r="B101" i="7" s="1"/>
  <c r="A101" i="9"/>
  <c r="B101" i="9" s="1"/>
  <c r="A101" i="11"/>
  <c r="B101" i="11" s="1"/>
  <c r="A106" i="11"/>
  <c r="B106" i="11" s="1"/>
  <c r="A106" i="9"/>
  <c r="B106" i="9" s="1"/>
  <c r="A106" i="7"/>
  <c r="B106" i="7" s="1"/>
  <c r="A107" i="7"/>
  <c r="B107" i="7" s="1"/>
  <c r="A107" i="9"/>
  <c r="B107" i="9" s="1"/>
  <c r="A107" i="11"/>
  <c r="B107" i="11" s="1"/>
  <c r="A104" i="7"/>
  <c r="B104" i="7" s="1"/>
  <c r="A104" i="9"/>
  <c r="B104" i="9" s="1"/>
  <c r="A104" i="11"/>
  <c r="B104" i="11" s="1"/>
  <c r="A102" i="7"/>
  <c r="B102" i="7" s="1"/>
  <c r="A102" i="9"/>
  <c r="B102" i="9" s="1"/>
  <c r="A102" i="11"/>
  <c r="B102" i="11" s="1"/>
  <c r="A109" i="11"/>
  <c r="B109" i="11" s="1"/>
  <c r="A109" i="7"/>
  <c r="B109" i="7" s="1"/>
  <c r="A109" i="9"/>
  <c r="B109" i="9" s="1"/>
  <c r="A100" i="7"/>
  <c r="B100" i="7" s="1"/>
  <c r="A100" i="9"/>
  <c r="B100" i="9" s="1"/>
  <c r="A100" i="11"/>
  <c r="B100" i="11" s="1"/>
  <c r="A108" i="7"/>
  <c r="B108" i="7" s="1"/>
  <c r="A108" i="9"/>
  <c r="B108" i="9" s="1"/>
  <c r="A108" i="11"/>
  <c r="B108" i="11" s="1"/>
  <c r="A103" i="7"/>
  <c r="B103" i="7" s="1"/>
  <c r="A103" i="9"/>
  <c r="B103" i="9" s="1"/>
  <c r="A103" i="11"/>
  <c r="B103" i="11" s="1"/>
  <c r="A99" i="7"/>
  <c r="B99" i="7" s="1"/>
  <c r="A99" i="9"/>
  <c r="B99" i="9" s="1"/>
  <c r="A99" i="11"/>
  <c r="B99" i="11" s="1"/>
  <c r="AT4" i="3"/>
  <c r="H4" i="9" l="1"/>
  <c r="T4" i="9" s="1"/>
  <c r="F4" i="15"/>
  <c r="O4" i="15" s="1"/>
  <c r="H4" i="16"/>
  <c r="T4" i="16" s="1"/>
  <c r="F4" i="11"/>
  <c r="M4" i="11" s="1"/>
  <c r="P4" i="11" s="1"/>
  <c r="F4" i="7"/>
  <c r="O4" i="7" s="1"/>
  <c r="BL14" i="20"/>
  <c r="AT5" i="3"/>
  <c r="T1" i="9"/>
  <c r="F1" i="9"/>
  <c r="R1" i="9" s="1"/>
  <c r="E1" i="9"/>
  <c r="Q1" i="9" s="1"/>
  <c r="A1" i="9"/>
  <c r="G96" i="7"/>
  <c r="P96" i="7" s="1"/>
  <c r="G95" i="7"/>
  <c r="P95" i="7" s="1"/>
  <c r="G94" i="7"/>
  <c r="P94" i="7" s="1"/>
  <c r="G90" i="7"/>
  <c r="P90" i="7" s="1"/>
  <c r="G89" i="7"/>
  <c r="P89" i="7" s="1"/>
  <c r="G88" i="7"/>
  <c r="P88" i="7" s="1"/>
  <c r="G1" i="7"/>
  <c r="E1" i="7"/>
  <c r="D1" i="7"/>
  <c r="J145" i="2"/>
  <c r="U97" i="3" s="1"/>
  <c r="I145" i="2"/>
  <c r="T97" i="3" s="1"/>
  <c r="H145" i="2"/>
  <c r="S97" i="3" s="1"/>
  <c r="G145" i="2"/>
  <c r="R97" i="3" s="1"/>
  <c r="F145" i="2"/>
  <c r="O97" i="3" s="1"/>
  <c r="E145" i="2"/>
  <c r="L97" i="3" s="1"/>
  <c r="D145" i="2"/>
  <c r="I97" i="3" s="1"/>
  <c r="C145" i="2"/>
  <c r="F97" i="3" s="1"/>
  <c r="B145" i="2"/>
  <c r="C97" i="3" s="1"/>
  <c r="K144" i="2"/>
  <c r="J144" i="2"/>
  <c r="U96" i="3" s="1"/>
  <c r="I144" i="2"/>
  <c r="T96" i="3" s="1"/>
  <c r="H144" i="2"/>
  <c r="S96" i="3" s="1"/>
  <c r="G144" i="2"/>
  <c r="R96" i="3" s="1"/>
  <c r="F144" i="2"/>
  <c r="O96" i="3" s="1"/>
  <c r="E144" i="2"/>
  <c r="L96" i="3" s="1"/>
  <c r="D144" i="2"/>
  <c r="I96" i="3" s="1"/>
  <c r="C144" i="2"/>
  <c r="F96" i="3" s="1"/>
  <c r="B144" i="2"/>
  <c r="C96" i="3" s="1"/>
  <c r="A145" i="2"/>
  <c r="H5" i="9" l="1"/>
  <c r="T5" i="9" s="1"/>
  <c r="H5" i="16"/>
  <c r="T5" i="16" s="1"/>
  <c r="F5" i="15"/>
  <c r="O5" i="15" s="1"/>
  <c r="F5" i="11"/>
  <c r="M5" i="11" s="1"/>
  <c r="P5" i="11" s="1"/>
  <c r="F5" i="7"/>
  <c r="O5" i="7" s="1"/>
  <c r="AT6" i="3"/>
  <c r="H6" i="9" l="1"/>
  <c r="T6" i="9" s="1"/>
  <c r="F6" i="15"/>
  <c r="O6" i="15" s="1"/>
  <c r="H6" i="16"/>
  <c r="T6" i="16" s="1"/>
  <c r="F6" i="11"/>
  <c r="M6" i="11" s="1"/>
  <c r="P6" i="11" s="1"/>
  <c r="F6" i="7"/>
  <c r="O6" i="7" s="1"/>
  <c r="AT7" i="3"/>
  <c r="A97" i="3"/>
  <c r="H7" i="9" l="1"/>
  <c r="T7" i="9" s="1"/>
  <c r="H7" i="16"/>
  <c r="T7" i="16" s="1"/>
  <c r="F7" i="15"/>
  <c r="O7" i="15" s="1"/>
  <c r="F7" i="11"/>
  <c r="M7" i="11" s="1"/>
  <c r="P7" i="11" s="1"/>
  <c r="F7" i="7"/>
  <c r="O7" i="7" s="1"/>
  <c r="A97" i="16"/>
  <c r="B97" i="16" s="1"/>
  <c r="A97" i="15"/>
  <c r="B97" i="15" s="1"/>
  <c r="A73" i="25"/>
  <c r="B73" i="25" s="1"/>
  <c r="B97" i="3"/>
  <c r="AT8" i="3"/>
  <c r="G86" i="7"/>
  <c r="P86" i="7" s="1"/>
  <c r="E87" i="7"/>
  <c r="N87" i="7" s="1"/>
  <c r="F87" i="9"/>
  <c r="R87" i="9" s="1"/>
  <c r="E90" i="7"/>
  <c r="N90" i="7" s="1"/>
  <c r="F90" i="9"/>
  <c r="R90" i="9" s="1"/>
  <c r="E95" i="7"/>
  <c r="N95" i="7" s="1"/>
  <c r="F95" i="9"/>
  <c r="R95" i="9" s="1"/>
  <c r="D96" i="7"/>
  <c r="M96" i="7" s="1"/>
  <c r="E96" i="9"/>
  <c r="Q96" i="9" s="1"/>
  <c r="D88" i="7"/>
  <c r="M88" i="7" s="1"/>
  <c r="E88" i="9"/>
  <c r="Q88" i="9" s="1"/>
  <c r="E91" i="7"/>
  <c r="N91" i="7" s="1"/>
  <c r="F91" i="9"/>
  <c r="R91" i="9" s="1"/>
  <c r="A97" i="7"/>
  <c r="B97" i="7" s="1"/>
  <c r="A97" i="11"/>
  <c r="B97" i="11" s="1"/>
  <c r="A97" i="9"/>
  <c r="B97" i="9" s="1"/>
  <c r="G97" i="7"/>
  <c r="P97" i="7" s="1"/>
  <c r="E86" i="7"/>
  <c r="N86" i="7" s="1"/>
  <c r="F86" i="9"/>
  <c r="R86" i="9" s="1"/>
  <c r="G87" i="7"/>
  <c r="P87" i="7" s="1"/>
  <c r="E88" i="7"/>
  <c r="N88" i="7" s="1"/>
  <c r="F88" i="9"/>
  <c r="R88" i="9" s="1"/>
  <c r="D89" i="7"/>
  <c r="M89" i="7" s="1"/>
  <c r="E89" i="9"/>
  <c r="Q89" i="9" s="1"/>
  <c r="D92" i="7"/>
  <c r="M92" i="7" s="1"/>
  <c r="E92" i="9"/>
  <c r="Q92" i="9" s="1"/>
  <c r="D94" i="7"/>
  <c r="M94" i="7" s="1"/>
  <c r="E94" i="9"/>
  <c r="Q94" i="9" s="1"/>
  <c r="D97" i="7"/>
  <c r="M97" i="7" s="1"/>
  <c r="E97" i="9"/>
  <c r="Q97" i="9" s="1"/>
  <c r="D91" i="7"/>
  <c r="M91" i="7" s="1"/>
  <c r="E91" i="9"/>
  <c r="Q91" i="9" s="1"/>
  <c r="D93" i="7"/>
  <c r="M93" i="7" s="1"/>
  <c r="E93" i="9"/>
  <c r="Q93" i="9" s="1"/>
  <c r="D86" i="7"/>
  <c r="M86" i="7" s="1"/>
  <c r="E86" i="9"/>
  <c r="Q86" i="9" s="1"/>
  <c r="G92" i="7"/>
  <c r="P92" i="7" s="1"/>
  <c r="E93" i="7"/>
  <c r="N93" i="7" s="1"/>
  <c r="F93" i="9"/>
  <c r="R93" i="9" s="1"/>
  <c r="E96" i="7"/>
  <c r="N96" i="7" s="1"/>
  <c r="F96" i="9"/>
  <c r="R96" i="9" s="1"/>
  <c r="D87" i="7"/>
  <c r="M87" i="7" s="1"/>
  <c r="E87" i="9"/>
  <c r="Q87" i="9" s="1"/>
  <c r="E89" i="7"/>
  <c r="N89" i="7" s="1"/>
  <c r="F89" i="9"/>
  <c r="R89" i="9" s="1"/>
  <c r="D90" i="7"/>
  <c r="M90" i="7" s="1"/>
  <c r="E90" i="9"/>
  <c r="Q90" i="9" s="1"/>
  <c r="G91" i="7"/>
  <c r="P91" i="7" s="1"/>
  <c r="E92" i="7"/>
  <c r="N92" i="7" s="1"/>
  <c r="F92" i="9"/>
  <c r="R92" i="9" s="1"/>
  <c r="G93" i="7"/>
  <c r="P93" i="7" s="1"/>
  <c r="E94" i="7"/>
  <c r="N94" i="7" s="1"/>
  <c r="F94" i="9"/>
  <c r="R94" i="9" s="1"/>
  <c r="D95" i="7"/>
  <c r="M95" i="7" s="1"/>
  <c r="E95" i="9"/>
  <c r="Q95" i="9" s="1"/>
  <c r="E97" i="7"/>
  <c r="N97" i="7" s="1"/>
  <c r="F97" i="9"/>
  <c r="R97" i="9" s="1"/>
  <c r="T2" i="16"/>
  <c r="S2" i="16"/>
  <c r="T1" i="16"/>
  <c r="S1" i="16"/>
  <c r="R1" i="16"/>
  <c r="Q1" i="16"/>
  <c r="P1" i="16"/>
  <c r="R2" i="15"/>
  <c r="Q2" i="15"/>
  <c r="P2" i="15"/>
  <c r="O2" i="15"/>
  <c r="R1" i="15"/>
  <c r="Q1" i="15"/>
  <c r="P1" i="15"/>
  <c r="O1" i="15"/>
  <c r="N1" i="15"/>
  <c r="M1" i="15"/>
  <c r="Q1" i="7"/>
  <c r="P1" i="7"/>
  <c r="M1" i="7"/>
  <c r="O2" i="16"/>
  <c r="L2" i="15"/>
  <c r="L2" i="7"/>
  <c r="N1" i="7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8" i="4"/>
  <c r="P48" i="4"/>
  <c r="O48" i="4"/>
  <c r="N48" i="4"/>
  <c r="M48" i="4"/>
  <c r="L48" i="4"/>
  <c r="K48" i="4"/>
  <c r="J48" i="4"/>
  <c r="I48" i="4"/>
  <c r="H48" i="4"/>
  <c r="G48" i="4"/>
  <c r="F48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Q44" i="4"/>
  <c r="P44" i="4"/>
  <c r="O44" i="4"/>
  <c r="N44" i="4"/>
  <c r="M44" i="4"/>
  <c r="L44" i="4"/>
  <c r="K44" i="4"/>
  <c r="J44" i="4"/>
  <c r="I44" i="4"/>
  <c r="H44" i="4"/>
  <c r="G44" i="4"/>
  <c r="F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1" i="4"/>
  <c r="P41" i="4"/>
  <c r="O41" i="4"/>
  <c r="N41" i="4"/>
  <c r="M41" i="4"/>
  <c r="L41" i="4"/>
  <c r="K41" i="4"/>
  <c r="J41" i="4"/>
  <c r="I41" i="4"/>
  <c r="H41" i="4"/>
  <c r="G41" i="4"/>
  <c r="F41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Q34" i="4"/>
  <c r="P34" i="4"/>
  <c r="O34" i="4"/>
  <c r="N34" i="4"/>
  <c r="M34" i="4"/>
  <c r="L34" i="4"/>
  <c r="K34" i="4"/>
  <c r="J34" i="4"/>
  <c r="I34" i="4"/>
  <c r="H34" i="4"/>
  <c r="G34" i="4"/>
  <c r="F34" i="4"/>
  <c r="Q33" i="4"/>
  <c r="P33" i="4"/>
  <c r="O33" i="4"/>
  <c r="N33" i="4"/>
  <c r="M33" i="4"/>
  <c r="L33" i="4"/>
  <c r="K33" i="4"/>
  <c r="J33" i="4"/>
  <c r="I33" i="4"/>
  <c r="H33" i="4"/>
  <c r="G33" i="4"/>
  <c r="F3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9" i="4"/>
  <c r="P19" i="4"/>
  <c r="O19" i="4"/>
  <c r="N19" i="4"/>
  <c r="M19" i="4"/>
  <c r="L19" i="4"/>
  <c r="K19" i="4"/>
  <c r="J19" i="4"/>
  <c r="I19" i="4"/>
  <c r="H19" i="4"/>
  <c r="G19" i="4"/>
  <c r="F19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Q9" i="4"/>
  <c r="P9" i="4"/>
  <c r="O9" i="4"/>
  <c r="N9" i="4"/>
  <c r="M9" i="4"/>
  <c r="L9" i="4"/>
  <c r="K9" i="4"/>
  <c r="J9" i="4"/>
  <c r="I9" i="4"/>
  <c r="H9" i="4"/>
  <c r="G9" i="4"/>
  <c r="F9" i="4"/>
  <c r="Q8" i="4"/>
  <c r="P8" i="4"/>
  <c r="O8" i="4"/>
  <c r="N8" i="4"/>
  <c r="M8" i="4"/>
  <c r="L8" i="4"/>
  <c r="K8" i="4"/>
  <c r="J8" i="4"/>
  <c r="I8" i="4"/>
  <c r="H8" i="4"/>
  <c r="G8" i="4"/>
  <c r="F8" i="4"/>
  <c r="Q7" i="4"/>
  <c r="P7" i="4"/>
  <c r="O7" i="4"/>
  <c r="N7" i="4"/>
  <c r="M7" i="4"/>
  <c r="L7" i="4"/>
  <c r="K7" i="4"/>
  <c r="J7" i="4"/>
  <c r="I7" i="4"/>
  <c r="H7" i="4"/>
  <c r="G7" i="4"/>
  <c r="F7" i="4"/>
  <c r="Q6" i="4"/>
  <c r="P6" i="4"/>
  <c r="O6" i="4"/>
  <c r="N6" i="4"/>
  <c r="M6" i="4"/>
  <c r="L6" i="4"/>
  <c r="K6" i="4"/>
  <c r="J6" i="4"/>
  <c r="I6" i="4"/>
  <c r="H6" i="4"/>
  <c r="G6" i="4"/>
  <c r="F6" i="4"/>
  <c r="Q5" i="4"/>
  <c r="P5" i="4"/>
  <c r="O5" i="4"/>
  <c r="N5" i="4"/>
  <c r="M5" i="4"/>
  <c r="L5" i="4"/>
  <c r="K5" i="4"/>
  <c r="J5" i="4"/>
  <c r="I5" i="4"/>
  <c r="H5" i="4"/>
  <c r="G5" i="4"/>
  <c r="F5" i="4"/>
  <c r="Q4" i="4"/>
  <c r="P4" i="4"/>
  <c r="O4" i="4"/>
  <c r="N4" i="4"/>
  <c r="M4" i="4"/>
  <c r="L4" i="4"/>
  <c r="K4" i="4"/>
  <c r="J4" i="4"/>
  <c r="I4" i="4"/>
  <c r="H4" i="4"/>
  <c r="G4" i="4"/>
  <c r="F4" i="4"/>
  <c r="Q3" i="4"/>
  <c r="P3" i="4"/>
  <c r="O3" i="4"/>
  <c r="N3" i="4"/>
  <c r="M3" i="4"/>
  <c r="L3" i="4"/>
  <c r="K3" i="4"/>
  <c r="J3" i="4"/>
  <c r="I3" i="4"/>
  <c r="H3" i="4"/>
  <c r="G3" i="4"/>
  <c r="F3" i="4"/>
  <c r="E3" i="4"/>
  <c r="Q2" i="4"/>
  <c r="P2" i="4"/>
  <c r="O2" i="4"/>
  <c r="N2" i="4"/>
  <c r="M2" i="4"/>
  <c r="L2" i="4"/>
  <c r="K2" i="4"/>
  <c r="J2" i="4"/>
  <c r="I2" i="4"/>
  <c r="H2" i="4"/>
  <c r="G2" i="4"/>
  <c r="F2" i="4"/>
  <c r="H8" i="9" l="1"/>
  <c r="T8" i="9" s="1"/>
  <c r="F8" i="15"/>
  <c r="O8" i="15" s="1"/>
  <c r="H8" i="16"/>
  <c r="T8" i="16" s="1"/>
  <c r="F8" i="11"/>
  <c r="M8" i="11" s="1"/>
  <c r="P8" i="11" s="1"/>
  <c r="F8" i="7"/>
  <c r="O8" i="7" s="1"/>
  <c r="AT9" i="3"/>
  <c r="I54" i="4"/>
  <c r="M69" i="4" s="1"/>
  <c r="G55" i="4"/>
  <c r="H67" i="4" s="1"/>
  <c r="H55" i="4"/>
  <c r="H68" i="4" s="1"/>
  <c r="P55" i="4"/>
  <c r="H76" i="4" s="1"/>
  <c r="Q55" i="4"/>
  <c r="H77" i="4" s="1"/>
  <c r="O24" i="4"/>
  <c r="G75" i="4" s="1"/>
  <c r="Q56" i="4"/>
  <c r="H56" i="4"/>
  <c r="K24" i="4"/>
  <c r="G71" i="4" s="1"/>
  <c r="M55" i="4"/>
  <c r="H73" i="4" s="1"/>
  <c r="G24" i="4"/>
  <c r="G67" i="4" s="1"/>
  <c r="L54" i="4"/>
  <c r="M72" i="4" s="1"/>
  <c r="L55" i="4"/>
  <c r="H72" i="4" s="1"/>
  <c r="J24" i="4"/>
  <c r="G70" i="4" s="1"/>
  <c r="J56" i="4"/>
  <c r="F55" i="4"/>
  <c r="H66" i="4" s="1"/>
  <c r="G56" i="4"/>
  <c r="M56" i="4"/>
  <c r="F56" i="4"/>
  <c r="K56" i="4"/>
  <c r="K55" i="4"/>
  <c r="H71" i="4" s="1"/>
  <c r="P54" i="4"/>
  <c r="M76" i="4" s="1"/>
  <c r="N55" i="4"/>
  <c r="H74" i="4" s="1"/>
  <c r="N24" i="4"/>
  <c r="G74" i="4" s="1"/>
  <c r="F24" i="4"/>
  <c r="G66" i="4" s="1"/>
  <c r="O55" i="4"/>
  <c r="H75" i="4" s="1"/>
  <c r="O56" i="4"/>
  <c r="N56" i="4"/>
  <c r="I55" i="4"/>
  <c r="H69" i="4" s="1"/>
  <c r="J55" i="4"/>
  <c r="H70" i="4" s="1"/>
  <c r="I25" i="4"/>
  <c r="M25" i="4"/>
  <c r="Q25" i="4"/>
  <c r="G25" i="4"/>
  <c r="K25" i="4"/>
  <c r="O25" i="4"/>
  <c r="P25" i="4"/>
  <c r="H24" i="4"/>
  <c r="G68" i="4" s="1"/>
  <c r="L24" i="4"/>
  <c r="G72" i="4" s="1"/>
  <c r="P24" i="4"/>
  <c r="G76" i="4" s="1"/>
  <c r="H25" i="4"/>
  <c r="L25" i="4"/>
  <c r="F25" i="4"/>
  <c r="J25" i="4"/>
  <c r="N25" i="4"/>
  <c r="I24" i="4"/>
  <c r="G69" i="4" s="1"/>
  <c r="M24" i="4"/>
  <c r="G73" i="4" s="1"/>
  <c r="Q24" i="4"/>
  <c r="G77" i="4" s="1"/>
  <c r="L53" i="4"/>
  <c r="H54" i="4"/>
  <c r="M68" i="4" s="1"/>
  <c r="L56" i="4"/>
  <c r="P56" i="4"/>
  <c r="M53" i="4"/>
  <c r="Q53" i="4"/>
  <c r="Q54" i="4"/>
  <c r="M77" i="4" s="1"/>
  <c r="I56" i="4"/>
  <c r="E4" i="4"/>
  <c r="G53" i="4"/>
  <c r="K53" i="4"/>
  <c r="O53" i="4"/>
  <c r="G54" i="4"/>
  <c r="M67" i="4" s="1"/>
  <c r="K54" i="4"/>
  <c r="M71" i="4" s="1"/>
  <c r="O54" i="4"/>
  <c r="M75" i="4" s="1"/>
  <c r="H53" i="4"/>
  <c r="P53" i="4"/>
  <c r="I53" i="4"/>
  <c r="M54" i="4"/>
  <c r="M73" i="4" s="1"/>
  <c r="F53" i="4"/>
  <c r="J53" i="4"/>
  <c r="N53" i="4"/>
  <c r="F54" i="4"/>
  <c r="M66" i="4" s="1"/>
  <c r="J54" i="4"/>
  <c r="M70" i="4" s="1"/>
  <c r="N54" i="4"/>
  <c r="M74" i="4" s="1"/>
  <c r="H9" i="9" l="1"/>
  <c r="T9" i="9" s="1"/>
  <c r="H9" i="16"/>
  <c r="T9" i="16" s="1"/>
  <c r="F9" i="15"/>
  <c r="O9" i="15" s="1"/>
  <c r="F9" i="11"/>
  <c r="M9" i="11" s="1"/>
  <c r="P9" i="11" s="1"/>
  <c r="F9" i="7"/>
  <c r="O9" i="7" s="1"/>
  <c r="D8" i="15"/>
  <c r="D20" i="15" s="1"/>
  <c r="D32" i="15" s="1"/>
  <c r="D44" i="15" s="1"/>
  <c r="D56" i="15" s="1"/>
  <c r="D68" i="15" s="1"/>
  <c r="D80" i="15" s="1"/>
  <c r="D92" i="15" s="1"/>
  <c r="D104" i="15" s="1"/>
  <c r="D116" i="15" s="1"/>
  <c r="D128" i="15" s="1"/>
  <c r="D140" i="15" s="1"/>
  <c r="E8" i="16"/>
  <c r="E10" i="15"/>
  <c r="N10" i="15" s="1"/>
  <c r="F10" i="16"/>
  <c r="R10" i="16" s="1"/>
  <c r="E9" i="15"/>
  <c r="N9" i="15" s="1"/>
  <c r="F9" i="16"/>
  <c r="R9" i="16" s="1"/>
  <c r="D11" i="15"/>
  <c r="D23" i="15" s="1"/>
  <c r="D35" i="15" s="1"/>
  <c r="D47" i="15" s="1"/>
  <c r="D59" i="15" s="1"/>
  <c r="D71" i="15" s="1"/>
  <c r="D83" i="15" s="1"/>
  <c r="D95" i="15" s="1"/>
  <c r="D107" i="15" s="1"/>
  <c r="D119" i="15" s="1"/>
  <c r="D131" i="15" s="1"/>
  <c r="D143" i="15" s="1"/>
  <c r="E11" i="16"/>
  <c r="D5" i="15"/>
  <c r="D17" i="15" s="1"/>
  <c r="D29" i="15" s="1"/>
  <c r="D41" i="15" s="1"/>
  <c r="D53" i="15" s="1"/>
  <c r="D65" i="15" s="1"/>
  <c r="D77" i="15" s="1"/>
  <c r="D89" i="15" s="1"/>
  <c r="D101" i="15" s="1"/>
  <c r="D113" i="15" s="1"/>
  <c r="D125" i="15" s="1"/>
  <c r="D137" i="15" s="1"/>
  <c r="E5" i="16"/>
  <c r="D4" i="15"/>
  <c r="D16" i="15" s="1"/>
  <c r="D28" i="15" s="1"/>
  <c r="D40" i="15" s="1"/>
  <c r="D52" i="15" s="1"/>
  <c r="D64" i="15" s="1"/>
  <c r="D76" i="15" s="1"/>
  <c r="D88" i="15" s="1"/>
  <c r="D100" i="15" s="1"/>
  <c r="D112" i="15" s="1"/>
  <c r="D124" i="15" s="1"/>
  <c r="D136" i="15" s="1"/>
  <c r="E4" i="16"/>
  <c r="E6" i="15"/>
  <c r="E18" i="15" s="1"/>
  <c r="F6" i="16"/>
  <c r="R6" i="16" s="1"/>
  <c r="E11" i="15"/>
  <c r="N11" i="15" s="1"/>
  <c r="F11" i="16"/>
  <c r="R11" i="16" s="1"/>
  <c r="E2" i="15"/>
  <c r="E14" i="15" s="1"/>
  <c r="N14" i="15" s="1"/>
  <c r="F2" i="16"/>
  <c r="D7" i="15"/>
  <c r="D19" i="15" s="1"/>
  <c r="D31" i="15" s="1"/>
  <c r="D43" i="15" s="1"/>
  <c r="D55" i="15" s="1"/>
  <c r="D67" i="15" s="1"/>
  <c r="D79" i="15" s="1"/>
  <c r="D91" i="15" s="1"/>
  <c r="D103" i="15" s="1"/>
  <c r="D115" i="15" s="1"/>
  <c r="D127" i="15" s="1"/>
  <c r="D139" i="15" s="1"/>
  <c r="E7" i="16"/>
  <c r="E13" i="15"/>
  <c r="E25" i="15" s="1"/>
  <c r="F13" i="16"/>
  <c r="R13" i="16" s="1"/>
  <c r="D9" i="15"/>
  <c r="D21" i="15" s="1"/>
  <c r="D33" i="15" s="1"/>
  <c r="D45" i="15" s="1"/>
  <c r="D57" i="15" s="1"/>
  <c r="D69" i="15" s="1"/>
  <c r="D81" i="15" s="1"/>
  <c r="D93" i="15" s="1"/>
  <c r="D105" i="15" s="1"/>
  <c r="D117" i="15" s="1"/>
  <c r="D129" i="15" s="1"/>
  <c r="D141" i="15" s="1"/>
  <c r="E9" i="16"/>
  <c r="E7" i="15"/>
  <c r="E19" i="15" s="1"/>
  <c r="F7" i="16"/>
  <c r="R7" i="16" s="1"/>
  <c r="D6" i="15"/>
  <c r="D18" i="15" s="1"/>
  <c r="D30" i="15" s="1"/>
  <c r="D42" i="15" s="1"/>
  <c r="D54" i="15" s="1"/>
  <c r="D66" i="15" s="1"/>
  <c r="D78" i="15" s="1"/>
  <c r="D90" i="15" s="1"/>
  <c r="D102" i="15" s="1"/>
  <c r="D114" i="15" s="1"/>
  <c r="D126" i="15" s="1"/>
  <c r="D138" i="15" s="1"/>
  <c r="E6" i="16"/>
  <c r="E3" i="15"/>
  <c r="E15" i="15" s="1"/>
  <c r="F3" i="16"/>
  <c r="R3" i="16" s="1"/>
  <c r="E5" i="15"/>
  <c r="N5" i="15" s="1"/>
  <c r="F5" i="16"/>
  <c r="R5" i="16" s="1"/>
  <c r="E8" i="15"/>
  <c r="N8" i="15" s="1"/>
  <c r="F8" i="16"/>
  <c r="R8" i="16" s="1"/>
  <c r="E12" i="15"/>
  <c r="N12" i="15" s="1"/>
  <c r="F12" i="16"/>
  <c r="R12" i="16" s="1"/>
  <c r="D13" i="15"/>
  <c r="D25" i="15" s="1"/>
  <c r="D37" i="15" s="1"/>
  <c r="D49" i="15" s="1"/>
  <c r="D61" i="15" s="1"/>
  <c r="D73" i="15" s="1"/>
  <c r="D85" i="15" s="1"/>
  <c r="D97" i="15" s="1"/>
  <c r="D109" i="15" s="1"/>
  <c r="D121" i="15" s="1"/>
  <c r="D133" i="15" s="1"/>
  <c r="D145" i="15" s="1"/>
  <c r="E13" i="16"/>
  <c r="D12" i="15"/>
  <c r="D24" i="15" s="1"/>
  <c r="D36" i="15" s="1"/>
  <c r="D48" i="15" s="1"/>
  <c r="D60" i="15" s="1"/>
  <c r="D72" i="15" s="1"/>
  <c r="D84" i="15" s="1"/>
  <c r="D96" i="15" s="1"/>
  <c r="D108" i="15" s="1"/>
  <c r="D120" i="15" s="1"/>
  <c r="D132" i="15" s="1"/>
  <c r="D144" i="15" s="1"/>
  <c r="E12" i="16"/>
  <c r="D10" i="15"/>
  <c r="D22" i="15" s="1"/>
  <c r="D34" i="15" s="1"/>
  <c r="D46" i="15" s="1"/>
  <c r="D58" i="15" s="1"/>
  <c r="D70" i="15" s="1"/>
  <c r="D82" i="15" s="1"/>
  <c r="D94" i="15" s="1"/>
  <c r="D106" i="15" s="1"/>
  <c r="D118" i="15" s="1"/>
  <c r="D130" i="15" s="1"/>
  <c r="D142" i="15" s="1"/>
  <c r="E10" i="16"/>
  <c r="D3" i="15"/>
  <c r="D15" i="15" s="1"/>
  <c r="D27" i="15" s="1"/>
  <c r="D39" i="15" s="1"/>
  <c r="D51" i="15" s="1"/>
  <c r="D63" i="15" s="1"/>
  <c r="D75" i="15" s="1"/>
  <c r="D87" i="15" s="1"/>
  <c r="D99" i="15" s="1"/>
  <c r="D111" i="15" s="1"/>
  <c r="D123" i="15" s="1"/>
  <c r="D135" i="15" s="1"/>
  <c r="E3" i="16"/>
  <c r="E4" i="15"/>
  <c r="E16" i="15" s="1"/>
  <c r="F4" i="16"/>
  <c r="R4" i="16" s="1"/>
  <c r="D2" i="15"/>
  <c r="D14" i="15" s="1"/>
  <c r="D26" i="15" s="1"/>
  <c r="D38" i="15" s="1"/>
  <c r="D50" i="15" s="1"/>
  <c r="D62" i="15" s="1"/>
  <c r="D74" i="15" s="1"/>
  <c r="D86" i="15" s="1"/>
  <c r="D98" i="15" s="1"/>
  <c r="D110" i="15" s="1"/>
  <c r="D122" i="15" s="1"/>
  <c r="D134" i="15" s="1"/>
  <c r="E2" i="16"/>
  <c r="N7" i="15"/>
  <c r="AT10" i="3"/>
  <c r="E5" i="4"/>
  <c r="H10" i="9" l="1"/>
  <c r="T10" i="9" s="1"/>
  <c r="F10" i="15"/>
  <c r="O10" i="15" s="1"/>
  <c r="H10" i="16"/>
  <c r="T10" i="16" s="1"/>
  <c r="F10" i="11"/>
  <c r="M10" i="11" s="1"/>
  <c r="P10" i="11" s="1"/>
  <c r="F10" i="7"/>
  <c r="O10" i="7" s="1"/>
  <c r="M5" i="15"/>
  <c r="T5" i="15" s="1"/>
  <c r="M8" i="15"/>
  <c r="T8" i="15" s="1"/>
  <c r="E21" i="15"/>
  <c r="E33" i="15" s="1"/>
  <c r="N13" i="15"/>
  <c r="E23" i="15"/>
  <c r="N23" i="15" s="1"/>
  <c r="E26" i="15"/>
  <c r="E38" i="15" s="1"/>
  <c r="M10" i="15"/>
  <c r="T10" i="15" s="1"/>
  <c r="N6" i="15"/>
  <c r="N3" i="15"/>
  <c r="E20" i="15"/>
  <c r="E32" i="15" s="1"/>
  <c r="E15" i="16"/>
  <c r="Q3" i="16"/>
  <c r="Z3" i="16" s="1"/>
  <c r="E24" i="16"/>
  <c r="Q12" i="16"/>
  <c r="E18" i="16"/>
  <c r="Q6" i="16"/>
  <c r="Z6" i="16" s="1"/>
  <c r="E21" i="16"/>
  <c r="Q9" i="16"/>
  <c r="Z9" i="16" s="1"/>
  <c r="E19" i="16"/>
  <c r="Q7" i="16"/>
  <c r="Z7" i="16" s="1"/>
  <c r="E16" i="16"/>
  <c r="Q4" i="16"/>
  <c r="Z4" i="16" s="1"/>
  <c r="E23" i="16"/>
  <c r="Q11" i="16"/>
  <c r="M13" i="15"/>
  <c r="E22" i="16"/>
  <c r="Q10" i="16"/>
  <c r="E25" i="16"/>
  <c r="Q13" i="16"/>
  <c r="E17" i="16"/>
  <c r="Q5" i="16"/>
  <c r="Z5" i="16" s="1"/>
  <c r="E20" i="16"/>
  <c r="Q8" i="16"/>
  <c r="Z8" i="16" s="1"/>
  <c r="N4" i="15"/>
  <c r="E17" i="15"/>
  <c r="E29" i="15" s="1"/>
  <c r="E24" i="15"/>
  <c r="N24" i="15" s="1"/>
  <c r="M12" i="15"/>
  <c r="M4" i="15"/>
  <c r="M7" i="15"/>
  <c r="T7" i="15" s="1"/>
  <c r="M11" i="15"/>
  <c r="E22" i="15"/>
  <c r="N22" i="15" s="1"/>
  <c r="M6" i="15"/>
  <c r="M9" i="15"/>
  <c r="T9" i="15" s="1"/>
  <c r="M3" i="15"/>
  <c r="F24" i="16"/>
  <c r="R24" i="16" s="1"/>
  <c r="F23" i="16"/>
  <c r="R23" i="16" s="1"/>
  <c r="F22" i="16"/>
  <c r="R22" i="16" s="1"/>
  <c r="F17" i="16"/>
  <c r="R17" i="16" s="1"/>
  <c r="F16" i="16"/>
  <c r="R16" i="16" s="1"/>
  <c r="F20" i="16"/>
  <c r="R20" i="16" s="1"/>
  <c r="F15" i="16"/>
  <c r="R15" i="16" s="1"/>
  <c r="F19" i="16"/>
  <c r="R19" i="16" s="1"/>
  <c r="F25" i="16"/>
  <c r="R25" i="16" s="1"/>
  <c r="F18" i="16"/>
  <c r="R18" i="16" s="1"/>
  <c r="F21" i="16"/>
  <c r="R21" i="16" s="1"/>
  <c r="M14" i="15"/>
  <c r="F14" i="16"/>
  <c r="R14" i="16" s="1"/>
  <c r="R2" i="16"/>
  <c r="E14" i="16"/>
  <c r="E31" i="15"/>
  <c r="N19" i="15"/>
  <c r="E27" i="15"/>
  <c r="N15" i="15"/>
  <c r="N18" i="15"/>
  <c r="E30" i="15"/>
  <c r="E28" i="15"/>
  <c r="N16" i="15"/>
  <c r="E37" i="15"/>
  <c r="N25" i="15"/>
  <c r="M24" i="15"/>
  <c r="M23" i="15"/>
  <c r="M26" i="15"/>
  <c r="M16" i="15"/>
  <c r="M20" i="15"/>
  <c r="M22" i="15"/>
  <c r="M25" i="15"/>
  <c r="M18" i="15"/>
  <c r="M15" i="15"/>
  <c r="M17" i="15"/>
  <c r="M21" i="15"/>
  <c r="M19" i="15"/>
  <c r="AT11" i="3"/>
  <c r="M2" i="15"/>
  <c r="P2" i="16"/>
  <c r="Q2" i="16"/>
  <c r="N2" i="15"/>
  <c r="E6" i="4"/>
  <c r="Z10" i="16" l="1"/>
  <c r="H11" i="9"/>
  <c r="T11" i="9" s="1"/>
  <c r="H11" i="16"/>
  <c r="T11" i="16" s="1"/>
  <c r="Z11" i="16" s="1"/>
  <c r="F11" i="15"/>
  <c r="O11" i="15" s="1"/>
  <c r="T11" i="15" s="1"/>
  <c r="F11" i="11"/>
  <c r="M11" i="11" s="1"/>
  <c r="P11" i="11" s="1"/>
  <c r="F11" i="7"/>
  <c r="O11" i="7" s="1"/>
  <c r="T3" i="15"/>
  <c r="E35" i="15"/>
  <c r="N35" i="15" s="1"/>
  <c r="N20" i="15"/>
  <c r="N26" i="15"/>
  <c r="N21" i="15"/>
  <c r="T6" i="15"/>
  <c r="E34" i="15"/>
  <c r="N34" i="15" s="1"/>
  <c r="Z2" i="16"/>
  <c r="E29" i="16"/>
  <c r="Q17" i="16"/>
  <c r="E34" i="16"/>
  <c r="Q22" i="16"/>
  <c r="E28" i="16"/>
  <c r="Q16" i="16"/>
  <c r="E33" i="16"/>
  <c r="Q21" i="16"/>
  <c r="E36" i="16"/>
  <c r="Q24" i="16"/>
  <c r="E26" i="16"/>
  <c r="Q14" i="16"/>
  <c r="E32" i="16"/>
  <c r="Q20" i="16"/>
  <c r="E37" i="16"/>
  <c r="Q25" i="16"/>
  <c r="E35" i="16"/>
  <c r="Q23" i="16"/>
  <c r="E31" i="16"/>
  <c r="Q19" i="16"/>
  <c r="E30" i="16"/>
  <c r="Q18" i="16"/>
  <c r="E27" i="16"/>
  <c r="Q15" i="16"/>
  <c r="N17" i="15"/>
  <c r="T4" i="15"/>
  <c r="E36" i="15"/>
  <c r="N36" i="15" s="1"/>
  <c r="F35" i="16"/>
  <c r="R35" i="16" s="1"/>
  <c r="F33" i="16"/>
  <c r="R33" i="16" s="1"/>
  <c r="F37" i="16"/>
  <c r="R37" i="16" s="1"/>
  <c r="F27" i="16"/>
  <c r="R27" i="16" s="1"/>
  <c r="F28" i="16"/>
  <c r="R28" i="16" s="1"/>
  <c r="F34" i="16"/>
  <c r="R34" i="16" s="1"/>
  <c r="F36" i="16"/>
  <c r="R36" i="16" s="1"/>
  <c r="F26" i="16"/>
  <c r="R26" i="16" s="1"/>
  <c r="F30" i="16"/>
  <c r="R30" i="16" s="1"/>
  <c r="F31" i="16"/>
  <c r="R31" i="16" s="1"/>
  <c r="F32" i="16"/>
  <c r="R32" i="16" s="1"/>
  <c r="F29" i="16"/>
  <c r="R29" i="16" s="1"/>
  <c r="T2" i="15"/>
  <c r="E49" i="15"/>
  <c r="N37" i="15"/>
  <c r="N38" i="15"/>
  <c r="E50" i="15"/>
  <c r="E44" i="15"/>
  <c r="N32" i="15"/>
  <c r="E45" i="15"/>
  <c r="N33" i="15"/>
  <c r="E40" i="15"/>
  <c r="N28" i="15"/>
  <c r="E39" i="15"/>
  <c r="N27" i="15"/>
  <c r="E41" i="15"/>
  <c r="N29" i="15"/>
  <c r="N30" i="15"/>
  <c r="E42" i="15"/>
  <c r="E43" i="15"/>
  <c r="N31" i="15"/>
  <c r="M27" i="15"/>
  <c r="M35" i="15"/>
  <c r="M33" i="15"/>
  <c r="M31" i="15"/>
  <c r="M37" i="15"/>
  <c r="M36" i="15"/>
  <c r="M28" i="15"/>
  <c r="M29" i="15"/>
  <c r="M30" i="15"/>
  <c r="M34" i="15"/>
  <c r="M32" i="15"/>
  <c r="M38" i="15"/>
  <c r="AT12" i="3"/>
  <c r="E7" i="4"/>
  <c r="H12" i="9" l="1"/>
  <c r="T12" i="9" s="1"/>
  <c r="F12" i="15"/>
  <c r="O12" i="15" s="1"/>
  <c r="T12" i="15" s="1"/>
  <c r="H12" i="16"/>
  <c r="T12" i="16" s="1"/>
  <c r="Z12" i="16" s="1"/>
  <c r="F12" i="11"/>
  <c r="M12" i="11" s="1"/>
  <c r="P12" i="11" s="1"/>
  <c r="F12" i="7"/>
  <c r="O12" i="7" s="1"/>
  <c r="E47" i="15"/>
  <c r="E59" i="15" s="1"/>
  <c r="E46" i="15"/>
  <c r="N46" i="15" s="1"/>
  <c r="E48" i="15"/>
  <c r="E60" i="15" s="1"/>
  <c r="E39" i="16"/>
  <c r="Q27" i="16"/>
  <c r="E43" i="16"/>
  <c r="Q31" i="16"/>
  <c r="E49" i="16"/>
  <c r="Q37" i="16"/>
  <c r="E38" i="16"/>
  <c r="Q26" i="16"/>
  <c r="E45" i="16"/>
  <c r="Q33" i="16"/>
  <c r="E46" i="16"/>
  <c r="Q34" i="16"/>
  <c r="E42" i="16"/>
  <c r="Q30" i="16"/>
  <c r="E47" i="16"/>
  <c r="Q35" i="16"/>
  <c r="E44" i="16"/>
  <c r="Q32" i="16"/>
  <c r="E48" i="16"/>
  <c r="Q36" i="16"/>
  <c r="E40" i="16"/>
  <c r="Q28" i="16"/>
  <c r="E41" i="16"/>
  <c r="Q29" i="16"/>
  <c r="F38" i="16"/>
  <c r="R38" i="16" s="1"/>
  <c r="F41" i="16"/>
  <c r="R41" i="16" s="1"/>
  <c r="F43" i="16"/>
  <c r="R43" i="16" s="1"/>
  <c r="F46" i="16"/>
  <c r="R46" i="16" s="1"/>
  <c r="F39" i="16"/>
  <c r="R39" i="16" s="1"/>
  <c r="F45" i="16"/>
  <c r="R45" i="16" s="1"/>
  <c r="F44" i="16"/>
  <c r="R44" i="16" s="1"/>
  <c r="F42" i="16"/>
  <c r="R42" i="16" s="1"/>
  <c r="F48" i="16"/>
  <c r="R48" i="16" s="1"/>
  <c r="F40" i="16"/>
  <c r="R40" i="16" s="1"/>
  <c r="F49" i="16"/>
  <c r="R49" i="16" s="1"/>
  <c r="F47" i="16"/>
  <c r="R47" i="16" s="1"/>
  <c r="N43" i="15"/>
  <c r="E55" i="15"/>
  <c r="E53" i="15"/>
  <c r="N41" i="15"/>
  <c r="N39" i="15"/>
  <c r="E51" i="15"/>
  <c r="E52" i="15"/>
  <c r="N40" i="15"/>
  <c r="E57" i="15"/>
  <c r="N45" i="15"/>
  <c r="N50" i="15"/>
  <c r="E62" i="15"/>
  <c r="N42" i="15"/>
  <c r="E54" i="15"/>
  <c r="E56" i="15"/>
  <c r="N44" i="15"/>
  <c r="E61" i="15"/>
  <c r="N49" i="15"/>
  <c r="M46" i="15"/>
  <c r="M41" i="15"/>
  <c r="M48" i="15"/>
  <c r="M43" i="15"/>
  <c r="M50" i="15"/>
  <c r="M47" i="15"/>
  <c r="M44" i="15"/>
  <c r="M42" i="15"/>
  <c r="M39" i="15"/>
  <c r="M40" i="15"/>
  <c r="M49" i="15"/>
  <c r="M45" i="15"/>
  <c r="AT13" i="3"/>
  <c r="E8" i="4"/>
  <c r="H13" i="9" l="1"/>
  <c r="T13" i="9" s="1"/>
  <c r="H13" i="16"/>
  <c r="F13" i="15"/>
  <c r="O13" i="15" s="1"/>
  <c r="T13" i="15" s="1"/>
  <c r="F13" i="11"/>
  <c r="M13" i="11" s="1"/>
  <c r="P13" i="11" s="1"/>
  <c r="F13" i="7"/>
  <c r="O13" i="7" s="1"/>
  <c r="N47" i="15"/>
  <c r="E58" i="15"/>
  <c r="N58" i="15" s="1"/>
  <c r="N48" i="15"/>
  <c r="E53" i="16"/>
  <c r="Q41" i="16"/>
  <c r="E60" i="16"/>
  <c r="Q48" i="16"/>
  <c r="E59" i="16"/>
  <c r="Q47" i="16"/>
  <c r="E58" i="16"/>
  <c r="Q46" i="16"/>
  <c r="E50" i="16"/>
  <c r="Q38" i="16"/>
  <c r="E55" i="16"/>
  <c r="Q43" i="16"/>
  <c r="E52" i="16"/>
  <c r="Q40" i="16"/>
  <c r="E56" i="16"/>
  <c r="Q44" i="16"/>
  <c r="E54" i="16"/>
  <c r="Q42" i="16"/>
  <c r="E57" i="16"/>
  <c r="Q45" i="16"/>
  <c r="E61" i="16"/>
  <c r="Q49" i="16"/>
  <c r="E51" i="16"/>
  <c r="Q39" i="16"/>
  <c r="F61" i="16"/>
  <c r="R61" i="16" s="1"/>
  <c r="F56" i="16"/>
  <c r="R56" i="16" s="1"/>
  <c r="F51" i="16"/>
  <c r="R51" i="16" s="1"/>
  <c r="F50" i="16"/>
  <c r="R50" i="16" s="1"/>
  <c r="F60" i="16"/>
  <c r="R60" i="16" s="1"/>
  <c r="F55" i="16"/>
  <c r="R55" i="16" s="1"/>
  <c r="F59" i="16"/>
  <c r="R59" i="16" s="1"/>
  <c r="F52" i="16"/>
  <c r="R52" i="16" s="1"/>
  <c r="F54" i="16"/>
  <c r="R54" i="16" s="1"/>
  <c r="F57" i="16"/>
  <c r="R57" i="16" s="1"/>
  <c r="F58" i="16"/>
  <c r="R58" i="16" s="1"/>
  <c r="F53" i="16"/>
  <c r="R53" i="16" s="1"/>
  <c r="E68" i="15"/>
  <c r="N56" i="15"/>
  <c r="E69" i="15"/>
  <c r="N57" i="15"/>
  <c r="E64" i="15"/>
  <c r="N52" i="15"/>
  <c r="E65" i="15"/>
  <c r="N53" i="15"/>
  <c r="E73" i="15"/>
  <c r="N61" i="15"/>
  <c r="N62" i="15"/>
  <c r="E74" i="15"/>
  <c r="E63" i="15"/>
  <c r="N51" i="15"/>
  <c r="E67" i="15"/>
  <c r="N55" i="15"/>
  <c r="N54" i="15"/>
  <c r="E66" i="15"/>
  <c r="N60" i="15"/>
  <c r="E72" i="15"/>
  <c r="E71" i="15"/>
  <c r="N59" i="15"/>
  <c r="M57" i="15"/>
  <c r="M52" i="15"/>
  <c r="M59" i="15"/>
  <c r="M53" i="15"/>
  <c r="M51" i="15"/>
  <c r="M56" i="15"/>
  <c r="M54" i="15"/>
  <c r="M55" i="15"/>
  <c r="M61" i="15"/>
  <c r="M62" i="15"/>
  <c r="M60" i="15"/>
  <c r="M58" i="15"/>
  <c r="AT14" i="3"/>
  <c r="E9" i="4"/>
  <c r="H14" i="16" l="1"/>
  <c r="T13" i="16"/>
  <c r="Z13" i="16" s="1"/>
  <c r="H14" i="9"/>
  <c r="T14" i="9" s="1"/>
  <c r="F14" i="15"/>
  <c r="O14" i="15" s="1"/>
  <c r="T14" i="15" s="1"/>
  <c r="F14" i="11"/>
  <c r="M14" i="11" s="1"/>
  <c r="P14" i="11" s="1"/>
  <c r="F14" i="7"/>
  <c r="O14" i="7" s="1"/>
  <c r="E70" i="15"/>
  <c r="N70" i="15" s="1"/>
  <c r="E64" i="16"/>
  <c r="Q52" i="16"/>
  <c r="E73" i="16"/>
  <c r="Q61" i="16"/>
  <c r="E63" i="16"/>
  <c r="Q51" i="16"/>
  <c r="E69" i="16"/>
  <c r="Q57" i="16"/>
  <c r="E68" i="16"/>
  <c r="Q56" i="16"/>
  <c r="E67" i="16"/>
  <c r="Q55" i="16"/>
  <c r="E70" i="16"/>
  <c r="Q58" i="16"/>
  <c r="E72" i="16"/>
  <c r="Q60" i="16"/>
  <c r="E66" i="16"/>
  <c r="Q54" i="16"/>
  <c r="E62" i="16"/>
  <c r="Q50" i="16"/>
  <c r="E71" i="16"/>
  <c r="Q59" i="16"/>
  <c r="E65" i="16"/>
  <c r="Q53" i="16"/>
  <c r="F66" i="16"/>
  <c r="R66" i="16" s="1"/>
  <c r="F63" i="16"/>
  <c r="R63" i="16" s="1"/>
  <c r="F70" i="16"/>
  <c r="R70" i="16" s="1"/>
  <c r="F71" i="16"/>
  <c r="R71" i="16" s="1"/>
  <c r="F72" i="16"/>
  <c r="R72" i="16" s="1"/>
  <c r="F73" i="16"/>
  <c r="R73" i="16" s="1"/>
  <c r="F65" i="16"/>
  <c r="R65" i="16" s="1"/>
  <c r="F69" i="16"/>
  <c r="R69" i="16" s="1"/>
  <c r="F64" i="16"/>
  <c r="R64" i="16" s="1"/>
  <c r="F67" i="16"/>
  <c r="R67" i="16" s="1"/>
  <c r="F62" i="16"/>
  <c r="R62" i="16" s="1"/>
  <c r="F68" i="16"/>
  <c r="R68" i="16" s="1"/>
  <c r="E83" i="15"/>
  <c r="N71" i="15"/>
  <c r="N74" i="15"/>
  <c r="E86" i="15"/>
  <c r="N72" i="15"/>
  <c r="E84" i="15"/>
  <c r="E79" i="15"/>
  <c r="N67" i="15"/>
  <c r="E77" i="15"/>
  <c r="N65" i="15"/>
  <c r="E81" i="15"/>
  <c r="N69" i="15"/>
  <c r="N66" i="15"/>
  <c r="E78" i="15"/>
  <c r="N63" i="15"/>
  <c r="E75" i="15"/>
  <c r="E85" i="15"/>
  <c r="N73" i="15"/>
  <c r="E76" i="15"/>
  <c r="N64" i="15"/>
  <c r="E80" i="15"/>
  <c r="N68" i="15"/>
  <c r="M65" i="15"/>
  <c r="M64" i="15"/>
  <c r="M70" i="15"/>
  <c r="M74" i="15"/>
  <c r="M68" i="15"/>
  <c r="M67" i="15"/>
  <c r="M66" i="15"/>
  <c r="M63" i="15"/>
  <c r="M72" i="15"/>
  <c r="M73" i="15"/>
  <c r="M71" i="15"/>
  <c r="M69" i="15"/>
  <c r="AT15" i="3"/>
  <c r="E10" i="4"/>
  <c r="H15" i="16" l="1"/>
  <c r="T14" i="16"/>
  <c r="Z14" i="16" s="1"/>
  <c r="H15" i="9"/>
  <c r="T15" i="9" s="1"/>
  <c r="F15" i="15"/>
  <c r="O15" i="15" s="1"/>
  <c r="T15" i="15" s="1"/>
  <c r="F15" i="11"/>
  <c r="M15" i="11" s="1"/>
  <c r="P15" i="11" s="1"/>
  <c r="F15" i="7"/>
  <c r="O15" i="7" s="1"/>
  <c r="E82" i="15"/>
  <c r="N82" i="15" s="1"/>
  <c r="E77" i="16"/>
  <c r="Q65" i="16"/>
  <c r="E74" i="16"/>
  <c r="Q62" i="16"/>
  <c r="E84" i="16"/>
  <c r="Q72" i="16"/>
  <c r="E79" i="16"/>
  <c r="Q67" i="16"/>
  <c r="E81" i="16"/>
  <c r="Q69" i="16"/>
  <c r="E85" i="16"/>
  <c r="Q73" i="16"/>
  <c r="E83" i="16"/>
  <c r="Q71" i="16"/>
  <c r="E78" i="16"/>
  <c r="Q66" i="16"/>
  <c r="E82" i="16"/>
  <c r="Q70" i="16"/>
  <c r="E80" i="16"/>
  <c r="Q68" i="16"/>
  <c r="E75" i="16"/>
  <c r="Q63" i="16"/>
  <c r="E76" i="16"/>
  <c r="Q64" i="16"/>
  <c r="F80" i="16"/>
  <c r="R80" i="16" s="1"/>
  <c r="F79" i="16"/>
  <c r="R79" i="16" s="1"/>
  <c r="F81" i="16"/>
  <c r="R81" i="16" s="1"/>
  <c r="F85" i="16"/>
  <c r="R85" i="16" s="1"/>
  <c r="F83" i="16"/>
  <c r="R83" i="16" s="1"/>
  <c r="F75" i="16"/>
  <c r="R75" i="16" s="1"/>
  <c r="F74" i="16"/>
  <c r="R74" i="16" s="1"/>
  <c r="F76" i="16"/>
  <c r="R76" i="16" s="1"/>
  <c r="F77" i="16"/>
  <c r="R77" i="16" s="1"/>
  <c r="F84" i="16"/>
  <c r="R84" i="16" s="1"/>
  <c r="F82" i="16"/>
  <c r="R82" i="16" s="1"/>
  <c r="F78" i="16"/>
  <c r="R78" i="16" s="1"/>
  <c r="N78" i="15"/>
  <c r="E90" i="15"/>
  <c r="E93" i="15"/>
  <c r="N81" i="15"/>
  <c r="N79" i="15"/>
  <c r="E91" i="15"/>
  <c r="N86" i="15"/>
  <c r="E98" i="15"/>
  <c r="E92" i="15"/>
  <c r="N80" i="15"/>
  <c r="E97" i="15"/>
  <c r="N85" i="15"/>
  <c r="E96" i="15"/>
  <c r="N84" i="15"/>
  <c r="E87" i="15"/>
  <c r="N75" i="15"/>
  <c r="E89" i="15"/>
  <c r="N77" i="15"/>
  <c r="E88" i="15"/>
  <c r="N76" i="15"/>
  <c r="N83" i="15"/>
  <c r="E95" i="15"/>
  <c r="M75" i="15"/>
  <c r="M81" i="15"/>
  <c r="M85" i="15"/>
  <c r="M79" i="15"/>
  <c r="M86" i="15"/>
  <c r="M76" i="15"/>
  <c r="M80" i="15"/>
  <c r="M82" i="15"/>
  <c r="M83" i="15"/>
  <c r="M84" i="15"/>
  <c r="M78" i="15"/>
  <c r="M77" i="15"/>
  <c r="AT16" i="3"/>
  <c r="E11" i="4"/>
  <c r="H16" i="9" l="1"/>
  <c r="T16" i="9" s="1"/>
  <c r="F16" i="15"/>
  <c r="O16" i="15" s="1"/>
  <c r="T16" i="15" s="1"/>
  <c r="F16" i="11"/>
  <c r="M16" i="11" s="1"/>
  <c r="P16" i="11" s="1"/>
  <c r="F16" i="7"/>
  <c r="O16" i="7" s="1"/>
  <c r="H16" i="16"/>
  <c r="T15" i="16"/>
  <c r="Z15" i="16" s="1"/>
  <c r="E94" i="15"/>
  <c r="E106" i="15" s="1"/>
  <c r="E88" i="16"/>
  <c r="Q76" i="16"/>
  <c r="E92" i="16"/>
  <c r="Q80" i="16"/>
  <c r="E90" i="16"/>
  <c r="Q78" i="16"/>
  <c r="E97" i="16"/>
  <c r="Q85" i="16"/>
  <c r="E91" i="16"/>
  <c r="Q79" i="16"/>
  <c r="E86" i="16"/>
  <c r="Q74" i="16"/>
  <c r="E87" i="16"/>
  <c r="Q75" i="16"/>
  <c r="E94" i="16"/>
  <c r="Q82" i="16"/>
  <c r="E95" i="16"/>
  <c r="Q83" i="16"/>
  <c r="E93" i="16"/>
  <c r="Q81" i="16"/>
  <c r="E96" i="16"/>
  <c r="Q84" i="16"/>
  <c r="E89" i="16"/>
  <c r="Q77" i="16"/>
  <c r="F94" i="16"/>
  <c r="F86" i="16"/>
  <c r="F95" i="16"/>
  <c r="F93" i="16"/>
  <c r="F92" i="16"/>
  <c r="F89" i="16"/>
  <c r="F90" i="16"/>
  <c r="F96" i="16"/>
  <c r="F88" i="16"/>
  <c r="F87" i="16"/>
  <c r="F97" i="16"/>
  <c r="F91" i="16"/>
  <c r="N95" i="15"/>
  <c r="E107" i="15"/>
  <c r="N98" i="15"/>
  <c r="E110" i="15"/>
  <c r="E99" i="15"/>
  <c r="N87" i="15"/>
  <c r="N92" i="15"/>
  <c r="E104" i="15"/>
  <c r="E105" i="15"/>
  <c r="N93" i="15"/>
  <c r="E103" i="15"/>
  <c r="N91" i="15"/>
  <c r="E102" i="15"/>
  <c r="N90" i="15"/>
  <c r="E100" i="15"/>
  <c r="N88" i="15"/>
  <c r="E101" i="15"/>
  <c r="N89" i="15"/>
  <c r="E108" i="15"/>
  <c r="N96" i="15"/>
  <c r="E109" i="15"/>
  <c r="N97" i="15"/>
  <c r="M96" i="15"/>
  <c r="M94" i="15"/>
  <c r="M91" i="15"/>
  <c r="M89" i="15"/>
  <c r="M93" i="15"/>
  <c r="M90" i="15"/>
  <c r="M98" i="15"/>
  <c r="M87" i="15"/>
  <c r="M88" i="15"/>
  <c r="M95" i="15"/>
  <c r="M92" i="15"/>
  <c r="M97" i="15"/>
  <c r="AT17" i="3"/>
  <c r="E12" i="4"/>
  <c r="H17" i="9" l="1"/>
  <c r="T17" i="9" s="1"/>
  <c r="F17" i="15"/>
  <c r="O17" i="15" s="1"/>
  <c r="T17" i="15" s="1"/>
  <c r="F17" i="11"/>
  <c r="M17" i="11" s="1"/>
  <c r="P17" i="11" s="1"/>
  <c r="F17" i="7"/>
  <c r="O17" i="7" s="1"/>
  <c r="H17" i="16"/>
  <c r="T16" i="16"/>
  <c r="Z16" i="16" s="1"/>
  <c r="N94" i="15"/>
  <c r="F100" i="16"/>
  <c r="R88" i="16"/>
  <c r="F106" i="16"/>
  <c r="R94" i="16"/>
  <c r="E107" i="16"/>
  <c r="Q95" i="16"/>
  <c r="E103" i="16"/>
  <c r="Q91" i="16"/>
  <c r="E100" i="16"/>
  <c r="Q88" i="16"/>
  <c r="F103" i="16"/>
  <c r="R91" i="16"/>
  <c r="F108" i="16"/>
  <c r="R96" i="16"/>
  <c r="F105" i="16"/>
  <c r="R93" i="16"/>
  <c r="F104" i="16"/>
  <c r="R92" i="16"/>
  <c r="E108" i="16"/>
  <c r="Q96" i="16"/>
  <c r="E99" i="16"/>
  <c r="Q87" i="16"/>
  <c r="E102" i="16"/>
  <c r="Q90" i="16"/>
  <c r="F109" i="16"/>
  <c r="R97" i="16"/>
  <c r="F102" i="16"/>
  <c r="R90" i="16"/>
  <c r="F107" i="16"/>
  <c r="R95" i="16"/>
  <c r="E101" i="16"/>
  <c r="Q89" i="16"/>
  <c r="E105" i="16"/>
  <c r="Q93" i="16"/>
  <c r="E106" i="16"/>
  <c r="Q94" i="16"/>
  <c r="E98" i="16"/>
  <c r="Q86" i="16"/>
  <c r="E109" i="16"/>
  <c r="Q97" i="16"/>
  <c r="E104" i="16"/>
  <c r="Q92" i="16"/>
  <c r="F99" i="16"/>
  <c r="R87" i="16"/>
  <c r="F101" i="16"/>
  <c r="R89" i="16"/>
  <c r="F98" i="16"/>
  <c r="R86" i="16"/>
  <c r="N108" i="15"/>
  <c r="E120" i="15"/>
  <c r="E112" i="15"/>
  <c r="N100" i="15"/>
  <c r="E116" i="15"/>
  <c r="N104" i="15"/>
  <c r="E115" i="15"/>
  <c r="N103" i="15"/>
  <c r="E118" i="15"/>
  <c r="N106" i="15"/>
  <c r="E122" i="15"/>
  <c r="N110" i="15"/>
  <c r="E119" i="15"/>
  <c r="N107" i="15"/>
  <c r="E121" i="15"/>
  <c r="N109" i="15"/>
  <c r="E113" i="15"/>
  <c r="N101" i="15"/>
  <c r="N102" i="15"/>
  <c r="E114" i="15"/>
  <c r="E117" i="15"/>
  <c r="N105" i="15"/>
  <c r="N99" i="15"/>
  <c r="E111" i="15"/>
  <c r="M106" i="15"/>
  <c r="M109" i="15"/>
  <c r="M99" i="15"/>
  <c r="M102" i="15"/>
  <c r="M101" i="15"/>
  <c r="M107" i="15"/>
  <c r="M110" i="15"/>
  <c r="M103" i="15"/>
  <c r="M104" i="15"/>
  <c r="M100" i="15"/>
  <c r="M105" i="15"/>
  <c r="M108" i="15"/>
  <c r="AT18" i="3"/>
  <c r="E13" i="4"/>
  <c r="E14" i="4" s="1"/>
  <c r="E15" i="4" s="1"/>
  <c r="E16" i="4" s="1"/>
  <c r="E17" i="4" s="1"/>
  <c r="E18" i="4" s="1"/>
  <c r="E19" i="4" s="1"/>
  <c r="E20" i="4" s="1"/>
  <c r="E21" i="4" s="1"/>
  <c r="H18" i="9" l="1"/>
  <c r="T18" i="9" s="1"/>
  <c r="F18" i="15"/>
  <c r="O18" i="15" s="1"/>
  <c r="T18" i="15" s="1"/>
  <c r="F18" i="11"/>
  <c r="M18" i="11" s="1"/>
  <c r="P18" i="11" s="1"/>
  <c r="F18" i="7"/>
  <c r="O18" i="7" s="1"/>
  <c r="H18" i="16"/>
  <c r="T17" i="16"/>
  <c r="Z17" i="16" s="1"/>
  <c r="F110" i="16"/>
  <c r="R98" i="16"/>
  <c r="F111" i="16"/>
  <c r="R99" i="16"/>
  <c r="E121" i="16"/>
  <c r="Q109" i="16"/>
  <c r="E118" i="16"/>
  <c r="Q106" i="16"/>
  <c r="E113" i="16"/>
  <c r="Q101" i="16"/>
  <c r="F114" i="16"/>
  <c r="R102" i="16"/>
  <c r="E114" i="16"/>
  <c r="Q102" i="16"/>
  <c r="E120" i="16"/>
  <c r="Q108" i="16"/>
  <c r="F117" i="16"/>
  <c r="R105" i="16"/>
  <c r="F115" i="16"/>
  <c r="R103" i="16"/>
  <c r="E115" i="16"/>
  <c r="Q103" i="16"/>
  <c r="F118" i="16"/>
  <c r="R106" i="16"/>
  <c r="F113" i="16"/>
  <c r="R101" i="16"/>
  <c r="E116" i="16"/>
  <c r="Q104" i="16"/>
  <c r="E110" i="16"/>
  <c r="Q98" i="16"/>
  <c r="E117" i="16"/>
  <c r="Q105" i="16"/>
  <c r="F119" i="16"/>
  <c r="R107" i="16"/>
  <c r="F121" i="16"/>
  <c r="R109" i="16"/>
  <c r="E111" i="16"/>
  <c r="Q99" i="16"/>
  <c r="F116" i="16"/>
  <c r="R104" i="16"/>
  <c r="F120" i="16"/>
  <c r="R108" i="16"/>
  <c r="E112" i="16"/>
  <c r="Q100" i="16"/>
  <c r="E119" i="16"/>
  <c r="Q107" i="16"/>
  <c r="F112" i="16"/>
  <c r="R100" i="16"/>
  <c r="E133" i="15"/>
  <c r="N121" i="15"/>
  <c r="N122" i="15"/>
  <c r="E134" i="15"/>
  <c r="N134" i="15" s="1"/>
  <c r="E127" i="15"/>
  <c r="N115" i="15"/>
  <c r="N111" i="15"/>
  <c r="E123" i="15"/>
  <c r="N114" i="15"/>
  <c r="E126" i="15"/>
  <c r="N112" i="15"/>
  <c r="E124" i="15"/>
  <c r="E129" i="15"/>
  <c r="N117" i="15"/>
  <c r="E125" i="15"/>
  <c r="N113" i="15"/>
  <c r="N119" i="15"/>
  <c r="E131" i="15"/>
  <c r="E130" i="15"/>
  <c r="N118" i="15"/>
  <c r="N120" i="15"/>
  <c r="E132" i="15"/>
  <c r="E128" i="15"/>
  <c r="N116" i="15"/>
  <c r="M112" i="15"/>
  <c r="M120" i="15"/>
  <c r="M115" i="15"/>
  <c r="M121" i="15"/>
  <c r="M134" i="15"/>
  <c r="M122" i="15"/>
  <c r="M119" i="15"/>
  <c r="M114" i="15"/>
  <c r="M117" i="15"/>
  <c r="M116" i="15"/>
  <c r="M113" i="15"/>
  <c r="M111" i="15"/>
  <c r="M118" i="15"/>
  <c r="AT19" i="3"/>
  <c r="E22" i="4"/>
  <c r="E23" i="4" s="1"/>
  <c r="L23" i="4" s="1"/>
  <c r="L72" i="4" s="1"/>
  <c r="O23" i="4"/>
  <c r="L75" i="4" s="1"/>
  <c r="F23" i="4"/>
  <c r="L66" i="4" s="1"/>
  <c r="H19" i="9" l="1"/>
  <c r="T19" i="9" s="1"/>
  <c r="F19" i="15"/>
  <c r="O19" i="15" s="1"/>
  <c r="T19" i="15" s="1"/>
  <c r="F19" i="11"/>
  <c r="M19" i="11" s="1"/>
  <c r="P19" i="11" s="1"/>
  <c r="F19" i="7"/>
  <c r="O19" i="7" s="1"/>
  <c r="H19" i="16"/>
  <c r="T18" i="16"/>
  <c r="Z18" i="16" s="1"/>
  <c r="F124" i="16"/>
  <c r="R112" i="16"/>
  <c r="E124" i="16"/>
  <c r="Q112" i="16"/>
  <c r="F128" i="16"/>
  <c r="R116" i="16"/>
  <c r="F133" i="16"/>
  <c r="R121" i="16"/>
  <c r="E129" i="16"/>
  <c r="Q117" i="16"/>
  <c r="E128" i="16"/>
  <c r="Q116" i="16"/>
  <c r="E127" i="16"/>
  <c r="Q115" i="16"/>
  <c r="F129" i="16"/>
  <c r="R117" i="16"/>
  <c r="E126" i="16"/>
  <c r="Q114" i="16"/>
  <c r="E125" i="16"/>
  <c r="Q113" i="16"/>
  <c r="E133" i="16"/>
  <c r="Q121" i="16"/>
  <c r="F122" i="16"/>
  <c r="R110" i="16"/>
  <c r="E131" i="16"/>
  <c r="Q119" i="16"/>
  <c r="F132" i="16"/>
  <c r="R120" i="16"/>
  <c r="E123" i="16"/>
  <c r="Q111" i="16"/>
  <c r="F131" i="16"/>
  <c r="R119" i="16"/>
  <c r="E122" i="16"/>
  <c r="Q110" i="16"/>
  <c r="F125" i="16"/>
  <c r="R113" i="16"/>
  <c r="F130" i="16"/>
  <c r="R118" i="16"/>
  <c r="F127" i="16"/>
  <c r="R115" i="16"/>
  <c r="E132" i="16"/>
  <c r="Q120" i="16"/>
  <c r="F126" i="16"/>
  <c r="R114" i="16"/>
  <c r="E130" i="16"/>
  <c r="Q118" i="16"/>
  <c r="F123" i="16"/>
  <c r="R111" i="16"/>
  <c r="E141" i="15"/>
  <c r="N141" i="15" s="1"/>
  <c r="N129" i="15"/>
  <c r="N132" i="15"/>
  <c r="E144" i="15"/>
  <c r="N144" i="15" s="1"/>
  <c r="N131" i="15"/>
  <c r="E143" i="15"/>
  <c r="N143" i="15" s="1"/>
  <c r="N126" i="15"/>
  <c r="E138" i="15"/>
  <c r="N138" i="15" s="1"/>
  <c r="N124" i="15"/>
  <c r="E136" i="15"/>
  <c r="N136" i="15" s="1"/>
  <c r="N123" i="15"/>
  <c r="E135" i="15"/>
  <c r="N135" i="15" s="1"/>
  <c r="N128" i="15"/>
  <c r="E140" i="15"/>
  <c r="N140" i="15" s="1"/>
  <c r="N130" i="15"/>
  <c r="E142" i="15"/>
  <c r="N142" i="15" s="1"/>
  <c r="E137" i="15"/>
  <c r="N137" i="15" s="1"/>
  <c r="N125" i="15"/>
  <c r="N127" i="15"/>
  <c r="E139" i="15"/>
  <c r="N139" i="15" s="1"/>
  <c r="E145" i="15"/>
  <c r="N145" i="15" s="1"/>
  <c r="N133" i="15"/>
  <c r="M143" i="15"/>
  <c r="M131" i="15"/>
  <c r="M130" i="15"/>
  <c r="M142" i="15"/>
  <c r="M137" i="15"/>
  <c r="M125" i="15"/>
  <c r="M141" i="15"/>
  <c r="M129" i="15"/>
  <c r="M145" i="15"/>
  <c r="M133" i="15"/>
  <c r="M144" i="15"/>
  <c r="M132" i="15"/>
  <c r="M123" i="15"/>
  <c r="M135" i="15"/>
  <c r="M140" i="15"/>
  <c r="M128" i="15"/>
  <c r="M126" i="15"/>
  <c r="M138" i="15"/>
  <c r="M139" i="15"/>
  <c r="M127" i="15"/>
  <c r="M136" i="15"/>
  <c r="M124" i="15"/>
  <c r="AT20" i="3"/>
  <c r="Q22" i="4"/>
  <c r="P22" i="4"/>
  <c r="I23" i="4"/>
  <c r="L69" i="4" s="1"/>
  <c r="I22" i="4"/>
  <c r="J22" i="4"/>
  <c r="H23" i="4"/>
  <c r="L68" i="4" s="1"/>
  <c r="K23" i="4"/>
  <c r="L71" i="4" s="1"/>
  <c r="H22" i="4"/>
  <c r="N22" i="4"/>
  <c r="F22" i="4"/>
  <c r="P23" i="4"/>
  <c r="L76" i="4" s="1"/>
  <c r="M22" i="4"/>
  <c r="L22" i="4"/>
  <c r="Q23" i="4"/>
  <c r="L77" i="4" s="1"/>
  <c r="N23" i="4"/>
  <c r="L74" i="4" s="1"/>
  <c r="J23" i="4"/>
  <c r="L70" i="4" s="1"/>
  <c r="K22" i="4"/>
  <c r="M23" i="4"/>
  <c r="L73" i="4" s="1"/>
  <c r="G23" i="4"/>
  <c r="L67" i="4" s="1"/>
  <c r="O22" i="4"/>
  <c r="G22" i="4"/>
  <c r="H20" i="9" l="1"/>
  <c r="T20" i="9" s="1"/>
  <c r="F20" i="15"/>
  <c r="O20" i="15" s="1"/>
  <c r="T20" i="15" s="1"/>
  <c r="F20" i="11"/>
  <c r="M20" i="11" s="1"/>
  <c r="P20" i="11" s="1"/>
  <c r="F20" i="7"/>
  <c r="O20" i="7" s="1"/>
  <c r="T19" i="16"/>
  <c r="Z19" i="16" s="1"/>
  <c r="H20" i="16"/>
  <c r="F137" i="16"/>
  <c r="R137" i="16" s="1"/>
  <c r="R125" i="16"/>
  <c r="F143" i="16"/>
  <c r="R143" i="16" s="1"/>
  <c r="R131" i="16"/>
  <c r="F144" i="16"/>
  <c r="R144" i="16" s="1"/>
  <c r="R132" i="16"/>
  <c r="F134" i="16"/>
  <c r="R134" i="16" s="1"/>
  <c r="R122" i="16"/>
  <c r="E137" i="16"/>
  <c r="Q137" i="16" s="1"/>
  <c r="Q125" i="16"/>
  <c r="F141" i="16"/>
  <c r="R141" i="16" s="1"/>
  <c r="R129" i="16"/>
  <c r="E142" i="16"/>
  <c r="Q142" i="16" s="1"/>
  <c r="Q130" i="16"/>
  <c r="E144" i="16"/>
  <c r="Q144" i="16" s="1"/>
  <c r="Q132" i="16"/>
  <c r="F142" i="16"/>
  <c r="R142" i="16" s="1"/>
  <c r="R130" i="16"/>
  <c r="E140" i="16"/>
  <c r="Q140" i="16" s="1"/>
  <c r="Q128" i="16"/>
  <c r="F145" i="16"/>
  <c r="R145" i="16" s="1"/>
  <c r="R133" i="16"/>
  <c r="E136" i="16"/>
  <c r="Q136" i="16" s="1"/>
  <c r="Q124" i="16"/>
  <c r="E134" i="16"/>
  <c r="Q134" i="16" s="1"/>
  <c r="Q122" i="16"/>
  <c r="E135" i="16"/>
  <c r="Q135" i="16" s="1"/>
  <c r="Q123" i="16"/>
  <c r="E143" i="16"/>
  <c r="Q143" i="16" s="1"/>
  <c r="Q131" i="16"/>
  <c r="E145" i="16"/>
  <c r="Q145" i="16" s="1"/>
  <c r="Q133" i="16"/>
  <c r="E138" i="16"/>
  <c r="Q138" i="16" s="1"/>
  <c r="Q126" i="16"/>
  <c r="E139" i="16"/>
  <c r="Q139" i="16" s="1"/>
  <c r="Q127" i="16"/>
  <c r="F135" i="16"/>
  <c r="R135" i="16" s="1"/>
  <c r="R123" i="16"/>
  <c r="F138" i="16"/>
  <c r="R138" i="16" s="1"/>
  <c r="R126" i="16"/>
  <c r="F139" i="16"/>
  <c r="R139" i="16" s="1"/>
  <c r="R127" i="16"/>
  <c r="E141" i="16"/>
  <c r="Q141" i="16" s="1"/>
  <c r="Q129" i="16"/>
  <c r="F140" i="16"/>
  <c r="R140" i="16" s="1"/>
  <c r="R128" i="16"/>
  <c r="F136" i="16"/>
  <c r="R136" i="16" s="1"/>
  <c r="R124" i="16"/>
  <c r="AT21" i="3"/>
  <c r="H21" i="9" l="1"/>
  <c r="T21" i="9" s="1"/>
  <c r="F21" i="15"/>
  <c r="O21" i="15" s="1"/>
  <c r="T21" i="15" s="1"/>
  <c r="F21" i="11"/>
  <c r="M21" i="11" s="1"/>
  <c r="P21" i="11" s="1"/>
  <c r="F21" i="7"/>
  <c r="O21" i="7" s="1"/>
  <c r="H21" i="16"/>
  <c r="T20" i="16"/>
  <c r="Z20" i="16" s="1"/>
  <c r="AT22" i="3"/>
  <c r="H22" i="9" l="1"/>
  <c r="T22" i="9" s="1"/>
  <c r="F22" i="15"/>
  <c r="O22" i="15" s="1"/>
  <c r="T22" i="15" s="1"/>
  <c r="F22" i="11"/>
  <c r="M22" i="11" s="1"/>
  <c r="P22" i="11" s="1"/>
  <c r="F22" i="7"/>
  <c r="O22" i="7" s="1"/>
  <c r="H22" i="16"/>
  <c r="T21" i="16"/>
  <c r="Z21" i="16" s="1"/>
  <c r="AT23" i="3"/>
  <c r="H23" i="9" l="1"/>
  <c r="T23" i="9" s="1"/>
  <c r="F23" i="15"/>
  <c r="O23" i="15" s="1"/>
  <c r="T23" i="15" s="1"/>
  <c r="F23" i="11"/>
  <c r="M23" i="11" s="1"/>
  <c r="P23" i="11" s="1"/>
  <c r="F23" i="7"/>
  <c r="O23" i="7" s="1"/>
  <c r="H23" i="16"/>
  <c r="T22" i="16"/>
  <c r="Z22" i="16" s="1"/>
  <c r="AT24" i="3"/>
  <c r="H24" i="9" l="1"/>
  <c r="T24" i="9" s="1"/>
  <c r="F24" i="15"/>
  <c r="O24" i="15" s="1"/>
  <c r="T24" i="15" s="1"/>
  <c r="F24" i="11"/>
  <c r="M24" i="11" s="1"/>
  <c r="P24" i="11" s="1"/>
  <c r="F24" i="7"/>
  <c r="O24" i="7" s="1"/>
  <c r="H24" i="16"/>
  <c r="T23" i="16"/>
  <c r="Z23" i="16" s="1"/>
  <c r="AT25" i="3"/>
  <c r="H25" i="9" l="1"/>
  <c r="T25" i="9" s="1"/>
  <c r="F25" i="15"/>
  <c r="O25" i="15" s="1"/>
  <c r="T25" i="15" s="1"/>
  <c r="F25" i="11"/>
  <c r="M25" i="11" s="1"/>
  <c r="P25" i="11" s="1"/>
  <c r="F25" i="7"/>
  <c r="O25" i="7" s="1"/>
  <c r="T24" i="16"/>
  <c r="Z24" i="16" s="1"/>
  <c r="H25" i="16"/>
  <c r="AT26" i="3"/>
  <c r="H26" i="16" l="1"/>
  <c r="T25" i="16"/>
  <c r="Z25" i="16" s="1"/>
  <c r="H26" i="9"/>
  <c r="T26" i="9" s="1"/>
  <c r="F26" i="15"/>
  <c r="O26" i="15" s="1"/>
  <c r="T26" i="15" s="1"/>
  <c r="F26" i="11"/>
  <c r="M26" i="11" s="1"/>
  <c r="P26" i="11" s="1"/>
  <c r="F26" i="7"/>
  <c r="O26" i="7" s="1"/>
  <c r="AT27" i="3"/>
  <c r="H27" i="9" l="1"/>
  <c r="T27" i="9" s="1"/>
  <c r="F27" i="15"/>
  <c r="O27" i="15" s="1"/>
  <c r="T27" i="15" s="1"/>
  <c r="F27" i="11"/>
  <c r="M27" i="11" s="1"/>
  <c r="P27" i="11" s="1"/>
  <c r="F27" i="7"/>
  <c r="O27" i="7" s="1"/>
  <c r="T26" i="16"/>
  <c r="Z26" i="16" s="1"/>
  <c r="H27" i="16"/>
  <c r="AT28" i="3"/>
  <c r="H28" i="9" l="1"/>
  <c r="T28" i="9" s="1"/>
  <c r="F28" i="15"/>
  <c r="O28" i="15" s="1"/>
  <c r="T28" i="15" s="1"/>
  <c r="F28" i="11"/>
  <c r="M28" i="11" s="1"/>
  <c r="P28" i="11" s="1"/>
  <c r="F28" i="7"/>
  <c r="O28" i="7" s="1"/>
  <c r="H28" i="16"/>
  <c r="T27" i="16"/>
  <c r="Z27" i="16" s="1"/>
  <c r="AT29" i="3"/>
  <c r="H29" i="9" l="1"/>
  <c r="T29" i="9" s="1"/>
  <c r="F29" i="15"/>
  <c r="O29" i="15" s="1"/>
  <c r="T29" i="15" s="1"/>
  <c r="F29" i="11"/>
  <c r="M29" i="11" s="1"/>
  <c r="P29" i="11" s="1"/>
  <c r="F29" i="7"/>
  <c r="O29" i="7" s="1"/>
  <c r="H29" i="16"/>
  <c r="T28" i="16"/>
  <c r="Z28" i="16" s="1"/>
  <c r="AT30" i="3"/>
  <c r="H30" i="9" l="1"/>
  <c r="T30" i="9" s="1"/>
  <c r="F30" i="15"/>
  <c r="O30" i="15" s="1"/>
  <c r="T30" i="15" s="1"/>
  <c r="F30" i="11"/>
  <c r="M30" i="11" s="1"/>
  <c r="P30" i="11" s="1"/>
  <c r="F30" i="7"/>
  <c r="O30" i="7" s="1"/>
  <c r="H30" i="16"/>
  <c r="T29" i="16"/>
  <c r="Z29" i="16" s="1"/>
  <c r="AT31" i="3"/>
  <c r="H31" i="9" l="1"/>
  <c r="T31" i="9" s="1"/>
  <c r="F31" i="15"/>
  <c r="O31" i="15" s="1"/>
  <c r="T31" i="15" s="1"/>
  <c r="F31" i="11"/>
  <c r="M31" i="11" s="1"/>
  <c r="P31" i="11" s="1"/>
  <c r="F31" i="7"/>
  <c r="O31" i="7" s="1"/>
  <c r="T30" i="16"/>
  <c r="Z30" i="16" s="1"/>
  <c r="H31" i="16"/>
  <c r="AT32" i="3"/>
  <c r="H32" i="16" l="1"/>
  <c r="T31" i="16"/>
  <c r="Z31" i="16" s="1"/>
  <c r="H32" i="9"/>
  <c r="T32" i="9" s="1"/>
  <c r="F32" i="15"/>
  <c r="O32" i="15" s="1"/>
  <c r="T32" i="15" s="1"/>
  <c r="F32" i="11"/>
  <c r="M32" i="11" s="1"/>
  <c r="P32" i="11" s="1"/>
  <c r="F32" i="7"/>
  <c r="O32" i="7" s="1"/>
  <c r="AT33" i="3"/>
  <c r="H33" i="9" l="1"/>
  <c r="T33" i="9" s="1"/>
  <c r="F33" i="15"/>
  <c r="O33" i="15" s="1"/>
  <c r="T33" i="15" s="1"/>
  <c r="F33" i="11"/>
  <c r="M33" i="11" s="1"/>
  <c r="P33" i="11" s="1"/>
  <c r="F33" i="7"/>
  <c r="O33" i="7" s="1"/>
  <c r="H33" i="16"/>
  <c r="T32" i="16"/>
  <c r="Z32" i="16" s="1"/>
  <c r="AT34" i="3"/>
  <c r="H34" i="9" l="1"/>
  <c r="T34" i="9" s="1"/>
  <c r="F34" i="15"/>
  <c r="O34" i="15" s="1"/>
  <c r="T34" i="15" s="1"/>
  <c r="F34" i="11"/>
  <c r="M34" i="11" s="1"/>
  <c r="P34" i="11" s="1"/>
  <c r="F34" i="7"/>
  <c r="O34" i="7" s="1"/>
  <c r="H34" i="16"/>
  <c r="T33" i="16"/>
  <c r="Z33" i="16" s="1"/>
  <c r="AT35" i="3"/>
  <c r="H35" i="9" l="1"/>
  <c r="T35" i="9" s="1"/>
  <c r="F35" i="15"/>
  <c r="O35" i="15" s="1"/>
  <c r="T35" i="15" s="1"/>
  <c r="F35" i="11"/>
  <c r="M35" i="11" s="1"/>
  <c r="P35" i="11" s="1"/>
  <c r="F35" i="7"/>
  <c r="O35" i="7" s="1"/>
  <c r="H35" i="16"/>
  <c r="T34" i="16"/>
  <c r="Z34" i="16" s="1"/>
  <c r="AT36" i="3"/>
  <c r="H36" i="9" l="1"/>
  <c r="T36" i="9" s="1"/>
  <c r="F36" i="15"/>
  <c r="O36" i="15" s="1"/>
  <c r="T36" i="15" s="1"/>
  <c r="F36" i="11"/>
  <c r="M36" i="11" s="1"/>
  <c r="P36" i="11" s="1"/>
  <c r="F36" i="7"/>
  <c r="O36" i="7" s="1"/>
  <c r="T35" i="16"/>
  <c r="Z35" i="16" s="1"/>
  <c r="H36" i="16"/>
  <c r="AT37" i="3"/>
  <c r="T36" i="16" l="1"/>
  <c r="Z36" i="16" s="1"/>
  <c r="H37" i="16"/>
  <c r="H37" i="9"/>
  <c r="T37" i="9" s="1"/>
  <c r="F37" i="15"/>
  <c r="O37" i="15" s="1"/>
  <c r="T37" i="15" s="1"/>
  <c r="F37" i="11"/>
  <c r="M37" i="11" s="1"/>
  <c r="P37" i="11" s="1"/>
  <c r="F37" i="7"/>
  <c r="O37" i="7" s="1"/>
  <c r="AT38" i="3"/>
  <c r="H38" i="9" l="1"/>
  <c r="T38" i="9" s="1"/>
  <c r="F38" i="15"/>
  <c r="O38" i="15" s="1"/>
  <c r="T38" i="15" s="1"/>
  <c r="F38" i="11"/>
  <c r="M38" i="11" s="1"/>
  <c r="P38" i="11" s="1"/>
  <c r="F38" i="7"/>
  <c r="O38" i="7" s="1"/>
  <c r="T37" i="16"/>
  <c r="Z37" i="16" s="1"/>
  <c r="H38" i="16"/>
  <c r="AT39" i="3"/>
  <c r="H39" i="9" l="1"/>
  <c r="T39" i="9" s="1"/>
  <c r="F39" i="15"/>
  <c r="O39" i="15" s="1"/>
  <c r="T39" i="15" s="1"/>
  <c r="F39" i="11"/>
  <c r="M39" i="11" s="1"/>
  <c r="P39" i="11" s="1"/>
  <c r="F39" i="7"/>
  <c r="O39" i="7" s="1"/>
  <c r="H39" i="16"/>
  <c r="T38" i="16"/>
  <c r="Z38" i="16" s="1"/>
  <c r="AT40" i="3"/>
  <c r="H40" i="9" l="1"/>
  <c r="T40" i="9" s="1"/>
  <c r="F40" i="15"/>
  <c r="O40" i="15" s="1"/>
  <c r="T40" i="15" s="1"/>
  <c r="F40" i="11"/>
  <c r="M40" i="11" s="1"/>
  <c r="P40" i="11" s="1"/>
  <c r="F40" i="7"/>
  <c r="O40" i="7" s="1"/>
  <c r="H40" i="16"/>
  <c r="T39" i="16"/>
  <c r="Z39" i="16" s="1"/>
  <c r="AT41" i="3"/>
  <c r="H41" i="9" l="1"/>
  <c r="T41" i="9" s="1"/>
  <c r="F41" i="15"/>
  <c r="O41" i="15" s="1"/>
  <c r="T41" i="15" s="1"/>
  <c r="F41" i="11"/>
  <c r="M41" i="11" s="1"/>
  <c r="P41" i="11" s="1"/>
  <c r="F41" i="7"/>
  <c r="O41" i="7" s="1"/>
  <c r="H41" i="16"/>
  <c r="T40" i="16"/>
  <c r="Z40" i="16" s="1"/>
  <c r="AT42" i="3"/>
  <c r="H42" i="9" l="1"/>
  <c r="T42" i="9" s="1"/>
  <c r="F42" i="15"/>
  <c r="O42" i="15" s="1"/>
  <c r="T42" i="15" s="1"/>
  <c r="F42" i="11"/>
  <c r="M42" i="11" s="1"/>
  <c r="P42" i="11" s="1"/>
  <c r="F42" i="7"/>
  <c r="O42" i="7" s="1"/>
  <c r="H42" i="16"/>
  <c r="T41" i="16"/>
  <c r="Z41" i="16" s="1"/>
  <c r="AT43" i="3"/>
  <c r="H43" i="9" l="1"/>
  <c r="T43" i="9" s="1"/>
  <c r="F43" i="15"/>
  <c r="O43" i="15" s="1"/>
  <c r="T43" i="15" s="1"/>
  <c r="F43" i="11"/>
  <c r="M43" i="11" s="1"/>
  <c r="P43" i="11" s="1"/>
  <c r="F43" i="7"/>
  <c r="O43" i="7" s="1"/>
  <c r="H43" i="16"/>
  <c r="T42" i="16"/>
  <c r="Z42" i="16" s="1"/>
  <c r="AT44" i="3"/>
  <c r="H44" i="9" l="1"/>
  <c r="T44" i="9" s="1"/>
  <c r="F44" i="15"/>
  <c r="O44" i="15" s="1"/>
  <c r="T44" i="15" s="1"/>
  <c r="F44" i="11"/>
  <c r="M44" i="11" s="1"/>
  <c r="P44" i="11" s="1"/>
  <c r="F44" i="7"/>
  <c r="O44" i="7" s="1"/>
  <c r="T43" i="16"/>
  <c r="Z43" i="16" s="1"/>
  <c r="H44" i="16"/>
  <c r="AT45" i="3"/>
  <c r="H45" i="9" l="1"/>
  <c r="T45" i="9" s="1"/>
  <c r="F45" i="15"/>
  <c r="O45" i="15" s="1"/>
  <c r="T45" i="15" s="1"/>
  <c r="F45" i="11"/>
  <c r="M45" i="11" s="1"/>
  <c r="P45" i="11" s="1"/>
  <c r="F45" i="7"/>
  <c r="O45" i="7" s="1"/>
  <c r="T44" i="16"/>
  <c r="Z44" i="16" s="1"/>
  <c r="H45" i="16"/>
  <c r="AT46" i="3"/>
  <c r="D2" i="7"/>
  <c r="M2" i="7" s="1"/>
  <c r="E2" i="9"/>
  <c r="Q2" i="9" s="1"/>
  <c r="D6" i="7"/>
  <c r="M6" i="7" s="1"/>
  <c r="E6" i="9"/>
  <c r="Q6" i="9" s="1"/>
  <c r="D10" i="7"/>
  <c r="M10" i="7" s="1"/>
  <c r="E10" i="9"/>
  <c r="Q10" i="9" s="1"/>
  <c r="D14" i="7"/>
  <c r="M14" i="7" s="1"/>
  <c r="E14" i="9"/>
  <c r="Q14" i="9" s="1"/>
  <c r="D22" i="7"/>
  <c r="M22" i="7" s="1"/>
  <c r="E22" i="9"/>
  <c r="Q22" i="9" s="1"/>
  <c r="D26" i="7"/>
  <c r="M26" i="7" s="1"/>
  <c r="E26" i="9"/>
  <c r="Q26" i="9" s="1"/>
  <c r="D28" i="7"/>
  <c r="M28" i="7" s="1"/>
  <c r="E28" i="9"/>
  <c r="Q28" i="9" s="1"/>
  <c r="D34" i="7"/>
  <c r="M34" i="7" s="1"/>
  <c r="E34" i="9"/>
  <c r="Q34" i="9" s="1"/>
  <c r="D38" i="7"/>
  <c r="M38" i="7" s="1"/>
  <c r="E38" i="9"/>
  <c r="Q38" i="9" s="1"/>
  <c r="D40" i="7"/>
  <c r="M40" i="7" s="1"/>
  <c r="E40" i="9"/>
  <c r="Q40" i="9" s="1"/>
  <c r="D46" i="7"/>
  <c r="M46" i="7" s="1"/>
  <c r="E46" i="9"/>
  <c r="Q46" i="9" s="1"/>
  <c r="D50" i="7"/>
  <c r="M50" i="7" s="1"/>
  <c r="E50" i="9"/>
  <c r="Q50" i="9" s="1"/>
  <c r="D54" i="7"/>
  <c r="M54" i="7" s="1"/>
  <c r="E54" i="9"/>
  <c r="Q54" i="9" s="1"/>
  <c r="D56" i="7"/>
  <c r="M56" i="7" s="1"/>
  <c r="E56" i="9"/>
  <c r="Q56" i="9" s="1"/>
  <c r="D58" i="7"/>
  <c r="M58" i="7" s="1"/>
  <c r="E58" i="9"/>
  <c r="Q58" i="9" s="1"/>
  <c r="D62" i="7"/>
  <c r="M62" i="7" s="1"/>
  <c r="E62" i="9"/>
  <c r="Q62" i="9" s="1"/>
  <c r="D66" i="7"/>
  <c r="M66" i="7" s="1"/>
  <c r="E66" i="9"/>
  <c r="Q66" i="9" s="1"/>
  <c r="D68" i="7"/>
  <c r="M68" i="7" s="1"/>
  <c r="E68" i="9"/>
  <c r="Q68" i="9" s="1"/>
  <c r="D72" i="7"/>
  <c r="M72" i="7" s="1"/>
  <c r="E72" i="9"/>
  <c r="Q72" i="9" s="1"/>
  <c r="D76" i="7"/>
  <c r="M76" i="7" s="1"/>
  <c r="E76" i="9"/>
  <c r="Q76" i="9" s="1"/>
  <c r="D80" i="7"/>
  <c r="M80" i="7" s="1"/>
  <c r="E80" i="9"/>
  <c r="Q80" i="9" s="1"/>
  <c r="D84" i="7"/>
  <c r="M84" i="7" s="1"/>
  <c r="E84" i="9"/>
  <c r="Q84" i="9" s="1"/>
  <c r="G3" i="7"/>
  <c r="P3" i="7" s="1"/>
  <c r="E4" i="7"/>
  <c r="N4" i="7" s="1"/>
  <c r="F4" i="9"/>
  <c r="R4" i="9" s="1"/>
  <c r="G7" i="7"/>
  <c r="P7" i="7" s="1"/>
  <c r="E8" i="7"/>
  <c r="N8" i="7" s="1"/>
  <c r="F8" i="9"/>
  <c r="R8" i="9" s="1"/>
  <c r="G11" i="7"/>
  <c r="P11" i="7" s="1"/>
  <c r="E12" i="7"/>
  <c r="N12" i="7" s="1"/>
  <c r="F12" i="9"/>
  <c r="R12" i="9" s="1"/>
  <c r="G15" i="7"/>
  <c r="P15" i="7" s="1"/>
  <c r="E16" i="7"/>
  <c r="N16" i="7" s="1"/>
  <c r="F16" i="9"/>
  <c r="R16" i="9" s="1"/>
  <c r="G17" i="7"/>
  <c r="P17" i="7" s="1"/>
  <c r="E18" i="7"/>
  <c r="N18" i="7" s="1"/>
  <c r="F18" i="9"/>
  <c r="R18" i="9" s="1"/>
  <c r="G21" i="7"/>
  <c r="P21" i="7" s="1"/>
  <c r="E22" i="7"/>
  <c r="N22" i="7" s="1"/>
  <c r="F22" i="9"/>
  <c r="R22" i="9" s="1"/>
  <c r="G25" i="7"/>
  <c r="P25" i="7" s="1"/>
  <c r="E26" i="7"/>
  <c r="N26" i="7" s="1"/>
  <c r="F26" i="9"/>
  <c r="R26" i="9" s="1"/>
  <c r="G27" i="7"/>
  <c r="P27" i="7" s="1"/>
  <c r="E28" i="7"/>
  <c r="N28" i="7" s="1"/>
  <c r="F28" i="9"/>
  <c r="R28" i="9" s="1"/>
  <c r="G31" i="7"/>
  <c r="P31" i="7" s="1"/>
  <c r="E32" i="7"/>
  <c r="N32" i="7" s="1"/>
  <c r="F32" i="9"/>
  <c r="R32" i="9" s="1"/>
  <c r="G35" i="7"/>
  <c r="P35" i="7" s="1"/>
  <c r="E36" i="7"/>
  <c r="N36" i="7" s="1"/>
  <c r="F36" i="9"/>
  <c r="R36" i="9" s="1"/>
  <c r="G41" i="7"/>
  <c r="P41" i="7" s="1"/>
  <c r="E42" i="7"/>
  <c r="N42" i="7" s="1"/>
  <c r="F42" i="9"/>
  <c r="R42" i="9" s="1"/>
  <c r="G45" i="7"/>
  <c r="P45" i="7" s="1"/>
  <c r="E46" i="7"/>
  <c r="N46" i="7" s="1"/>
  <c r="F46" i="9"/>
  <c r="R46" i="9" s="1"/>
  <c r="G49" i="7"/>
  <c r="P49" i="7" s="1"/>
  <c r="E50" i="7"/>
  <c r="N50" i="7" s="1"/>
  <c r="F50" i="9"/>
  <c r="R50" i="9" s="1"/>
  <c r="G51" i="7"/>
  <c r="P51" i="7" s="1"/>
  <c r="E52" i="7"/>
  <c r="N52" i="7" s="1"/>
  <c r="F52" i="9"/>
  <c r="R52" i="9" s="1"/>
  <c r="G53" i="7"/>
  <c r="P53" i="7" s="1"/>
  <c r="E54" i="7"/>
  <c r="N54" i="7" s="1"/>
  <c r="F54" i="9"/>
  <c r="R54" i="9" s="1"/>
  <c r="G55" i="7"/>
  <c r="P55" i="7" s="1"/>
  <c r="E56" i="7"/>
  <c r="N56" i="7" s="1"/>
  <c r="F56" i="9"/>
  <c r="R56" i="9" s="1"/>
  <c r="E60" i="7"/>
  <c r="N60" i="7" s="1"/>
  <c r="F60" i="9"/>
  <c r="R60" i="9" s="1"/>
  <c r="G63" i="7"/>
  <c r="P63" i="7" s="1"/>
  <c r="E64" i="7"/>
  <c r="N64" i="7" s="1"/>
  <c r="F64" i="9"/>
  <c r="R64" i="9" s="1"/>
  <c r="G65" i="7"/>
  <c r="P65" i="7" s="1"/>
  <c r="G67" i="7"/>
  <c r="P67" i="7" s="1"/>
  <c r="E68" i="7"/>
  <c r="N68" i="7" s="1"/>
  <c r="F68" i="9"/>
  <c r="R68" i="9" s="1"/>
  <c r="E70" i="7"/>
  <c r="N70" i="7" s="1"/>
  <c r="F70" i="9"/>
  <c r="R70" i="9" s="1"/>
  <c r="G71" i="7"/>
  <c r="P71" i="7" s="1"/>
  <c r="E72" i="7"/>
  <c r="N72" i="7" s="1"/>
  <c r="F72" i="9"/>
  <c r="R72" i="9" s="1"/>
  <c r="G73" i="7"/>
  <c r="P73" i="7" s="1"/>
  <c r="E74" i="7"/>
  <c r="N74" i="7" s="1"/>
  <c r="F74" i="9"/>
  <c r="R74" i="9" s="1"/>
  <c r="G75" i="7"/>
  <c r="P75" i="7" s="1"/>
  <c r="E76" i="7"/>
  <c r="N76" i="7" s="1"/>
  <c r="F76" i="9"/>
  <c r="R76" i="9" s="1"/>
  <c r="G77" i="7"/>
  <c r="P77" i="7" s="1"/>
  <c r="E78" i="7"/>
  <c r="N78" i="7" s="1"/>
  <c r="F78" i="9"/>
  <c r="R78" i="9" s="1"/>
  <c r="G79" i="7"/>
  <c r="P79" i="7" s="1"/>
  <c r="E80" i="7"/>
  <c r="N80" i="7" s="1"/>
  <c r="F80" i="9"/>
  <c r="R80" i="9" s="1"/>
  <c r="G81" i="7"/>
  <c r="P81" i="7" s="1"/>
  <c r="E82" i="7"/>
  <c r="N82" i="7" s="1"/>
  <c r="F82" i="9"/>
  <c r="R82" i="9" s="1"/>
  <c r="G83" i="7"/>
  <c r="P83" i="7" s="1"/>
  <c r="E84" i="7"/>
  <c r="N84" i="7" s="1"/>
  <c r="F84" i="9"/>
  <c r="R84" i="9" s="1"/>
  <c r="G85" i="7"/>
  <c r="P85" i="7" s="1"/>
  <c r="D3" i="7"/>
  <c r="M3" i="7" s="1"/>
  <c r="E3" i="9"/>
  <c r="Q3" i="9" s="1"/>
  <c r="D5" i="7"/>
  <c r="M5" i="7" s="1"/>
  <c r="E5" i="9"/>
  <c r="Q5" i="9" s="1"/>
  <c r="D7" i="7"/>
  <c r="M7" i="7" s="1"/>
  <c r="E7" i="9"/>
  <c r="Q7" i="9" s="1"/>
  <c r="D9" i="7"/>
  <c r="M9" i="7" s="1"/>
  <c r="E9" i="9"/>
  <c r="Q9" i="9" s="1"/>
  <c r="D11" i="7"/>
  <c r="M11" i="7" s="1"/>
  <c r="E11" i="9"/>
  <c r="Q11" i="9" s="1"/>
  <c r="D13" i="7"/>
  <c r="M13" i="7" s="1"/>
  <c r="E13" i="9"/>
  <c r="Q13" i="9" s="1"/>
  <c r="D15" i="7"/>
  <c r="M15" i="7" s="1"/>
  <c r="E15" i="9"/>
  <c r="Q15" i="9" s="1"/>
  <c r="D17" i="7"/>
  <c r="M17" i="7" s="1"/>
  <c r="E17" i="9"/>
  <c r="Q17" i="9" s="1"/>
  <c r="D19" i="7"/>
  <c r="M19" i="7" s="1"/>
  <c r="E19" i="9"/>
  <c r="Q19" i="9" s="1"/>
  <c r="D21" i="7"/>
  <c r="M21" i="7" s="1"/>
  <c r="E21" i="9"/>
  <c r="Q21" i="9" s="1"/>
  <c r="D23" i="7"/>
  <c r="M23" i="7" s="1"/>
  <c r="E23" i="9"/>
  <c r="Q23" i="9" s="1"/>
  <c r="D25" i="7"/>
  <c r="M25" i="7" s="1"/>
  <c r="E25" i="9"/>
  <c r="Q25" i="9" s="1"/>
  <c r="D27" i="7"/>
  <c r="M27" i="7" s="1"/>
  <c r="E27" i="9"/>
  <c r="Q27" i="9" s="1"/>
  <c r="D29" i="7"/>
  <c r="M29" i="7" s="1"/>
  <c r="E29" i="9"/>
  <c r="Q29" i="9" s="1"/>
  <c r="D31" i="7"/>
  <c r="M31" i="7" s="1"/>
  <c r="E31" i="9"/>
  <c r="Q31" i="9" s="1"/>
  <c r="D33" i="7"/>
  <c r="M33" i="7" s="1"/>
  <c r="E33" i="9"/>
  <c r="Q33" i="9" s="1"/>
  <c r="D35" i="7"/>
  <c r="M35" i="7" s="1"/>
  <c r="E35" i="9"/>
  <c r="Q35" i="9" s="1"/>
  <c r="D37" i="7"/>
  <c r="M37" i="7" s="1"/>
  <c r="E37" i="9"/>
  <c r="Q37" i="9" s="1"/>
  <c r="D39" i="7"/>
  <c r="M39" i="7" s="1"/>
  <c r="E39" i="9"/>
  <c r="Q39" i="9" s="1"/>
  <c r="D41" i="7"/>
  <c r="M41" i="7" s="1"/>
  <c r="E41" i="9"/>
  <c r="Q41" i="9" s="1"/>
  <c r="D43" i="7"/>
  <c r="M43" i="7" s="1"/>
  <c r="E43" i="9"/>
  <c r="Q43" i="9" s="1"/>
  <c r="D45" i="7"/>
  <c r="M45" i="7" s="1"/>
  <c r="E45" i="9"/>
  <c r="Q45" i="9" s="1"/>
  <c r="D47" i="7"/>
  <c r="M47" i="7" s="1"/>
  <c r="E47" i="9"/>
  <c r="Q47" i="9" s="1"/>
  <c r="D49" i="7"/>
  <c r="M49" i="7" s="1"/>
  <c r="E49" i="9"/>
  <c r="Q49" i="9" s="1"/>
  <c r="D51" i="7"/>
  <c r="M51" i="7" s="1"/>
  <c r="E51" i="9"/>
  <c r="Q51" i="9" s="1"/>
  <c r="D53" i="7"/>
  <c r="M53" i="7" s="1"/>
  <c r="E53" i="9"/>
  <c r="Q53" i="9" s="1"/>
  <c r="D55" i="7"/>
  <c r="M55" i="7" s="1"/>
  <c r="E55" i="9"/>
  <c r="Q55" i="9" s="1"/>
  <c r="D57" i="7"/>
  <c r="M57" i="7" s="1"/>
  <c r="E57" i="9"/>
  <c r="Q57" i="9" s="1"/>
  <c r="D59" i="7"/>
  <c r="M59" i="7" s="1"/>
  <c r="E59" i="9"/>
  <c r="Q59" i="9" s="1"/>
  <c r="D61" i="7"/>
  <c r="M61" i="7" s="1"/>
  <c r="E61" i="9"/>
  <c r="Q61" i="9" s="1"/>
  <c r="D63" i="7"/>
  <c r="M63" i="7" s="1"/>
  <c r="E63" i="9"/>
  <c r="Q63" i="9" s="1"/>
  <c r="D65" i="7"/>
  <c r="M65" i="7" s="1"/>
  <c r="E65" i="9"/>
  <c r="Q65" i="9" s="1"/>
  <c r="D67" i="7"/>
  <c r="M67" i="7" s="1"/>
  <c r="E67" i="9"/>
  <c r="Q67" i="9" s="1"/>
  <c r="D69" i="7"/>
  <c r="M69" i="7" s="1"/>
  <c r="E69" i="9"/>
  <c r="Q69" i="9" s="1"/>
  <c r="D71" i="7"/>
  <c r="M71" i="7" s="1"/>
  <c r="E71" i="9"/>
  <c r="Q71" i="9" s="1"/>
  <c r="D73" i="7"/>
  <c r="M73" i="7" s="1"/>
  <c r="E73" i="9"/>
  <c r="Q73" i="9" s="1"/>
  <c r="D75" i="7"/>
  <c r="M75" i="7" s="1"/>
  <c r="E75" i="9"/>
  <c r="Q75" i="9" s="1"/>
  <c r="D77" i="7"/>
  <c r="M77" i="7" s="1"/>
  <c r="E77" i="9"/>
  <c r="Q77" i="9" s="1"/>
  <c r="D79" i="7"/>
  <c r="M79" i="7" s="1"/>
  <c r="E79" i="9"/>
  <c r="Q79" i="9" s="1"/>
  <c r="D81" i="7"/>
  <c r="M81" i="7" s="1"/>
  <c r="E81" i="9"/>
  <c r="Q81" i="9" s="1"/>
  <c r="D83" i="7"/>
  <c r="M83" i="7" s="1"/>
  <c r="E83" i="9"/>
  <c r="Q83" i="9" s="1"/>
  <c r="D85" i="7"/>
  <c r="M85" i="7" s="1"/>
  <c r="E85" i="9"/>
  <c r="Q85" i="9" s="1"/>
  <c r="D4" i="7"/>
  <c r="M4" i="7" s="1"/>
  <c r="E4" i="9"/>
  <c r="Q4" i="9" s="1"/>
  <c r="Z4" i="9" s="1"/>
  <c r="D8" i="7"/>
  <c r="M8" i="7" s="1"/>
  <c r="E8" i="9"/>
  <c r="Q8" i="9" s="1"/>
  <c r="Z8" i="9" s="1"/>
  <c r="D12" i="7"/>
  <c r="M12" i="7" s="1"/>
  <c r="E12" i="9"/>
  <c r="Q12" i="9" s="1"/>
  <c r="D16" i="7"/>
  <c r="M16" i="7" s="1"/>
  <c r="E16" i="9"/>
  <c r="Q16" i="9" s="1"/>
  <c r="D18" i="7"/>
  <c r="M18" i="7" s="1"/>
  <c r="E18" i="9"/>
  <c r="Q18" i="9" s="1"/>
  <c r="Z18" i="9" s="1"/>
  <c r="D20" i="7"/>
  <c r="M20" i="7" s="1"/>
  <c r="E20" i="9"/>
  <c r="Q20" i="9" s="1"/>
  <c r="D24" i="7"/>
  <c r="M24" i="7" s="1"/>
  <c r="E24" i="9"/>
  <c r="Q24" i="9" s="1"/>
  <c r="D30" i="7"/>
  <c r="M30" i="7" s="1"/>
  <c r="E30" i="9"/>
  <c r="Q30" i="9" s="1"/>
  <c r="D32" i="7"/>
  <c r="M32" i="7" s="1"/>
  <c r="E32" i="9"/>
  <c r="Q32" i="9" s="1"/>
  <c r="Z32" i="9" s="1"/>
  <c r="D36" i="7"/>
  <c r="M36" i="7" s="1"/>
  <c r="E36" i="9"/>
  <c r="Q36" i="9" s="1"/>
  <c r="Z36" i="9" s="1"/>
  <c r="D42" i="7"/>
  <c r="M42" i="7" s="1"/>
  <c r="E42" i="9"/>
  <c r="Q42" i="9" s="1"/>
  <c r="D44" i="7"/>
  <c r="M44" i="7" s="1"/>
  <c r="E44" i="9"/>
  <c r="Q44" i="9" s="1"/>
  <c r="D48" i="7"/>
  <c r="M48" i="7" s="1"/>
  <c r="E48" i="9"/>
  <c r="Q48" i="9" s="1"/>
  <c r="D52" i="7"/>
  <c r="M52" i="7" s="1"/>
  <c r="E52" i="9"/>
  <c r="Q52" i="9" s="1"/>
  <c r="D60" i="7"/>
  <c r="M60" i="7" s="1"/>
  <c r="E60" i="9"/>
  <c r="Q60" i="9" s="1"/>
  <c r="D64" i="7"/>
  <c r="M64" i="7" s="1"/>
  <c r="E64" i="9"/>
  <c r="Q64" i="9" s="1"/>
  <c r="D70" i="7"/>
  <c r="M70" i="7" s="1"/>
  <c r="E70" i="9"/>
  <c r="Q70" i="9" s="1"/>
  <c r="D74" i="7"/>
  <c r="M74" i="7" s="1"/>
  <c r="E74" i="9"/>
  <c r="Q74" i="9" s="1"/>
  <c r="D78" i="7"/>
  <c r="M78" i="7" s="1"/>
  <c r="E78" i="9"/>
  <c r="Q78" i="9" s="1"/>
  <c r="D82" i="7"/>
  <c r="M82" i="7" s="1"/>
  <c r="E82" i="9"/>
  <c r="Q82" i="9" s="1"/>
  <c r="E2" i="7"/>
  <c r="N2" i="7" s="1"/>
  <c r="F2" i="9"/>
  <c r="R2" i="9" s="1"/>
  <c r="G5" i="7"/>
  <c r="P5" i="7" s="1"/>
  <c r="E6" i="7"/>
  <c r="N6" i="7" s="1"/>
  <c r="F6" i="9"/>
  <c r="R6" i="9" s="1"/>
  <c r="G9" i="7"/>
  <c r="P9" i="7" s="1"/>
  <c r="E10" i="7"/>
  <c r="N10" i="7" s="1"/>
  <c r="F10" i="9"/>
  <c r="R10" i="9" s="1"/>
  <c r="G13" i="7"/>
  <c r="P13" i="7" s="1"/>
  <c r="E14" i="7"/>
  <c r="N14" i="7" s="1"/>
  <c r="F14" i="9"/>
  <c r="R14" i="9" s="1"/>
  <c r="G19" i="7"/>
  <c r="P19" i="7" s="1"/>
  <c r="E20" i="7"/>
  <c r="N20" i="7" s="1"/>
  <c r="F20" i="9"/>
  <c r="R20" i="9" s="1"/>
  <c r="G23" i="7"/>
  <c r="P23" i="7" s="1"/>
  <c r="E24" i="7"/>
  <c r="N24" i="7" s="1"/>
  <c r="F24" i="9"/>
  <c r="R24" i="9" s="1"/>
  <c r="G29" i="7"/>
  <c r="P29" i="7" s="1"/>
  <c r="E30" i="7"/>
  <c r="N30" i="7" s="1"/>
  <c r="F30" i="9"/>
  <c r="R30" i="9" s="1"/>
  <c r="G33" i="7"/>
  <c r="P33" i="7" s="1"/>
  <c r="E34" i="7"/>
  <c r="N34" i="7" s="1"/>
  <c r="F34" i="9"/>
  <c r="R34" i="9" s="1"/>
  <c r="G37" i="7"/>
  <c r="P37" i="7" s="1"/>
  <c r="E38" i="7"/>
  <c r="N38" i="7" s="1"/>
  <c r="F38" i="9"/>
  <c r="R38" i="9" s="1"/>
  <c r="G39" i="7"/>
  <c r="P39" i="7" s="1"/>
  <c r="E40" i="7"/>
  <c r="N40" i="7" s="1"/>
  <c r="F40" i="9"/>
  <c r="R40" i="9" s="1"/>
  <c r="G43" i="7"/>
  <c r="P43" i="7" s="1"/>
  <c r="E44" i="7"/>
  <c r="N44" i="7" s="1"/>
  <c r="F44" i="9"/>
  <c r="R44" i="9" s="1"/>
  <c r="G47" i="7"/>
  <c r="P47" i="7" s="1"/>
  <c r="E48" i="7"/>
  <c r="N48" i="7" s="1"/>
  <c r="F48" i="9"/>
  <c r="R48" i="9" s="1"/>
  <c r="G57" i="7"/>
  <c r="P57" i="7" s="1"/>
  <c r="E58" i="7"/>
  <c r="N58" i="7" s="1"/>
  <c r="F58" i="9"/>
  <c r="R58" i="9" s="1"/>
  <c r="G59" i="7"/>
  <c r="P59" i="7" s="1"/>
  <c r="G61" i="7"/>
  <c r="P61" i="7" s="1"/>
  <c r="E62" i="7"/>
  <c r="N62" i="7" s="1"/>
  <c r="F62" i="9"/>
  <c r="R62" i="9" s="1"/>
  <c r="E66" i="7"/>
  <c r="N66" i="7" s="1"/>
  <c r="F66" i="9"/>
  <c r="R66" i="9" s="1"/>
  <c r="G69" i="7"/>
  <c r="P69" i="7" s="1"/>
  <c r="G2" i="7"/>
  <c r="P2" i="7" s="1"/>
  <c r="E3" i="7"/>
  <c r="N3" i="7" s="1"/>
  <c r="F3" i="9"/>
  <c r="R3" i="9" s="1"/>
  <c r="G4" i="7"/>
  <c r="P4" i="7" s="1"/>
  <c r="E5" i="7"/>
  <c r="N5" i="7" s="1"/>
  <c r="F5" i="9"/>
  <c r="R5" i="9" s="1"/>
  <c r="G6" i="7"/>
  <c r="P6" i="7" s="1"/>
  <c r="E7" i="7"/>
  <c r="N7" i="7" s="1"/>
  <c r="F7" i="9"/>
  <c r="R7" i="9" s="1"/>
  <c r="G8" i="7"/>
  <c r="P8" i="7" s="1"/>
  <c r="E9" i="7"/>
  <c r="N9" i="7" s="1"/>
  <c r="F9" i="9"/>
  <c r="R9" i="9" s="1"/>
  <c r="G10" i="7"/>
  <c r="P10" i="7" s="1"/>
  <c r="E11" i="7"/>
  <c r="N11" i="7" s="1"/>
  <c r="F11" i="9"/>
  <c r="R11" i="9" s="1"/>
  <c r="G12" i="7"/>
  <c r="P12" i="7" s="1"/>
  <c r="E13" i="7"/>
  <c r="N13" i="7" s="1"/>
  <c r="F13" i="9"/>
  <c r="R13" i="9" s="1"/>
  <c r="G14" i="7"/>
  <c r="P14" i="7" s="1"/>
  <c r="E15" i="7"/>
  <c r="N15" i="7" s="1"/>
  <c r="F15" i="9"/>
  <c r="R15" i="9" s="1"/>
  <c r="G16" i="7"/>
  <c r="P16" i="7" s="1"/>
  <c r="E17" i="7"/>
  <c r="N17" i="7" s="1"/>
  <c r="F17" i="9"/>
  <c r="R17" i="9" s="1"/>
  <c r="G18" i="7"/>
  <c r="P18" i="7" s="1"/>
  <c r="E19" i="7"/>
  <c r="N19" i="7" s="1"/>
  <c r="F19" i="9"/>
  <c r="R19" i="9" s="1"/>
  <c r="G20" i="7"/>
  <c r="P20" i="7" s="1"/>
  <c r="E21" i="7"/>
  <c r="N21" i="7" s="1"/>
  <c r="F21" i="9"/>
  <c r="R21" i="9" s="1"/>
  <c r="G22" i="7"/>
  <c r="P22" i="7" s="1"/>
  <c r="E23" i="7"/>
  <c r="N23" i="7" s="1"/>
  <c r="F23" i="9"/>
  <c r="R23" i="9" s="1"/>
  <c r="G24" i="7"/>
  <c r="P24" i="7" s="1"/>
  <c r="E25" i="7"/>
  <c r="N25" i="7" s="1"/>
  <c r="F25" i="9"/>
  <c r="R25" i="9" s="1"/>
  <c r="G26" i="7"/>
  <c r="P26" i="7" s="1"/>
  <c r="E27" i="7"/>
  <c r="N27" i="7" s="1"/>
  <c r="F27" i="9"/>
  <c r="R27" i="9" s="1"/>
  <c r="G28" i="7"/>
  <c r="P28" i="7" s="1"/>
  <c r="E29" i="7"/>
  <c r="N29" i="7" s="1"/>
  <c r="F29" i="9"/>
  <c r="R29" i="9" s="1"/>
  <c r="G30" i="7"/>
  <c r="P30" i="7" s="1"/>
  <c r="E31" i="7"/>
  <c r="N31" i="7" s="1"/>
  <c r="F31" i="9"/>
  <c r="R31" i="9" s="1"/>
  <c r="G32" i="7"/>
  <c r="P32" i="7" s="1"/>
  <c r="E33" i="7"/>
  <c r="N33" i="7" s="1"/>
  <c r="F33" i="9"/>
  <c r="R33" i="9" s="1"/>
  <c r="G34" i="7"/>
  <c r="P34" i="7" s="1"/>
  <c r="E35" i="7"/>
  <c r="N35" i="7" s="1"/>
  <c r="F35" i="9"/>
  <c r="R35" i="9" s="1"/>
  <c r="G36" i="7"/>
  <c r="P36" i="7" s="1"/>
  <c r="E37" i="7"/>
  <c r="N37" i="7" s="1"/>
  <c r="F37" i="9"/>
  <c r="R37" i="9" s="1"/>
  <c r="G38" i="7"/>
  <c r="P38" i="7" s="1"/>
  <c r="E39" i="7"/>
  <c r="N39" i="7" s="1"/>
  <c r="F39" i="9"/>
  <c r="R39" i="9" s="1"/>
  <c r="G40" i="7"/>
  <c r="P40" i="7" s="1"/>
  <c r="E41" i="7"/>
  <c r="N41" i="7" s="1"/>
  <c r="F41" i="9"/>
  <c r="R41" i="9" s="1"/>
  <c r="G42" i="7"/>
  <c r="P42" i="7" s="1"/>
  <c r="E43" i="7"/>
  <c r="N43" i="7" s="1"/>
  <c r="F43" i="9"/>
  <c r="R43" i="9" s="1"/>
  <c r="G44" i="7"/>
  <c r="P44" i="7" s="1"/>
  <c r="E45" i="7"/>
  <c r="N45" i="7" s="1"/>
  <c r="F45" i="9"/>
  <c r="R45" i="9" s="1"/>
  <c r="G46" i="7"/>
  <c r="P46" i="7" s="1"/>
  <c r="E47" i="7"/>
  <c r="N47" i="7" s="1"/>
  <c r="F47" i="9"/>
  <c r="R47" i="9" s="1"/>
  <c r="G48" i="7"/>
  <c r="P48" i="7" s="1"/>
  <c r="E49" i="7"/>
  <c r="N49" i="7" s="1"/>
  <c r="F49" i="9"/>
  <c r="R49" i="9" s="1"/>
  <c r="G50" i="7"/>
  <c r="P50" i="7" s="1"/>
  <c r="E51" i="7"/>
  <c r="N51" i="7" s="1"/>
  <c r="F51" i="9"/>
  <c r="R51" i="9" s="1"/>
  <c r="G52" i="7"/>
  <c r="P52" i="7" s="1"/>
  <c r="E53" i="7"/>
  <c r="N53" i="7" s="1"/>
  <c r="F53" i="9"/>
  <c r="R53" i="9" s="1"/>
  <c r="G54" i="7"/>
  <c r="P54" i="7" s="1"/>
  <c r="E55" i="7"/>
  <c r="N55" i="7" s="1"/>
  <c r="F55" i="9"/>
  <c r="R55" i="9" s="1"/>
  <c r="G56" i="7"/>
  <c r="P56" i="7" s="1"/>
  <c r="E57" i="7"/>
  <c r="N57" i="7" s="1"/>
  <c r="F57" i="9"/>
  <c r="R57" i="9" s="1"/>
  <c r="G58" i="7"/>
  <c r="P58" i="7" s="1"/>
  <c r="E59" i="7"/>
  <c r="N59" i="7" s="1"/>
  <c r="F59" i="9"/>
  <c r="R59" i="9" s="1"/>
  <c r="G60" i="7"/>
  <c r="P60" i="7" s="1"/>
  <c r="E61" i="7"/>
  <c r="N61" i="7" s="1"/>
  <c r="F61" i="9"/>
  <c r="R61" i="9" s="1"/>
  <c r="G62" i="7"/>
  <c r="P62" i="7" s="1"/>
  <c r="E63" i="7"/>
  <c r="N63" i="7" s="1"/>
  <c r="F63" i="9"/>
  <c r="R63" i="9" s="1"/>
  <c r="G64" i="7"/>
  <c r="P64" i="7" s="1"/>
  <c r="E65" i="7"/>
  <c r="N65" i="7" s="1"/>
  <c r="F65" i="9"/>
  <c r="R65" i="9" s="1"/>
  <c r="G66" i="7"/>
  <c r="P66" i="7" s="1"/>
  <c r="E67" i="7"/>
  <c r="N67" i="7" s="1"/>
  <c r="F67" i="9"/>
  <c r="R67" i="9" s="1"/>
  <c r="G68" i="7"/>
  <c r="P68" i="7" s="1"/>
  <c r="E69" i="7"/>
  <c r="N69" i="7" s="1"/>
  <c r="F69" i="9"/>
  <c r="R69" i="9" s="1"/>
  <c r="G70" i="7"/>
  <c r="P70" i="7" s="1"/>
  <c r="E71" i="7"/>
  <c r="N71" i="7" s="1"/>
  <c r="F71" i="9"/>
  <c r="R71" i="9" s="1"/>
  <c r="G72" i="7"/>
  <c r="P72" i="7" s="1"/>
  <c r="E73" i="7"/>
  <c r="N73" i="7" s="1"/>
  <c r="F73" i="9"/>
  <c r="R73" i="9" s="1"/>
  <c r="G74" i="7"/>
  <c r="P74" i="7" s="1"/>
  <c r="E75" i="7"/>
  <c r="N75" i="7" s="1"/>
  <c r="F75" i="9"/>
  <c r="R75" i="9" s="1"/>
  <c r="G76" i="7"/>
  <c r="P76" i="7" s="1"/>
  <c r="E77" i="7"/>
  <c r="N77" i="7" s="1"/>
  <c r="F77" i="9"/>
  <c r="R77" i="9" s="1"/>
  <c r="G78" i="7"/>
  <c r="P78" i="7" s="1"/>
  <c r="E79" i="7"/>
  <c r="N79" i="7" s="1"/>
  <c r="F79" i="9"/>
  <c r="R79" i="9" s="1"/>
  <c r="G80" i="7"/>
  <c r="P80" i="7" s="1"/>
  <c r="E81" i="7"/>
  <c r="N81" i="7" s="1"/>
  <c r="F81" i="9"/>
  <c r="R81" i="9" s="1"/>
  <c r="G82" i="7"/>
  <c r="P82" i="7" s="1"/>
  <c r="E83" i="7"/>
  <c r="N83" i="7" s="1"/>
  <c r="F83" i="9"/>
  <c r="R83" i="9" s="1"/>
  <c r="G84" i="7"/>
  <c r="P84" i="7" s="1"/>
  <c r="E85" i="7"/>
  <c r="N85" i="7" s="1"/>
  <c r="F85" i="9"/>
  <c r="R85" i="9" s="1"/>
  <c r="A1" i="15"/>
  <c r="A1" i="11"/>
  <c r="A1" i="7"/>
  <c r="F143" i="2"/>
  <c r="O95" i="3" s="1"/>
  <c r="F142" i="2"/>
  <c r="O94" i="3" s="1"/>
  <c r="F141" i="2"/>
  <c r="O93" i="3" s="1"/>
  <c r="F140" i="2"/>
  <c r="O92" i="3" s="1"/>
  <c r="F139" i="2"/>
  <c r="O91" i="3" s="1"/>
  <c r="F138" i="2"/>
  <c r="O90" i="3" s="1"/>
  <c r="F137" i="2"/>
  <c r="O89" i="3" s="1"/>
  <c r="F136" i="2"/>
  <c r="O88" i="3" s="1"/>
  <c r="F135" i="2"/>
  <c r="O87" i="3" s="1"/>
  <c r="F134" i="2"/>
  <c r="O86" i="3" s="1"/>
  <c r="F133" i="2"/>
  <c r="O85" i="3" s="1"/>
  <c r="F132" i="2"/>
  <c r="O84" i="3" s="1"/>
  <c r="F131" i="2"/>
  <c r="O83" i="3" s="1"/>
  <c r="F130" i="2"/>
  <c r="O82" i="3" s="1"/>
  <c r="F129" i="2"/>
  <c r="O81" i="3" s="1"/>
  <c r="F128" i="2"/>
  <c r="O80" i="3" s="1"/>
  <c r="F127" i="2"/>
  <c r="O79" i="3" s="1"/>
  <c r="F126" i="2"/>
  <c r="O78" i="3" s="1"/>
  <c r="F125" i="2"/>
  <c r="O77" i="3" s="1"/>
  <c r="F124" i="2"/>
  <c r="O76" i="3" s="1"/>
  <c r="F123" i="2"/>
  <c r="O75" i="3" s="1"/>
  <c r="F122" i="2"/>
  <c r="O74" i="3" s="1"/>
  <c r="F121" i="2"/>
  <c r="O73" i="3" s="1"/>
  <c r="F120" i="2"/>
  <c r="O72" i="3" s="1"/>
  <c r="F119" i="2"/>
  <c r="O71" i="3" s="1"/>
  <c r="F118" i="2"/>
  <c r="O70" i="3" s="1"/>
  <c r="F117" i="2"/>
  <c r="O69" i="3" s="1"/>
  <c r="F116" i="2"/>
  <c r="O68" i="3" s="1"/>
  <c r="F115" i="2"/>
  <c r="O67" i="3" s="1"/>
  <c r="F114" i="2"/>
  <c r="O66" i="3" s="1"/>
  <c r="F113" i="2"/>
  <c r="O65" i="3" s="1"/>
  <c r="F112" i="2"/>
  <c r="O64" i="3" s="1"/>
  <c r="F111" i="2"/>
  <c r="O63" i="3" s="1"/>
  <c r="F110" i="2"/>
  <c r="O62" i="3" s="1"/>
  <c r="F109" i="2"/>
  <c r="O61" i="3" s="1"/>
  <c r="F108" i="2"/>
  <c r="O60" i="3" s="1"/>
  <c r="F107" i="2"/>
  <c r="O59" i="3" s="1"/>
  <c r="F106" i="2"/>
  <c r="O58" i="3" s="1"/>
  <c r="F105" i="2"/>
  <c r="O57" i="3" s="1"/>
  <c r="F104" i="2"/>
  <c r="O56" i="3" s="1"/>
  <c r="F103" i="2"/>
  <c r="O55" i="3" s="1"/>
  <c r="F102" i="2"/>
  <c r="O54" i="3" s="1"/>
  <c r="F101" i="2"/>
  <c r="O53" i="3" s="1"/>
  <c r="F100" i="2"/>
  <c r="O52" i="3" s="1"/>
  <c r="F99" i="2"/>
  <c r="O51" i="3" s="1"/>
  <c r="F98" i="2"/>
  <c r="O50" i="3" s="1"/>
  <c r="F97" i="2"/>
  <c r="O49" i="3" s="1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B143" i="2"/>
  <c r="C95" i="3" s="1"/>
  <c r="B142" i="2"/>
  <c r="C94" i="3" s="1"/>
  <c r="B141" i="2"/>
  <c r="C93" i="3" s="1"/>
  <c r="B140" i="2"/>
  <c r="C92" i="3" s="1"/>
  <c r="B139" i="2"/>
  <c r="C91" i="3" s="1"/>
  <c r="B138" i="2"/>
  <c r="C90" i="3" s="1"/>
  <c r="B137" i="2"/>
  <c r="C89" i="3" s="1"/>
  <c r="B136" i="2"/>
  <c r="C88" i="3" s="1"/>
  <c r="B135" i="2"/>
  <c r="C87" i="3" s="1"/>
  <c r="B134" i="2"/>
  <c r="C86" i="3" s="1"/>
  <c r="B133" i="2"/>
  <c r="C85" i="3" s="1"/>
  <c r="B132" i="2"/>
  <c r="C84" i="3" s="1"/>
  <c r="B131" i="2"/>
  <c r="C83" i="3" s="1"/>
  <c r="B130" i="2"/>
  <c r="C82" i="3" s="1"/>
  <c r="B129" i="2"/>
  <c r="C81" i="3" s="1"/>
  <c r="B128" i="2"/>
  <c r="C80" i="3" s="1"/>
  <c r="B127" i="2"/>
  <c r="C79" i="3" s="1"/>
  <c r="B126" i="2"/>
  <c r="C78" i="3" s="1"/>
  <c r="B125" i="2"/>
  <c r="C77" i="3" s="1"/>
  <c r="B124" i="2"/>
  <c r="C76" i="3" s="1"/>
  <c r="B123" i="2"/>
  <c r="C75" i="3" s="1"/>
  <c r="B122" i="2"/>
  <c r="C74" i="3" s="1"/>
  <c r="B121" i="2"/>
  <c r="C73" i="3" s="1"/>
  <c r="B120" i="2"/>
  <c r="C72" i="3" s="1"/>
  <c r="B119" i="2"/>
  <c r="C71" i="3" s="1"/>
  <c r="B118" i="2"/>
  <c r="C70" i="3" s="1"/>
  <c r="B117" i="2"/>
  <c r="C69" i="3" s="1"/>
  <c r="B116" i="2"/>
  <c r="C68" i="3" s="1"/>
  <c r="B115" i="2"/>
  <c r="C67" i="3" s="1"/>
  <c r="B114" i="2"/>
  <c r="B113" i="2"/>
  <c r="B112" i="2"/>
  <c r="C64" i="3" s="1"/>
  <c r="B111" i="2"/>
  <c r="C63" i="3" s="1"/>
  <c r="B110" i="2"/>
  <c r="C62" i="3" s="1"/>
  <c r="B109" i="2"/>
  <c r="C61" i="3" s="1"/>
  <c r="B108" i="2"/>
  <c r="C60" i="3" s="1"/>
  <c r="B107" i="2"/>
  <c r="C59" i="3" s="1"/>
  <c r="B106" i="2"/>
  <c r="C58" i="3" s="1"/>
  <c r="B105" i="2"/>
  <c r="C57" i="3" s="1"/>
  <c r="B104" i="2"/>
  <c r="C56" i="3" s="1"/>
  <c r="B103" i="2"/>
  <c r="C55" i="3" s="1"/>
  <c r="B102" i="2"/>
  <c r="C54" i="3" s="1"/>
  <c r="B101" i="2"/>
  <c r="C53" i="3" s="1"/>
  <c r="B100" i="2"/>
  <c r="C52" i="3" s="1"/>
  <c r="B99" i="2"/>
  <c r="C51" i="3" s="1"/>
  <c r="B98" i="2"/>
  <c r="C50" i="3" s="1"/>
  <c r="B97" i="2"/>
  <c r="C49" i="3" s="1"/>
  <c r="B96" i="2"/>
  <c r="C48" i="3" s="1"/>
  <c r="B95" i="2"/>
  <c r="C47" i="3" s="1"/>
  <c r="B94" i="2"/>
  <c r="C46" i="3" s="1"/>
  <c r="B93" i="2"/>
  <c r="C45" i="3" s="1"/>
  <c r="B92" i="2"/>
  <c r="C44" i="3" s="1"/>
  <c r="B91" i="2"/>
  <c r="C43" i="3" s="1"/>
  <c r="B90" i="2"/>
  <c r="C42" i="3" s="1"/>
  <c r="B89" i="2"/>
  <c r="C41" i="3" s="1"/>
  <c r="B88" i="2"/>
  <c r="C40" i="3" s="1"/>
  <c r="B87" i="2"/>
  <c r="C39" i="3" s="1"/>
  <c r="B86" i="2"/>
  <c r="C38" i="3" s="1"/>
  <c r="B85" i="2"/>
  <c r="C37" i="3" s="1"/>
  <c r="B84" i="2"/>
  <c r="C36" i="3" s="1"/>
  <c r="B83" i="2"/>
  <c r="C35" i="3" s="1"/>
  <c r="B82" i="2"/>
  <c r="C34" i="3" s="1"/>
  <c r="B81" i="2"/>
  <c r="C33" i="3" s="1"/>
  <c r="B80" i="2"/>
  <c r="C32" i="3" s="1"/>
  <c r="B79" i="2"/>
  <c r="C31" i="3" s="1"/>
  <c r="B78" i="2"/>
  <c r="C30" i="3" s="1"/>
  <c r="B77" i="2"/>
  <c r="C29" i="3" s="1"/>
  <c r="B76" i="2"/>
  <c r="C28" i="3" s="1"/>
  <c r="B75" i="2"/>
  <c r="C27" i="3" s="1"/>
  <c r="B74" i="2"/>
  <c r="C26" i="3" s="1"/>
  <c r="B73" i="2"/>
  <c r="C25" i="3" s="1"/>
  <c r="B72" i="2"/>
  <c r="C24" i="3" s="1"/>
  <c r="B71" i="2"/>
  <c r="C23" i="3" s="1"/>
  <c r="B70" i="2"/>
  <c r="C22" i="3" s="1"/>
  <c r="B69" i="2"/>
  <c r="C21" i="3" s="1"/>
  <c r="B68" i="2"/>
  <c r="C20" i="3" s="1"/>
  <c r="B67" i="2"/>
  <c r="C19" i="3" s="1"/>
  <c r="B66" i="2"/>
  <c r="C18" i="3" s="1"/>
  <c r="B65" i="2"/>
  <c r="C17" i="3" s="1"/>
  <c r="B64" i="2"/>
  <c r="C16" i="3" s="1"/>
  <c r="B63" i="2"/>
  <c r="C15" i="3" s="1"/>
  <c r="B62" i="2"/>
  <c r="C14" i="3" s="1"/>
  <c r="B61" i="2"/>
  <c r="C13" i="3" s="1"/>
  <c r="B60" i="2"/>
  <c r="C12" i="3" s="1"/>
  <c r="B59" i="2"/>
  <c r="C11" i="3" s="1"/>
  <c r="B58" i="2"/>
  <c r="C10" i="3" s="1"/>
  <c r="B57" i="2"/>
  <c r="C9" i="3" s="1"/>
  <c r="B56" i="2"/>
  <c r="C8" i="3" s="1"/>
  <c r="B55" i="2"/>
  <c r="C7" i="3" s="1"/>
  <c r="B54" i="2"/>
  <c r="C6" i="3" s="1"/>
  <c r="B53" i="2"/>
  <c r="C5" i="3" s="1"/>
  <c r="B52" i="2"/>
  <c r="C4" i="3" s="1"/>
  <c r="B51" i="2"/>
  <c r="C3" i="3" s="1"/>
  <c r="B50" i="2"/>
  <c r="C2" i="3" s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J143" i="2"/>
  <c r="U95" i="3" s="1"/>
  <c r="J142" i="2"/>
  <c r="U94" i="3" s="1"/>
  <c r="J141" i="2"/>
  <c r="U93" i="3" s="1"/>
  <c r="J140" i="2"/>
  <c r="U92" i="3" s="1"/>
  <c r="J139" i="2"/>
  <c r="U91" i="3" s="1"/>
  <c r="J138" i="2"/>
  <c r="U90" i="3" s="1"/>
  <c r="J137" i="2"/>
  <c r="U89" i="3" s="1"/>
  <c r="J136" i="2"/>
  <c r="U88" i="3" s="1"/>
  <c r="J135" i="2"/>
  <c r="U87" i="3" s="1"/>
  <c r="J134" i="2"/>
  <c r="U86" i="3" s="1"/>
  <c r="J131" i="2"/>
  <c r="U83" i="3" s="1"/>
  <c r="J130" i="2"/>
  <c r="U82" i="3" s="1"/>
  <c r="J129" i="2"/>
  <c r="U81" i="3" s="1"/>
  <c r="J128" i="2"/>
  <c r="U80" i="3" s="1"/>
  <c r="J127" i="2"/>
  <c r="U79" i="3" s="1"/>
  <c r="J126" i="2"/>
  <c r="U78" i="3" s="1"/>
  <c r="J125" i="2"/>
  <c r="U77" i="3" s="1"/>
  <c r="J124" i="2"/>
  <c r="U76" i="3" s="1"/>
  <c r="J123" i="2"/>
  <c r="U75" i="3" s="1"/>
  <c r="J122" i="2"/>
  <c r="U74" i="3" s="1"/>
  <c r="J121" i="2"/>
  <c r="U73" i="3" s="1"/>
  <c r="J120" i="2"/>
  <c r="U72" i="3" s="1"/>
  <c r="J119" i="2"/>
  <c r="U71" i="3" s="1"/>
  <c r="J118" i="2"/>
  <c r="U70" i="3" s="1"/>
  <c r="J117" i="2"/>
  <c r="U69" i="3" s="1"/>
  <c r="J116" i="2"/>
  <c r="U68" i="3" s="1"/>
  <c r="J115" i="2"/>
  <c r="U67" i="3" s="1"/>
  <c r="J114" i="2"/>
  <c r="J113" i="2"/>
  <c r="U65" i="3" s="1"/>
  <c r="J112" i="2"/>
  <c r="U64" i="3" s="1"/>
  <c r="J111" i="2"/>
  <c r="U63" i="3" s="1"/>
  <c r="J110" i="2"/>
  <c r="U62" i="3" s="1"/>
  <c r="J109" i="2"/>
  <c r="U61" i="3" s="1"/>
  <c r="J108" i="2"/>
  <c r="U60" i="3" s="1"/>
  <c r="J107" i="2"/>
  <c r="U59" i="3" s="1"/>
  <c r="J106" i="2"/>
  <c r="U58" i="3" s="1"/>
  <c r="J105" i="2"/>
  <c r="U57" i="3" s="1"/>
  <c r="J104" i="2"/>
  <c r="U56" i="3" s="1"/>
  <c r="J103" i="2"/>
  <c r="U55" i="3" s="1"/>
  <c r="J102" i="2"/>
  <c r="U54" i="3" s="1"/>
  <c r="J101" i="2"/>
  <c r="U53" i="3" s="1"/>
  <c r="J100" i="2"/>
  <c r="U52" i="3" s="1"/>
  <c r="J99" i="2"/>
  <c r="U51" i="3" s="1"/>
  <c r="J98" i="2"/>
  <c r="U50" i="3" s="1"/>
  <c r="J97" i="2"/>
  <c r="U49" i="3" s="1"/>
  <c r="J96" i="2"/>
  <c r="U48" i="3" s="1"/>
  <c r="J95" i="2"/>
  <c r="U47" i="3" s="1"/>
  <c r="J94" i="2"/>
  <c r="U46" i="3" s="1"/>
  <c r="J93" i="2"/>
  <c r="U45" i="3" s="1"/>
  <c r="J92" i="2"/>
  <c r="U44" i="3" s="1"/>
  <c r="J91" i="2"/>
  <c r="U43" i="3" s="1"/>
  <c r="J90" i="2"/>
  <c r="U42" i="3" s="1"/>
  <c r="J89" i="2"/>
  <c r="U41" i="3" s="1"/>
  <c r="J88" i="2"/>
  <c r="U40" i="3" s="1"/>
  <c r="J87" i="2"/>
  <c r="U39" i="3" s="1"/>
  <c r="J86" i="2"/>
  <c r="U38" i="3" s="1"/>
  <c r="J85" i="2"/>
  <c r="U37" i="3" s="1"/>
  <c r="J84" i="2"/>
  <c r="U36" i="3" s="1"/>
  <c r="J83" i="2"/>
  <c r="U35" i="3" s="1"/>
  <c r="J82" i="2"/>
  <c r="U34" i="3" s="1"/>
  <c r="J81" i="2"/>
  <c r="U33" i="3" s="1"/>
  <c r="J80" i="2"/>
  <c r="U32" i="3" s="1"/>
  <c r="J79" i="2"/>
  <c r="U31" i="3" s="1"/>
  <c r="J78" i="2"/>
  <c r="U30" i="3" s="1"/>
  <c r="J77" i="2"/>
  <c r="U29" i="3" s="1"/>
  <c r="J76" i="2"/>
  <c r="U28" i="3" s="1"/>
  <c r="J75" i="2"/>
  <c r="U27" i="3" s="1"/>
  <c r="J74" i="2"/>
  <c r="U26" i="3" s="1"/>
  <c r="J73" i="2"/>
  <c r="U25" i="3" s="1"/>
  <c r="J72" i="2"/>
  <c r="U24" i="3" s="1"/>
  <c r="J71" i="2"/>
  <c r="U23" i="3" s="1"/>
  <c r="J70" i="2"/>
  <c r="U22" i="3" s="1"/>
  <c r="J69" i="2"/>
  <c r="U21" i="3" s="1"/>
  <c r="J68" i="2"/>
  <c r="U20" i="3" s="1"/>
  <c r="J67" i="2"/>
  <c r="U19" i="3" s="1"/>
  <c r="J66" i="2"/>
  <c r="U18" i="3" s="1"/>
  <c r="J65" i="2"/>
  <c r="U17" i="3" s="1"/>
  <c r="J64" i="2"/>
  <c r="U16" i="3" s="1"/>
  <c r="J63" i="2"/>
  <c r="U15" i="3" s="1"/>
  <c r="J62" i="2"/>
  <c r="U14" i="3" s="1"/>
  <c r="J61" i="2"/>
  <c r="U13" i="3" s="1"/>
  <c r="J60" i="2"/>
  <c r="U12" i="3" s="1"/>
  <c r="J59" i="2"/>
  <c r="U11" i="3" s="1"/>
  <c r="J58" i="2"/>
  <c r="U10" i="3" s="1"/>
  <c r="J57" i="2"/>
  <c r="U9" i="3" s="1"/>
  <c r="J56" i="2"/>
  <c r="U8" i="3" s="1"/>
  <c r="J55" i="2"/>
  <c r="U7" i="3" s="1"/>
  <c r="J54" i="2"/>
  <c r="U6" i="3" s="1"/>
  <c r="J53" i="2"/>
  <c r="U5" i="3" s="1"/>
  <c r="J52" i="2"/>
  <c r="U4" i="3" s="1"/>
  <c r="J51" i="2"/>
  <c r="J50" i="2"/>
  <c r="U2" i="3" s="1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I143" i="2"/>
  <c r="T95" i="3" s="1"/>
  <c r="I142" i="2"/>
  <c r="T94" i="3" s="1"/>
  <c r="I141" i="2"/>
  <c r="T93" i="3" s="1"/>
  <c r="I140" i="2"/>
  <c r="T92" i="3" s="1"/>
  <c r="I139" i="2"/>
  <c r="T91" i="3" s="1"/>
  <c r="I138" i="2"/>
  <c r="T90" i="3" s="1"/>
  <c r="I137" i="2"/>
  <c r="T89" i="3" s="1"/>
  <c r="I136" i="2"/>
  <c r="T88" i="3" s="1"/>
  <c r="I135" i="2"/>
  <c r="T87" i="3" s="1"/>
  <c r="I134" i="2"/>
  <c r="T86" i="3" s="1"/>
  <c r="I133" i="2"/>
  <c r="T85" i="3" s="1"/>
  <c r="I132" i="2"/>
  <c r="T84" i="3" s="1"/>
  <c r="I131" i="2"/>
  <c r="T83" i="3" s="1"/>
  <c r="I130" i="2"/>
  <c r="T82" i="3" s="1"/>
  <c r="I129" i="2"/>
  <c r="T81" i="3" s="1"/>
  <c r="I128" i="2"/>
  <c r="T80" i="3" s="1"/>
  <c r="I127" i="2"/>
  <c r="T79" i="3" s="1"/>
  <c r="I126" i="2"/>
  <c r="T78" i="3" s="1"/>
  <c r="I125" i="2"/>
  <c r="T77" i="3" s="1"/>
  <c r="I124" i="2"/>
  <c r="T76" i="3" s="1"/>
  <c r="I123" i="2"/>
  <c r="T75" i="3" s="1"/>
  <c r="I122" i="2"/>
  <c r="T74" i="3" s="1"/>
  <c r="I121" i="2"/>
  <c r="T73" i="3" s="1"/>
  <c r="I120" i="2"/>
  <c r="T72" i="3" s="1"/>
  <c r="I119" i="2"/>
  <c r="T71" i="3" s="1"/>
  <c r="I118" i="2"/>
  <c r="T70" i="3" s="1"/>
  <c r="I117" i="2"/>
  <c r="T69" i="3" s="1"/>
  <c r="I116" i="2"/>
  <c r="T68" i="3" s="1"/>
  <c r="I115" i="2"/>
  <c r="T67" i="3" s="1"/>
  <c r="I114" i="2"/>
  <c r="T66" i="3" s="1"/>
  <c r="I113" i="2"/>
  <c r="T65" i="3" s="1"/>
  <c r="I112" i="2"/>
  <c r="T64" i="3" s="1"/>
  <c r="I111" i="2"/>
  <c r="T63" i="3" s="1"/>
  <c r="I110" i="2"/>
  <c r="T62" i="3" s="1"/>
  <c r="I109" i="2"/>
  <c r="T61" i="3" s="1"/>
  <c r="I108" i="2"/>
  <c r="T60" i="3" s="1"/>
  <c r="I107" i="2"/>
  <c r="T59" i="3" s="1"/>
  <c r="I106" i="2"/>
  <c r="T58" i="3" s="1"/>
  <c r="I105" i="2"/>
  <c r="T57" i="3" s="1"/>
  <c r="I104" i="2"/>
  <c r="T56" i="3" s="1"/>
  <c r="I103" i="2"/>
  <c r="T55" i="3" s="1"/>
  <c r="I102" i="2"/>
  <c r="T54" i="3" s="1"/>
  <c r="I101" i="2"/>
  <c r="T53" i="3" s="1"/>
  <c r="I100" i="2"/>
  <c r="T52" i="3" s="1"/>
  <c r="I99" i="2"/>
  <c r="T51" i="3" s="1"/>
  <c r="I98" i="2"/>
  <c r="T50" i="3" s="1"/>
  <c r="I97" i="2"/>
  <c r="T49" i="3" s="1"/>
  <c r="I96" i="2"/>
  <c r="T48" i="3" s="1"/>
  <c r="I95" i="2"/>
  <c r="T47" i="3" s="1"/>
  <c r="I94" i="2"/>
  <c r="T46" i="3" s="1"/>
  <c r="I93" i="2"/>
  <c r="T45" i="3" s="1"/>
  <c r="I92" i="2"/>
  <c r="T44" i="3" s="1"/>
  <c r="I91" i="2"/>
  <c r="T43" i="3" s="1"/>
  <c r="I90" i="2"/>
  <c r="T42" i="3" s="1"/>
  <c r="I89" i="2"/>
  <c r="T41" i="3" s="1"/>
  <c r="I88" i="2"/>
  <c r="T40" i="3" s="1"/>
  <c r="I87" i="2"/>
  <c r="T39" i="3" s="1"/>
  <c r="I86" i="2"/>
  <c r="T38" i="3" s="1"/>
  <c r="I85" i="2"/>
  <c r="T37" i="3" s="1"/>
  <c r="I84" i="2"/>
  <c r="T36" i="3" s="1"/>
  <c r="I83" i="2"/>
  <c r="T35" i="3" s="1"/>
  <c r="I82" i="2"/>
  <c r="T34" i="3" s="1"/>
  <c r="I81" i="2"/>
  <c r="T33" i="3" s="1"/>
  <c r="I80" i="2"/>
  <c r="T32" i="3" s="1"/>
  <c r="I79" i="2"/>
  <c r="T31" i="3" s="1"/>
  <c r="I78" i="2"/>
  <c r="T30" i="3" s="1"/>
  <c r="I77" i="2"/>
  <c r="T29" i="3" s="1"/>
  <c r="I76" i="2"/>
  <c r="T28" i="3" s="1"/>
  <c r="I75" i="2"/>
  <c r="T27" i="3" s="1"/>
  <c r="I74" i="2"/>
  <c r="T26" i="3" s="1"/>
  <c r="I73" i="2"/>
  <c r="T25" i="3" s="1"/>
  <c r="I72" i="2"/>
  <c r="T24" i="3" s="1"/>
  <c r="I71" i="2"/>
  <c r="T23" i="3" s="1"/>
  <c r="I70" i="2"/>
  <c r="T22" i="3" s="1"/>
  <c r="I69" i="2"/>
  <c r="T21" i="3" s="1"/>
  <c r="I68" i="2"/>
  <c r="T20" i="3" s="1"/>
  <c r="I67" i="2"/>
  <c r="T19" i="3" s="1"/>
  <c r="I66" i="2"/>
  <c r="T18" i="3" s="1"/>
  <c r="I65" i="2"/>
  <c r="T17" i="3" s="1"/>
  <c r="I64" i="2"/>
  <c r="T16" i="3" s="1"/>
  <c r="I63" i="2"/>
  <c r="T15" i="3" s="1"/>
  <c r="I62" i="2"/>
  <c r="T14" i="3" s="1"/>
  <c r="I61" i="2"/>
  <c r="T13" i="3" s="1"/>
  <c r="I60" i="2"/>
  <c r="T12" i="3" s="1"/>
  <c r="I59" i="2"/>
  <c r="T11" i="3" s="1"/>
  <c r="I58" i="2"/>
  <c r="T10" i="3" s="1"/>
  <c r="I57" i="2"/>
  <c r="T9" i="3" s="1"/>
  <c r="I56" i="2"/>
  <c r="T8" i="3" s="1"/>
  <c r="I55" i="2"/>
  <c r="T7" i="3" s="1"/>
  <c r="I54" i="2"/>
  <c r="T6" i="3" s="1"/>
  <c r="I53" i="2"/>
  <c r="T5" i="3" s="1"/>
  <c r="T4" i="3"/>
  <c r="I51" i="2"/>
  <c r="T3" i="3" s="1"/>
  <c r="T2" i="3"/>
  <c r="I49" i="2"/>
  <c r="I48" i="2"/>
  <c r="I47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43" i="2"/>
  <c r="S95" i="3" s="1"/>
  <c r="G143" i="2"/>
  <c r="R95" i="3" s="1"/>
  <c r="E143" i="2"/>
  <c r="L95" i="3" s="1"/>
  <c r="D143" i="2"/>
  <c r="I95" i="3" s="1"/>
  <c r="C143" i="2"/>
  <c r="F95" i="3" s="1"/>
  <c r="A144" i="2"/>
  <c r="A96" i="3" s="1"/>
  <c r="H142" i="2"/>
  <c r="S94" i="3" s="1"/>
  <c r="G142" i="2"/>
  <c r="R94" i="3" s="1"/>
  <c r="E142" i="2"/>
  <c r="L94" i="3" s="1"/>
  <c r="D142" i="2"/>
  <c r="I94" i="3" s="1"/>
  <c r="C142" i="2"/>
  <c r="F94" i="3" s="1"/>
  <c r="A143" i="2"/>
  <c r="A95" i="3" s="1"/>
  <c r="H141" i="2"/>
  <c r="S93" i="3" s="1"/>
  <c r="G141" i="2"/>
  <c r="R93" i="3" s="1"/>
  <c r="E141" i="2"/>
  <c r="L93" i="3" s="1"/>
  <c r="D141" i="2"/>
  <c r="I93" i="3" s="1"/>
  <c r="C141" i="2"/>
  <c r="F93" i="3" s="1"/>
  <c r="A142" i="2"/>
  <c r="A94" i="3" s="1"/>
  <c r="H140" i="2"/>
  <c r="S92" i="3" s="1"/>
  <c r="G140" i="2"/>
  <c r="R92" i="3" s="1"/>
  <c r="E140" i="2"/>
  <c r="L92" i="3" s="1"/>
  <c r="D140" i="2"/>
  <c r="I92" i="3" s="1"/>
  <c r="C140" i="2"/>
  <c r="F92" i="3" s="1"/>
  <c r="A141" i="2"/>
  <c r="A93" i="3" s="1"/>
  <c r="H139" i="2"/>
  <c r="S91" i="3" s="1"/>
  <c r="G139" i="2"/>
  <c r="R91" i="3" s="1"/>
  <c r="E139" i="2"/>
  <c r="L91" i="3" s="1"/>
  <c r="D139" i="2"/>
  <c r="I91" i="3" s="1"/>
  <c r="C139" i="2"/>
  <c r="F91" i="3" s="1"/>
  <c r="A140" i="2"/>
  <c r="A92" i="3" s="1"/>
  <c r="H138" i="2"/>
  <c r="S90" i="3" s="1"/>
  <c r="G138" i="2"/>
  <c r="R90" i="3" s="1"/>
  <c r="E138" i="2"/>
  <c r="L90" i="3" s="1"/>
  <c r="D138" i="2"/>
  <c r="I90" i="3" s="1"/>
  <c r="C138" i="2"/>
  <c r="F90" i="3" s="1"/>
  <c r="A139" i="2"/>
  <c r="A91" i="3" s="1"/>
  <c r="H137" i="2"/>
  <c r="S89" i="3" s="1"/>
  <c r="G137" i="2"/>
  <c r="R89" i="3" s="1"/>
  <c r="E137" i="2"/>
  <c r="L89" i="3" s="1"/>
  <c r="D137" i="2"/>
  <c r="I89" i="3" s="1"/>
  <c r="C137" i="2"/>
  <c r="F89" i="3" s="1"/>
  <c r="A138" i="2"/>
  <c r="A90" i="3" s="1"/>
  <c r="H136" i="2"/>
  <c r="S88" i="3" s="1"/>
  <c r="G136" i="2"/>
  <c r="R88" i="3" s="1"/>
  <c r="E136" i="2"/>
  <c r="L88" i="3" s="1"/>
  <c r="D136" i="2"/>
  <c r="I88" i="3" s="1"/>
  <c r="C136" i="2"/>
  <c r="F88" i="3" s="1"/>
  <c r="A137" i="2"/>
  <c r="A89" i="3" s="1"/>
  <c r="H135" i="2"/>
  <c r="S87" i="3" s="1"/>
  <c r="G135" i="2"/>
  <c r="R87" i="3" s="1"/>
  <c r="E135" i="2"/>
  <c r="L87" i="3" s="1"/>
  <c r="D135" i="2"/>
  <c r="I87" i="3" s="1"/>
  <c r="C135" i="2"/>
  <c r="F87" i="3" s="1"/>
  <c r="A136" i="2"/>
  <c r="A88" i="3" s="1"/>
  <c r="H134" i="2"/>
  <c r="S86" i="3" s="1"/>
  <c r="G134" i="2"/>
  <c r="R86" i="3" s="1"/>
  <c r="E134" i="2"/>
  <c r="L86" i="3" s="1"/>
  <c r="D134" i="2"/>
  <c r="I86" i="3" s="1"/>
  <c r="C134" i="2"/>
  <c r="F86" i="3" s="1"/>
  <c r="A135" i="2"/>
  <c r="A87" i="3" s="1"/>
  <c r="H133" i="2"/>
  <c r="S85" i="3" s="1"/>
  <c r="G133" i="2"/>
  <c r="R85" i="3" s="1"/>
  <c r="E133" i="2"/>
  <c r="L85" i="3" s="1"/>
  <c r="D133" i="2"/>
  <c r="I85" i="3" s="1"/>
  <c r="C133" i="2"/>
  <c r="F85" i="3" s="1"/>
  <c r="A134" i="2"/>
  <c r="A86" i="3" s="1"/>
  <c r="H132" i="2"/>
  <c r="S84" i="3" s="1"/>
  <c r="G132" i="2"/>
  <c r="R84" i="3" s="1"/>
  <c r="E132" i="2"/>
  <c r="L84" i="3" s="1"/>
  <c r="D132" i="2"/>
  <c r="I84" i="3" s="1"/>
  <c r="C132" i="2"/>
  <c r="F84" i="3" s="1"/>
  <c r="A133" i="2"/>
  <c r="A85" i="3" s="1"/>
  <c r="H131" i="2"/>
  <c r="S83" i="3" s="1"/>
  <c r="G131" i="2"/>
  <c r="R83" i="3" s="1"/>
  <c r="E131" i="2"/>
  <c r="L83" i="3" s="1"/>
  <c r="D131" i="2"/>
  <c r="I83" i="3" s="1"/>
  <c r="C131" i="2"/>
  <c r="F83" i="3" s="1"/>
  <c r="A132" i="2"/>
  <c r="A84" i="3" s="1"/>
  <c r="H130" i="2"/>
  <c r="S82" i="3" s="1"/>
  <c r="G130" i="2"/>
  <c r="R82" i="3" s="1"/>
  <c r="E130" i="2"/>
  <c r="L82" i="3" s="1"/>
  <c r="D130" i="2"/>
  <c r="I82" i="3" s="1"/>
  <c r="C130" i="2"/>
  <c r="F82" i="3" s="1"/>
  <c r="A131" i="2"/>
  <c r="A83" i="3" s="1"/>
  <c r="H129" i="2"/>
  <c r="S81" i="3" s="1"/>
  <c r="G129" i="2"/>
  <c r="R81" i="3" s="1"/>
  <c r="E129" i="2"/>
  <c r="L81" i="3" s="1"/>
  <c r="D129" i="2"/>
  <c r="I81" i="3" s="1"/>
  <c r="C129" i="2"/>
  <c r="F81" i="3" s="1"/>
  <c r="A130" i="2"/>
  <c r="A82" i="3" s="1"/>
  <c r="H128" i="2"/>
  <c r="S80" i="3" s="1"/>
  <c r="G128" i="2"/>
  <c r="R80" i="3" s="1"/>
  <c r="E128" i="2"/>
  <c r="L80" i="3" s="1"/>
  <c r="D128" i="2"/>
  <c r="I80" i="3" s="1"/>
  <c r="C128" i="2"/>
  <c r="F80" i="3" s="1"/>
  <c r="A129" i="2"/>
  <c r="A81" i="3" s="1"/>
  <c r="H127" i="2"/>
  <c r="S79" i="3" s="1"/>
  <c r="G127" i="2"/>
  <c r="R79" i="3" s="1"/>
  <c r="E127" i="2"/>
  <c r="L79" i="3" s="1"/>
  <c r="D127" i="2"/>
  <c r="I79" i="3" s="1"/>
  <c r="C127" i="2"/>
  <c r="F79" i="3" s="1"/>
  <c r="A128" i="2"/>
  <c r="A80" i="3" s="1"/>
  <c r="H126" i="2"/>
  <c r="S78" i="3" s="1"/>
  <c r="G126" i="2"/>
  <c r="R78" i="3" s="1"/>
  <c r="E126" i="2"/>
  <c r="L78" i="3" s="1"/>
  <c r="D126" i="2"/>
  <c r="I78" i="3" s="1"/>
  <c r="C126" i="2"/>
  <c r="F78" i="3" s="1"/>
  <c r="A127" i="2"/>
  <c r="A79" i="3" s="1"/>
  <c r="H125" i="2"/>
  <c r="S77" i="3" s="1"/>
  <c r="G125" i="2"/>
  <c r="R77" i="3" s="1"/>
  <c r="E125" i="2"/>
  <c r="L77" i="3" s="1"/>
  <c r="I77" i="3"/>
  <c r="C125" i="2"/>
  <c r="F77" i="3" s="1"/>
  <c r="A126" i="2"/>
  <c r="A78" i="3" s="1"/>
  <c r="H124" i="2"/>
  <c r="S76" i="3" s="1"/>
  <c r="G124" i="2"/>
  <c r="R76" i="3" s="1"/>
  <c r="E124" i="2"/>
  <c r="L76" i="3" s="1"/>
  <c r="D124" i="2"/>
  <c r="I76" i="3" s="1"/>
  <c r="C124" i="2"/>
  <c r="F76" i="3" s="1"/>
  <c r="A125" i="2"/>
  <c r="A77" i="3" s="1"/>
  <c r="H123" i="2"/>
  <c r="S75" i="3" s="1"/>
  <c r="G123" i="2"/>
  <c r="R75" i="3" s="1"/>
  <c r="E123" i="2"/>
  <c r="L75" i="3" s="1"/>
  <c r="D123" i="2"/>
  <c r="I75" i="3" s="1"/>
  <c r="C123" i="2"/>
  <c r="F75" i="3" s="1"/>
  <c r="A124" i="2"/>
  <c r="A76" i="3" s="1"/>
  <c r="H122" i="2"/>
  <c r="S74" i="3" s="1"/>
  <c r="G122" i="2"/>
  <c r="R74" i="3" s="1"/>
  <c r="E122" i="2"/>
  <c r="L74" i="3" s="1"/>
  <c r="D122" i="2"/>
  <c r="I74" i="3" s="1"/>
  <c r="C122" i="2"/>
  <c r="F74" i="3" s="1"/>
  <c r="A123" i="2"/>
  <c r="A75" i="3" s="1"/>
  <c r="H121" i="2"/>
  <c r="S73" i="3" s="1"/>
  <c r="G121" i="2"/>
  <c r="R73" i="3" s="1"/>
  <c r="E121" i="2"/>
  <c r="L73" i="3" s="1"/>
  <c r="D121" i="2"/>
  <c r="I73" i="3" s="1"/>
  <c r="C121" i="2"/>
  <c r="F73" i="3" s="1"/>
  <c r="A122" i="2"/>
  <c r="A74" i="3" s="1"/>
  <c r="H120" i="2"/>
  <c r="S72" i="3" s="1"/>
  <c r="G120" i="2"/>
  <c r="R72" i="3" s="1"/>
  <c r="E120" i="2"/>
  <c r="L72" i="3" s="1"/>
  <c r="D120" i="2"/>
  <c r="I72" i="3" s="1"/>
  <c r="C120" i="2"/>
  <c r="F72" i="3" s="1"/>
  <c r="A121" i="2"/>
  <c r="A73" i="3" s="1"/>
  <c r="H119" i="2"/>
  <c r="S71" i="3" s="1"/>
  <c r="G119" i="2"/>
  <c r="R71" i="3" s="1"/>
  <c r="E119" i="2"/>
  <c r="L71" i="3" s="1"/>
  <c r="D119" i="2"/>
  <c r="I71" i="3" s="1"/>
  <c r="C119" i="2"/>
  <c r="F71" i="3" s="1"/>
  <c r="A120" i="2"/>
  <c r="A72" i="3" s="1"/>
  <c r="H118" i="2"/>
  <c r="S70" i="3" s="1"/>
  <c r="G118" i="2"/>
  <c r="R70" i="3" s="1"/>
  <c r="E118" i="2"/>
  <c r="L70" i="3" s="1"/>
  <c r="D118" i="2"/>
  <c r="I70" i="3" s="1"/>
  <c r="C118" i="2"/>
  <c r="F70" i="3" s="1"/>
  <c r="A119" i="2"/>
  <c r="A71" i="3" s="1"/>
  <c r="H117" i="2"/>
  <c r="S69" i="3" s="1"/>
  <c r="G117" i="2"/>
  <c r="R69" i="3" s="1"/>
  <c r="E117" i="2"/>
  <c r="L69" i="3" s="1"/>
  <c r="D117" i="2"/>
  <c r="I69" i="3" s="1"/>
  <c r="C117" i="2"/>
  <c r="F69" i="3" s="1"/>
  <c r="A118" i="2"/>
  <c r="A70" i="3" s="1"/>
  <c r="H116" i="2"/>
  <c r="S68" i="3" s="1"/>
  <c r="G116" i="2"/>
  <c r="R68" i="3" s="1"/>
  <c r="E116" i="2"/>
  <c r="L68" i="3" s="1"/>
  <c r="D116" i="2"/>
  <c r="I68" i="3" s="1"/>
  <c r="C116" i="2"/>
  <c r="F68" i="3" s="1"/>
  <c r="A117" i="2"/>
  <c r="A69" i="3" s="1"/>
  <c r="H115" i="2"/>
  <c r="S67" i="3" s="1"/>
  <c r="G115" i="2"/>
  <c r="R67" i="3" s="1"/>
  <c r="E115" i="2"/>
  <c r="L67" i="3" s="1"/>
  <c r="D115" i="2"/>
  <c r="I67" i="3" s="1"/>
  <c r="C115" i="2"/>
  <c r="F67" i="3" s="1"/>
  <c r="A116" i="2"/>
  <c r="A68" i="3" s="1"/>
  <c r="H114" i="2"/>
  <c r="S66" i="3" s="1"/>
  <c r="G114" i="2"/>
  <c r="R66" i="3" s="1"/>
  <c r="E114" i="2"/>
  <c r="L66" i="3" s="1"/>
  <c r="D114" i="2"/>
  <c r="I66" i="3" s="1"/>
  <c r="C114" i="2"/>
  <c r="F66" i="3" s="1"/>
  <c r="A115" i="2"/>
  <c r="A67" i="3" s="1"/>
  <c r="H113" i="2"/>
  <c r="S65" i="3" s="1"/>
  <c r="G113" i="2"/>
  <c r="R65" i="3" s="1"/>
  <c r="E113" i="2"/>
  <c r="L65" i="3" s="1"/>
  <c r="D113" i="2"/>
  <c r="I65" i="3" s="1"/>
  <c r="C113" i="2"/>
  <c r="F65" i="3" s="1"/>
  <c r="A114" i="2"/>
  <c r="A66" i="3" s="1"/>
  <c r="H112" i="2"/>
  <c r="S64" i="3" s="1"/>
  <c r="G112" i="2"/>
  <c r="R64" i="3" s="1"/>
  <c r="E112" i="2"/>
  <c r="L64" i="3" s="1"/>
  <c r="D112" i="2"/>
  <c r="I64" i="3" s="1"/>
  <c r="C112" i="2"/>
  <c r="F64" i="3" s="1"/>
  <c r="A113" i="2"/>
  <c r="A65" i="3" s="1"/>
  <c r="H111" i="2"/>
  <c r="S63" i="3" s="1"/>
  <c r="G111" i="2"/>
  <c r="R63" i="3" s="1"/>
  <c r="E111" i="2"/>
  <c r="L63" i="3" s="1"/>
  <c r="D111" i="2"/>
  <c r="I63" i="3" s="1"/>
  <c r="C111" i="2"/>
  <c r="F63" i="3" s="1"/>
  <c r="A112" i="2"/>
  <c r="A64" i="3" s="1"/>
  <c r="H110" i="2"/>
  <c r="S62" i="3" s="1"/>
  <c r="G110" i="2"/>
  <c r="R62" i="3" s="1"/>
  <c r="E110" i="2"/>
  <c r="L62" i="3" s="1"/>
  <c r="D110" i="2"/>
  <c r="I62" i="3" s="1"/>
  <c r="C110" i="2"/>
  <c r="F62" i="3" s="1"/>
  <c r="A111" i="2"/>
  <c r="A63" i="3" s="1"/>
  <c r="H109" i="2"/>
  <c r="S61" i="3" s="1"/>
  <c r="G109" i="2"/>
  <c r="R61" i="3" s="1"/>
  <c r="E109" i="2"/>
  <c r="L61" i="3" s="1"/>
  <c r="D109" i="2"/>
  <c r="I61" i="3" s="1"/>
  <c r="C109" i="2"/>
  <c r="F61" i="3" s="1"/>
  <c r="A110" i="2"/>
  <c r="A62" i="3" s="1"/>
  <c r="H108" i="2"/>
  <c r="S60" i="3" s="1"/>
  <c r="G108" i="2"/>
  <c r="R60" i="3" s="1"/>
  <c r="E108" i="2"/>
  <c r="L60" i="3" s="1"/>
  <c r="D108" i="2"/>
  <c r="I60" i="3" s="1"/>
  <c r="C108" i="2"/>
  <c r="F60" i="3" s="1"/>
  <c r="A109" i="2"/>
  <c r="A61" i="3" s="1"/>
  <c r="H107" i="2"/>
  <c r="S59" i="3" s="1"/>
  <c r="G107" i="2"/>
  <c r="R59" i="3" s="1"/>
  <c r="E107" i="2"/>
  <c r="L59" i="3" s="1"/>
  <c r="D107" i="2"/>
  <c r="I59" i="3" s="1"/>
  <c r="C107" i="2"/>
  <c r="F59" i="3" s="1"/>
  <c r="A108" i="2"/>
  <c r="A60" i="3" s="1"/>
  <c r="H106" i="2"/>
  <c r="S58" i="3" s="1"/>
  <c r="G106" i="2"/>
  <c r="R58" i="3" s="1"/>
  <c r="E106" i="2"/>
  <c r="L58" i="3" s="1"/>
  <c r="D106" i="2"/>
  <c r="I58" i="3" s="1"/>
  <c r="C106" i="2"/>
  <c r="F58" i="3" s="1"/>
  <c r="A107" i="2"/>
  <c r="A59" i="3" s="1"/>
  <c r="H105" i="2"/>
  <c r="S57" i="3" s="1"/>
  <c r="G105" i="2"/>
  <c r="R57" i="3" s="1"/>
  <c r="E105" i="2"/>
  <c r="L57" i="3" s="1"/>
  <c r="D105" i="2"/>
  <c r="I57" i="3" s="1"/>
  <c r="C105" i="2"/>
  <c r="F57" i="3" s="1"/>
  <c r="A106" i="2"/>
  <c r="A58" i="3" s="1"/>
  <c r="H104" i="2"/>
  <c r="S56" i="3" s="1"/>
  <c r="G104" i="2"/>
  <c r="R56" i="3" s="1"/>
  <c r="E104" i="2"/>
  <c r="L56" i="3" s="1"/>
  <c r="D104" i="2"/>
  <c r="I56" i="3" s="1"/>
  <c r="C104" i="2"/>
  <c r="F56" i="3" s="1"/>
  <c r="A105" i="2"/>
  <c r="A57" i="3" s="1"/>
  <c r="H103" i="2"/>
  <c r="S55" i="3" s="1"/>
  <c r="G103" i="2"/>
  <c r="R55" i="3" s="1"/>
  <c r="E103" i="2"/>
  <c r="L55" i="3" s="1"/>
  <c r="D103" i="2"/>
  <c r="I55" i="3" s="1"/>
  <c r="C103" i="2"/>
  <c r="F55" i="3" s="1"/>
  <c r="A104" i="2"/>
  <c r="A56" i="3" s="1"/>
  <c r="H102" i="2"/>
  <c r="S54" i="3" s="1"/>
  <c r="G102" i="2"/>
  <c r="R54" i="3" s="1"/>
  <c r="E102" i="2"/>
  <c r="L54" i="3" s="1"/>
  <c r="D102" i="2"/>
  <c r="I54" i="3" s="1"/>
  <c r="C102" i="2"/>
  <c r="F54" i="3" s="1"/>
  <c r="A103" i="2"/>
  <c r="A55" i="3" s="1"/>
  <c r="H101" i="2"/>
  <c r="S53" i="3" s="1"/>
  <c r="G101" i="2"/>
  <c r="R53" i="3" s="1"/>
  <c r="E101" i="2"/>
  <c r="L53" i="3" s="1"/>
  <c r="D101" i="2"/>
  <c r="I53" i="3" s="1"/>
  <c r="C101" i="2"/>
  <c r="F53" i="3" s="1"/>
  <c r="A102" i="2"/>
  <c r="A54" i="3" s="1"/>
  <c r="H100" i="2"/>
  <c r="S52" i="3" s="1"/>
  <c r="G100" i="2"/>
  <c r="R52" i="3" s="1"/>
  <c r="E100" i="2"/>
  <c r="D100" i="2"/>
  <c r="I52" i="3" s="1"/>
  <c r="C100" i="2"/>
  <c r="F52" i="3" s="1"/>
  <c r="A101" i="2"/>
  <c r="A53" i="3" s="1"/>
  <c r="H99" i="2"/>
  <c r="S51" i="3" s="1"/>
  <c r="G99" i="2"/>
  <c r="R51" i="3" s="1"/>
  <c r="E99" i="2"/>
  <c r="D99" i="2"/>
  <c r="I51" i="3" s="1"/>
  <c r="C99" i="2"/>
  <c r="F51" i="3" s="1"/>
  <c r="A100" i="2"/>
  <c r="A52" i="3" s="1"/>
  <c r="H98" i="2"/>
  <c r="S50" i="3" s="1"/>
  <c r="G98" i="2"/>
  <c r="R50" i="3" s="1"/>
  <c r="E98" i="2"/>
  <c r="L50" i="3" s="1"/>
  <c r="D98" i="2"/>
  <c r="I50" i="3" s="1"/>
  <c r="C98" i="2"/>
  <c r="F50" i="3" s="1"/>
  <c r="A99" i="2"/>
  <c r="A51" i="3" s="1"/>
  <c r="H97" i="2"/>
  <c r="S49" i="3" s="1"/>
  <c r="G97" i="2"/>
  <c r="R49" i="3" s="1"/>
  <c r="E97" i="2"/>
  <c r="L49" i="3" s="1"/>
  <c r="D97" i="2"/>
  <c r="I49" i="3" s="1"/>
  <c r="C97" i="2"/>
  <c r="F49" i="3" s="1"/>
  <c r="A98" i="2"/>
  <c r="A50" i="3" s="1"/>
  <c r="H96" i="2"/>
  <c r="G96" i="2"/>
  <c r="R48" i="3" s="1"/>
  <c r="E96" i="2"/>
  <c r="L48" i="3" s="1"/>
  <c r="D96" i="2"/>
  <c r="C96" i="2"/>
  <c r="F48" i="3" s="1"/>
  <c r="A97" i="2"/>
  <c r="A49" i="3" s="1"/>
  <c r="H95" i="2"/>
  <c r="G95" i="2"/>
  <c r="R47" i="3" s="1"/>
  <c r="E95" i="2"/>
  <c r="L47" i="3" s="1"/>
  <c r="D95" i="2"/>
  <c r="C95" i="2"/>
  <c r="F47" i="3" s="1"/>
  <c r="A96" i="2"/>
  <c r="A48" i="3" s="1"/>
  <c r="H94" i="2"/>
  <c r="G94" i="2"/>
  <c r="R46" i="3" s="1"/>
  <c r="E94" i="2"/>
  <c r="L46" i="3" s="1"/>
  <c r="D94" i="2"/>
  <c r="C94" i="2"/>
  <c r="F46" i="3" s="1"/>
  <c r="A95" i="2"/>
  <c r="A47" i="3" s="1"/>
  <c r="H93" i="2"/>
  <c r="G93" i="2"/>
  <c r="R45" i="3" s="1"/>
  <c r="E93" i="2"/>
  <c r="L45" i="3" s="1"/>
  <c r="D93" i="2"/>
  <c r="C93" i="2"/>
  <c r="F45" i="3" s="1"/>
  <c r="A94" i="2"/>
  <c r="A46" i="3" s="1"/>
  <c r="H92" i="2"/>
  <c r="G92" i="2"/>
  <c r="R44" i="3" s="1"/>
  <c r="E92" i="2"/>
  <c r="L44" i="3" s="1"/>
  <c r="D92" i="2"/>
  <c r="C92" i="2"/>
  <c r="F44" i="3" s="1"/>
  <c r="A93" i="2"/>
  <c r="A45" i="3" s="1"/>
  <c r="H91" i="2"/>
  <c r="G91" i="2"/>
  <c r="R43" i="3" s="1"/>
  <c r="E91" i="2"/>
  <c r="L43" i="3" s="1"/>
  <c r="D91" i="2"/>
  <c r="C91" i="2"/>
  <c r="F43" i="3" s="1"/>
  <c r="A92" i="2"/>
  <c r="A44" i="3" s="1"/>
  <c r="H90" i="2"/>
  <c r="G90" i="2"/>
  <c r="R42" i="3" s="1"/>
  <c r="E90" i="2"/>
  <c r="L42" i="3" s="1"/>
  <c r="D90" i="2"/>
  <c r="C90" i="2"/>
  <c r="F42" i="3" s="1"/>
  <c r="A91" i="2"/>
  <c r="A43" i="3" s="1"/>
  <c r="H89" i="2"/>
  <c r="G89" i="2"/>
  <c r="R41" i="3" s="1"/>
  <c r="E89" i="2"/>
  <c r="L41" i="3" s="1"/>
  <c r="D89" i="2"/>
  <c r="C89" i="2"/>
  <c r="F41" i="3" s="1"/>
  <c r="A90" i="2"/>
  <c r="A42" i="3" s="1"/>
  <c r="H88" i="2"/>
  <c r="G88" i="2"/>
  <c r="R40" i="3" s="1"/>
  <c r="E88" i="2"/>
  <c r="L40" i="3" s="1"/>
  <c r="D88" i="2"/>
  <c r="C88" i="2"/>
  <c r="F40" i="3" s="1"/>
  <c r="A89" i="2"/>
  <c r="A41" i="3" s="1"/>
  <c r="H87" i="2"/>
  <c r="G87" i="2"/>
  <c r="R39" i="3" s="1"/>
  <c r="E87" i="2"/>
  <c r="L39" i="3" s="1"/>
  <c r="D87" i="2"/>
  <c r="C87" i="2"/>
  <c r="F39" i="3" s="1"/>
  <c r="A88" i="2"/>
  <c r="A40" i="3" s="1"/>
  <c r="G86" i="2"/>
  <c r="R38" i="3" s="1"/>
  <c r="E86" i="2"/>
  <c r="L38" i="3" s="1"/>
  <c r="D86" i="2"/>
  <c r="C86" i="2"/>
  <c r="F38" i="3" s="1"/>
  <c r="A87" i="2"/>
  <c r="A39" i="3" s="1"/>
  <c r="G85" i="2"/>
  <c r="R37" i="3" s="1"/>
  <c r="E85" i="2"/>
  <c r="L37" i="3" s="1"/>
  <c r="D85" i="2"/>
  <c r="C85" i="2"/>
  <c r="F37" i="3" s="1"/>
  <c r="A86" i="2"/>
  <c r="A38" i="3" s="1"/>
  <c r="H84" i="2"/>
  <c r="G84" i="2"/>
  <c r="R36" i="3" s="1"/>
  <c r="E84" i="2"/>
  <c r="L36" i="3" s="1"/>
  <c r="D84" i="2"/>
  <c r="C84" i="2"/>
  <c r="F36" i="3" s="1"/>
  <c r="A85" i="2"/>
  <c r="A37" i="3" s="1"/>
  <c r="H83" i="2"/>
  <c r="G83" i="2"/>
  <c r="R35" i="3" s="1"/>
  <c r="E83" i="2"/>
  <c r="L35" i="3" s="1"/>
  <c r="D83" i="2"/>
  <c r="C83" i="2"/>
  <c r="F35" i="3" s="1"/>
  <c r="A84" i="2"/>
  <c r="A36" i="3" s="1"/>
  <c r="H82" i="2"/>
  <c r="G82" i="2"/>
  <c r="R34" i="3" s="1"/>
  <c r="E82" i="2"/>
  <c r="L34" i="3" s="1"/>
  <c r="D82" i="2"/>
  <c r="C82" i="2"/>
  <c r="F34" i="3" s="1"/>
  <c r="A83" i="2"/>
  <c r="A35" i="3" s="1"/>
  <c r="H81" i="2"/>
  <c r="G81" i="2"/>
  <c r="R33" i="3" s="1"/>
  <c r="E81" i="2"/>
  <c r="L33" i="3" s="1"/>
  <c r="D81" i="2"/>
  <c r="C81" i="2"/>
  <c r="F33" i="3" s="1"/>
  <c r="A82" i="2"/>
  <c r="A34" i="3" s="1"/>
  <c r="H80" i="2"/>
  <c r="G80" i="2"/>
  <c r="R32" i="3" s="1"/>
  <c r="E80" i="2"/>
  <c r="L32" i="3" s="1"/>
  <c r="D80" i="2"/>
  <c r="C80" i="2"/>
  <c r="F32" i="3" s="1"/>
  <c r="A81" i="2"/>
  <c r="A33" i="3" s="1"/>
  <c r="H79" i="2"/>
  <c r="G79" i="2"/>
  <c r="R31" i="3" s="1"/>
  <c r="E79" i="2"/>
  <c r="L31" i="3" s="1"/>
  <c r="D79" i="2"/>
  <c r="C79" i="2"/>
  <c r="F31" i="3" s="1"/>
  <c r="A80" i="2"/>
  <c r="A32" i="3" s="1"/>
  <c r="H78" i="2"/>
  <c r="G78" i="2"/>
  <c r="R30" i="3" s="1"/>
  <c r="E78" i="2"/>
  <c r="L30" i="3" s="1"/>
  <c r="D78" i="2"/>
  <c r="C78" i="2"/>
  <c r="F30" i="3" s="1"/>
  <c r="A79" i="2"/>
  <c r="A31" i="3" s="1"/>
  <c r="G77" i="2"/>
  <c r="R29" i="3" s="1"/>
  <c r="E77" i="2"/>
  <c r="L29" i="3" s="1"/>
  <c r="D77" i="2"/>
  <c r="C77" i="2"/>
  <c r="F29" i="3" s="1"/>
  <c r="A78" i="2"/>
  <c r="A30" i="3" s="1"/>
  <c r="G76" i="2"/>
  <c r="R28" i="3" s="1"/>
  <c r="E76" i="2"/>
  <c r="D76" i="2"/>
  <c r="C76" i="2"/>
  <c r="F28" i="3" s="1"/>
  <c r="A77" i="2"/>
  <c r="A29" i="3" s="1"/>
  <c r="G75" i="2"/>
  <c r="R27" i="3" s="1"/>
  <c r="E75" i="2"/>
  <c r="D75" i="2"/>
  <c r="C75" i="2"/>
  <c r="F27" i="3" s="1"/>
  <c r="A76" i="2"/>
  <c r="A28" i="3" s="1"/>
  <c r="H74" i="2"/>
  <c r="G74" i="2"/>
  <c r="R26" i="3" s="1"/>
  <c r="E74" i="2"/>
  <c r="D74" i="2"/>
  <c r="C74" i="2"/>
  <c r="F26" i="3" s="1"/>
  <c r="A75" i="2"/>
  <c r="A27" i="3" s="1"/>
  <c r="H73" i="2"/>
  <c r="G73" i="2"/>
  <c r="R25" i="3" s="1"/>
  <c r="E73" i="2"/>
  <c r="D73" i="2"/>
  <c r="C73" i="2"/>
  <c r="F25" i="3" s="1"/>
  <c r="A74" i="2"/>
  <c r="A26" i="3" s="1"/>
  <c r="H72" i="2"/>
  <c r="G72" i="2"/>
  <c r="R24" i="3" s="1"/>
  <c r="E72" i="2"/>
  <c r="L24" i="3" s="1"/>
  <c r="D72" i="2"/>
  <c r="C72" i="2"/>
  <c r="F24" i="3" s="1"/>
  <c r="A73" i="2"/>
  <c r="A25" i="3" s="1"/>
  <c r="H71" i="2"/>
  <c r="S23" i="3" s="1"/>
  <c r="G71" i="2"/>
  <c r="R23" i="3" s="1"/>
  <c r="E71" i="2"/>
  <c r="L23" i="3" s="1"/>
  <c r="D71" i="2"/>
  <c r="C71" i="2"/>
  <c r="F23" i="3" s="1"/>
  <c r="A72" i="2"/>
  <c r="A24" i="3" s="1"/>
  <c r="H70" i="2"/>
  <c r="G70" i="2"/>
  <c r="R22" i="3" s="1"/>
  <c r="E70" i="2"/>
  <c r="L22" i="3" s="1"/>
  <c r="D70" i="2"/>
  <c r="C70" i="2"/>
  <c r="F22" i="3" s="1"/>
  <c r="A71" i="2"/>
  <c r="A23" i="3" s="1"/>
  <c r="H69" i="2"/>
  <c r="G69" i="2"/>
  <c r="R21" i="3" s="1"/>
  <c r="E69" i="2"/>
  <c r="L21" i="3" s="1"/>
  <c r="D69" i="2"/>
  <c r="C69" i="2"/>
  <c r="F21" i="3" s="1"/>
  <c r="A70" i="2"/>
  <c r="A22" i="3" s="1"/>
  <c r="H68" i="2"/>
  <c r="G68" i="2"/>
  <c r="R20" i="3" s="1"/>
  <c r="E68" i="2"/>
  <c r="L20" i="3" s="1"/>
  <c r="D68" i="2"/>
  <c r="C68" i="2"/>
  <c r="F20" i="3" s="1"/>
  <c r="A69" i="2"/>
  <c r="A21" i="3" s="1"/>
  <c r="H67" i="2"/>
  <c r="G67" i="2"/>
  <c r="R19" i="3" s="1"/>
  <c r="E67" i="2"/>
  <c r="L19" i="3" s="1"/>
  <c r="D67" i="2"/>
  <c r="C67" i="2"/>
  <c r="F19" i="3" s="1"/>
  <c r="A68" i="2"/>
  <c r="A20" i="3" s="1"/>
  <c r="H66" i="2"/>
  <c r="G66" i="2"/>
  <c r="R18" i="3" s="1"/>
  <c r="E66" i="2"/>
  <c r="L18" i="3" s="1"/>
  <c r="D66" i="2"/>
  <c r="C66" i="2"/>
  <c r="F18" i="3" s="1"/>
  <c r="A67" i="2"/>
  <c r="A19" i="3" s="1"/>
  <c r="H65" i="2"/>
  <c r="G65" i="2"/>
  <c r="R17" i="3" s="1"/>
  <c r="E65" i="2"/>
  <c r="L17" i="3" s="1"/>
  <c r="D65" i="2"/>
  <c r="C65" i="2"/>
  <c r="F17" i="3" s="1"/>
  <c r="A66" i="2"/>
  <c r="A18" i="3" s="1"/>
  <c r="H64" i="2"/>
  <c r="G64" i="2"/>
  <c r="R16" i="3" s="1"/>
  <c r="E64" i="2"/>
  <c r="L16" i="3" s="1"/>
  <c r="D64" i="2"/>
  <c r="C64" i="2"/>
  <c r="F16" i="3" s="1"/>
  <c r="A65" i="2"/>
  <c r="A17" i="3" s="1"/>
  <c r="H63" i="2"/>
  <c r="G63" i="2"/>
  <c r="R15" i="3" s="1"/>
  <c r="E63" i="2"/>
  <c r="L15" i="3" s="1"/>
  <c r="D63" i="2"/>
  <c r="C63" i="2"/>
  <c r="F15" i="3" s="1"/>
  <c r="A64" i="2"/>
  <c r="A16" i="3" s="1"/>
  <c r="H62" i="2"/>
  <c r="G62" i="2"/>
  <c r="R14" i="3" s="1"/>
  <c r="E62" i="2"/>
  <c r="L14" i="3" s="1"/>
  <c r="D62" i="2"/>
  <c r="C62" i="2"/>
  <c r="F14" i="3" s="1"/>
  <c r="A63" i="2"/>
  <c r="A15" i="3" s="1"/>
  <c r="H61" i="2"/>
  <c r="G61" i="2"/>
  <c r="R13" i="3" s="1"/>
  <c r="E61" i="2"/>
  <c r="L13" i="3" s="1"/>
  <c r="D61" i="2"/>
  <c r="C61" i="2"/>
  <c r="F13" i="3" s="1"/>
  <c r="A62" i="2"/>
  <c r="A14" i="3" s="1"/>
  <c r="H60" i="2"/>
  <c r="G60" i="2"/>
  <c r="R12" i="3" s="1"/>
  <c r="E60" i="2"/>
  <c r="L12" i="3" s="1"/>
  <c r="D60" i="2"/>
  <c r="C60" i="2"/>
  <c r="F12" i="3" s="1"/>
  <c r="A61" i="2"/>
  <c r="A13" i="3" s="1"/>
  <c r="H59" i="2"/>
  <c r="G59" i="2"/>
  <c r="R11" i="3" s="1"/>
  <c r="E59" i="2"/>
  <c r="L11" i="3" s="1"/>
  <c r="D59" i="2"/>
  <c r="C59" i="2"/>
  <c r="F11" i="3" s="1"/>
  <c r="A60" i="2"/>
  <c r="A12" i="3" s="1"/>
  <c r="H58" i="2"/>
  <c r="G58" i="2"/>
  <c r="R10" i="3" s="1"/>
  <c r="E58" i="2"/>
  <c r="L10" i="3" s="1"/>
  <c r="D58" i="2"/>
  <c r="C58" i="2"/>
  <c r="F10" i="3" s="1"/>
  <c r="A59" i="2"/>
  <c r="A11" i="3" s="1"/>
  <c r="H57" i="2"/>
  <c r="G57" i="2"/>
  <c r="R9" i="3" s="1"/>
  <c r="E57" i="2"/>
  <c r="L9" i="3" s="1"/>
  <c r="D57" i="2"/>
  <c r="C57" i="2"/>
  <c r="F9" i="3" s="1"/>
  <c r="A58" i="2"/>
  <c r="A10" i="3" s="1"/>
  <c r="H56" i="2"/>
  <c r="G56" i="2"/>
  <c r="R8" i="3" s="1"/>
  <c r="E56" i="2"/>
  <c r="L8" i="3" s="1"/>
  <c r="D56" i="2"/>
  <c r="C56" i="2"/>
  <c r="F8" i="3" s="1"/>
  <c r="A57" i="2"/>
  <c r="A9" i="3" s="1"/>
  <c r="H55" i="2"/>
  <c r="G55" i="2"/>
  <c r="R7" i="3" s="1"/>
  <c r="E55" i="2"/>
  <c r="L7" i="3" s="1"/>
  <c r="D55" i="2"/>
  <c r="C55" i="2"/>
  <c r="F7" i="3" s="1"/>
  <c r="A56" i="2"/>
  <c r="A8" i="3" s="1"/>
  <c r="G54" i="2"/>
  <c r="R6" i="3" s="1"/>
  <c r="E54" i="2"/>
  <c r="L6" i="3" s="1"/>
  <c r="D54" i="2"/>
  <c r="C54" i="2"/>
  <c r="F6" i="3" s="1"/>
  <c r="A55" i="2"/>
  <c r="A7" i="3" s="1"/>
  <c r="G53" i="2"/>
  <c r="R5" i="3" s="1"/>
  <c r="E53" i="2"/>
  <c r="L5" i="3" s="1"/>
  <c r="D53" i="2"/>
  <c r="C53" i="2"/>
  <c r="F5" i="3" s="1"/>
  <c r="A54" i="2"/>
  <c r="A6" i="3" s="1"/>
  <c r="G52" i="2"/>
  <c r="R4" i="3" s="1"/>
  <c r="E52" i="2"/>
  <c r="L4" i="3" s="1"/>
  <c r="D52" i="2"/>
  <c r="C52" i="2"/>
  <c r="F4" i="3" s="1"/>
  <c r="A53" i="2"/>
  <c r="A5" i="3" s="1"/>
  <c r="G51" i="2"/>
  <c r="R3" i="3" s="1"/>
  <c r="E51" i="2"/>
  <c r="L3" i="3" s="1"/>
  <c r="D51" i="2"/>
  <c r="C51" i="2"/>
  <c r="F3" i="3" s="1"/>
  <c r="A52" i="2"/>
  <c r="A4" i="3" s="1"/>
  <c r="G50" i="2"/>
  <c r="R2" i="3" s="1"/>
  <c r="E50" i="2"/>
  <c r="L2" i="3" s="1"/>
  <c r="D50" i="2"/>
  <c r="C50" i="2"/>
  <c r="F2" i="3" s="1"/>
  <c r="A51" i="2"/>
  <c r="A3" i="3" s="1"/>
  <c r="G49" i="2"/>
  <c r="E49" i="2"/>
  <c r="D49" i="2"/>
  <c r="C49" i="2"/>
  <c r="A50" i="2"/>
  <c r="A2" i="3" s="1"/>
  <c r="H48" i="2"/>
  <c r="G48" i="2"/>
  <c r="E48" i="2"/>
  <c r="D48" i="2"/>
  <c r="C48" i="2"/>
  <c r="A49" i="2"/>
  <c r="H47" i="2"/>
  <c r="G47" i="2"/>
  <c r="E47" i="2"/>
  <c r="D47" i="2"/>
  <c r="C47" i="2"/>
  <c r="A48" i="2"/>
  <c r="H46" i="2"/>
  <c r="G46" i="2"/>
  <c r="E46" i="2"/>
  <c r="D46" i="2"/>
  <c r="C46" i="2"/>
  <c r="A47" i="2"/>
  <c r="H45" i="2"/>
  <c r="G45" i="2"/>
  <c r="E45" i="2"/>
  <c r="D45" i="2"/>
  <c r="C45" i="2"/>
  <c r="A46" i="2"/>
  <c r="H44" i="2"/>
  <c r="G44" i="2"/>
  <c r="E44" i="2"/>
  <c r="D44" i="2"/>
  <c r="C44" i="2"/>
  <c r="A45" i="2"/>
  <c r="H43" i="2"/>
  <c r="G43" i="2"/>
  <c r="E43" i="2"/>
  <c r="D43" i="2"/>
  <c r="C43" i="2"/>
  <c r="A44" i="2"/>
  <c r="H42" i="2"/>
  <c r="G42" i="2"/>
  <c r="E42" i="2"/>
  <c r="D42" i="2"/>
  <c r="C42" i="2"/>
  <c r="A43" i="2"/>
  <c r="H41" i="2"/>
  <c r="G41" i="2"/>
  <c r="E41" i="2"/>
  <c r="D41" i="2"/>
  <c r="C41" i="2"/>
  <c r="A42" i="2"/>
  <c r="H40" i="2"/>
  <c r="G40" i="2"/>
  <c r="E40" i="2"/>
  <c r="D40" i="2"/>
  <c r="C40" i="2"/>
  <c r="A41" i="2"/>
  <c r="H39" i="2"/>
  <c r="G39" i="2"/>
  <c r="E39" i="2"/>
  <c r="D39" i="2"/>
  <c r="C39" i="2"/>
  <c r="A40" i="2"/>
  <c r="H38" i="2"/>
  <c r="G38" i="2"/>
  <c r="E38" i="2"/>
  <c r="D38" i="2"/>
  <c r="C38" i="2"/>
  <c r="A39" i="2"/>
  <c r="H37" i="2"/>
  <c r="G37" i="2"/>
  <c r="E37" i="2"/>
  <c r="D37" i="2"/>
  <c r="C37" i="2"/>
  <c r="A38" i="2"/>
  <c r="H36" i="2"/>
  <c r="G36" i="2"/>
  <c r="E36" i="2"/>
  <c r="D36" i="2"/>
  <c r="C36" i="2"/>
  <c r="A37" i="2"/>
  <c r="H35" i="2"/>
  <c r="G35" i="2"/>
  <c r="E35" i="2"/>
  <c r="D35" i="2"/>
  <c r="C35" i="2"/>
  <c r="A36" i="2"/>
  <c r="H34" i="2"/>
  <c r="G34" i="2"/>
  <c r="E34" i="2"/>
  <c r="D34" i="2"/>
  <c r="C34" i="2"/>
  <c r="A35" i="2"/>
  <c r="H33" i="2"/>
  <c r="G33" i="2"/>
  <c r="E33" i="2"/>
  <c r="D33" i="2"/>
  <c r="C33" i="2"/>
  <c r="A34" i="2"/>
  <c r="H32" i="2"/>
  <c r="G32" i="2"/>
  <c r="E32" i="2"/>
  <c r="D32" i="2"/>
  <c r="C32" i="2"/>
  <c r="A33" i="2"/>
  <c r="H31" i="2"/>
  <c r="G31" i="2"/>
  <c r="E31" i="2"/>
  <c r="D31" i="2"/>
  <c r="C31" i="2"/>
  <c r="A32" i="2"/>
  <c r="H30" i="2"/>
  <c r="G30" i="2"/>
  <c r="E30" i="2"/>
  <c r="D30" i="2"/>
  <c r="C30" i="2"/>
  <c r="A31" i="2"/>
  <c r="H29" i="2"/>
  <c r="G29" i="2"/>
  <c r="E29" i="2"/>
  <c r="D29" i="2"/>
  <c r="C29" i="2"/>
  <c r="A30" i="2"/>
  <c r="H28" i="2"/>
  <c r="G28" i="2"/>
  <c r="E28" i="2"/>
  <c r="D28" i="2"/>
  <c r="C28" i="2"/>
  <c r="A29" i="2"/>
  <c r="H27" i="2"/>
  <c r="G27" i="2"/>
  <c r="E27" i="2"/>
  <c r="D27" i="2"/>
  <c r="C27" i="2"/>
  <c r="A28" i="2"/>
  <c r="H26" i="2"/>
  <c r="G26" i="2"/>
  <c r="E26" i="2"/>
  <c r="D26" i="2"/>
  <c r="C26" i="2"/>
  <c r="A27" i="2"/>
  <c r="H25" i="2"/>
  <c r="G25" i="2"/>
  <c r="E25" i="2"/>
  <c r="D25" i="2"/>
  <c r="C25" i="2"/>
  <c r="A26" i="2"/>
  <c r="H24" i="2"/>
  <c r="G24" i="2"/>
  <c r="E24" i="2"/>
  <c r="D24" i="2"/>
  <c r="C24" i="2"/>
  <c r="A25" i="2"/>
  <c r="H23" i="2"/>
  <c r="G23" i="2"/>
  <c r="E23" i="2"/>
  <c r="D23" i="2"/>
  <c r="C23" i="2"/>
  <c r="A24" i="2"/>
  <c r="H22" i="2"/>
  <c r="G22" i="2"/>
  <c r="E22" i="2"/>
  <c r="D22" i="2"/>
  <c r="C22" i="2"/>
  <c r="A23" i="2"/>
  <c r="H21" i="2"/>
  <c r="G21" i="2"/>
  <c r="E21" i="2"/>
  <c r="D21" i="2"/>
  <c r="C21" i="2"/>
  <c r="A22" i="2"/>
  <c r="H20" i="2"/>
  <c r="G20" i="2"/>
  <c r="E20" i="2"/>
  <c r="D20" i="2"/>
  <c r="C20" i="2"/>
  <c r="A21" i="2"/>
  <c r="H19" i="2"/>
  <c r="G19" i="2"/>
  <c r="E19" i="2"/>
  <c r="D19" i="2"/>
  <c r="C19" i="2"/>
  <c r="A20" i="2"/>
  <c r="H18" i="2"/>
  <c r="G18" i="2"/>
  <c r="E18" i="2"/>
  <c r="D18" i="2"/>
  <c r="C18" i="2"/>
  <c r="A19" i="2"/>
  <c r="H17" i="2"/>
  <c r="G17" i="2"/>
  <c r="E17" i="2"/>
  <c r="D17" i="2"/>
  <c r="C17" i="2"/>
  <c r="A18" i="2"/>
  <c r="H16" i="2"/>
  <c r="G16" i="2"/>
  <c r="E16" i="2"/>
  <c r="D16" i="2"/>
  <c r="C16" i="2"/>
  <c r="A17" i="2"/>
  <c r="H15" i="2"/>
  <c r="G15" i="2"/>
  <c r="E15" i="2"/>
  <c r="D15" i="2"/>
  <c r="C15" i="2"/>
  <c r="A16" i="2"/>
  <c r="H14" i="2"/>
  <c r="G14" i="2"/>
  <c r="E14" i="2"/>
  <c r="D14" i="2"/>
  <c r="C14" i="2"/>
  <c r="A15" i="2"/>
  <c r="H13" i="2"/>
  <c r="G13" i="2"/>
  <c r="E13" i="2"/>
  <c r="D13" i="2"/>
  <c r="C13" i="2"/>
  <c r="A14" i="2"/>
  <c r="H12" i="2"/>
  <c r="G12" i="2"/>
  <c r="E12" i="2"/>
  <c r="D12" i="2"/>
  <c r="C12" i="2"/>
  <c r="A13" i="2"/>
  <c r="H11" i="2"/>
  <c r="G11" i="2"/>
  <c r="E11" i="2"/>
  <c r="D11" i="2"/>
  <c r="C11" i="2"/>
  <c r="A12" i="2"/>
  <c r="H10" i="2"/>
  <c r="G10" i="2"/>
  <c r="E10" i="2"/>
  <c r="D10" i="2"/>
  <c r="C10" i="2"/>
  <c r="A11" i="2"/>
  <c r="H9" i="2"/>
  <c r="G9" i="2"/>
  <c r="E9" i="2"/>
  <c r="D9" i="2"/>
  <c r="C9" i="2"/>
  <c r="A10" i="2"/>
  <c r="H8" i="2"/>
  <c r="G8" i="2"/>
  <c r="E8" i="2"/>
  <c r="D8" i="2"/>
  <c r="C8" i="2"/>
  <c r="A9" i="2"/>
  <c r="H7" i="2"/>
  <c r="G7" i="2"/>
  <c r="E7" i="2"/>
  <c r="D7" i="2"/>
  <c r="C7" i="2"/>
  <c r="A8" i="2"/>
  <c r="H6" i="2"/>
  <c r="G6" i="2"/>
  <c r="E6" i="2"/>
  <c r="D6" i="2"/>
  <c r="C6" i="2"/>
  <c r="A7" i="2"/>
  <c r="H5" i="2"/>
  <c r="G5" i="2"/>
  <c r="E5" i="2"/>
  <c r="D5" i="2"/>
  <c r="C5" i="2"/>
  <c r="A6" i="2"/>
  <c r="H4" i="2"/>
  <c r="G4" i="2"/>
  <c r="E4" i="2"/>
  <c r="D4" i="2"/>
  <c r="C4" i="2"/>
  <c r="A5" i="2"/>
  <c r="H3" i="2"/>
  <c r="G3" i="2"/>
  <c r="E3" i="2"/>
  <c r="D3" i="2"/>
  <c r="C3" i="2"/>
  <c r="A4" i="2"/>
  <c r="H2" i="2"/>
  <c r="G2" i="2"/>
  <c r="E2" i="2"/>
  <c r="D2" i="2"/>
  <c r="C2" i="2"/>
  <c r="A3" i="2"/>
  <c r="A2" i="2"/>
  <c r="Z16" i="9" l="1"/>
  <c r="Z20" i="9"/>
  <c r="Z45" i="9"/>
  <c r="Z41" i="9"/>
  <c r="Z37" i="9"/>
  <c r="Z33" i="9"/>
  <c r="Z29" i="9"/>
  <c r="Z25" i="9"/>
  <c r="Z21" i="9"/>
  <c r="Z17" i="9"/>
  <c r="Z13" i="9"/>
  <c r="Z9" i="9"/>
  <c r="Z5" i="9"/>
  <c r="T28" i="7"/>
  <c r="T10" i="7"/>
  <c r="H46" i="16"/>
  <c r="T45" i="16"/>
  <c r="Z45" i="16" s="1"/>
  <c r="H46" i="9"/>
  <c r="T46" i="9" s="1"/>
  <c r="F46" i="15"/>
  <c r="O46" i="15" s="1"/>
  <c r="T46" i="15" s="1"/>
  <c r="F46" i="11"/>
  <c r="M46" i="11" s="1"/>
  <c r="P46" i="11" s="1"/>
  <c r="F46" i="7"/>
  <c r="O46" i="7" s="1"/>
  <c r="T46" i="7" s="1"/>
  <c r="B9" i="3"/>
  <c r="A9" i="15"/>
  <c r="B9" i="15" s="1"/>
  <c r="A9" i="16"/>
  <c r="B9" i="16" s="1"/>
  <c r="B11" i="3"/>
  <c r="A11" i="16"/>
  <c r="B11" i="16" s="1"/>
  <c r="A11" i="15"/>
  <c r="B11" i="15" s="1"/>
  <c r="B25" i="3"/>
  <c r="A25" i="16"/>
  <c r="B25" i="16" s="1"/>
  <c r="A25" i="15"/>
  <c r="B25" i="15" s="1"/>
  <c r="B27" i="3"/>
  <c r="A27" i="16"/>
  <c r="B27" i="16" s="1"/>
  <c r="A27" i="15"/>
  <c r="B27" i="15" s="1"/>
  <c r="A3" i="25"/>
  <c r="B3" i="25" s="1"/>
  <c r="Z30" i="9"/>
  <c r="T38" i="7"/>
  <c r="B7" i="3"/>
  <c r="A7" i="16"/>
  <c r="B7" i="16" s="1"/>
  <c r="A7" i="15"/>
  <c r="B7" i="15" s="1"/>
  <c r="B33" i="3"/>
  <c r="A33" i="16"/>
  <c r="B33" i="16" s="1"/>
  <c r="A33" i="15"/>
  <c r="B33" i="15" s="1"/>
  <c r="A9" i="25"/>
  <c r="B9" i="25" s="1"/>
  <c r="B40" i="3"/>
  <c r="A40" i="16"/>
  <c r="B40" i="16" s="1"/>
  <c r="A40" i="15"/>
  <c r="B40" i="15" s="1"/>
  <c r="A16" i="25"/>
  <c r="B16" i="25" s="1"/>
  <c r="B42" i="3"/>
  <c r="A42" i="16"/>
  <c r="B42" i="16" s="1"/>
  <c r="A42" i="15"/>
  <c r="B42" i="15" s="1"/>
  <c r="A18" i="25"/>
  <c r="B18" i="25" s="1"/>
  <c r="A60" i="16"/>
  <c r="B60" i="16" s="1"/>
  <c r="A60" i="15"/>
  <c r="B60" i="15" s="1"/>
  <c r="A36" i="25"/>
  <c r="B36" i="25" s="1"/>
  <c r="A74" i="16"/>
  <c r="B74" i="16" s="1"/>
  <c r="A50" i="25"/>
  <c r="B50" i="25" s="1"/>
  <c r="A74" i="15"/>
  <c r="B74" i="15" s="1"/>
  <c r="A76" i="15"/>
  <c r="B76" i="15" s="1"/>
  <c r="A76" i="16"/>
  <c r="B76" i="16" s="1"/>
  <c r="A52" i="25"/>
  <c r="B52" i="25" s="1"/>
  <c r="T44" i="7"/>
  <c r="T36" i="7"/>
  <c r="T30" i="7"/>
  <c r="T20" i="7"/>
  <c r="T16" i="7"/>
  <c r="T8" i="7"/>
  <c r="T45" i="7"/>
  <c r="T41" i="7"/>
  <c r="T37" i="7"/>
  <c r="T33" i="7"/>
  <c r="T29" i="7"/>
  <c r="T25" i="7"/>
  <c r="T21" i="7"/>
  <c r="T17" i="7"/>
  <c r="T13" i="7"/>
  <c r="T9" i="7"/>
  <c r="T5" i="7"/>
  <c r="Z40" i="9"/>
  <c r="Z34" i="9"/>
  <c r="Z26" i="9"/>
  <c r="Z14" i="9"/>
  <c r="Z6" i="9"/>
  <c r="B2" i="3"/>
  <c r="A2" i="16"/>
  <c r="B2" i="16" s="1"/>
  <c r="B6" i="3"/>
  <c r="A6" i="16"/>
  <c r="B6" i="16" s="1"/>
  <c r="A6" i="15"/>
  <c r="B6" i="15" s="1"/>
  <c r="B13" i="3"/>
  <c r="A13" i="16"/>
  <c r="B13" i="16" s="1"/>
  <c r="A13" i="15"/>
  <c r="B13" i="15" s="1"/>
  <c r="B15" i="3"/>
  <c r="A15" i="15"/>
  <c r="B15" i="15" s="1"/>
  <c r="A15" i="16"/>
  <c r="B15" i="16" s="1"/>
  <c r="B17" i="3"/>
  <c r="A17" i="16"/>
  <c r="B17" i="16" s="1"/>
  <c r="A17" i="15"/>
  <c r="B17" i="15" s="1"/>
  <c r="B19" i="3"/>
  <c r="A19" i="16"/>
  <c r="B19" i="16" s="1"/>
  <c r="A19" i="15"/>
  <c r="B19" i="15" s="1"/>
  <c r="B21" i="3"/>
  <c r="A21" i="15"/>
  <c r="B21" i="15" s="1"/>
  <c r="A21" i="16"/>
  <c r="B21" i="16" s="1"/>
  <c r="B23" i="3"/>
  <c r="A23" i="16"/>
  <c r="B23" i="16" s="1"/>
  <c r="A23" i="15"/>
  <c r="B23" i="15" s="1"/>
  <c r="B30" i="3"/>
  <c r="A30" i="16"/>
  <c r="B30" i="16" s="1"/>
  <c r="A30" i="15"/>
  <c r="B30" i="15" s="1"/>
  <c r="A6" i="25"/>
  <c r="B6" i="25" s="1"/>
  <c r="B39" i="3"/>
  <c r="A39" i="16"/>
  <c r="B39" i="16" s="1"/>
  <c r="A39" i="15"/>
  <c r="B39" i="15" s="1"/>
  <c r="A15" i="25"/>
  <c r="B15" i="25" s="1"/>
  <c r="B3" i="3"/>
  <c r="A3" i="16"/>
  <c r="B3" i="16" s="1"/>
  <c r="A3" i="15"/>
  <c r="B3" i="15" s="1"/>
  <c r="B31" i="3"/>
  <c r="A31" i="16"/>
  <c r="B31" i="16" s="1"/>
  <c r="A31" i="15"/>
  <c r="B31" i="15" s="1"/>
  <c r="A7" i="25"/>
  <c r="B7" i="25" s="1"/>
  <c r="B35" i="3"/>
  <c r="A35" i="16"/>
  <c r="B35" i="16" s="1"/>
  <c r="A11" i="25"/>
  <c r="B11" i="25" s="1"/>
  <c r="A35" i="15"/>
  <c r="B35" i="15" s="1"/>
  <c r="B44" i="3"/>
  <c r="A44" i="16"/>
  <c r="B44" i="16" s="1"/>
  <c r="A44" i="15"/>
  <c r="B44" i="15" s="1"/>
  <c r="A20" i="25"/>
  <c r="B20" i="25" s="1"/>
  <c r="B46" i="3"/>
  <c r="A22" i="25"/>
  <c r="B22" i="25" s="1"/>
  <c r="A46" i="16"/>
  <c r="B46" i="16" s="1"/>
  <c r="A46" i="15"/>
  <c r="B46" i="15" s="1"/>
  <c r="A50" i="16"/>
  <c r="B50" i="16" s="1"/>
  <c r="A26" i="25"/>
  <c r="B26" i="25" s="1"/>
  <c r="A50" i="15"/>
  <c r="B50" i="15" s="1"/>
  <c r="A56" i="16"/>
  <c r="B56" i="16" s="1"/>
  <c r="A56" i="15"/>
  <c r="B56" i="15" s="1"/>
  <c r="A32" i="25"/>
  <c r="B32" i="25" s="1"/>
  <c r="A34" i="25"/>
  <c r="B34" i="25" s="1"/>
  <c r="A58" i="16"/>
  <c r="B58" i="16" s="1"/>
  <c r="A58" i="15"/>
  <c r="B58" i="15" s="1"/>
  <c r="A62" i="16"/>
  <c r="B62" i="16" s="1"/>
  <c r="A38" i="25"/>
  <c r="B38" i="25" s="1"/>
  <c r="A62" i="15"/>
  <c r="B62" i="15" s="1"/>
  <c r="A64" i="16"/>
  <c r="B64" i="16" s="1"/>
  <c r="A64" i="15"/>
  <c r="B64" i="15" s="1"/>
  <c r="A40" i="25"/>
  <c r="B40" i="25" s="1"/>
  <c r="A82" i="15"/>
  <c r="B82" i="15" s="1"/>
  <c r="A58" i="25"/>
  <c r="B58" i="25" s="1"/>
  <c r="A82" i="16"/>
  <c r="B82" i="16" s="1"/>
  <c r="A84" i="16"/>
  <c r="B84" i="16" s="1"/>
  <c r="A84" i="15"/>
  <c r="B84" i="15" s="1"/>
  <c r="A60" i="25"/>
  <c r="B60" i="25" s="1"/>
  <c r="A86" i="15"/>
  <c r="B86" i="15" s="1"/>
  <c r="A86" i="16"/>
  <c r="B86" i="16" s="1"/>
  <c r="A62" i="25"/>
  <c r="B62" i="25" s="1"/>
  <c r="A88" i="16"/>
  <c r="B88" i="16" s="1"/>
  <c r="A88" i="15"/>
  <c r="B88" i="15" s="1"/>
  <c r="A64" i="25"/>
  <c r="B64" i="25" s="1"/>
  <c r="A90" i="16"/>
  <c r="B90" i="16" s="1"/>
  <c r="A90" i="15"/>
  <c r="B90" i="15" s="1"/>
  <c r="A66" i="25"/>
  <c r="B66" i="25" s="1"/>
  <c r="A92" i="16"/>
  <c r="B92" i="16" s="1"/>
  <c r="A92" i="15"/>
  <c r="B92" i="15" s="1"/>
  <c r="A68" i="25"/>
  <c r="B68" i="25" s="1"/>
  <c r="A94" i="16"/>
  <c r="B94" i="16" s="1"/>
  <c r="A70" i="25"/>
  <c r="B70" i="25" s="1"/>
  <c r="A94" i="15"/>
  <c r="B94" i="15" s="1"/>
  <c r="A96" i="16"/>
  <c r="B96" i="16" s="1"/>
  <c r="A96" i="15"/>
  <c r="B96" i="15" s="1"/>
  <c r="A72" i="25"/>
  <c r="B72" i="25" s="1"/>
  <c r="B4" i="3"/>
  <c r="A4" i="16"/>
  <c r="B4" i="16" s="1"/>
  <c r="A4" i="15"/>
  <c r="B4" i="15" s="1"/>
  <c r="B8" i="3"/>
  <c r="A8" i="16"/>
  <c r="B8" i="16" s="1"/>
  <c r="A8" i="15"/>
  <c r="B8" i="15" s="1"/>
  <c r="B10" i="3"/>
  <c r="A10" i="15"/>
  <c r="B10" i="15" s="1"/>
  <c r="A10" i="16"/>
  <c r="B10" i="16" s="1"/>
  <c r="B12" i="3"/>
  <c r="A12" i="16"/>
  <c r="B12" i="16" s="1"/>
  <c r="A12" i="15"/>
  <c r="B12" i="15" s="1"/>
  <c r="B14" i="3"/>
  <c r="A14" i="16"/>
  <c r="B14" i="16" s="1"/>
  <c r="A14" i="15"/>
  <c r="B14" i="15" s="1"/>
  <c r="B16" i="3"/>
  <c r="A16" i="16"/>
  <c r="B16" i="16" s="1"/>
  <c r="A16" i="15"/>
  <c r="B16" i="15" s="1"/>
  <c r="B18" i="3"/>
  <c r="A18" i="16"/>
  <c r="B18" i="16" s="1"/>
  <c r="A18" i="15"/>
  <c r="B18" i="15" s="1"/>
  <c r="B20" i="3"/>
  <c r="A20" i="16"/>
  <c r="B20" i="16" s="1"/>
  <c r="A20" i="15"/>
  <c r="B20" i="15" s="1"/>
  <c r="B22" i="3"/>
  <c r="A22" i="16"/>
  <c r="B22" i="16" s="1"/>
  <c r="A22" i="15"/>
  <c r="B22" i="15" s="1"/>
  <c r="B24" i="3"/>
  <c r="A24" i="15"/>
  <c r="B24" i="15" s="1"/>
  <c r="A24" i="16"/>
  <c r="B24" i="16" s="1"/>
  <c r="B26" i="3"/>
  <c r="A26" i="16"/>
  <c r="B26" i="16" s="1"/>
  <c r="A26" i="15"/>
  <c r="B26" i="15" s="1"/>
  <c r="A2" i="25"/>
  <c r="B2" i="25" s="1"/>
  <c r="B28" i="3"/>
  <c r="A28" i="16"/>
  <c r="B28" i="16" s="1"/>
  <c r="A28" i="15"/>
  <c r="B28" i="15" s="1"/>
  <c r="A4" i="25"/>
  <c r="B4" i="25" s="1"/>
  <c r="Z42" i="9"/>
  <c r="Z24" i="9"/>
  <c r="Z12" i="9"/>
  <c r="Z43" i="9"/>
  <c r="Z39" i="9"/>
  <c r="Z35" i="9"/>
  <c r="Z31" i="9"/>
  <c r="Z27" i="9"/>
  <c r="Z23" i="9"/>
  <c r="Z19" i="9"/>
  <c r="Z15" i="9"/>
  <c r="Z11" i="9"/>
  <c r="Z7" i="9"/>
  <c r="Z3" i="9"/>
  <c r="T40" i="7"/>
  <c r="T34" i="7"/>
  <c r="T26" i="7"/>
  <c r="T14" i="7"/>
  <c r="T6" i="7"/>
  <c r="Z44" i="9"/>
  <c r="T22" i="7"/>
  <c r="B37" i="3"/>
  <c r="A37" i="15"/>
  <c r="B37" i="15" s="1"/>
  <c r="A37" i="16"/>
  <c r="B37" i="16" s="1"/>
  <c r="A13" i="25"/>
  <c r="B13" i="25" s="1"/>
  <c r="B48" i="3"/>
  <c r="A48" i="15"/>
  <c r="B48" i="15" s="1"/>
  <c r="A48" i="16"/>
  <c r="B48" i="16" s="1"/>
  <c r="A24" i="25"/>
  <c r="B24" i="25" s="1"/>
  <c r="A52" i="16"/>
  <c r="B52" i="16" s="1"/>
  <c r="A52" i="15"/>
  <c r="B52" i="15" s="1"/>
  <c r="A28" i="25"/>
  <c r="B28" i="25" s="1"/>
  <c r="A54" i="16"/>
  <c r="B54" i="16" s="1"/>
  <c r="A54" i="15"/>
  <c r="B54" i="15" s="1"/>
  <c r="A30" i="25"/>
  <c r="B30" i="25" s="1"/>
  <c r="A66" i="16"/>
  <c r="B66" i="16" s="1"/>
  <c r="A66" i="15"/>
  <c r="B66" i="15" s="1"/>
  <c r="A42" i="25"/>
  <c r="B42" i="25" s="1"/>
  <c r="A68" i="16"/>
  <c r="B68" i="16" s="1"/>
  <c r="A68" i="15"/>
  <c r="B68" i="15" s="1"/>
  <c r="A44" i="25"/>
  <c r="B44" i="25" s="1"/>
  <c r="A70" i="16"/>
  <c r="B70" i="16" s="1"/>
  <c r="A70" i="15"/>
  <c r="B70" i="15" s="1"/>
  <c r="A46" i="25"/>
  <c r="B46" i="25" s="1"/>
  <c r="A72" i="16"/>
  <c r="B72" i="16" s="1"/>
  <c r="A72" i="15"/>
  <c r="B72" i="15" s="1"/>
  <c r="A48" i="25"/>
  <c r="B48" i="25" s="1"/>
  <c r="A78" i="16"/>
  <c r="B78" i="16" s="1"/>
  <c r="A54" i="25"/>
  <c r="B54" i="25" s="1"/>
  <c r="A78" i="15"/>
  <c r="B78" i="15" s="1"/>
  <c r="A80" i="16"/>
  <c r="B80" i="16" s="1"/>
  <c r="A80" i="15"/>
  <c r="B80" i="15" s="1"/>
  <c r="A56" i="25"/>
  <c r="B56" i="25" s="1"/>
  <c r="B5" i="3"/>
  <c r="A5" i="16"/>
  <c r="B5" i="16" s="1"/>
  <c r="A5" i="15"/>
  <c r="B5" i="15" s="1"/>
  <c r="B29" i="3"/>
  <c r="A29" i="15"/>
  <c r="B29" i="15" s="1"/>
  <c r="A29" i="16"/>
  <c r="B29" i="16" s="1"/>
  <c r="A5" i="25"/>
  <c r="B5" i="25" s="1"/>
  <c r="B32" i="3"/>
  <c r="A32" i="15"/>
  <c r="B32" i="15" s="1"/>
  <c r="A32" i="16"/>
  <c r="B32" i="16" s="1"/>
  <c r="A8" i="25"/>
  <c r="B8" i="25" s="1"/>
  <c r="B34" i="3"/>
  <c r="A34" i="16"/>
  <c r="B34" i="16" s="1"/>
  <c r="A10" i="25"/>
  <c r="B10" i="25" s="1"/>
  <c r="A34" i="15"/>
  <c r="B34" i="15" s="1"/>
  <c r="B36" i="3"/>
  <c r="A36" i="16"/>
  <c r="B36" i="16" s="1"/>
  <c r="A36" i="15"/>
  <c r="B36" i="15" s="1"/>
  <c r="A12" i="25"/>
  <c r="B12" i="25" s="1"/>
  <c r="A38" i="15"/>
  <c r="B38" i="15" s="1"/>
  <c r="A14" i="25"/>
  <c r="B14" i="25" s="1"/>
  <c r="A38" i="16"/>
  <c r="B38" i="16" s="1"/>
  <c r="B41" i="3"/>
  <c r="A41" i="16"/>
  <c r="B41" i="16" s="1"/>
  <c r="A41" i="15"/>
  <c r="B41" i="15" s="1"/>
  <c r="A17" i="25"/>
  <c r="B17" i="25" s="1"/>
  <c r="B43" i="3"/>
  <c r="A43" i="15"/>
  <c r="B43" i="15" s="1"/>
  <c r="A43" i="16"/>
  <c r="B43" i="16" s="1"/>
  <c r="A19" i="25"/>
  <c r="B19" i="25" s="1"/>
  <c r="B45" i="3"/>
  <c r="A45" i="16"/>
  <c r="B45" i="16" s="1"/>
  <c r="A45" i="15"/>
  <c r="B45" i="15" s="1"/>
  <c r="A21" i="25"/>
  <c r="B21" i="25" s="1"/>
  <c r="B47" i="3"/>
  <c r="A47" i="16"/>
  <c r="B47" i="16" s="1"/>
  <c r="A23" i="25"/>
  <c r="B23" i="25" s="1"/>
  <c r="A47" i="15"/>
  <c r="B47" i="15" s="1"/>
  <c r="B49" i="3"/>
  <c r="A49" i="16"/>
  <c r="B49" i="16" s="1"/>
  <c r="A25" i="25"/>
  <c r="B25" i="25" s="1"/>
  <c r="A49" i="15"/>
  <c r="B49" i="15" s="1"/>
  <c r="A51" i="16"/>
  <c r="B51" i="16" s="1"/>
  <c r="A27" i="25"/>
  <c r="B27" i="25" s="1"/>
  <c r="A51" i="15"/>
  <c r="B51" i="15" s="1"/>
  <c r="A53" i="16"/>
  <c r="B53" i="16" s="1"/>
  <c r="A53" i="15"/>
  <c r="B53" i="15" s="1"/>
  <c r="A29" i="25"/>
  <c r="B29" i="25" s="1"/>
  <c r="A55" i="15"/>
  <c r="B55" i="15" s="1"/>
  <c r="A55" i="16"/>
  <c r="B55" i="16" s="1"/>
  <c r="A31" i="25"/>
  <c r="B31" i="25" s="1"/>
  <c r="A57" i="16"/>
  <c r="B57" i="16" s="1"/>
  <c r="A33" i="25"/>
  <c r="B33" i="25" s="1"/>
  <c r="A57" i="15"/>
  <c r="B57" i="15" s="1"/>
  <c r="A59" i="16"/>
  <c r="B59" i="16" s="1"/>
  <c r="A59" i="15"/>
  <c r="B59" i="15" s="1"/>
  <c r="A35" i="25"/>
  <c r="B35" i="25" s="1"/>
  <c r="A61" i="15"/>
  <c r="B61" i="15" s="1"/>
  <c r="A61" i="16"/>
  <c r="B61" i="16" s="1"/>
  <c r="A37" i="25"/>
  <c r="B37" i="25" s="1"/>
  <c r="A63" i="16"/>
  <c r="B63" i="16" s="1"/>
  <c r="A63" i="15"/>
  <c r="B63" i="15" s="1"/>
  <c r="A39" i="25"/>
  <c r="B39" i="25" s="1"/>
  <c r="A65" i="15"/>
  <c r="B65" i="15" s="1"/>
  <c r="A65" i="16"/>
  <c r="B65" i="16" s="1"/>
  <c r="A41" i="25"/>
  <c r="B41" i="25" s="1"/>
  <c r="A67" i="16"/>
  <c r="B67" i="16" s="1"/>
  <c r="A67" i="15"/>
  <c r="B67" i="15" s="1"/>
  <c r="A43" i="25"/>
  <c r="B43" i="25" s="1"/>
  <c r="A69" i="16"/>
  <c r="B69" i="16" s="1"/>
  <c r="A45" i="25"/>
  <c r="B45" i="25" s="1"/>
  <c r="A69" i="15"/>
  <c r="B69" i="15" s="1"/>
  <c r="A71" i="15"/>
  <c r="B71" i="15" s="1"/>
  <c r="A71" i="16"/>
  <c r="B71" i="16" s="1"/>
  <c r="A47" i="25"/>
  <c r="B47" i="25" s="1"/>
  <c r="A73" i="16"/>
  <c r="B73" i="16" s="1"/>
  <c r="A73" i="15"/>
  <c r="B73" i="15" s="1"/>
  <c r="A49" i="25"/>
  <c r="B49" i="25" s="1"/>
  <c r="A75" i="16"/>
  <c r="B75" i="16" s="1"/>
  <c r="A75" i="15"/>
  <c r="B75" i="15" s="1"/>
  <c r="A51" i="25"/>
  <c r="B51" i="25" s="1"/>
  <c r="A77" i="16"/>
  <c r="B77" i="16" s="1"/>
  <c r="A77" i="15"/>
  <c r="B77" i="15" s="1"/>
  <c r="A53" i="25"/>
  <c r="B53" i="25" s="1"/>
  <c r="A79" i="16"/>
  <c r="B79" i="16" s="1"/>
  <c r="A79" i="15"/>
  <c r="B79" i="15" s="1"/>
  <c r="A55" i="25"/>
  <c r="B55" i="25" s="1"/>
  <c r="A81" i="16"/>
  <c r="B81" i="16" s="1"/>
  <c r="A81" i="15"/>
  <c r="B81" i="15" s="1"/>
  <c r="A57" i="25"/>
  <c r="B57" i="25" s="1"/>
  <c r="A83" i="16"/>
  <c r="B83" i="16" s="1"/>
  <c r="A83" i="15"/>
  <c r="B83" i="15" s="1"/>
  <c r="A59" i="25"/>
  <c r="B59" i="25" s="1"/>
  <c r="A85" i="16"/>
  <c r="B85" i="16" s="1"/>
  <c r="A85" i="15"/>
  <c r="B85" i="15" s="1"/>
  <c r="A61" i="25"/>
  <c r="B61" i="25" s="1"/>
  <c r="A87" i="16"/>
  <c r="B87" i="16" s="1"/>
  <c r="A87" i="15"/>
  <c r="B87" i="15" s="1"/>
  <c r="A63" i="25"/>
  <c r="B63" i="25" s="1"/>
  <c r="A89" i="16"/>
  <c r="B89" i="16" s="1"/>
  <c r="A65" i="25"/>
  <c r="B65" i="25" s="1"/>
  <c r="A89" i="15"/>
  <c r="B89" i="15" s="1"/>
  <c r="A91" i="16"/>
  <c r="B91" i="16" s="1"/>
  <c r="A91" i="15"/>
  <c r="B91" i="15" s="1"/>
  <c r="A67" i="25"/>
  <c r="B67" i="25" s="1"/>
  <c r="A93" i="16"/>
  <c r="B93" i="16" s="1"/>
  <c r="A93" i="15"/>
  <c r="B93" i="15" s="1"/>
  <c r="A69" i="25"/>
  <c r="B69" i="25" s="1"/>
  <c r="A95" i="15"/>
  <c r="B95" i="15" s="1"/>
  <c r="A95" i="16"/>
  <c r="B95" i="16" s="1"/>
  <c r="A71" i="25"/>
  <c r="B71" i="25" s="1"/>
  <c r="T42" i="7"/>
  <c r="T32" i="7"/>
  <c r="T24" i="7"/>
  <c r="T18" i="7"/>
  <c r="T12" i="7"/>
  <c r="T4" i="7"/>
  <c r="T43" i="7"/>
  <c r="T39" i="7"/>
  <c r="T35" i="7"/>
  <c r="T31" i="7"/>
  <c r="T27" i="7"/>
  <c r="T23" i="7"/>
  <c r="T19" i="7"/>
  <c r="T15" i="7"/>
  <c r="T11" i="7"/>
  <c r="T7" i="7"/>
  <c r="T3" i="7"/>
  <c r="Z46" i="9"/>
  <c r="Z38" i="9"/>
  <c r="Z28" i="9"/>
  <c r="Z22" i="9"/>
  <c r="Z10" i="9"/>
  <c r="Z2" i="9"/>
  <c r="T2" i="7"/>
  <c r="A38" i="9"/>
  <c r="B38" i="9" s="1"/>
  <c r="B38" i="3"/>
  <c r="B51" i="3"/>
  <c r="B53" i="3"/>
  <c r="B55" i="3"/>
  <c r="B57" i="3"/>
  <c r="B59" i="3"/>
  <c r="B61" i="3"/>
  <c r="B63" i="3"/>
  <c r="B65" i="3"/>
  <c r="B67" i="3"/>
  <c r="B69" i="3"/>
  <c r="B71" i="3"/>
  <c r="B73" i="3"/>
  <c r="B75" i="3"/>
  <c r="B77" i="3"/>
  <c r="B79" i="3"/>
  <c r="B81" i="3"/>
  <c r="B83" i="3"/>
  <c r="B85" i="3"/>
  <c r="B87" i="3"/>
  <c r="B89" i="3"/>
  <c r="B91" i="3"/>
  <c r="B93" i="3"/>
  <c r="B95" i="3"/>
  <c r="B50" i="3"/>
  <c r="B52" i="3"/>
  <c r="B54" i="3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AT47" i="3"/>
  <c r="C76" i="24"/>
  <c r="C78" i="24"/>
  <c r="C65" i="3"/>
  <c r="C66" i="3"/>
  <c r="A2" i="9"/>
  <c r="B2" i="9" s="1"/>
  <c r="A4" i="9"/>
  <c r="B4" i="9" s="1"/>
  <c r="A6" i="9"/>
  <c r="B6" i="9" s="1"/>
  <c r="A8" i="11"/>
  <c r="B8" i="11" s="1"/>
  <c r="A8" i="9"/>
  <c r="B8" i="9" s="1"/>
  <c r="A10" i="9"/>
  <c r="B10" i="9" s="1"/>
  <c r="A12" i="9"/>
  <c r="B12" i="9" s="1"/>
  <c r="A14" i="9"/>
  <c r="B14" i="9" s="1"/>
  <c r="A16" i="9"/>
  <c r="B16" i="9" s="1"/>
  <c r="A18" i="9"/>
  <c r="B18" i="9" s="1"/>
  <c r="A20" i="9"/>
  <c r="B20" i="9" s="1"/>
  <c r="A22" i="11"/>
  <c r="B22" i="11" s="1"/>
  <c r="A22" i="9"/>
  <c r="B22" i="9" s="1"/>
  <c r="A24" i="9"/>
  <c r="B24" i="9" s="1"/>
  <c r="A26" i="9"/>
  <c r="B26" i="9" s="1"/>
  <c r="A28" i="9"/>
  <c r="B28" i="9" s="1"/>
  <c r="A30" i="9"/>
  <c r="B30" i="9" s="1"/>
  <c r="A32" i="9"/>
  <c r="B32" i="9" s="1"/>
  <c r="A34" i="9"/>
  <c r="B34" i="9" s="1"/>
  <c r="A36" i="9"/>
  <c r="B36" i="9" s="1"/>
  <c r="A40" i="9"/>
  <c r="B40" i="9" s="1"/>
  <c r="A42" i="9"/>
  <c r="B42" i="9" s="1"/>
  <c r="A44" i="9"/>
  <c r="B44" i="9" s="1"/>
  <c r="A46" i="9"/>
  <c r="B46" i="9" s="1"/>
  <c r="A48" i="9"/>
  <c r="B48" i="9" s="1"/>
  <c r="A50" i="7"/>
  <c r="B50" i="7" s="1"/>
  <c r="A50" i="11"/>
  <c r="B50" i="11" s="1"/>
  <c r="A50" i="9"/>
  <c r="B50" i="9" s="1"/>
  <c r="A52" i="7"/>
  <c r="B52" i="7" s="1"/>
  <c r="A52" i="9"/>
  <c r="B52" i="9" s="1"/>
  <c r="A52" i="11"/>
  <c r="B52" i="11" s="1"/>
  <c r="A54" i="7"/>
  <c r="B54" i="7" s="1"/>
  <c r="A54" i="11"/>
  <c r="B54" i="11" s="1"/>
  <c r="A54" i="9"/>
  <c r="B54" i="9" s="1"/>
  <c r="A56" i="7"/>
  <c r="B56" i="7" s="1"/>
  <c r="A56" i="11"/>
  <c r="B56" i="11" s="1"/>
  <c r="A56" i="9"/>
  <c r="B56" i="9" s="1"/>
  <c r="A58" i="7"/>
  <c r="B58" i="7" s="1"/>
  <c r="A58" i="11"/>
  <c r="B58" i="11" s="1"/>
  <c r="A58" i="9"/>
  <c r="B58" i="9" s="1"/>
  <c r="A60" i="7"/>
  <c r="B60" i="7" s="1"/>
  <c r="A60" i="11"/>
  <c r="B60" i="11" s="1"/>
  <c r="A60" i="9"/>
  <c r="B60" i="9" s="1"/>
  <c r="A62" i="7"/>
  <c r="B62" i="7" s="1"/>
  <c r="A62" i="11"/>
  <c r="B62" i="11" s="1"/>
  <c r="A62" i="9"/>
  <c r="B62" i="9" s="1"/>
  <c r="A64" i="7"/>
  <c r="B64" i="7" s="1"/>
  <c r="A64" i="11"/>
  <c r="B64" i="11" s="1"/>
  <c r="A64" i="9"/>
  <c r="B64" i="9" s="1"/>
  <c r="A66" i="7"/>
  <c r="B66" i="7" s="1"/>
  <c r="A66" i="11"/>
  <c r="B66" i="11" s="1"/>
  <c r="A66" i="9"/>
  <c r="B66" i="9" s="1"/>
  <c r="A68" i="7"/>
  <c r="B68" i="7" s="1"/>
  <c r="A68" i="11"/>
  <c r="B68" i="11" s="1"/>
  <c r="A68" i="9"/>
  <c r="B68" i="9" s="1"/>
  <c r="A70" i="7"/>
  <c r="B70" i="7" s="1"/>
  <c r="A70" i="11"/>
  <c r="B70" i="11" s="1"/>
  <c r="A70" i="9"/>
  <c r="B70" i="9" s="1"/>
  <c r="A72" i="7"/>
  <c r="B72" i="7" s="1"/>
  <c r="A72" i="11"/>
  <c r="B72" i="11" s="1"/>
  <c r="A72" i="9"/>
  <c r="B72" i="9" s="1"/>
  <c r="A74" i="7"/>
  <c r="B74" i="7" s="1"/>
  <c r="A74" i="9"/>
  <c r="B74" i="9" s="1"/>
  <c r="A74" i="11"/>
  <c r="B74" i="11" s="1"/>
  <c r="A76" i="7"/>
  <c r="B76" i="7" s="1"/>
  <c r="A76" i="11"/>
  <c r="B76" i="11" s="1"/>
  <c r="A76" i="9"/>
  <c r="B76" i="9" s="1"/>
  <c r="A78" i="7"/>
  <c r="B78" i="7" s="1"/>
  <c r="A78" i="11"/>
  <c r="B78" i="11" s="1"/>
  <c r="A78" i="9"/>
  <c r="B78" i="9" s="1"/>
  <c r="A80" i="7"/>
  <c r="B80" i="7" s="1"/>
  <c r="A80" i="11"/>
  <c r="B80" i="11" s="1"/>
  <c r="A80" i="9"/>
  <c r="B80" i="9" s="1"/>
  <c r="A82" i="7"/>
  <c r="B82" i="7" s="1"/>
  <c r="A82" i="11"/>
  <c r="B82" i="11" s="1"/>
  <c r="A82" i="9"/>
  <c r="B82" i="9" s="1"/>
  <c r="A84" i="7"/>
  <c r="B84" i="7" s="1"/>
  <c r="A84" i="11"/>
  <c r="B84" i="11" s="1"/>
  <c r="A84" i="9"/>
  <c r="B84" i="9" s="1"/>
  <c r="A86" i="7"/>
  <c r="B86" i="7" s="1"/>
  <c r="A86" i="11"/>
  <c r="B86" i="11" s="1"/>
  <c r="A86" i="9"/>
  <c r="B86" i="9" s="1"/>
  <c r="A88" i="7"/>
  <c r="B88" i="7" s="1"/>
  <c r="A88" i="11"/>
  <c r="B88" i="11" s="1"/>
  <c r="A88" i="9"/>
  <c r="B88" i="9" s="1"/>
  <c r="A90" i="7"/>
  <c r="B90" i="7" s="1"/>
  <c r="A90" i="11"/>
  <c r="B90" i="11" s="1"/>
  <c r="A90" i="9"/>
  <c r="B90" i="9" s="1"/>
  <c r="A92" i="7"/>
  <c r="B92" i="7" s="1"/>
  <c r="A92" i="11"/>
  <c r="B92" i="11" s="1"/>
  <c r="A92" i="9"/>
  <c r="B92" i="9" s="1"/>
  <c r="A94" i="7"/>
  <c r="B94" i="7" s="1"/>
  <c r="A94" i="11"/>
  <c r="B94" i="11" s="1"/>
  <c r="A94" i="9"/>
  <c r="B94" i="9" s="1"/>
  <c r="A96" i="7"/>
  <c r="B96" i="7" s="1"/>
  <c r="A96" i="11"/>
  <c r="B96" i="11" s="1"/>
  <c r="A96" i="9"/>
  <c r="B96" i="9" s="1"/>
  <c r="A3" i="9"/>
  <c r="B3" i="9" s="1"/>
  <c r="A5" i="9"/>
  <c r="B5" i="9" s="1"/>
  <c r="A7" i="9"/>
  <c r="B7" i="9" s="1"/>
  <c r="A9" i="9"/>
  <c r="B9" i="9" s="1"/>
  <c r="A11" i="9"/>
  <c r="B11" i="9" s="1"/>
  <c r="A13" i="9"/>
  <c r="B13" i="9" s="1"/>
  <c r="A15" i="9"/>
  <c r="B15" i="9" s="1"/>
  <c r="A17" i="9"/>
  <c r="B17" i="9" s="1"/>
  <c r="A19" i="9"/>
  <c r="B19" i="9" s="1"/>
  <c r="A21" i="11"/>
  <c r="B21" i="11" s="1"/>
  <c r="A21" i="9"/>
  <c r="B21" i="9" s="1"/>
  <c r="A23" i="9"/>
  <c r="B23" i="9" s="1"/>
  <c r="A25" i="9"/>
  <c r="B25" i="9" s="1"/>
  <c r="A27" i="9"/>
  <c r="B27" i="9" s="1"/>
  <c r="A29" i="9"/>
  <c r="B29" i="9" s="1"/>
  <c r="A31" i="9"/>
  <c r="B31" i="9" s="1"/>
  <c r="A33" i="11"/>
  <c r="B33" i="11" s="1"/>
  <c r="A33" i="9"/>
  <c r="B33" i="9" s="1"/>
  <c r="A35" i="9"/>
  <c r="B35" i="9" s="1"/>
  <c r="A37" i="9"/>
  <c r="B37" i="9" s="1"/>
  <c r="A39" i="9"/>
  <c r="B39" i="9" s="1"/>
  <c r="A41" i="9"/>
  <c r="B41" i="9" s="1"/>
  <c r="A43" i="9"/>
  <c r="B43" i="9" s="1"/>
  <c r="A45" i="11"/>
  <c r="B45" i="11" s="1"/>
  <c r="A45" i="9"/>
  <c r="B45" i="9" s="1"/>
  <c r="A47" i="9"/>
  <c r="B47" i="9" s="1"/>
  <c r="A49" i="11"/>
  <c r="B49" i="11" s="1"/>
  <c r="A49" i="9"/>
  <c r="B49" i="9" s="1"/>
  <c r="A51" i="7"/>
  <c r="B51" i="7" s="1"/>
  <c r="A51" i="9"/>
  <c r="B51" i="9" s="1"/>
  <c r="A51" i="11"/>
  <c r="B51" i="11" s="1"/>
  <c r="A53" i="7"/>
  <c r="B53" i="7" s="1"/>
  <c r="A53" i="11"/>
  <c r="B53" i="11" s="1"/>
  <c r="A53" i="9"/>
  <c r="B53" i="9" s="1"/>
  <c r="A55" i="7"/>
  <c r="B55" i="7" s="1"/>
  <c r="A55" i="11"/>
  <c r="B55" i="11" s="1"/>
  <c r="A55" i="9"/>
  <c r="B55" i="9" s="1"/>
  <c r="A57" i="7"/>
  <c r="B57" i="7" s="1"/>
  <c r="A57" i="11"/>
  <c r="B57" i="11" s="1"/>
  <c r="A57" i="9"/>
  <c r="B57" i="9" s="1"/>
  <c r="A59" i="7"/>
  <c r="B59" i="7" s="1"/>
  <c r="A59" i="11"/>
  <c r="B59" i="11" s="1"/>
  <c r="A59" i="9"/>
  <c r="B59" i="9" s="1"/>
  <c r="A61" i="7"/>
  <c r="B61" i="7" s="1"/>
  <c r="A61" i="11"/>
  <c r="B61" i="11" s="1"/>
  <c r="A61" i="9"/>
  <c r="B61" i="9" s="1"/>
  <c r="A63" i="7"/>
  <c r="B63" i="7" s="1"/>
  <c r="A63" i="11"/>
  <c r="B63" i="11" s="1"/>
  <c r="A63" i="9"/>
  <c r="B63" i="9" s="1"/>
  <c r="A65" i="7"/>
  <c r="B65" i="7" s="1"/>
  <c r="A65" i="11"/>
  <c r="B65" i="11" s="1"/>
  <c r="A65" i="9"/>
  <c r="B65" i="9" s="1"/>
  <c r="A67" i="7"/>
  <c r="B67" i="7" s="1"/>
  <c r="A67" i="11"/>
  <c r="B67" i="11" s="1"/>
  <c r="A67" i="9"/>
  <c r="B67" i="9" s="1"/>
  <c r="A69" i="7"/>
  <c r="B69" i="7" s="1"/>
  <c r="A69" i="11"/>
  <c r="B69" i="11" s="1"/>
  <c r="A69" i="9"/>
  <c r="B69" i="9" s="1"/>
  <c r="A71" i="7"/>
  <c r="B71" i="7" s="1"/>
  <c r="A71" i="11"/>
  <c r="B71" i="11" s="1"/>
  <c r="A71" i="9"/>
  <c r="B71" i="9" s="1"/>
  <c r="A73" i="7"/>
  <c r="B73" i="7" s="1"/>
  <c r="A73" i="11"/>
  <c r="B73" i="11" s="1"/>
  <c r="A73" i="9"/>
  <c r="B73" i="9" s="1"/>
  <c r="A75" i="7"/>
  <c r="B75" i="7" s="1"/>
  <c r="A75" i="11"/>
  <c r="B75" i="11" s="1"/>
  <c r="A75" i="9"/>
  <c r="B75" i="9" s="1"/>
  <c r="A77" i="7"/>
  <c r="B77" i="7" s="1"/>
  <c r="A77" i="11"/>
  <c r="B77" i="11" s="1"/>
  <c r="A77" i="9"/>
  <c r="B77" i="9" s="1"/>
  <c r="A79" i="7"/>
  <c r="B79" i="7" s="1"/>
  <c r="A79" i="11"/>
  <c r="B79" i="11" s="1"/>
  <c r="A79" i="9"/>
  <c r="B79" i="9" s="1"/>
  <c r="A81" i="7"/>
  <c r="B81" i="7" s="1"/>
  <c r="A81" i="9"/>
  <c r="B81" i="9" s="1"/>
  <c r="A81" i="11"/>
  <c r="B81" i="11" s="1"/>
  <c r="A83" i="7"/>
  <c r="B83" i="7" s="1"/>
  <c r="A83" i="11"/>
  <c r="B83" i="11" s="1"/>
  <c r="A83" i="9"/>
  <c r="B83" i="9" s="1"/>
  <c r="A85" i="7"/>
  <c r="B85" i="7" s="1"/>
  <c r="A85" i="11"/>
  <c r="B85" i="11" s="1"/>
  <c r="A85" i="9"/>
  <c r="B85" i="9" s="1"/>
  <c r="A87" i="7"/>
  <c r="B87" i="7" s="1"/>
  <c r="A87" i="11"/>
  <c r="B87" i="11" s="1"/>
  <c r="A87" i="9"/>
  <c r="B87" i="9" s="1"/>
  <c r="A89" i="7"/>
  <c r="B89" i="7" s="1"/>
  <c r="A89" i="11"/>
  <c r="B89" i="11" s="1"/>
  <c r="A89" i="9"/>
  <c r="B89" i="9" s="1"/>
  <c r="A91" i="7"/>
  <c r="B91" i="7" s="1"/>
  <c r="A91" i="11"/>
  <c r="B91" i="11" s="1"/>
  <c r="A91" i="9"/>
  <c r="B91" i="9" s="1"/>
  <c r="A93" i="7"/>
  <c r="B93" i="7" s="1"/>
  <c r="A93" i="11"/>
  <c r="B93" i="11" s="1"/>
  <c r="A93" i="9"/>
  <c r="B93" i="9" s="1"/>
  <c r="A95" i="7"/>
  <c r="B95" i="7" s="1"/>
  <c r="A95" i="11"/>
  <c r="B95" i="11" s="1"/>
  <c r="A95" i="9"/>
  <c r="B95" i="9" s="1"/>
  <c r="I13" i="3"/>
  <c r="I15" i="3"/>
  <c r="I17" i="3"/>
  <c r="I19" i="3"/>
  <c r="I21" i="3"/>
  <c r="I23" i="3"/>
  <c r="I25" i="3"/>
  <c r="I27" i="3"/>
  <c r="I29" i="3"/>
  <c r="I31" i="3"/>
  <c r="I33" i="3"/>
  <c r="I35" i="3"/>
  <c r="I37" i="3"/>
  <c r="I39" i="3"/>
  <c r="I41" i="3"/>
  <c r="I43" i="3"/>
  <c r="I45" i="3"/>
  <c r="I47" i="3"/>
  <c r="O2" i="3"/>
  <c r="O6" i="3"/>
  <c r="O10" i="3"/>
  <c r="O14" i="3"/>
  <c r="O18" i="3"/>
  <c r="O22" i="3"/>
  <c r="O26" i="3"/>
  <c r="O30" i="3"/>
  <c r="O34" i="3"/>
  <c r="O38" i="3"/>
  <c r="O42" i="3"/>
  <c r="O46" i="3"/>
  <c r="I3" i="3"/>
  <c r="I5" i="3"/>
  <c r="I7" i="3"/>
  <c r="I9" i="3"/>
  <c r="I11" i="3"/>
  <c r="S2" i="3"/>
  <c r="S4" i="3"/>
  <c r="S6" i="3"/>
  <c r="S8" i="3"/>
  <c r="S10" i="3"/>
  <c r="S12" i="3"/>
  <c r="S14" i="3"/>
  <c r="S16" i="3"/>
  <c r="S18" i="3"/>
  <c r="S20" i="3"/>
  <c r="S22" i="3"/>
  <c r="S24" i="3"/>
  <c r="S26" i="3"/>
  <c r="S30" i="3"/>
  <c r="S32" i="3"/>
  <c r="S34" i="3"/>
  <c r="S36" i="3"/>
  <c r="S38" i="3"/>
  <c r="S40" i="3"/>
  <c r="S42" i="3"/>
  <c r="S44" i="3"/>
  <c r="S46" i="3"/>
  <c r="S48" i="3"/>
  <c r="O3" i="3"/>
  <c r="O7" i="3"/>
  <c r="O11" i="3"/>
  <c r="O15" i="3"/>
  <c r="O19" i="3"/>
  <c r="O23" i="3"/>
  <c r="O27" i="3"/>
  <c r="O31" i="3"/>
  <c r="O35" i="3"/>
  <c r="O39" i="3"/>
  <c r="O43" i="3"/>
  <c r="O47" i="3"/>
  <c r="I2" i="3"/>
  <c r="I6" i="3"/>
  <c r="I8" i="3"/>
  <c r="I10" i="3"/>
  <c r="I12" i="3"/>
  <c r="I14" i="3"/>
  <c r="I16" i="3"/>
  <c r="I18" i="3"/>
  <c r="I20" i="3"/>
  <c r="I22" i="3"/>
  <c r="I24" i="3"/>
  <c r="I26" i="3"/>
  <c r="I28" i="3"/>
  <c r="I30" i="3"/>
  <c r="I32" i="3"/>
  <c r="I34" i="3"/>
  <c r="I36" i="3"/>
  <c r="I38" i="3"/>
  <c r="I40" i="3"/>
  <c r="I42" i="3"/>
  <c r="I44" i="3"/>
  <c r="I46" i="3"/>
  <c r="I48" i="3"/>
  <c r="O4" i="3"/>
  <c r="O8" i="3"/>
  <c r="O12" i="3"/>
  <c r="O16" i="3"/>
  <c r="O20" i="3"/>
  <c r="O24" i="3"/>
  <c r="O28" i="3"/>
  <c r="O32" i="3"/>
  <c r="O36" i="3"/>
  <c r="O40" i="3"/>
  <c r="O44" i="3"/>
  <c r="O48" i="3"/>
  <c r="I4" i="3"/>
  <c r="S3" i="3"/>
  <c r="S5" i="3"/>
  <c r="S7" i="3"/>
  <c r="S9" i="3"/>
  <c r="S11" i="3"/>
  <c r="S13" i="3"/>
  <c r="S15" i="3"/>
  <c r="S17" i="3"/>
  <c r="S19" i="3"/>
  <c r="S21" i="3"/>
  <c r="S25" i="3"/>
  <c r="S27" i="3"/>
  <c r="S29" i="3"/>
  <c r="S31" i="3"/>
  <c r="S33" i="3"/>
  <c r="S35" i="3"/>
  <c r="S37" i="3"/>
  <c r="S39" i="3"/>
  <c r="S41" i="3"/>
  <c r="S43" i="3"/>
  <c r="S45" i="3"/>
  <c r="S47" i="3"/>
  <c r="O5" i="3"/>
  <c r="O9" i="3"/>
  <c r="O13" i="3"/>
  <c r="O17" i="3"/>
  <c r="O21" i="3"/>
  <c r="O25" i="3"/>
  <c r="O29" i="3"/>
  <c r="O33" i="3"/>
  <c r="O37" i="3"/>
  <c r="O41" i="3"/>
  <c r="O45" i="3"/>
  <c r="A20" i="7"/>
  <c r="B20" i="7" s="1"/>
  <c r="A18" i="11"/>
  <c r="B18" i="11" s="1"/>
  <c r="A36" i="7"/>
  <c r="B36" i="7" s="1"/>
  <c r="A10" i="7"/>
  <c r="B10" i="7" s="1"/>
  <c r="A32" i="11"/>
  <c r="B32" i="11" s="1"/>
  <c r="A38" i="7"/>
  <c r="B38" i="7" s="1"/>
  <c r="A10" i="11"/>
  <c r="B10" i="11" s="1"/>
  <c r="A48" i="7"/>
  <c r="B48" i="7" s="1"/>
  <c r="A32" i="7"/>
  <c r="B32" i="7" s="1"/>
  <c r="A16" i="7"/>
  <c r="B16" i="7" s="1"/>
  <c r="A4" i="7"/>
  <c r="B4" i="7" s="1"/>
  <c r="A34" i="7"/>
  <c r="B34" i="7" s="1"/>
  <c r="A26" i="11"/>
  <c r="B26" i="11" s="1"/>
  <c r="A6" i="7"/>
  <c r="B6" i="7" s="1"/>
  <c r="A18" i="7"/>
  <c r="B18" i="7" s="1"/>
  <c r="A8" i="7"/>
  <c r="B8" i="7" s="1"/>
  <c r="A34" i="11"/>
  <c r="B34" i="11" s="1"/>
  <c r="A30" i="7"/>
  <c r="B30" i="7" s="1"/>
  <c r="A2" i="7"/>
  <c r="B2" i="7" s="1"/>
  <c r="A14" i="7"/>
  <c r="B14" i="7" s="1"/>
  <c r="A30" i="11"/>
  <c r="B30" i="11" s="1"/>
  <c r="A26" i="7"/>
  <c r="B26" i="7" s="1"/>
  <c r="A2" i="11"/>
  <c r="B2" i="11" s="1"/>
  <c r="A44" i="11"/>
  <c r="B44" i="11" s="1"/>
  <c r="A40" i="7"/>
  <c r="B40" i="7" s="1"/>
  <c r="A28" i="11"/>
  <c r="B28" i="11" s="1"/>
  <c r="A24" i="7"/>
  <c r="B24" i="7" s="1"/>
  <c r="A12" i="11"/>
  <c r="B12" i="11" s="1"/>
  <c r="A38" i="11"/>
  <c r="B38" i="11" s="1"/>
  <c r="A14" i="11"/>
  <c r="B14" i="11" s="1"/>
  <c r="A31" i="11"/>
  <c r="B31" i="11" s="1"/>
  <c r="A23" i="11"/>
  <c r="B23" i="11" s="1"/>
  <c r="A37" i="7"/>
  <c r="B37" i="7" s="1"/>
  <c r="A29" i="7"/>
  <c r="B29" i="7" s="1"/>
  <c r="A5" i="11"/>
  <c r="B5" i="11" s="1"/>
  <c r="A47" i="11"/>
  <c r="B47" i="11" s="1"/>
  <c r="A39" i="11"/>
  <c r="B39" i="11" s="1"/>
  <c r="A15" i="11"/>
  <c r="B15" i="11" s="1"/>
  <c r="A13" i="7"/>
  <c r="B13" i="7" s="1"/>
  <c r="A47" i="7"/>
  <c r="B47" i="7" s="1"/>
  <c r="A39" i="7"/>
  <c r="B39" i="7" s="1"/>
  <c r="A31" i="7"/>
  <c r="B31" i="7" s="1"/>
  <c r="A23" i="7"/>
  <c r="B23" i="7" s="1"/>
  <c r="A15" i="7"/>
  <c r="B15" i="7" s="1"/>
  <c r="A7" i="7"/>
  <c r="B7" i="7" s="1"/>
  <c r="A41" i="11"/>
  <c r="B41" i="11" s="1"/>
  <c r="A37" i="11"/>
  <c r="B37" i="11" s="1"/>
  <c r="A33" i="7"/>
  <c r="B33" i="7" s="1"/>
  <c r="A29" i="11"/>
  <c r="B29" i="11" s="1"/>
  <c r="A25" i="11"/>
  <c r="B25" i="11" s="1"/>
  <c r="A17" i="11"/>
  <c r="B17" i="11" s="1"/>
  <c r="A13" i="11"/>
  <c r="B13" i="11" s="1"/>
  <c r="A9" i="11"/>
  <c r="B9" i="11" s="1"/>
  <c r="A5" i="7"/>
  <c r="B5" i="7" s="1"/>
  <c r="A43" i="11"/>
  <c r="B43" i="11" s="1"/>
  <c r="A35" i="11"/>
  <c r="B35" i="11" s="1"/>
  <c r="A27" i="11"/>
  <c r="B27" i="11" s="1"/>
  <c r="A19" i="11"/>
  <c r="B19" i="11" s="1"/>
  <c r="A11" i="11"/>
  <c r="B11" i="11" s="1"/>
  <c r="A7" i="11"/>
  <c r="B7" i="11" s="1"/>
  <c r="A3" i="11"/>
  <c r="B3" i="11" s="1"/>
  <c r="A45" i="7"/>
  <c r="B45" i="7" s="1"/>
  <c r="A9" i="7"/>
  <c r="B9" i="7" s="1"/>
  <c r="A46" i="11"/>
  <c r="B46" i="11" s="1"/>
  <c r="A42" i="11"/>
  <c r="B42" i="11" s="1"/>
  <c r="A6" i="11"/>
  <c r="B6" i="11" s="1"/>
  <c r="A44" i="7"/>
  <c r="B44" i="7" s="1"/>
  <c r="A28" i="7"/>
  <c r="B28" i="7" s="1"/>
  <c r="A12" i="7"/>
  <c r="B12" i="7" s="1"/>
  <c r="A21" i="7"/>
  <c r="B21" i="7" s="1"/>
  <c r="A43" i="7"/>
  <c r="B43" i="7" s="1"/>
  <c r="A35" i="7"/>
  <c r="B35" i="7" s="1"/>
  <c r="A27" i="7"/>
  <c r="B27" i="7" s="1"/>
  <c r="A19" i="7"/>
  <c r="B19" i="7" s="1"/>
  <c r="A11" i="7"/>
  <c r="B11" i="7" s="1"/>
  <c r="A3" i="7"/>
  <c r="B3" i="7" s="1"/>
  <c r="A4" i="11"/>
  <c r="B4" i="11" s="1"/>
  <c r="A41" i="7"/>
  <c r="B41" i="7" s="1"/>
  <c r="A25" i="7"/>
  <c r="B25" i="7" s="1"/>
  <c r="A17" i="7"/>
  <c r="B17" i="7" s="1"/>
  <c r="A46" i="7"/>
  <c r="B46" i="7" s="1"/>
  <c r="A42" i="7"/>
  <c r="B42" i="7" s="1"/>
  <c r="A22" i="7"/>
  <c r="B22" i="7" s="1"/>
  <c r="A2" i="15"/>
  <c r="B2" i="15" s="1"/>
  <c r="A48" i="11"/>
  <c r="B48" i="11" s="1"/>
  <c r="A40" i="11"/>
  <c r="B40" i="11" s="1"/>
  <c r="A36" i="11"/>
  <c r="B36" i="11" s="1"/>
  <c r="A24" i="11"/>
  <c r="B24" i="11" s="1"/>
  <c r="A20" i="11"/>
  <c r="B20" i="11" s="1"/>
  <c r="A16" i="11"/>
  <c r="B16" i="11" s="1"/>
  <c r="A49" i="7"/>
  <c r="B49" i="7" s="1"/>
  <c r="S4" i="19" l="1"/>
  <c r="L10" i="20"/>
  <c r="C4" i="23" s="1"/>
  <c r="AA5" i="21"/>
  <c r="Q5" i="21"/>
  <c r="V5" i="21"/>
  <c r="E5" i="21"/>
  <c r="J5" i="21"/>
  <c r="L5" i="21" s="1"/>
  <c r="AA6" i="21"/>
  <c r="Q7" i="21"/>
  <c r="Q6" i="21"/>
  <c r="V6" i="21"/>
  <c r="J6" i="21"/>
  <c r="L6" i="21" s="1"/>
  <c r="E6" i="21"/>
  <c r="Q9" i="21"/>
  <c r="J7" i="21"/>
  <c r="L7" i="21" s="1"/>
  <c r="V7" i="21"/>
  <c r="AA7" i="21"/>
  <c r="Q8" i="21"/>
  <c r="J8" i="21"/>
  <c r="L8" i="21" s="1"/>
  <c r="Q10" i="21"/>
  <c r="C31" i="23" s="1"/>
  <c r="AA8" i="21"/>
  <c r="V8" i="21"/>
  <c r="E7" i="21"/>
  <c r="E9" i="21"/>
  <c r="J9" i="21"/>
  <c r="L9" i="21" s="1"/>
  <c r="Q11" i="21"/>
  <c r="D31" i="23" s="1"/>
  <c r="V9" i="21"/>
  <c r="E8" i="21"/>
  <c r="AA9" i="21"/>
  <c r="Q12" i="21"/>
  <c r="E31" i="23" s="1"/>
  <c r="V10" i="21"/>
  <c r="C32" i="23" s="1"/>
  <c r="AF10" i="21"/>
  <c r="C34" i="23" s="1"/>
  <c r="E10" i="21"/>
  <c r="C29" i="23" s="1"/>
  <c r="J10" i="21"/>
  <c r="L10" i="21" s="1"/>
  <c r="C30" i="23" s="1"/>
  <c r="AA10" i="21"/>
  <c r="C33" i="23" s="1"/>
  <c r="Q13" i="21"/>
  <c r="F31" i="23" s="1"/>
  <c r="V11" i="21"/>
  <c r="D32" i="23" s="1"/>
  <c r="AF11" i="21"/>
  <c r="D34" i="23" s="1"/>
  <c r="J11" i="21"/>
  <c r="L11" i="21" s="1"/>
  <c r="D30" i="23" s="1"/>
  <c r="E11" i="21"/>
  <c r="D29" i="23" s="1"/>
  <c r="AA11" i="21"/>
  <c r="D33" i="23" s="1"/>
  <c r="AF12" i="21"/>
  <c r="E34" i="23" s="1"/>
  <c r="AA12" i="21"/>
  <c r="E33" i="23" s="1"/>
  <c r="E12" i="21"/>
  <c r="E29" i="23" s="1"/>
  <c r="V12" i="21"/>
  <c r="E32" i="23" s="1"/>
  <c r="J12" i="21"/>
  <c r="L12" i="21" s="1"/>
  <c r="E30" i="23" s="1"/>
  <c r="Q14" i="21"/>
  <c r="G31" i="23" s="1"/>
  <c r="AA13" i="21"/>
  <c r="F33" i="23" s="1"/>
  <c r="V13" i="21"/>
  <c r="F32" i="23" s="1"/>
  <c r="E13" i="21"/>
  <c r="F29" i="23" s="1"/>
  <c r="J13" i="21"/>
  <c r="L13" i="21" s="1"/>
  <c r="F30" i="23" s="1"/>
  <c r="AF13" i="21"/>
  <c r="F34" i="23" s="1"/>
  <c r="J14" i="21"/>
  <c r="L14" i="21" s="1"/>
  <c r="G30" i="23" s="1"/>
  <c r="E14" i="21"/>
  <c r="G29" i="23" s="1"/>
  <c r="V14" i="21"/>
  <c r="G32" i="23" s="1"/>
  <c r="AF14" i="21"/>
  <c r="G34" i="23" s="1"/>
  <c r="AA14" i="21"/>
  <c r="G33" i="23" s="1"/>
  <c r="H47" i="9"/>
  <c r="T47" i="9" s="1"/>
  <c r="Z47" i="9" s="1"/>
  <c r="F47" i="15"/>
  <c r="O47" i="15" s="1"/>
  <c r="T47" i="15" s="1"/>
  <c r="F47" i="11"/>
  <c r="M47" i="11" s="1"/>
  <c r="P47" i="11" s="1"/>
  <c r="F47" i="7"/>
  <c r="O47" i="7" s="1"/>
  <c r="T47" i="7" s="1"/>
  <c r="H47" i="16"/>
  <c r="T46" i="16"/>
  <c r="Z46" i="16" s="1"/>
  <c r="K4" i="19"/>
  <c r="L12" i="20"/>
  <c r="E4" i="23" s="1"/>
  <c r="L6" i="20"/>
  <c r="P5" i="20"/>
  <c r="P6" i="20"/>
  <c r="P7" i="20"/>
  <c r="L9" i="20"/>
  <c r="L8" i="20"/>
  <c r="L11" i="20"/>
  <c r="D4" i="23" s="1"/>
  <c r="Y12" i="21"/>
  <c r="Y8" i="21"/>
  <c r="T5" i="21"/>
  <c r="Y11" i="21"/>
  <c r="Y7" i="21"/>
  <c r="Y9" i="21"/>
  <c r="Y5" i="21"/>
  <c r="Y14" i="21"/>
  <c r="Y10" i="21"/>
  <c r="Y6" i="21"/>
  <c r="O5" i="21"/>
  <c r="C5" i="21"/>
  <c r="AE11" i="21"/>
  <c r="Y13" i="21"/>
  <c r="H5" i="21"/>
  <c r="O6" i="21"/>
  <c r="T6" i="21"/>
  <c r="O8" i="21"/>
  <c r="O7" i="21"/>
  <c r="H6" i="21"/>
  <c r="T7" i="21"/>
  <c r="C6" i="21"/>
  <c r="O9" i="21"/>
  <c r="C5" i="20"/>
  <c r="H7" i="21"/>
  <c r="O10" i="21"/>
  <c r="H8" i="21"/>
  <c r="T8" i="21"/>
  <c r="U8" i="21" s="1"/>
  <c r="C7" i="21"/>
  <c r="C9" i="21"/>
  <c r="H9" i="21"/>
  <c r="O11" i="21"/>
  <c r="P11" i="21" s="1"/>
  <c r="T9" i="21"/>
  <c r="C8" i="21"/>
  <c r="O12" i="21"/>
  <c r="P12" i="21" s="1"/>
  <c r="V5" i="20"/>
  <c r="C10" i="21"/>
  <c r="D10" i="21" s="1"/>
  <c r="H10" i="21"/>
  <c r="T10" i="21"/>
  <c r="C6" i="20"/>
  <c r="C7" i="20"/>
  <c r="O13" i="21"/>
  <c r="T11" i="21"/>
  <c r="AD5" i="20"/>
  <c r="C11" i="21"/>
  <c r="H11" i="21"/>
  <c r="C12" i="21"/>
  <c r="T12" i="21"/>
  <c r="O14" i="21"/>
  <c r="V6" i="20"/>
  <c r="H12" i="21"/>
  <c r="AN5" i="20"/>
  <c r="C8" i="20"/>
  <c r="V7" i="20"/>
  <c r="C13" i="21"/>
  <c r="AV5" i="20"/>
  <c r="AD7" i="20"/>
  <c r="AD6" i="20"/>
  <c r="C9" i="20"/>
  <c r="AU5" i="20"/>
  <c r="AW5" i="20" s="1"/>
  <c r="H13" i="21"/>
  <c r="T13" i="21"/>
  <c r="V8" i="20"/>
  <c r="H14" i="21"/>
  <c r="T14" i="21"/>
  <c r="AN7" i="20"/>
  <c r="AD8" i="20"/>
  <c r="C10" i="20"/>
  <c r="C3" i="23" s="1"/>
  <c r="C14" i="21"/>
  <c r="AN6" i="20"/>
  <c r="V9" i="20"/>
  <c r="AV6" i="20"/>
  <c r="BG5" i="20"/>
  <c r="AV7" i="20"/>
  <c r="AU7" i="20"/>
  <c r="AD9" i="20"/>
  <c r="AU6" i="20"/>
  <c r="C11" i="20"/>
  <c r="D3" i="23" s="1"/>
  <c r="BH5" i="20"/>
  <c r="AN8" i="20"/>
  <c r="C12" i="20"/>
  <c r="E3" i="23" s="1"/>
  <c r="BM5" i="20"/>
  <c r="AU8" i="20"/>
  <c r="AV8" i="20"/>
  <c r="V10" i="20"/>
  <c r="BN5" i="20"/>
  <c r="AD10" i="20"/>
  <c r="AN9" i="20"/>
  <c r="V11" i="20"/>
  <c r="BH6" i="20"/>
  <c r="BH7" i="20"/>
  <c r="BG6" i="20"/>
  <c r="C13" i="20"/>
  <c r="F3" i="23" s="1"/>
  <c r="AV9" i="20"/>
  <c r="AN10" i="20"/>
  <c r="AD11" i="20"/>
  <c r="AU9" i="20"/>
  <c r="BG7" i="20"/>
  <c r="V13" i="20"/>
  <c r="C14" i="20"/>
  <c r="G3" i="23" s="1"/>
  <c r="BM6" i="20"/>
  <c r="BN6" i="20"/>
  <c r="BG8" i="20"/>
  <c r="V12" i="20"/>
  <c r="AV10" i="20"/>
  <c r="BH8" i="20"/>
  <c r="AN11" i="20"/>
  <c r="BN7" i="20"/>
  <c r="BM7" i="20"/>
  <c r="AU10" i="20"/>
  <c r="C9" i="23" s="1"/>
  <c r="V14" i="20"/>
  <c r="BB10" i="20"/>
  <c r="AD13" i="20"/>
  <c r="L14" i="20"/>
  <c r="G4" i="23" s="1"/>
  <c r="C10" i="23"/>
  <c r="BH9" i="20"/>
  <c r="AN12" i="20"/>
  <c r="BN8" i="20"/>
  <c r="BG9" i="20"/>
  <c r="AD12" i="20"/>
  <c r="BM8" i="20"/>
  <c r="AV11" i="20"/>
  <c r="AU11" i="20"/>
  <c r="D9" i="23" s="1"/>
  <c r="BN9" i="20"/>
  <c r="AV12" i="20"/>
  <c r="AN13" i="20"/>
  <c r="D10" i="23"/>
  <c r="BG10" i="20"/>
  <c r="C11" i="23" s="1"/>
  <c r="AD14" i="20"/>
  <c r="BB11" i="20"/>
  <c r="BH10" i="20"/>
  <c r="AU12" i="20"/>
  <c r="E9" i="23" s="1"/>
  <c r="BM9" i="20"/>
  <c r="AV13" i="20"/>
  <c r="BM10" i="20"/>
  <c r="BG11" i="20"/>
  <c r="D11" i="23" s="1"/>
  <c r="E10" i="23"/>
  <c r="AN14" i="20"/>
  <c r="BN10" i="20"/>
  <c r="AU13" i="20"/>
  <c r="F9" i="23" s="1"/>
  <c r="BH11" i="20"/>
  <c r="BB12" i="20"/>
  <c r="AU14" i="20"/>
  <c r="G9" i="23" s="1"/>
  <c r="AV14" i="20"/>
  <c r="BN11" i="20"/>
  <c r="BH12" i="20"/>
  <c r="BB13" i="20"/>
  <c r="BM11" i="20"/>
  <c r="D8" i="23" s="1"/>
  <c r="BG12" i="20"/>
  <c r="E11" i="23" s="1"/>
  <c r="F10" i="23"/>
  <c r="BH13" i="20"/>
  <c r="BB14" i="20"/>
  <c r="G10" i="23"/>
  <c r="BG13" i="20"/>
  <c r="F11" i="23" s="1"/>
  <c r="BN12" i="20"/>
  <c r="L13" i="20"/>
  <c r="F4" i="23" s="1"/>
  <c r="BM12" i="20"/>
  <c r="E8" i="23" s="1"/>
  <c r="BH14" i="20"/>
  <c r="BM13" i="20"/>
  <c r="F8" i="23" s="1"/>
  <c r="BG14" i="20"/>
  <c r="G11" i="23" s="1"/>
  <c r="BN13" i="20"/>
  <c r="BN14" i="20"/>
  <c r="BM14" i="20"/>
  <c r="G8" i="23" s="1"/>
  <c r="L5" i="20"/>
  <c r="G5" i="20"/>
  <c r="G6" i="20"/>
  <c r="G7" i="20"/>
  <c r="G12" i="19"/>
  <c r="F50" i="23" s="1"/>
  <c r="L7" i="20"/>
  <c r="AA13" i="19"/>
  <c r="G56" i="23" s="1"/>
  <c r="K13" i="19"/>
  <c r="G51" i="23" s="1"/>
  <c r="AA12" i="19"/>
  <c r="F56" i="23" s="1"/>
  <c r="C11" i="19"/>
  <c r="E49" i="23" s="1"/>
  <c r="AI12" i="19"/>
  <c r="F54" i="23" s="1"/>
  <c r="AI11" i="19"/>
  <c r="E54" i="23" s="1"/>
  <c r="K11" i="19"/>
  <c r="E51" i="23" s="1"/>
  <c r="AI10" i="19"/>
  <c r="D54" i="23" s="1"/>
  <c r="K10" i="19"/>
  <c r="D51" i="23" s="1"/>
  <c r="W9" i="19"/>
  <c r="C57" i="23" s="1"/>
  <c r="G9" i="19"/>
  <c r="C50" i="23" s="1"/>
  <c r="AA8" i="19"/>
  <c r="C7" i="19"/>
  <c r="O8" i="19"/>
  <c r="S7" i="19"/>
  <c r="K7" i="19"/>
  <c r="W6" i="19"/>
  <c r="K6" i="19"/>
  <c r="C5" i="19"/>
  <c r="AE6" i="19"/>
  <c r="AE4" i="19"/>
  <c r="C4" i="19"/>
  <c r="W13" i="19"/>
  <c r="G57" i="23" s="1"/>
  <c r="G13" i="19"/>
  <c r="G50" i="23" s="1"/>
  <c r="AE12" i="19"/>
  <c r="F55" i="23" s="1"/>
  <c r="K12" i="19"/>
  <c r="F51" i="23" s="1"/>
  <c r="AE11" i="19"/>
  <c r="E55" i="23" s="1"/>
  <c r="S11" i="19"/>
  <c r="E53" i="23" s="1"/>
  <c r="G11" i="19"/>
  <c r="E50" i="23" s="1"/>
  <c r="W10" i="19"/>
  <c r="G10" i="19"/>
  <c r="S9" i="19"/>
  <c r="C53" i="23" s="1"/>
  <c r="AI9" i="19"/>
  <c r="C54" i="23" s="1"/>
  <c r="G8" i="19"/>
  <c r="K8" i="19"/>
  <c r="C6" i="19"/>
  <c r="O7" i="19"/>
  <c r="G7" i="19"/>
  <c r="AA6" i="19"/>
  <c r="S6" i="19"/>
  <c r="O6" i="19"/>
  <c r="AI6" i="19"/>
  <c r="G4" i="19"/>
  <c r="AT48" i="3"/>
  <c r="C13" i="19"/>
  <c r="G49" i="23" s="1"/>
  <c r="S13" i="19"/>
  <c r="G53" i="23" s="1"/>
  <c r="AI13" i="19"/>
  <c r="G54" i="23" s="1"/>
  <c r="S12" i="19"/>
  <c r="O12" i="19"/>
  <c r="F52" i="23" s="1"/>
  <c r="AA11" i="19"/>
  <c r="E56" i="23" s="1"/>
  <c r="O11" i="19"/>
  <c r="E52" i="23" s="1"/>
  <c r="S10" i="19"/>
  <c r="AA10" i="19"/>
  <c r="D56" i="23" s="1"/>
  <c r="C9" i="19"/>
  <c r="C49" i="23" s="1"/>
  <c r="O9" i="19"/>
  <c r="C52" i="23" s="1"/>
  <c r="C8" i="19"/>
  <c r="S8" i="19"/>
  <c r="W8" i="19"/>
  <c r="AE7" i="19"/>
  <c r="W7" i="19"/>
  <c r="S5" i="19"/>
  <c r="T5" i="19" s="1"/>
  <c r="AI5" i="19"/>
  <c r="O5" i="19"/>
  <c r="AE5" i="19"/>
  <c r="G6" i="19"/>
  <c r="AA4" i="19"/>
  <c r="O4" i="19"/>
  <c r="AE13" i="19"/>
  <c r="G55" i="23" s="1"/>
  <c r="O13" i="19"/>
  <c r="G52" i="23" s="1"/>
  <c r="C12" i="19"/>
  <c r="W12" i="19"/>
  <c r="F57" i="23" s="1"/>
  <c r="W11" i="19"/>
  <c r="C10" i="19"/>
  <c r="D49" i="23" s="1"/>
  <c r="AE10" i="19"/>
  <c r="D55" i="23" s="1"/>
  <c r="O10" i="19"/>
  <c r="AA9" i="19"/>
  <c r="K9" i="19"/>
  <c r="C51" i="23" s="1"/>
  <c r="AE9" i="19"/>
  <c r="C55" i="23" s="1"/>
  <c r="AE8" i="19"/>
  <c r="AF8" i="19" s="1"/>
  <c r="AI8" i="19"/>
  <c r="AI7" i="19"/>
  <c r="AA7" i="19"/>
  <c r="W5" i="19"/>
  <c r="K5" i="19"/>
  <c r="AA5" i="19"/>
  <c r="G5" i="19"/>
  <c r="W4" i="19"/>
  <c r="AI4" i="19"/>
  <c r="C75" i="24"/>
  <c r="C79" i="24"/>
  <c r="E76" i="24"/>
  <c r="C77" i="24"/>
  <c r="E78" i="24"/>
  <c r="U5" i="21"/>
  <c r="N4" i="14"/>
  <c r="N5" i="14"/>
  <c r="N6" i="14"/>
  <c r="D4" i="14"/>
  <c r="D5" i="14"/>
  <c r="D6" i="14"/>
  <c r="I5" i="14"/>
  <c r="I6" i="14"/>
  <c r="I4" i="14"/>
  <c r="L5" i="19" l="1"/>
  <c r="Z7" i="21"/>
  <c r="U12" i="21"/>
  <c r="Z14" i="21"/>
  <c r="Z11" i="21"/>
  <c r="D12" i="21"/>
  <c r="U11" i="21"/>
  <c r="P5" i="21"/>
  <c r="U13" i="21"/>
  <c r="P10" i="21"/>
  <c r="H5" i="19"/>
  <c r="AB7" i="19"/>
  <c r="P13" i="21"/>
  <c r="Z6" i="21"/>
  <c r="AE14" i="21"/>
  <c r="BI7" i="20"/>
  <c r="Z13" i="21"/>
  <c r="AE13" i="21"/>
  <c r="D11" i="21"/>
  <c r="AE10" i="21"/>
  <c r="T8" i="19"/>
  <c r="AE12" i="21"/>
  <c r="AW9" i="20"/>
  <c r="U6" i="21"/>
  <c r="AJ7" i="19"/>
  <c r="Z10" i="21"/>
  <c r="E35" i="23"/>
  <c r="D35" i="23"/>
  <c r="D12" i="19"/>
  <c r="F49" i="23"/>
  <c r="X10" i="19"/>
  <c r="D57" i="23"/>
  <c r="C8" i="23"/>
  <c r="BO14" i="20"/>
  <c r="U14" i="21"/>
  <c r="P14" i="21"/>
  <c r="AB9" i="19"/>
  <c r="C56" i="23"/>
  <c r="C58" i="23" s="1"/>
  <c r="X11" i="19"/>
  <c r="E57" i="23"/>
  <c r="E58" i="23" s="1"/>
  <c r="T10" i="19"/>
  <c r="D53" i="23"/>
  <c r="T12" i="19"/>
  <c r="F53" i="23"/>
  <c r="BI8" i="20"/>
  <c r="G58" i="23"/>
  <c r="P10" i="19"/>
  <c r="D52" i="23"/>
  <c r="H10" i="19"/>
  <c r="D50" i="23"/>
  <c r="D14" i="21"/>
  <c r="D13" i="21"/>
  <c r="U10" i="21"/>
  <c r="Z12" i="21"/>
  <c r="G35" i="23"/>
  <c r="F35" i="23"/>
  <c r="BO15" i="20"/>
  <c r="AF9" i="19"/>
  <c r="L12" i="19"/>
  <c r="D6" i="19"/>
  <c r="X8" i="19"/>
  <c r="D9" i="19"/>
  <c r="P12" i="19"/>
  <c r="AJ12" i="19"/>
  <c r="H48" i="9"/>
  <c r="T48" i="9" s="1"/>
  <c r="Z48" i="9" s="1"/>
  <c r="F48" i="15"/>
  <c r="O48" i="15" s="1"/>
  <c r="T48" i="15" s="1"/>
  <c r="F48" i="11"/>
  <c r="M48" i="11" s="1"/>
  <c r="P48" i="11" s="1"/>
  <c r="F48" i="7"/>
  <c r="O48" i="7" s="1"/>
  <c r="T48" i="7" s="1"/>
  <c r="H48" i="16"/>
  <c r="T47" i="16"/>
  <c r="Z47" i="16" s="1"/>
  <c r="BI11" i="20"/>
  <c r="AW12" i="20"/>
  <c r="AW8" i="20"/>
  <c r="Z8" i="21"/>
  <c r="AW14" i="20"/>
  <c r="BC11" i="20"/>
  <c r="AW11" i="20"/>
  <c r="BI9" i="20"/>
  <c r="AW7" i="20"/>
  <c r="X7" i="19"/>
  <c r="BI13" i="20"/>
  <c r="BC13" i="20"/>
  <c r="AW10" i="20"/>
  <c r="D8" i="19"/>
  <c r="U7" i="21"/>
  <c r="Z5" i="21"/>
  <c r="AF7" i="19"/>
  <c r="P9" i="19"/>
  <c r="AB6" i="19"/>
  <c r="L8" i="19"/>
  <c r="BC14" i="20"/>
  <c r="BI12" i="20"/>
  <c r="BC12" i="20"/>
  <c r="BI6" i="20"/>
  <c r="AW6" i="20"/>
  <c r="BI5" i="20"/>
  <c r="BC10" i="20"/>
  <c r="AB11" i="19"/>
  <c r="BI14" i="20"/>
  <c r="AW13" i="20"/>
  <c r="BI10" i="20"/>
  <c r="Z9" i="21"/>
  <c r="U9" i="21"/>
  <c r="T13" i="19"/>
  <c r="AB5" i="19"/>
  <c r="L9" i="19"/>
  <c r="D10" i="19"/>
  <c r="P13" i="19"/>
  <c r="H6" i="19"/>
  <c r="AB10" i="19"/>
  <c r="D13" i="19"/>
  <c r="H7" i="19"/>
  <c r="H8" i="19"/>
  <c r="L6" i="19"/>
  <c r="P8" i="19"/>
  <c r="X9" i="19"/>
  <c r="AJ11" i="19"/>
  <c r="L13" i="19"/>
  <c r="AJ8" i="19"/>
  <c r="AF13" i="19"/>
  <c r="AF6" i="19"/>
  <c r="AF5" i="19"/>
  <c r="P7" i="19"/>
  <c r="AJ9" i="19"/>
  <c r="H11" i="19"/>
  <c r="AF12" i="19"/>
  <c r="D7" i="19"/>
  <c r="L10" i="19"/>
  <c r="AB13" i="19"/>
  <c r="AF10" i="19"/>
  <c r="AJ6" i="19"/>
  <c r="AJ5" i="19"/>
  <c r="AF11" i="19"/>
  <c r="X6" i="19"/>
  <c r="X5" i="19"/>
  <c r="X12" i="19"/>
  <c r="P6" i="19"/>
  <c r="P5" i="19"/>
  <c r="P11" i="19"/>
  <c r="AJ13" i="19"/>
  <c r="AT49" i="3"/>
  <c r="T6" i="19"/>
  <c r="T9" i="19"/>
  <c r="T11" i="19"/>
  <c r="H13" i="19"/>
  <c r="L7" i="19"/>
  <c r="AB8" i="19"/>
  <c r="AJ10" i="19"/>
  <c r="D11" i="19"/>
  <c r="X13" i="19"/>
  <c r="D5" i="19"/>
  <c r="T7" i="19"/>
  <c r="H9" i="19"/>
  <c r="L11" i="19"/>
  <c r="AB12" i="19"/>
  <c r="H12" i="19"/>
  <c r="E77" i="24"/>
  <c r="E79" i="24"/>
  <c r="C80" i="24"/>
  <c r="D75" i="24" s="1"/>
  <c r="E60" i="23" l="1"/>
  <c r="E61" i="23" s="1"/>
  <c r="G60" i="23"/>
  <c r="G61" i="23" s="1"/>
  <c r="C60" i="23"/>
  <c r="C61" i="23" s="1"/>
  <c r="AE19" i="21"/>
  <c r="AE18" i="21" s="1"/>
  <c r="Z19" i="21"/>
  <c r="Z18" i="21" s="1"/>
  <c r="F58" i="23"/>
  <c r="D58" i="23"/>
  <c r="BO16" i="20"/>
  <c r="J8" i="23" s="1"/>
  <c r="C21" i="23" s="1"/>
  <c r="E21" i="23" s="1"/>
  <c r="I8" i="23"/>
  <c r="AW15" i="20"/>
  <c r="AW16" i="20" s="1"/>
  <c r="AX14" i="20"/>
  <c r="H8" i="23"/>
  <c r="T18" i="21"/>
  <c r="BJ14" i="20"/>
  <c r="H11" i="23" s="1"/>
  <c r="BI15" i="20"/>
  <c r="BI16" i="20" s="1"/>
  <c r="X14" i="19"/>
  <c r="X15" i="19" s="1"/>
  <c r="AF14" i="19"/>
  <c r="BC15" i="20"/>
  <c r="BD14" i="20"/>
  <c r="C35" i="23"/>
  <c r="U19" i="21"/>
  <c r="U18" i="21" s="1"/>
  <c r="H49" i="9"/>
  <c r="T49" i="9" s="1"/>
  <c r="Z49" i="9" s="1"/>
  <c r="I7" i="14" s="1"/>
  <c r="F49" i="15"/>
  <c r="O49" i="15" s="1"/>
  <c r="T49" i="15" s="1"/>
  <c r="G8" i="20" s="1"/>
  <c r="F49" i="11"/>
  <c r="M49" i="11" s="1"/>
  <c r="P49" i="11" s="1"/>
  <c r="F49" i="7"/>
  <c r="O49" i="7" s="1"/>
  <c r="T49" i="7" s="1"/>
  <c r="D7" i="14" s="1"/>
  <c r="H49" i="16"/>
  <c r="T48" i="16"/>
  <c r="Z48" i="16" s="1"/>
  <c r="N7" i="14"/>
  <c r="T19" i="21"/>
  <c r="BC16" i="20"/>
  <c r="E80" i="24"/>
  <c r="F80" i="24" s="1"/>
  <c r="M84" i="24"/>
  <c r="N84" i="24"/>
  <c r="N85" i="24"/>
  <c r="M86" i="24"/>
  <c r="N86" i="24"/>
  <c r="M85" i="24"/>
  <c r="D14" i="19"/>
  <c r="C14" i="19" s="1"/>
  <c r="H49" i="23" s="1"/>
  <c r="P14" i="19"/>
  <c r="H14" i="19"/>
  <c r="L14" i="19"/>
  <c r="T14" i="19"/>
  <c r="AT50" i="3"/>
  <c r="AB14" i="19"/>
  <c r="D79" i="24"/>
  <c r="L140" i="24" s="1"/>
  <c r="D77" i="24"/>
  <c r="G114" i="24" s="1"/>
  <c r="E86" i="24"/>
  <c r="D85" i="24"/>
  <c r="L86" i="24"/>
  <c r="H86" i="24"/>
  <c r="L85" i="24"/>
  <c r="H85" i="24"/>
  <c r="L84" i="24"/>
  <c r="H84" i="24"/>
  <c r="D84" i="24"/>
  <c r="E85" i="24"/>
  <c r="C84" i="24"/>
  <c r="K86" i="24"/>
  <c r="G86" i="24"/>
  <c r="K85" i="24"/>
  <c r="G85" i="24"/>
  <c r="K84" i="24"/>
  <c r="G84" i="24"/>
  <c r="C86" i="24"/>
  <c r="I86" i="24"/>
  <c r="I85" i="24"/>
  <c r="E84" i="24"/>
  <c r="J86" i="24"/>
  <c r="F86" i="24"/>
  <c r="J85" i="24"/>
  <c r="F85" i="24"/>
  <c r="J84" i="24"/>
  <c r="F84" i="24"/>
  <c r="C85" i="24"/>
  <c r="D86" i="24"/>
  <c r="I84" i="24"/>
  <c r="D80" i="24"/>
  <c r="D76" i="24"/>
  <c r="D78" i="24"/>
  <c r="F60" i="23" l="1"/>
  <c r="F61" i="23" s="1"/>
  <c r="F63" i="23" s="1"/>
  <c r="D60" i="23"/>
  <c r="D61" i="23" s="1"/>
  <c r="D63" i="23" s="1"/>
  <c r="W14" i="19"/>
  <c r="H57" i="23" s="1"/>
  <c r="AE20" i="21"/>
  <c r="F79" i="24"/>
  <c r="N146" i="24" s="1"/>
  <c r="D141" i="24"/>
  <c r="F77" i="24"/>
  <c r="N118" i="24" s="1"/>
  <c r="F78" i="24"/>
  <c r="N134" i="24" s="1"/>
  <c r="F76" i="24"/>
  <c r="N102" i="24" s="1"/>
  <c r="F141" i="24"/>
  <c r="E114" i="24"/>
  <c r="C112" i="24"/>
  <c r="L113" i="24"/>
  <c r="AD18" i="21"/>
  <c r="AF18" i="21" s="1"/>
  <c r="H34" i="23" s="1"/>
  <c r="H10" i="23"/>
  <c r="Y18" i="21"/>
  <c r="AA18" i="21" s="1"/>
  <c r="H33" i="23" s="1"/>
  <c r="H9" i="23"/>
  <c r="H142" i="24"/>
  <c r="G141" i="24"/>
  <c r="H114" i="24"/>
  <c r="L142" i="24"/>
  <c r="H141" i="24"/>
  <c r="L112" i="24"/>
  <c r="V18" i="21"/>
  <c r="H32" i="23" s="1"/>
  <c r="H50" i="9"/>
  <c r="T50" i="9" s="1"/>
  <c r="Z50" i="9" s="1"/>
  <c r="F50" i="15"/>
  <c r="O50" i="15" s="1"/>
  <c r="T50" i="15" s="1"/>
  <c r="F50" i="11"/>
  <c r="M50" i="11" s="1"/>
  <c r="P50" i="11" s="1"/>
  <c r="F50" i="7"/>
  <c r="O50" i="7" s="1"/>
  <c r="T50" i="7" s="1"/>
  <c r="H50" i="16"/>
  <c r="T49" i="16"/>
  <c r="Z49" i="16" s="1"/>
  <c r="P8" i="20" s="1"/>
  <c r="T20" i="21"/>
  <c r="BH15" i="20"/>
  <c r="BJ15" i="20" s="1"/>
  <c r="I11" i="23" s="1"/>
  <c r="E141" i="24"/>
  <c r="I142" i="24"/>
  <c r="E142" i="24"/>
  <c r="J140" i="24"/>
  <c r="K140" i="24"/>
  <c r="D126" i="16"/>
  <c r="D125" i="16"/>
  <c r="D133" i="16"/>
  <c r="D124" i="16"/>
  <c r="D132" i="16"/>
  <c r="D130" i="16"/>
  <c r="D127" i="16"/>
  <c r="D129" i="16"/>
  <c r="D128" i="16"/>
  <c r="D131" i="16"/>
  <c r="D123" i="16"/>
  <c r="D122" i="16"/>
  <c r="C113" i="24"/>
  <c r="D113" i="24"/>
  <c r="N121" i="24"/>
  <c r="N119" i="24"/>
  <c r="N117" i="24"/>
  <c r="M121" i="24"/>
  <c r="M119" i="24"/>
  <c r="N120" i="24"/>
  <c r="M120" i="24"/>
  <c r="M115" i="24"/>
  <c r="N115" i="24"/>
  <c r="N145" i="24"/>
  <c r="M144" i="24"/>
  <c r="N144" i="24"/>
  <c r="M143" i="24"/>
  <c r="N127" i="24"/>
  <c r="M127" i="24"/>
  <c r="M128" i="24"/>
  <c r="M126" i="24"/>
  <c r="N126" i="24"/>
  <c r="N128" i="24"/>
  <c r="G112" i="24"/>
  <c r="F113" i="24"/>
  <c r="G113" i="24"/>
  <c r="K142" i="24"/>
  <c r="N142" i="24"/>
  <c r="N140" i="24"/>
  <c r="N141" i="24"/>
  <c r="M142" i="24"/>
  <c r="M140" i="24"/>
  <c r="M141" i="24"/>
  <c r="N94" i="24"/>
  <c r="M102" i="24"/>
  <c r="M103" i="24"/>
  <c r="K114" i="24"/>
  <c r="N114" i="24"/>
  <c r="N112" i="24"/>
  <c r="N113" i="24"/>
  <c r="M113" i="24"/>
  <c r="M114" i="24"/>
  <c r="M112" i="24"/>
  <c r="N133" i="24"/>
  <c r="N99" i="24"/>
  <c r="M99" i="24"/>
  <c r="M98" i="24"/>
  <c r="N98" i="24"/>
  <c r="M100" i="24"/>
  <c r="N100" i="24"/>
  <c r="K112" i="24"/>
  <c r="I114" i="24"/>
  <c r="J114" i="24"/>
  <c r="M94" i="24"/>
  <c r="AF15" i="19"/>
  <c r="AE14" i="19"/>
  <c r="C140" i="24"/>
  <c r="I141" i="24"/>
  <c r="J141" i="24"/>
  <c r="D140" i="24"/>
  <c r="K141" i="24"/>
  <c r="E140" i="24"/>
  <c r="L141" i="24"/>
  <c r="E113" i="24"/>
  <c r="C114" i="24"/>
  <c r="D112" i="24"/>
  <c r="J113" i="24"/>
  <c r="E112" i="24"/>
  <c r="K113" i="24"/>
  <c r="F112" i="24"/>
  <c r="AT51" i="3"/>
  <c r="H15" i="19"/>
  <c r="G14" i="19"/>
  <c r="H50" i="23" s="1"/>
  <c r="C142" i="24"/>
  <c r="F140" i="24"/>
  <c r="G140" i="24"/>
  <c r="D142" i="24"/>
  <c r="H140" i="24"/>
  <c r="F142" i="24"/>
  <c r="I140" i="24"/>
  <c r="G142" i="24"/>
  <c r="I113" i="24"/>
  <c r="L114" i="24"/>
  <c r="H112" i="24"/>
  <c r="D114" i="24"/>
  <c r="I112" i="24"/>
  <c r="F114" i="24"/>
  <c r="H113" i="24"/>
  <c r="G94" i="24"/>
  <c r="D56" i="3" s="1"/>
  <c r="E56" i="3" s="1"/>
  <c r="AB15" i="19"/>
  <c r="AA14" i="19"/>
  <c r="H56" i="23" s="1"/>
  <c r="T15" i="19"/>
  <c r="S14" i="19"/>
  <c r="H53" i="23" s="1"/>
  <c r="O14" i="19"/>
  <c r="J142" i="24"/>
  <c r="C141" i="24"/>
  <c r="L15" i="19"/>
  <c r="K14" i="19"/>
  <c r="J112" i="24"/>
  <c r="K94" i="24"/>
  <c r="H94" i="24"/>
  <c r="D127" i="24"/>
  <c r="K128" i="24"/>
  <c r="G128" i="24"/>
  <c r="L127" i="24"/>
  <c r="H127" i="24"/>
  <c r="C127" i="24"/>
  <c r="I126" i="24"/>
  <c r="E126" i="24"/>
  <c r="C126" i="24"/>
  <c r="J128" i="24"/>
  <c r="F128" i="24"/>
  <c r="K127" i="24"/>
  <c r="G127" i="24"/>
  <c r="L126" i="24"/>
  <c r="H126" i="24"/>
  <c r="D126" i="24"/>
  <c r="I128" i="24"/>
  <c r="D128" i="24"/>
  <c r="J127" i="24"/>
  <c r="F127" i="24"/>
  <c r="K126" i="24"/>
  <c r="G126" i="24"/>
  <c r="E128" i="24"/>
  <c r="C128" i="24"/>
  <c r="F126" i="24"/>
  <c r="I127" i="24"/>
  <c r="H128" i="24"/>
  <c r="L128" i="24"/>
  <c r="E127" i="24"/>
  <c r="J126" i="24"/>
  <c r="F94" i="24"/>
  <c r="I94" i="24"/>
  <c r="C94" i="24"/>
  <c r="L94" i="24"/>
  <c r="H131" i="24"/>
  <c r="H134" i="24"/>
  <c r="E129" i="24"/>
  <c r="F135" i="24"/>
  <c r="C130" i="24"/>
  <c r="F129" i="24"/>
  <c r="K130" i="24"/>
  <c r="C129" i="24"/>
  <c r="G132" i="24"/>
  <c r="C132" i="24"/>
  <c r="D99" i="24"/>
  <c r="C98" i="24"/>
  <c r="I100" i="24"/>
  <c r="D100" i="24"/>
  <c r="J99" i="24"/>
  <c r="F99" i="24"/>
  <c r="K98" i="24"/>
  <c r="G98" i="24"/>
  <c r="F100" i="24"/>
  <c r="L98" i="24"/>
  <c r="E100" i="24"/>
  <c r="L100" i="24"/>
  <c r="H100" i="24"/>
  <c r="C100" i="24"/>
  <c r="I99" i="24"/>
  <c r="E99" i="24"/>
  <c r="J98" i="24"/>
  <c r="F98" i="24"/>
  <c r="K99" i="24"/>
  <c r="H98" i="24"/>
  <c r="K100" i="24"/>
  <c r="G100" i="24"/>
  <c r="L99" i="24"/>
  <c r="H99" i="24"/>
  <c r="C99" i="24"/>
  <c r="I98" i="24"/>
  <c r="E98" i="24"/>
  <c r="J100" i="24"/>
  <c r="G99" i="24"/>
  <c r="D98" i="24"/>
  <c r="J94" i="24"/>
  <c r="G105" i="24"/>
  <c r="J103" i="24"/>
  <c r="F105" i="24"/>
  <c r="I103" i="24"/>
  <c r="I105" i="24"/>
  <c r="D102" i="24"/>
  <c r="K149" i="24"/>
  <c r="G149" i="24"/>
  <c r="D148" i="24"/>
  <c r="I147" i="24"/>
  <c r="F146" i="24"/>
  <c r="L145" i="24"/>
  <c r="I144" i="24"/>
  <c r="D144" i="24"/>
  <c r="I146" i="24"/>
  <c r="J149" i="24"/>
  <c r="G148" i="24"/>
  <c r="C148" i="24"/>
  <c r="J146" i="24"/>
  <c r="E146" i="24"/>
  <c r="L144" i="24"/>
  <c r="H144" i="24"/>
  <c r="D143" i="24"/>
  <c r="L149" i="24"/>
  <c r="E149" i="24"/>
  <c r="J148" i="24"/>
  <c r="G147" i="24"/>
  <c r="C147" i="24"/>
  <c r="J145" i="24"/>
  <c r="E145" i="24"/>
  <c r="L143" i="24"/>
  <c r="H143" i="24"/>
  <c r="I148" i="24"/>
  <c r="L146" i="24"/>
  <c r="G144" i="24"/>
  <c r="E148" i="24"/>
  <c r="F147" i="24"/>
  <c r="K143" i="24"/>
  <c r="C146" i="24"/>
  <c r="E144" i="24"/>
  <c r="J119" i="24"/>
  <c r="F115" i="24"/>
  <c r="K121" i="24"/>
  <c r="G121" i="24"/>
  <c r="C121" i="24"/>
  <c r="H120" i="24"/>
  <c r="D120" i="24"/>
  <c r="I119" i="24"/>
  <c r="E119" i="24"/>
  <c r="K118" i="24"/>
  <c r="F118" i="24"/>
  <c r="L117" i="24"/>
  <c r="G117" i="24"/>
  <c r="C117" i="24"/>
  <c r="I116" i="24"/>
  <c r="D116" i="24"/>
  <c r="J115" i="24"/>
  <c r="E115" i="24"/>
  <c r="I118" i="24"/>
  <c r="J121" i="24"/>
  <c r="F121" i="24"/>
  <c r="L120" i="24"/>
  <c r="G120" i="24"/>
  <c r="C120" i="24"/>
  <c r="H119" i="24"/>
  <c r="D119" i="24"/>
  <c r="J118" i="24"/>
  <c r="E118" i="24"/>
  <c r="K117" i="24"/>
  <c r="F117" i="24"/>
  <c r="L116" i="24"/>
  <c r="H116" i="24"/>
  <c r="C116" i="24"/>
  <c r="I115" i="24"/>
  <c r="D115" i="24"/>
  <c r="L121" i="24"/>
  <c r="H117" i="24"/>
  <c r="I121" i="24"/>
  <c r="E121" i="24"/>
  <c r="J120" i="24"/>
  <c r="F120" i="24"/>
  <c r="L119" i="24"/>
  <c r="G119" i="24"/>
  <c r="C119" i="24"/>
  <c r="H118" i="24"/>
  <c r="D118" i="24"/>
  <c r="J117" i="24"/>
  <c r="E117" i="24"/>
  <c r="K116" i="24"/>
  <c r="F116" i="24"/>
  <c r="L115" i="24"/>
  <c r="H115" i="24"/>
  <c r="C115" i="24"/>
  <c r="H121" i="24"/>
  <c r="K119" i="24"/>
  <c r="C118" i="24"/>
  <c r="E116" i="24"/>
  <c r="E120" i="24"/>
  <c r="K120" i="24"/>
  <c r="B13" i="22" s="1"/>
  <c r="D121" i="24"/>
  <c r="F119" i="24"/>
  <c r="I117" i="24"/>
  <c r="K115" i="24"/>
  <c r="J116" i="24"/>
  <c r="G116" i="24"/>
  <c r="I120" i="24"/>
  <c r="L118" i="24"/>
  <c r="D117" i="24"/>
  <c r="G115" i="24"/>
  <c r="G118" i="24"/>
  <c r="D94" i="24"/>
  <c r="E94" i="24"/>
  <c r="F64" i="23" l="1"/>
  <c r="F66" i="23"/>
  <c r="D64" i="23"/>
  <c r="D66" i="23"/>
  <c r="E63" i="23"/>
  <c r="G63" i="23"/>
  <c r="N116" i="24"/>
  <c r="M118" i="24"/>
  <c r="W15" i="19"/>
  <c r="I145" i="24"/>
  <c r="K147" i="24"/>
  <c r="J144" i="24"/>
  <c r="G143" i="24"/>
  <c r="K148" i="24"/>
  <c r="B15" i="22" s="1"/>
  <c r="F144" i="24"/>
  <c r="D146" i="24"/>
  <c r="L147" i="24"/>
  <c r="I149" i="24"/>
  <c r="I143" i="24"/>
  <c r="F145" i="24"/>
  <c r="D147" i="24"/>
  <c r="L148" i="24"/>
  <c r="E143" i="24"/>
  <c r="C145" i="24"/>
  <c r="K146" i="24"/>
  <c r="H148" i="24"/>
  <c r="J147" i="24"/>
  <c r="G107" i="24"/>
  <c r="D107" i="24"/>
  <c r="F101" i="24"/>
  <c r="M145" i="24"/>
  <c r="N147" i="24"/>
  <c r="D149" i="24"/>
  <c r="H149" i="24"/>
  <c r="G146" i="24"/>
  <c r="D145" i="24"/>
  <c r="C143" i="24"/>
  <c r="K144" i="24"/>
  <c r="H146" i="24"/>
  <c r="F148" i="24"/>
  <c r="H145" i="24"/>
  <c r="C144" i="24"/>
  <c r="K145" i="24"/>
  <c r="H147" i="24"/>
  <c r="F149" i="24"/>
  <c r="J143" i="24"/>
  <c r="J150" i="24" s="1"/>
  <c r="AQ12" i="20" s="1"/>
  <c r="G145" i="24"/>
  <c r="E147" i="24"/>
  <c r="C149" i="24"/>
  <c r="C106" i="24"/>
  <c r="E104" i="24"/>
  <c r="L101" i="24"/>
  <c r="K106" i="24"/>
  <c r="B12" i="22" s="1"/>
  <c r="N143" i="24"/>
  <c r="M149" i="24"/>
  <c r="N149" i="24"/>
  <c r="N148" i="24"/>
  <c r="M148" i="24"/>
  <c r="F143" i="24"/>
  <c r="L103" i="24"/>
  <c r="K101" i="24"/>
  <c r="D105" i="24"/>
  <c r="E107" i="24"/>
  <c r="D131" i="24"/>
  <c r="H132" i="24"/>
  <c r="K131" i="24"/>
  <c r="C131" i="24"/>
  <c r="D53" i="3"/>
  <c r="E53" i="3" s="1"/>
  <c r="C53" i="7" s="1"/>
  <c r="M135" i="24"/>
  <c r="N105" i="24"/>
  <c r="M146" i="24"/>
  <c r="M147" i="24"/>
  <c r="K129" i="24"/>
  <c r="F134" i="24"/>
  <c r="H133" i="24"/>
  <c r="K132" i="24"/>
  <c r="M132" i="24"/>
  <c r="K133" i="24"/>
  <c r="E134" i="24"/>
  <c r="L132" i="24"/>
  <c r="I131" i="24"/>
  <c r="H129" i="24"/>
  <c r="E131" i="24"/>
  <c r="C133" i="24"/>
  <c r="J134" i="24"/>
  <c r="J133" i="24"/>
  <c r="H130" i="24"/>
  <c r="E132" i="24"/>
  <c r="C134" i="24"/>
  <c r="J135" i="24"/>
  <c r="J129" i="24"/>
  <c r="G131" i="24"/>
  <c r="E133" i="24"/>
  <c r="C135" i="24"/>
  <c r="L135" i="24"/>
  <c r="N131" i="24"/>
  <c r="M134" i="24"/>
  <c r="N130" i="24"/>
  <c r="I132" i="24"/>
  <c r="H135" i="24"/>
  <c r="I134" i="24"/>
  <c r="F133" i="24"/>
  <c r="L129" i="24"/>
  <c r="J131" i="24"/>
  <c r="G133" i="24"/>
  <c r="E135" i="24"/>
  <c r="D129" i="24"/>
  <c r="L130" i="24"/>
  <c r="J132" i="24"/>
  <c r="G134" i="24"/>
  <c r="G130" i="24"/>
  <c r="D130" i="24"/>
  <c r="L131" i="24"/>
  <c r="I133" i="24"/>
  <c r="G135" i="24"/>
  <c r="N129" i="24"/>
  <c r="N135" i="24"/>
  <c r="M131" i="24"/>
  <c r="N132" i="24"/>
  <c r="J130" i="24"/>
  <c r="G129" i="24"/>
  <c r="E130" i="24"/>
  <c r="D135" i="24"/>
  <c r="F130" i="24"/>
  <c r="D132" i="24"/>
  <c r="L133" i="24"/>
  <c r="I135" i="24"/>
  <c r="I129" i="24"/>
  <c r="F131" i="24"/>
  <c r="D133" i="24"/>
  <c r="L134" i="24"/>
  <c r="K134" i="24"/>
  <c r="B14" i="22" s="1"/>
  <c r="I130" i="24"/>
  <c r="F132" i="24"/>
  <c r="D134" i="24"/>
  <c r="K135" i="24"/>
  <c r="M129" i="24"/>
  <c r="M130" i="24"/>
  <c r="M133" i="24"/>
  <c r="J107" i="24"/>
  <c r="I102" i="24"/>
  <c r="D106" i="24"/>
  <c r="G106" i="24"/>
  <c r="C104" i="24"/>
  <c r="H107" i="24"/>
  <c r="F102" i="24"/>
  <c r="L105" i="24"/>
  <c r="J105" i="24"/>
  <c r="D55" i="3"/>
  <c r="E55" i="3" s="1"/>
  <c r="C55" i="15" s="1"/>
  <c r="M107" i="24"/>
  <c r="M104" i="24"/>
  <c r="N104" i="24"/>
  <c r="F103" i="24"/>
  <c r="E101" i="24"/>
  <c r="C103" i="24"/>
  <c r="K104" i="24"/>
  <c r="H106" i="24"/>
  <c r="H102" i="24"/>
  <c r="F107" i="24"/>
  <c r="J102" i="24"/>
  <c r="G104" i="24"/>
  <c r="E106" i="24"/>
  <c r="C102" i="24"/>
  <c r="L106" i="24"/>
  <c r="K102" i="24"/>
  <c r="H104" i="24"/>
  <c r="F106" i="24"/>
  <c r="I104" i="24"/>
  <c r="C101" i="24"/>
  <c r="L107" i="24"/>
  <c r="N101" i="24"/>
  <c r="N103" i="24"/>
  <c r="M106" i="24"/>
  <c r="N106" i="24"/>
  <c r="I101" i="24"/>
  <c r="F104" i="24"/>
  <c r="D101" i="24"/>
  <c r="E102" i="24"/>
  <c r="K105" i="24"/>
  <c r="H105" i="24"/>
  <c r="D104" i="24"/>
  <c r="I107" i="24"/>
  <c r="H103" i="24"/>
  <c r="J104" i="24"/>
  <c r="J101" i="24"/>
  <c r="G103" i="24"/>
  <c r="E105" i="24"/>
  <c r="C107" i="24"/>
  <c r="L102" i="24"/>
  <c r="G101" i="24"/>
  <c r="D103" i="24"/>
  <c r="L104" i="24"/>
  <c r="I106" i="24"/>
  <c r="K103" i="24"/>
  <c r="H101" i="24"/>
  <c r="E103" i="24"/>
  <c r="C105" i="24"/>
  <c r="J106" i="24"/>
  <c r="K107" i="24"/>
  <c r="G102" i="24"/>
  <c r="M101" i="24"/>
  <c r="N107" i="24"/>
  <c r="M105" i="24"/>
  <c r="D52" i="3"/>
  <c r="E52" i="3" s="1"/>
  <c r="C52" i="15" s="1"/>
  <c r="M116" i="24"/>
  <c r="M117" i="24"/>
  <c r="V15" i="20"/>
  <c r="H51" i="23"/>
  <c r="H52" i="23"/>
  <c r="P15" i="19"/>
  <c r="D50" i="3"/>
  <c r="E50" i="3" s="1"/>
  <c r="C50" i="15" s="1"/>
  <c r="BH16" i="20"/>
  <c r="BJ16" i="20" s="1"/>
  <c r="J11" i="23" s="1"/>
  <c r="C24" i="23" s="1"/>
  <c r="E24" i="23" s="1"/>
  <c r="I57" i="23"/>
  <c r="D60" i="3"/>
  <c r="E60" i="3" s="1"/>
  <c r="C60" i="7" s="1"/>
  <c r="D58" i="3"/>
  <c r="E58" i="3" s="1"/>
  <c r="C58" i="7" s="1"/>
  <c r="AV15" i="20"/>
  <c r="AX15" i="20" s="1"/>
  <c r="H55" i="23"/>
  <c r="H51" i="9"/>
  <c r="T51" i="9" s="1"/>
  <c r="Z51" i="9" s="1"/>
  <c r="F51" i="15"/>
  <c r="O51" i="15" s="1"/>
  <c r="T51" i="15" s="1"/>
  <c r="F51" i="11"/>
  <c r="M51" i="11" s="1"/>
  <c r="P51" i="11" s="1"/>
  <c r="F51" i="7"/>
  <c r="O51" i="7" s="1"/>
  <c r="T51" i="7" s="1"/>
  <c r="H51" i="16"/>
  <c r="T50" i="16"/>
  <c r="Z50" i="16" s="1"/>
  <c r="D135" i="16"/>
  <c r="P135" i="16" s="1"/>
  <c r="P123" i="16"/>
  <c r="D139" i="16"/>
  <c r="P139" i="16" s="1"/>
  <c r="P127" i="16"/>
  <c r="D145" i="16"/>
  <c r="P145" i="16" s="1"/>
  <c r="P133" i="16"/>
  <c r="AA15" i="19"/>
  <c r="BB15" i="20"/>
  <c r="BD15" i="20" s="1"/>
  <c r="D143" i="16"/>
  <c r="P143" i="16" s="1"/>
  <c r="P131" i="16"/>
  <c r="P130" i="16"/>
  <c r="D142" i="16"/>
  <c r="P142" i="16" s="1"/>
  <c r="P125" i="16"/>
  <c r="D137" i="16"/>
  <c r="P137" i="16" s="1"/>
  <c r="P128" i="16"/>
  <c r="D140" i="16"/>
  <c r="P140" i="16" s="1"/>
  <c r="P132" i="16"/>
  <c r="D144" i="16"/>
  <c r="P144" i="16" s="1"/>
  <c r="D138" i="16"/>
  <c r="P138" i="16" s="1"/>
  <c r="P126" i="16"/>
  <c r="P122" i="16"/>
  <c r="D134" i="16"/>
  <c r="P134" i="16" s="1"/>
  <c r="P129" i="16"/>
  <c r="D141" i="16"/>
  <c r="P141" i="16" s="1"/>
  <c r="P124" i="16"/>
  <c r="D136" i="16"/>
  <c r="P136" i="16" s="1"/>
  <c r="D61" i="3"/>
  <c r="E61" i="3" s="1"/>
  <c r="C61" i="15" s="1"/>
  <c r="D54" i="3"/>
  <c r="E54" i="3" s="1"/>
  <c r="C54" i="15" s="1"/>
  <c r="D59" i="3"/>
  <c r="E59" i="3" s="1"/>
  <c r="C59" i="7" s="1"/>
  <c r="D57" i="3"/>
  <c r="E57" i="3" s="1"/>
  <c r="C57" i="15" s="1"/>
  <c r="D51" i="3"/>
  <c r="E51" i="3" s="1"/>
  <c r="C51" i="15" s="1"/>
  <c r="N122" i="24"/>
  <c r="Y16" i="20" s="1"/>
  <c r="C52" i="7"/>
  <c r="C56" i="7"/>
  <c r="C56" i="15"/>
  <c r="AT52" i="3"/>
  <c r="S15" i="19"/>
  <c r="I53" i="23" s="1"/>
  <c r="G15" i="19"/>
  <c r="I50" i="23" s="1"/>
  <c r="AE15" i="19"/>
  <c r="K15" i="19"/>
  <c r="G122" i="24"/>
  <c r="D120" i="3"/>
  <c r="E120" i="3" s="1"/>
  <c r="D116" i="3"/>
  <c r="E116" i="3" s="1"/>
  <c r="D112" i="3"/>
  <c r="E112" i="3" s="1"/>
  <c r="D119" i="3"/>
  <c r="E119" i="3" s="1"/>
  <c r="D115" i="3"/>
  <c r="E115" i="3" s="1"/>
  <c r="D111" i="3"/>
  <c r="E111" i="3" s="1"/>
  <c r="D118" i="3"/>
  <c r="E118" i="3" s="1"/>
  <c r="D114" i="3"/>
  <c r="E114" i="3" s="1"/>
  <c r="D110" i="3"/>
  <c r="D121" i="3"/>
  <c r="E121" i="3" s="1"/>
  <c r="D117" i="3"/>
  <c r="E117" i="3" s="1"/>
  <c r="D113" i="3"/>
  <c r="E113" i="3" s="1"/>
  <c r="D36" i="3"/>
  <c r="E36" i="3" s="1"/>
  <c r="D32" i="3"/>
  <c r="E32" i="3" s="1"/>
  <c r="D28" i="3"/>
  <c r="E28" i="3" s="1"/>
  <c r="D35" i="3"/>
  <c r="E35" i="3" s="1"/>
  <c r="D31" i="3"/>
  <c r="E31" i="3" s="1"/>
  <c r="D27" i="3"/>
  <c r="E27" i="3" s="1"/>
  <c r="D34" i="3"/>
  <c r="E34" i="3" s="1"/>
  <c r="D30" i="3"/>
  <c r="E30" i="3" s="1"/>
  <c r="D26" i="3"/>
  <c r="D37" i="3"/>
  <c r="E37" i="3" s="1"/>
  <c r="D33" i="3"/>
  <c r="E33" i="3" s="1"/>
  <c r="D29" i="3"/>
  <c r="E29" i="3" s="1"/>
  <c r="D84" i="3"/>
  <c r="E84" i="3" s="1"/>
  <c r="D80" i="3"/>
  <c r="E80" i="3" s="1"/>
  <c r="D76" i="3"/>
  <c r="E76" i="3" s="1"/>
  <c r="D83" i="3"/>
  <c r="E83" i="3" s="1"/>
  <c r="D79" i="3"/>
  <c r="E79" i="3" s="1"/>
  <c r="D75" i="3"/>
  <c r="E75" i="3" s="1"/>
  <c r="D82" i="3"/>
  <c r="E82" i="3" s="1"/>
  <c r="D78" i="3"/>
  <c r="E78" i="3" s="1"/>
  <c r="D74" i="3"/>
  <c r="D85" i="3"/>
  <c r="E85" i="3" s="1"/>
  <c r="D81" i="3"/>
  <c r="E81" i="3" s="1"/>
  <c r="D77" i="3"/>
  <c r="E77" i="3" s="1"/>
  <c r="D72" i="3"/>
  <c r="E72" i="3" s="1"/>
  <c r="D68" i="3"/>
  <c r="E68" i="3" s="1"/>
  <c r="D64" i="3"/>
  <c r="E64" i="3" s="1"/>
  <c r="D71" i="3"/>
  <c r="E71" i="3" s="1"/>
  <c r="D67" i="3"/>
  <c r="E67" i="3" s="1"/>
  <c r="D63" i="3"/>
  <c r="E63" i="3" s="1"/>
  <c r="D70" i="3"/>
  <c r="E70" i="3" s="1"/>
  <c r="D66" i="3"/>
  <c r="E66" i="3" s="1"/>
  <c r="D62" i="3"/>
  <c r="D73" i="3"/>
  <c r="E73" i="3" s="1"/>
  <c r="D69" i="3"/>
  <c r="E69" i="3" s="1"/>
  <c r="D65" i="3"/>
  <c r="E65" i="3" s="1"/>
  <c r="D24" i="3"/>
  <c r="E24" i="3" s="1"/>
  <c r="D23" i="3"/>
  <c r="E23" i="3" s="1"/>
  <c r="D22" i="3"/>
  <c r="E22" i="3" s="1"/>
  <c r="D25" i="3"/>
  <c r="E25" i="3" s="1"/>
  <c r="D96" i="3"/>
  <c r="E96" i="3" s="1"/>
  <c r="D92" i="3"/>
  <c r="E92" i="3" s="1"/>
  <c r="D88" i="3"/>
  <c r="E88" i="3" s="1"/>
  <c r="D95" i="3"/>
  <c r="E95" i="3" s="1"/>
  <c r="D91" i="3"/>
  <c r="E91" i="3" s="1"/>
  <c r="D87" i="3"/>
  <c r="E87" i="3" s="1"/>
  <c r="D94" i="3"/>
  <c r="E94" i="3" s="1"/>
  <c r="D90" i="3"/>
  <c r="E90" i="3" s="1"/>
  <c r="D86" i="3"/>
  <c r="D97" i="3"/>
  <c r="E97" i="3" s="1"/>
  <c r="D93" i="3"/>
  <c r="E93" i="3" s="1"/>
  <c r="D89" i="3"/>
  <c r="E89" i="3" s="1"/>
  <c r="D48" i="3"/>
  <c r="E48" i="3" s="1"/>
  <c r="D44" i="3"/>
  <c r="E44" i="3" s="1"/>
  <c r="D40" i="3"/>
  <c r="E40" i="3" s="1"/>
  <c r="D47" i="3"/>
  <c r="E47" i="3" s="1"/>
  <c r="D43" i="3"/>
  <c r="E43" i="3" s="1"/>
  <c r="D39" i="3"/>
  <c r="E39" i="3" s="1"/>
  <c r="D46" i="3"/>
  <c r="E46" i="3" s="1"/>
  <c r="D42" i="3"/>
  <c r="E42" i="3" s="1"/>
  <c r="D38" i="3"/>
  <c r="D41" i="3"/>
  <c r="E41" i="3" s="1"/>
  <c r="D49" i="3"/>
  <c r="E49" i="3" s="1"/>
  <c r="D45" i="3"/>
  <c r="E45" i="3" s="1"/>
  <c r="D108" i="3"/>
  <c r="E108" i="3" s="1"/>
  <c r="D104" i="3"/>
  <c r="E104" i="3" s="1"/>
  <c r="D100" i="3"/>
  <c r="E100" i="3" s="1"/>
  <c r="D107" i="3"/>
  <c r="E107" i="3" s="1"/>
  <c r="D103" i="3"/>
  <c r="E103" i="3" s="1"/>
  <c r="D99" i="3"/>
  <c r="E99" i="3" s="1"/>
  <c r="D106" i="3"/>
  <c r="E106" i="3" s="1"/>
  <c r="D102" i="3"/>
  <c r="E102" i="3" s="1"/>
  <c r="D98" i="3"/>
  <c r="D109" i="3"/>
  <c r="E109" i="3" s="1"/>
  <c r="D105" i="3"/>
  <c r="E105" i="3" s="1"/>
  <c r="D101" i="3"/>
  <c r="E101" i="3" s="1"/>
  <c r="I122" i="24"/>
  <c r="Y11" i="20" s="1"/>
  <c r="C122" i="24"/>
  <c r="Y5" i="20" s="1"/>
  <c r="E122" i="24"/>
  <c r="Y7" i="20" s="1"/>
  <c r="H122" i="24"/>
  <c r="Y10" i="20" s="1"/>
  <c r="E150" i="24"/>
  <c r="AQ7" i="20" s="1"/>
  <c r="K122" i="24"/>
  <c r="Y13" i="20" s="1"/>
  <c r="L122" i="24"/>
  <c r="Y14" i="20" s="1"/>
  <c r="D122" i="24"/>
  <c r="Y6" i="20" s="1"/>
  <c r="F122" i="24"/>
  <c r="Y8" i="20" s="1"/>
  <c r="D19" i="3"/>
  <c r="E19" i="3" s="1"/>
  <c r="D16" i="3"/>
  <c r="E16" i="3" s="1"/>
  <c r="D14" i="3"/>
  <c r="D20" i="3"/>
  <c r="E20" i="3" s="1"/>
  <c r="D18" i="3"/>
  <c r="E18" i="3" s="1"/>
  <c r="D21" i="3"/>
  <c r="E21" i="3" s="1"/>
  <c r="D17" i="3"/>
  <c r="E17" i="3" s="1"/>
  <c r="D15" i="3"/>
  <c r="E15" i="3" s="1"/>
  <c r="J122" i="24"/>
  <c r="Y12" i="20" s="1"/>
  <c r="D11" i="3"/>
  <c r="E11" i="3" s="1"/>
  <c r="D6" i="3"/>
  <c r="E6" i="3" s="1"/>
  <c r="D5" i="3"/>
  <c r="E5" i="3" s="1"/>
  <c r="D7" i="3"/>
  <c r="E7" i="3" s="1"/>
  <c r="D2" i="3"/>
  <c r="D12" i="3"/>
  <c r="E12" i="3" s="1"/>
  <c r="D3" i="3"/>
  <c r="E3" i="3" s="1"/>
  <c r="D13" i="3"/>
  <c r="E13" i="3" s="1"/>
  <c r="D8" i="3"/>
  <c r="E8" i="3" s="1"/>
  <c r="D10" i="3"/>
  <c r="E10" i="3" s="1"/>
  <c r="D9" i="3"/>
  <c r="E9" i="3" s="1"/>
  <c r="D4" i="3"/>
  <c r="E4" i="3" s="1"/>
  <c r="G64" i="23" l="1"/>
  <c r="G66" i="23"/>
  <c r="E64" i="23"/>
  <c r="E66" i="23"/>
  <c r="I150" i="24"/>
  <c r="AQ11" i="20" s="1"/>
  <c r="C60" i="15"/>
  <c r="K136" i="24"/>
  <c r="AG13" i="20" s="1"/>
  <c r="H150" i="24"/>
  <c r="K150" i="24"/>
  <c r="P99" i="3" s="1"/>
  <c r="Q99" i="3" s="1"/>
  <c r="L150" i="24"/>
  <c r="AQ14" i="20" s="1"/>
  <c r="B16" i="22"/>
  <c r="C11" i="22" s="1"/>
  <c r="E11" i="22" s="1"/>
  <c r="C150" i="24"/>
  <c r="AQ5" i="20" s="1"/>
  <c r="D150" i="24"/>
  <c r="AQ6" i="20" s="1"/>
  <c r="G150" i="24"/>
  <c r="AQ9" i="20" s="1"/>
  <c r="N150" i="24"/>
  <c r="AQ16" i="20" s="1"/>
  <c r="C53" i="15"/>
  <c r="M150" i="24"/>
  <c r="AQ15" i="20" s="1"/>
  <c r="F150" i="24"/>
  <c r="AQ8" i="20" s="1"/>
  <c r="C15" i="22"/>
  <c r="D15" i="22" s="1"/>
  <c r="D20" i="23" s="1"/>
  <c r="C55" i="7"/>
  <c r="F136" i="24"/>
  <c r="AG8" i="20" s="1"/>
  <c r="E136" i="24"/>
  <c r="AG7" i="20" s="1"/>
  <c r="I136" i="24"/>
  <c r="AG11" i="20" s="1"/>
  <c r="G136" i="24"/>
  <c r="AG9" i="20" s="1"/>
  <c r="H136" i="24"/>
  <c r="AG10" i="20" s="1"/>
  <c r="M122" i="24"/>
  <c r="Y15" i="20" s="1"/>
  <c r="L108" i="24"/>
  <c r="G112" i="3" s="1"/>
  <c r="H112" i="3" s="1"/>
  <c r="G108" i="24"/>
  <c r="G60" i="3" s="1"/>
  <c r="H60" i="3" s="1"/>
  <c r="H108" i="24"/>
  <c r="G64" i="3" s="1"/>
  <c r="H64" i="3" s="1"/>
  <c r="M136" i="24"/>
  <c r="AG15" i="20" s="1"/>
  <c r="D136" i="24"/>
  <c r="AG6" i="20" s="1"/>
  <c r="N136" i="24"/>
  <c r="AG16" i="20" s="1"/>
  <c r="L136" i="24"/>
  <c r="AG14" i="20" s="1"/>
  <c r="J136" i="24"/>
  <c r="AG12" i="20" s="1"/>
  <c r="C136" i="24"/>
  <c r="AG5" i="20" s="1"/>
  <c r="C58" i="15"/>
  <c r="D108" i="24"/>
  <c r="G23" i="3" s="1"/>
  <c r="H23" i="3" s="1"/>
  <c r="I108" i="24"/>
  <c r="G83" i="3" s="1"/>
  <c r="H83" i="3" s="1"/>
  <c r="N108" i="24"/>
  <c r="F108" i="24"/>
  <c r="G48" i="3" s="1"/>
  <c r="H48" i="3" s="1"/>
  <c r="C108" i="24"/>
  <c r="G7" i="3" s="1"/>
  <c r="H7" i="3" s="1"/>
  <c r="M108" i="24"/>
  <c r="J108" i="24"/>
  <c r="G96" i="3" s="1"/>
  <c r="H96" i="3" s="1"/>
  <c r="K108" i="24"/>
  <c r="G104" i="3" s="1"/>
  <c r="H104" i="3" s="1"/>
  <c r="E108" i="24"/>
  <c r="G28" i="3" s="1"/>
  <c r="H28" i="3" s="1"/>
  <c r="H58" i="23"/>
  <c r="C14" i="22"/>
  <c r="E14" i="22" s="1"/>
  <c r="J12" i="22" s="1"/>
  <c r="AD19" i="21"/>
  <c r="AF19" i="21" s="1"/>
  <c r="I34" i="23" s="1"/>
  <c r="I10" i="23"/>
  <c r="V16" i="20"/>
  <c r="I51" i="23"/>
  <c r="D11" i="22"/>
  <c r="D16" i="23" s="1"/>
  <c r="BB16" i="20"/>
  <c r="BD16" i="20" s="1"/>
  <c r="I56" i="23"/>
  <c r="C13" i="22"/>
  <c r="AV16" i="20"/>
  <c r="AX16" i="20" s="1"/>
  <c r="I55" i="23"/>
  <c r="Y19" i="21"/>
  <c r="I9" i="23"/>
  <c r="H52" i="9"/>
  <c r="T52" i="9" s="1"/>
  <c r="Z52" i="9" s="1"/>
  <c r="F52" i="15"/>
  <c r="O52" i="15" s="1"/>
  <c r="T52" i="15" s="1"/>
  <c r="F52" i="11"/>
  <c r="M52" i="11" s="1"/>
  <c r="P52" i="11" s="1"/>
  <c r="F52" i="7"/>
  <c r="O52" i="7" s="1"/>
  <c r="T52" i="7" s="1"/>
  <c r="U52" i="7" s="1"/>
  <c r="H52" i="16"/>
  <c r="T51" i="16"/>
  <c r="Z51" i="16" s="1"/>
  <c r="P70" i="3"/>
  <c r="Q70" i="3" s="1"/>
  <c r="AQ10" i="20"/>
  <c r="J53" i="3"/>
  <c r="K53" i="3" s="1"/>
  <c r="C29" i="25" s="1"/>
  <c r="Y9" i="20"/>
  <c r="P71" i="3"/>
  <c r="Q71" i="3" s="1"/>
  <c r="C61" i="7"/>
  <c r="C54" i="7"/>
  <c r="J50" i="3"/>
  <c r="K50" i="3" s="1"/>
  <c r="C26" i="25" s="1"/>
  <c r="P65" i="3"/>
  <c r="Q65" i="3" s="1"/>
  <c r="C57" i="7"/>
  <c r="C51" i="7"/>
  <c r="U51" i="7" s="1"/>
  <c r="C59" i="15"/>
  <c r="P66" i="3"/>
  <c r="Q66" i="3" s="1"/>
  <c r="J57" i="3"/>
  <c r="K57" i="3" s="1"/>
  <c r="C33" i="25" s="1"/>
  <c r="D9" i="20"/>
  <c r="H9" i="20" s="1"/>
  <c r="J52" i="3"/>
  <c r="K52" i="3" s="1"/>
  <c r="C28" i="25" s="1"/>
  <c r="P68" i="3"/>
  <c r="Q68" i="3" s="1"/>
  <c r="P73" i="3"/>
  <c r="Q73" i="3" s="1"/>
  <c r="P63" i="3"/>
  <c r="Q63" i="3" s="1"/>
  <c r="P72" i="3"/>
  <c r="Q72" i="3" s="1"/>
  <c r="P62" i="3"/>
  <c r="Q62" i="3" s="1"/>
  <c r="P67" i="3"/>
  <c r="Q67" i="3" s="1"/>
  <c r="P64" i="3"/>
  <c r="Q64" i="3" s="1"/>
  <c r="P69" i="3"/>
  <c r="Q69" i="3" s="1"/>
  <c r="C50" i="7"/>
  <c r="U50" i="7" s="1"/>
  <c r="P100" i="3"/>
  <c r="Q100" i="3" s="1"/>
  <c r="P101" i="3"/>
  <c r="Q101" i="3" s="1"/>
  <c r="P109" i="3"/>
  <c r="Q109" i="3" s="1"/>
  <c r="E98" i="3"/>
  <c r="C98" i="7" s="1"/>
  <c r="D13" i="20"/>
  <c r="H13" i="20" s="1"/>
  <c r="E38" i="3"/>
  <c r="C38" i="15" s="1"/>
  <c r="D8" i="20"/>
  <c r="H8" i="20" s="1"/>
  <c r="I8" i="20" s="1"/>
  <c r="E86" i="3"/>
  <c r="C86" i="7" s="1"/>
  <c r="D12" i="20"/>
  <c r="H12" i="20" s="1"/>
  <c r="E62" i="3"/>
  <c r="C62" i="15" s="1"/>
  <c r="D10" i="20"/>
  <c r="H10" i="20" s="1"/>
  <c r="E74" i="3"/>
  <c r="C74" i="7" s="1"/>
  <c r="D11" i="20"/>
  <c r="H11" i="20" s="1"/>
  <c r="E26" i="3"/>
  <c r="C26" i="15" s="1"/>
  <c r="D7" i="20"/>
  <c r="H7" i="20" s="1"/>
  <c r="I7" i="20" s="1"/>
  <c r="E110" i="3"/>
  <c r="C110" i="7" s="1"/>
  <c r="D14" i="20"/>
  <c r="H14" i="20" s="1"/>
  <c r="E14" i="3"/>
  <c r="C14" i="15" s="1"/>
  <c r="D6" i="20"/>
  <c r="H6" i="20" s="1"/>
  <c r="I6" i="20" s="1"/>
  <c r="E2" i="3"/>
  <c r="C2" i="15" s="1"/>
  <c r="D5" i="20"/>
  <c r="H5" i="20" s="1"/>
  <c r="I5" i="20" s="1"/>
  <c r="C4" i="7"/>
  <c r="U4" i="7" s="1"/>
  <c r="C4" i="15"/>
  <c r="C21" i="7"/>
  <c r="U21" i="7" s="1"/>
  <c r="C21" i="15"/>
  <c r="C101" i="7"/>
  <c r="C101" i="15"/>
  <c r="C107" i="7"/>
  <c r="C107" i="15"/>
  <c r="C42" i="7"/>
  <c r="U42" i="7" s="1"/>
  <c r="C42" i="15"/>
  <c r="C89" i="7"/>
  <c r="C89" i="15"/>
  <c r="C95" i="7"/>
  <c r="C95" i="15"/>
  <c r="C65" i="7"/>
  <c r="C65" i="15"/>
  <c r="C71" i="7"/>
  <c r="C71" i="15"/>
  <c r="C78" i="7"/>
  <c r="C78" i="15"/>
  <c r="C29" i="7"/>
  <c r="U29" i="7" s="1"/>
  <c r="C29" i="15"/>
  <c r="C35" i="7"/>
  <c r="U35" i="7" s="1"/>
  <c r="C35" i="15"/>
  <c r="C113" i="7"/>
  <c r="C113" i="15"/>
  <c r="C114" i="7"/>
  <c r="C114" i="15"/>
  <c r="C9" i="7"/>
  <c r="U9" i="7" s="1"/>
  <c r="C9" i="15"/>
  <c r="C3" i="7"/>
  <c r="U3" i="7" s="1"/>
  <c r="C3" i="15"/>
  <c r="C5" i="7"/>
  <c r="U5" i="7" s="1"/>
  <c r="C5" i="15"/>
  <c r="C18" i="7"/>
  <c r="U18" i="7" s="1"/>
  <c r="C18" i="15"/>
  <c r="C19" i="7"/>
  <c r="U19" i="7" s="1"/>
  <c r="C19" i="15"/>
  <c r="C105" i="7"/>
  <c r="C105" i="15"/>
  <c r="C106" i="7"/>
  <c r="C106" i="15"/>
  <c r="C100" i="7"/>
  <c r="C100" i="15"/>
  <c r="C49" i="7"/>
  <c r="U49" i="7" s="1"/>
  <c r="C49" i="15"/>
  <c r="C46" i="7"/>
  <c r="U46" i="7" s="1"/>
  <c r="C46" i="15"/>
  <c r="C40" i="7"/>
  <c r="U40" i="7" s="1"/>
  <c r="C40" i="15"/>
  <c r="C93" i="7"/>
  <c r="C93" i="15"/>
  <c r="C94" i="7"/>
  <c r="C94" i="15"/>
  <c r="C88" i="7"/>
  <c r="C88" i="15"/>
  <c r="C22" i="7"/>
  <c r="U22" i="7" s="1"/>
  <c r="C22" i="15"/>
  <c r="C69" i="7"/>
  <c r="C69" i="15"/>
  <c r="C70" i="7"/>
  <c r="C70" i="15"/>
  <c r="C64" i="7"/>
  <c r="C64" i="15"/>
  <c r="C81" i="7"/>
  <c r="C81" i="15"/>
  <c r="C82" i="7"/>
  <c r="C82" i="15"/>
  <c r="C76" i="7"/>
  <c r="C76" i="15"/>
  <c r="C33" i="7"/>
  <c r="U33" i="7" s="1"/>
  <c r="C33" i="15"/>
  <c r="C34" i="7"/>
  <c r="U34" i="7" s="1"/>
  <c r="C34" i="15"/>
  <c r="C28" i="7"/>
  <c r="U28" i="7" s="1"/>
  <c r="C28" i="15"/>
  <c r="C117" i="7"/>
  <c r="C117" i="15"/>
  <c r="C118" i="7"/>
  <c r="C118" i="15"/>
  <c r="C112" i="7"/>
  <c r="C112" i="15"/>
  <c r="C13" i="7"/>
  <c r="U13" i="7" s="1"/>
  <c r="C13" i="15"/>
  <c r="C109" i="7"/>
  <c r="C109" i="15"/>
  <c r="C99" i="7"/>
  <c r="C99" i="15"/>
  <c r="C104" i="7"/>
  <c r="C104" i="15"/>
  <c r="C41" i="7"/>
  <c r="U41" i="7" s="1"/>
  <c r="C41" i="15"/>
  <c r="C39" i="7"/>
  <c r="U39" i="7" s="1"/>
  <c r="C39" i="15"/>
  <c r="C44" i="7"/>
  <c r="U44" i="7" s="1"/>
  <c r="C44" i="15"/>
  <c r="C97" i="7"/>
  <c r="C97" i="15"/>
  <c r="C87" i="7"/>
  <c r="C87" i="15"/>
  <c r="C92" i="7"/>
  <c r="C92" i="15"/>
  <c r="C23" i="7"/>
  <c r="U23" i="7" s="1"/>
  <c r="C23" i="15"/>
  <c r="C73" i="7"/>
  <c r="C73" i="15"/>
  <c r="C63" i="7"/>
  <c r="C63" i="15"/>
  <c r="C68" i="7"/>
  <c r="C68" i="15"/>
  <c r="C85" i="7"/>
  <c r="C85" i="15"/>
  <c r="C75" i="7"/>
  <c r="C75" i="15"/>
  <c r="C80" i="7"/>
  <c r="C80" i="15"/>
  <c r="C37" i="7"/>
  <c r="U37" i="7" s="1"/>
  <c r="C37" i="15"/>
  <c r="C27" i="7"/>
  <c r="U27" i="7" s="1"/>
  <c r="C27" i="15"/>
  <c r="C32" i="7"/>
  <c r="U32" i="7" s="1"/>
  <c r="C32" i="15"/>
  <c r="C121" i="7"/>
  <c r="C121" i="15"/>
  <c r="C111" i="7"/>
  <c r="C111" i="15"/>
  <c r="C116" i="7"/>
  <c r="C116" i="15"/>
  <c r="C7" i="7"/>
  <c r="U7" i="7" s="1"/>
  <c r="C7" i="15"/>
  <c r="C16" i="7"/>
  <c r="U16" i="7" s="1"/>
  <c r="C16" i="15"/>
  <c r="C102" i="7"/>
  <c r="C102" i="15"/>
  <c r="C45" i="7"/>
  <c r="U45" i="7" s="1"/>
  <c r="C45" i="15"/>
  <c r="C47" i="7"/>
  <c r="U47" i="7" s="1"/>
  <c r="C47" i="15"/>
  <c r="C90" i="7"/>
  <c r="C90" i="15"/>
  <c r="C25" i="7"/>
  <c r="U25" i="7" s="1"/>
  <c r="C25" i="15"/>
  <c r="C66" i="7"/>
  <c r="C66" i="15"/>
  <c r="C77" i="7"/>
  <c r="C77" i="15"/>
  <c r="C83" i="7"/>
  <c r="C83" i="15"/>
  <c r="C30" i="7"/>
  <c r="U30" i="7" s="1"/>
  <c r="C30" i="15"/>
  <c r="C119" i="7"/>
  <c r="C119" i="15"/>
  <c r="C10" i="7"/>
  <c r="U10" i="7" s="1"/>
  <c r="C10" i="15"/>
  <c r="C12" i="7"/>
  <c r="U12" i="7" s="1"/>
  <c r="C12" i="15"/>
  <c r="C6" i="7"/>
  <c r="U6" i="7" s="1"/>
  <c r="C6" i="15"/>
  <c r="C15" i="7"/>
  <c r="U15" i="7" s="1"/>
  <c r="C15" i="15"/>
  <c r="C20" i="7"/>
  <c r="U20" i="7" s="1"/>
  <c r="C20" i="15"/>
  <c r="C8" i="7"/>
  <c r="U8" i="7" s="1"/>
  <c r="C8" i="15"/>
  <c r="C11" i="7"/>
  <c r="U11" i="7" s="1"/>
  <c r="C11" i="15"/>
  <c r="C17" i="7"/>
  <c r="U17" i="7" s="1"/>
  <c r="C17" i="15"/>
  <c r="C103" i="7"/>
  <c r="C103" i="15"/>
  <c r="C108" i="7"/>
  <c r="C108" i="15"/>
  <c r="C43" i="7"/>
  <c r="U43" i="7" s="1"/>
  <c r="C43" i="15"/>
  <c r="C48" i="7"/>
  <c r="U48" i="7" s="1"/>
  <c r="C48" i="15"/>
  <c r="C91" i="7"/>
  <c r="C91" i="15"/>
  <c r="C96" i="7"/>
  <c r="C96" i="15"/>
  <c r="C24" i="7"/>
  <c r="U24" i="7" s="1"/>
  <c r="C24" i="15"/>
  <c r="C67" i="7"/>
  <c r="C67" i="15"/>
  <c r="C72" i="7"/>
  <c r="C72" i="15"/>
  <c r="C79" i="7"/>
  <c r="C79" i="15"/>
  <c r="C84" i="7"/>
  <c r="C84" i="15"/>
  <c r="C31" i="7"/>
  <c r="U31" i="7" s="1"/>
  <c r="C31" i="15"/>
  <c r="C36" i="7"/>
  <c r="U36" i="7" s="1"/>
  <c r="C36" i="15"/>
  <c r="C115" i="7"/>
  <c r="C115" i="15"/>
  <c r="C120" i="7"/>
  <c r="C120" i="15"/>
  <c r="J58" i="3"/>
  <c r="K58" i="3" s="1"/>
  <c r="C34" i="25" s="1"/>
  <c r="J55" i="3"/>
  <c r="K55" i="3" s="1"/>
  <c r="C31" i="25" s="1"/>
  <c r="J61" i="3"/>
  <c r="K61" i="3" s="1"/>
  <c r="C37" i="25" s="1"/>
  <c r="J51" i="3"/>
  <c r="K51" i="3" s="1"/>
  <c r="C27" i="25" s="1"/>
  <c r="J54" i="3"/>
  <c r="K54" i="3" s="1"/>
  <c r="C30" i="25" s="1"/>
  <c r="J60" i="3"/>
  <c r="K60" i="3" s="1"/>
  <c r="C36" i="25" s="1"/>
  <c r="J56" i="3"/>
  <c r="K56" i="3" s="1"/>
  <c r="C32" i="25" s="1"/>
  <c r="J59" i="3"/>
  <c r="K59" i="3" s="1"/>
  <c r="C35" i="25" s="1"/>
  <c r="AT53" i="3"/>
  <c r="M64" i="3"/>
  <c r="N64" i="3" s="1"/>
  <c r="M70" i="3"/>
  <c r="N70" i="3" s="1"/>
  <c r="M69" i="3"/>
  <c r="N69" i="3" s="1"/>
  <c r="M40" i="3"/>
  <c r="N40" i="3" s="1"/>
  <c r="M46" i="3"/>
  <c r="N46" i="3" s="1"/>
  <c r="M45" i="3"/>
  <c r="N45" i="3" s="1"/>
  <c r="P47" i="3"/>
  <c r="Q47" i="3" s="1"/>
  <c r="P43" i="3"/>
  <c r="Q43" i="3" s="1"/>
  <c r="P42" i="3"/>
  <c r="Q42" i="3" s="1"/>
  <c r="P38" i="3"/>
  <c r="Q38" i="3" s="1"/>
  <c r="P41" i="3"/>
  <c r="Q41" i="3" s="1"/>
  <c r="P48" i="3"/>
  <c r="Q48" i="3" s="1"/>
  <c r="P59" i="3"/>
  <c r="Q59" i="3" s="1"/>
  <c r="P55" i="3"/>
  <c r="Q55" i="3" s="1"/>
  <c r="P51" i="3"/>
  <c r="Q51" i="3" s="1"/>
  <c r="P58" i="3"/>
  <c r="Q58" i="3" s="1"/>
  <c r="P54" i="3"/>
  <c r="Q54" i="3" s="1"/>
  <c r="P50" i="3"/>
  <c r="Q50" i="3" s="1"/>
  <c r="P61" i="3"/>
  <c r="Q61" i="3" s="1"/>
  <c r="P57" i="3"/>
  <c r="Q57" i="3" s="1"/>
  <c r="P53" i="3"/>
  <c r="Q53" i="3" s="1"/>
  <c r="P60" i="3"/>
  <c r="Q60" i="3" s="1"/>
  <c r="P56" i="3"/>
  <c r="Q56" i="3" s="1"/>
  <c r="P52" i="3"/>
  <c r="Q52" i="3" s="1"/>
  <c r="J2" i="3"/>
  <c r="K2" i="3" s="1"/>
  <c r="J13" i="3"/>
  <c r="K13" i="3" s="1"/>
  <c r="J9" i="3"/>
  <c r="K9" i="3" s="1"/>
  <c r="J5" i="3"/>
  <c r="K5" i="3" s="1"/>
  <c r="J12" i="3"/>
  <c r="K12" i="3" s="1"/>
  <c r="J8" i="3"/>
  <c r="K8" i="3" s="1"/>
  <c r="J4" i="3"/>
  <c r="K4" i="3" s="1"/>
  <c r="J11" i="3"/>
  <c r="K11" i="3" s="1"/>
  <c r="J7" i="3"/>
  <c r="K7" i="3" s="1"/>
  <c r="J3" i="3"/>
  <c r="K3" i="3" s="1"/>
  <c r="J10" i="3"/>
  <c r="K10" i="3" s="1"/>
  <c r="J6" i="3"/>
  <c r="K6" i="3" s="1"/>
  <c r="M116" i="3"/>
  <c r="N116" i="3" s="1"/>
  <c r="J94" i="3"/>
  <c r="K94" i="3" s="1"/>
  <c r="C70" i="25" s="1"/>
  <c r="J90" i="3"/>
  <c r="K90" i="3" s="1"/>
  <c r="C66" i="25" s="1"/>
  <c r="J86" i="3"/>
  <c r="K86" i="3" s="1"/>
  <c r="J97" i="3"/>
  <c r="K97" i="3" s="1"/>
  <c r="C73" i="25" s="1"/>
  <c r="J93" i="3"/>
  <c r="K93" i="3" s="1"/>
  <c r="C69" i="25" s="1"/>
  <c r="J89" i="3"/>
  <c r="K89" i="3" s="1"/>
  <c r="C65" i="25" s="1"/>
  <c r="J95" i="3"/>
  <c r="K95" i="3" s="1"/>
  <c r="C71" i="25" s="1"/>
  <c r="J87" i="3"/>
  <c r="K87" i="3" s="1"/>
  <c r="C63" i="25" s="1"/>
  <c r="J92" i="3"/>
  <c r="K92" i="3" s="1"/>
  <c r="C68" i="25" s="1"/>
  <c r="J91" i="3"/>
  <c r="K91" i="3" s="1"/>
  <c r="C67" i="25" s="1"/>
  <c r="J96" i="3"/>
  <c r="K96" i="3" s="1"/>
  <c r="C72" i="25" s="1"/>
  <c r="J88" i="3"/>
  <c r="K88" i="3" s="1"/>
  <c r="C64" i="25" s="1"/>
  <c r="G6" i="3"/>
  <c r="H6" i="3" s="1"/>
  <c r="G25" i="3"/>
  <c r="H25" i="3" s="1"/>
  <c r="M16" i="3"/>
  <c r="N16" i="3" s="1"/>
  <c r="M21" i="3"/>
  <c r="N21" i="3" s="1"/>
  <c r="G108" i="3"/>
  <c r="H108" i="3" s="1"/>
  <c r="G103" i="3"/>
  <c r="H103" i="3" s="1"/>
  <c r="G98" i="3"/>
  <c r="J25" i="3"/>
  <c r="K25" i="3" s="1"/>
  <c r="J21" i="3"/>
  <c r="K21" i="3" s="1"/>
  <c r="J17" i="3"/>
  <c r="K17" i="3" s="1"/>
  <c r="J24" i="3"/>
  <c r="K24" i="3" s="1"/>
  <c r="J20" i="3"/>
  <c r="K20" i="3" s="1"/>
  <c r="J16" i="3"/>
  <c r="K16" i="3" s="1"/>
  <c r="J23" i="3"/>
  <c r="K23" i="3" s="1"/>
  <c r="J19" i="3"/>
  <c r="K19" i="3" s="1"/>
  <c r="J15" i="3"/>
  <c r="K15" i="3" s="1"/>
  <c r="J22" i="3"/>
  <c r="K22" i="3" s="1"/>
  <c r="J18" i="3"/>
  <c r="K18" i="3" s="1"/>
  <c r="J14" i="3"/>
  <c r="K14" i="3" s="1"/>
  <c r="P35" i="3"/>
  <c r="Q35" i="3" s="1"/>
  <c r="P34" i="3"/>
  <c r="Q34" i="3" s="1"/>
  <c r="P37" i="3"/>
  <c r="Q37" i="3" s="1"/>
  <c r="P33" i="3"/>
  <c r="Q33" i="3" s="1"/>
  <c r="P32" i="3"/>
  <c r="Q32" i="3" s="1"/>
  <c r="P28" i="3"/>
  <c r="Q28" i="3" s="1"/>
  <c r="P31" i="3"/>
  <c r="Q31" i="3" s="1"/>
  <c r="P27" i="3"/>
  <c r="Q27" i="3" s="1"/>
  <c r="P30" i="3"/>
  <c r="Q30" i="3" s="1"/>
  <c r="P26" i="3"/>
  <c r="Q26" i="3" s="1"/>
  <c r="P36" i="3"/>
  <c r="Q36" i="3" s="1"/>
  <c r="P29" i="3"/>
  <c r="Q29" i="3" s="1"/>
  <c r="J73" i="3"/>
  <c r="K73" i="3" s="1"/>
  <c r="C49" i="25" s="1"/>
  <c r="J69" i="3"/>
  <c r="K69" i="3" s="1"/>
  <c r="C45" i="25" s="1"/>
  <c r="J65" i="3"/>
  <c r="K65" i="3" s="1"/>
  <c r="C41" i="25" s="1"/>
  <c r="J71" i="3"/>
  <c r="K71" i="3" s="1"/>
  <c r="C47" i="25" s="1"/>
  <c r="J66" i="3"/>
  <c r="K66" i="3" s="1"/>
  <c r="C42" i="25" s="1"/>
  <c r="J70" i="3"/>
  <c r="K70" i="3" s="1"/>
  <c r="C46" i="25" s="1"/>
  <c r="J64" i="3"/>
  <c r="K64" i="3" s="1"/>
  <c r="C40" i="25" s="1"/>
  <c r="J68" i="3"/>
  <c r="K68" i="3" s="1"/>
  <c r="C44" i="25" s="1"/>
  <c r="J63" i="3"/>
  <c r="K63" i="3" s="1"/>
  <c r="C39" i="25" s="1"/>
  <c r="J72" i="3"/>
  <c r="K72" i="3" s="1"/>
  <c r="C48" i="25" s="1"/>
  <c r="J67" i="3"/>
  <c r="K67" i="3" s="1"/>
  <c r="C43" i="25" s="1"/>
  <c r="J62" i="3"/>
  <c r="K62" i="3" s="1"/>
  <c r="J82" i="3"/>
  <c r="K82" i="3" s="1"/>
  <c r="C58" i="25" s="1"/>
  <c r="J78" i="3"/>
  <c r="K78" i="3" s="1"/>
  <c r="C54" i="25" s="1"/>
  <c r="J74" i="3"/>
  <c r="K74" i="3" s="1"/>
  <c r="J85" i="3"/>
  <c r="K85" i="3" s="1"/>
  <c r="C61" i="25" s="1"/>
  <c r="J81" i="3"/>
  <c r="K81" i="3" s="1"/>
  <c r="C57" i="25" s="1"/>
  <c r="U57" i="25" s="1"/>
  <c r="J77" i="3"/>
  <c r="K77" i="3" s="1"/>
  <c r="C53" i="25" s="1"/>
  <c r="U53" i="25" s="1"/>
  <c r="J79" i="3"/>
  <c r="K79" i="3" s="1"/>
  <c r="C55" i="25" s="1"/>
  <c r="J84" i="3"/>
  <c r="K84" i="3" s="1"/>
  <c r="C60" i="25" s="1"/>
  <c r="J76" i="3"/>
  <c r="K76" i="3" s="1"/>
  <c r="C52" i="25" s="1"/>
  <c r="U52" i="25" s="1"/>
  <c r="J83" i="3"/>
  <c r="K83" i="3" s="1"/>
  <c r="C59" i="25" s="1"/>
  <c r="J75" i="3"/>
  <c r="K75" i="3" s="1"/>
  <c r="C51" i="25" s="1"/>
  <c r="J80" i="3"/>
  <c r="K80" i="3" s="1"/>
  <c r="C56" i="25" s="1"/>
  <c r="G29" i="3"/>
  <c r="H29" i="3" s="1"/>
  <c r="G85" i="3"/>
  <c r="H85" i="3" s="1"/>
  <c r="J49" i="3"/>
  <c r="K49" i="3" s="1"/>
  <c r="C25" i="25" s="1"/>
  <c r="J45" i="3"/>
  <c r="K45" i="3" s="1"/>
  <c r="C21" i="25" s="1"/>
  <c r="J41" i="3"/>
  <c r="K41" i="3" s="1"/>
  <c r="C17" i="25" s="1"/>
  <c r="J48" i="3"/>
  <c r="K48" i="3" s="1"/>
  <c r="C24" i="25" s="1"/>
  <c r="J44" i="3"/>
  <c r="K44" i="3" s="1"/>
  <c r="C20" i="25" s="1"/>
  <c r="J40" i="3"/>
  <c r="K40" i="3" s="1"/>
  <c r="C16" i="25" s="1"/>
  <c r="J47" i="3"/>
  <c r="K47" i="3" s="1"/>
  <c r="C23" i="25" s="1"/>
  <c r="J43" i="3"/>
  <c r="K43" i="3" s="1"/>
  <c r="C19" i="25" s="1"/>
  <c r="J39" i="3"/>
  <c r="K39" i="3" s="1"/>
  <c r="C15" i="25" s="1"/>
  <c r="J46" i="3"/>
  <c r="K46" i="3" s="1"/>
  <c r="C22" i="25" s="1"/>
  <c r="J42" i="3"/>
  <c r="K42" i="3" s="1"/>
  <c r="C18" i="25" s="1"/>
  <c r="J38" i="3"/>
  <c r="K38" i="3" s="1"/>
  <c r="M60" i="3"/>
  <c r="N60" i="3" s="1"/>
  <c r="M55" i="3"/>
  <c r="N55" i="3" s="1"/>
  <c r="M50" i="3"/>
  <c r="N50" i="3" s="1"/>
  <c r="G116" i="3"/>
  <c r="H116" i="3" s="1"/>
  <c r="G121" i="3"/>
  <c r="H121" i="3" s="1"/>
  <c r="G59" i="3"/>
  <c r="H59" i="3" s="1"/>
  <c r="G54" i="3"/>
  <c r="H54" i="3" s="1"/>
  <c r="G53" i="3"/>
  <c r="H53" i="3" s="1"/>
  <c r="M3" i="3"/>
  <c r="N3" i="3" s="1"/>
  <c r="P95" i="3"/>
  <c r="Q95" i="3" s="1"/>
  <c r="P91" i="3"/>
  <c r="Q91" i="3" s="1"/>
  <c r="P87" i="3"/>
  <c r="Q87" i="3" s="1"/>
  <c r="P94" i="3"/>
  <c r="Q94" i="3" s="1"/>
  <c r="P90" i="3"/>
  <c r="Q90" i="3" s="1"/>
  <c r="P86" i="3"/>
  <c r="Q86" i="3" s="1"/>
  <c r="P97" i="3"/>
  <c r="Q97" i="3" s="1"/>
  <c r="P93" i="3"/>
  <c r="Q93" i="3" s="1"/>
  <c r="P89" i="3"/>
  <c r="Q89" i="3" s="1"/>
  <c r="P96" i="3"/>
  <c r="Q96" i="3" s="1"/>
  <c r="P92" i="3"/>
  <c r="Q92" i="3" s="1"/>
  <c r="P88" i="3"/>
  <c r="Q88" i="3" s="1"/>
  <c r="J118" i="3"/>
  <c r="K118" i="3" s="1"/>
  <c r="C94" i="25" s="1"/>
  <c r="J114" i="3"/>
  <c r="K114" i="3" s="1"/>
  <c r="C90" i="25" s="1"/>
  <c r="J110" i="3"/>
  <c r="K110" i="3" s="1"/>
  <c r="J121" i="3"/>
  <c r="K121" i="3" s="1"/>
  <c r="C97" i="25" s="1"/>
  <c r="J117" i="3"/>
  <c r="K117" i="3" s="1"/>
  <c r="C93" i="25" s="1"/>
  <c r="J113" i="3"/>
  <c r="K113" i="3" s="1"/>
  <c r="C89" i="25" s="1"/>
  <c r="J119" i="3"/>
  <c r="K119" i="3" s="1"/>
  <c r="C95" i="25" s="1"/>
  <c r="J111" i="3"/>
  <c r="K111" i="3" s="1"/>
  <c r="C87" i="25" s="1"/>
  <c r="J116" i="3"/>
  <c r="K116" i="3" s="1"/>
  <c r="C92" i="25" s="1"/>
  <c r="J115" i="3"/>
  <c r="K115" i="3" s="1"/>
  <c r="C91" i="25" s="1"/>
  <c r="J120" i="3"/>
  <c r="K120" i="3" s="1"/>
  <c r="C96" i="25" s="1"/>
  <c r="J112" i="3"/>
  <c r="K112" i="3" s="1"/>
  <c r="C88" i="25" s="1"/>
  <c r="P83" i="3"/>
  <c r="Q83" i="3" s="1"/>
  <c r="P79" i="3"/>
  <c r="Q79" i="3" s="1"/>
  <c r="P75" i="3"/>
  <c r="Q75" i="3" s="1"/>
  <c r="P82" i="3"/>
  <c r="Q82" i="3" s="1"/>
  <c r="P78" i="3"/>
  <c r="Q78" i="3" s="1"/>
  <c r="P74" i="3"/>
  <c r="Q74" i="3" s="1"/>
  <c r="P85" i="3"/>
  <c r="Q85" i="3" s="1"/>
  <c r="P81" i="3"/>
  <c r="Q81" i="3" s="1"/>
  <c r="P77" i="3"/>
  <c r="Q77" i="3" s="1"/>
  <c r="P84" i="3"/>
  <c r="Q84" i="3" s="1"/>
  <c r="P80" i="3"/>
  <c r="Q80" i="3" s="1"/>
  <c r="P76" i="3"/>
  <c r="Q76" i="3" s="1"/>
  <c r="J37" i="3"/>
  <c r="K37" i="3" s="1"/>
  <c r="C13" i="25" s="1"/>
  <c r="J33" i="3"/>
  <c r="K33" i="3" s="1"/>
  <c r="C9" i="25" s="1"/>
  <c r="J29" i="3"/>
  <c r="K29" i="3" s="1"/>
  <c r="C5" i="25" s="1"/>
  <c r="J36" i="3"/>
  <c r="K36" i="3" s="1"/>
  <c r="C12" i="25" s="1"/>
  <c r="J32" i="3"/>
  <c r="K32" i="3" s="1"/>
  <c r="C8" i="25" s="1"/>
  <c r="J28" i="3"/>
  <c r="K28" i="3" s="1"/>
  <c r="C4" i="25" s="1"/>
  <c r="J35" i="3"/>
  <c r="K35" i="3" s="1"/>
  <c r="C11" i="25" s="1"/>
  <c r="J31" i="3"/>
  <c r="K31" i="3" s="1"/>
  <c r="C7" i="25" s="1"/>
  <c r="J27" i="3"/>
  <c r="K27" i="3" s="1"/>
  <c r="C3" i="25" s="1"/>
  <c r="J34" i="3"/>
  <c r="K34" i="3" s="1"/>
  <c r="C10" i="25" s="1"/>
  <c r="J30" i="3"/>
  <c r="K30" i="3" s="1"/>
  <c r="C6" i="25" s="1"/>
  <c r="J26" i="3"/>
  <c r="K26" i="3" s="1"/>
  <c r="M95" i="3"/>
  <c r="N95" i="3" s="1"/>
  <c r="M90" i="3"/>
  <c r="N90" i="3" s="1"/>
  <c r="M79" i="3"/>
  <c r="N79" i="3" s="1"/>
  <c r="G47" i="3"/>
  <c r="H47" i="3" s="1"/>
  <c r="G42" i="3"/>
  <c r="H42" i="3" s="1"/>
  <c r="G49" i="3"/>
  <c r="H49" i="3" s="1"/>
  <c r="M32" i="3"/>
  <c r="N32" i="3" s="1"/>
  <c r="M108" i="3"/>
  <c r="N108" i="3" s="1"/>
  <c r="M104" i="3"/>
  <c r="N104" i="3" s="1"/>
  <c r="M100" i="3"/>
  <c r="N100" i="3" s="1"/>
  <c r="M107" i="3"/>
  <c r="N107" i="3" s="1"/>
  <c r="M103" i="3"/>
  <c r="N103" i="3" s="1"/>
  <c r="M99" i="3"/>
  <c r="N99" i="3" s="1"/>
  <c r="M106" i="3"/>
  <c r="N106" i="3" s="1"/>
  <c r="M102" i="3"/>
  <c r="N102" i="3" s="1"/>
  <c r="M98" i="3"/>
  <c r="N98" i="3" s="1"/>
  <c r="M109" i="3"/>
  <c r="N109" i="3" s="1"/>
  <c r="M105" i="3"/>
  <c r="N105" i="3" s="1"/>
  <c r="M101" i="3"/>
  <c r="N101" i="3" s="1"/>
  <c r="P4" i="3"/>
  <c r="Q4" i="3" s="1"/>
  <c r="P11" i="3"/>
  <c r="Q11" i="3" s="1"/>
  <c r="P10" i="3"/>
  <c r="Q10" i="3" s="1"/>
  <c r="P6" i="3"/>
  <c r="Q6" i="3" s="1"/>
  <c r="P9" i="3"/>
  <c r="Q9" i="3" s="1"/>
  <c r="P5" i="3"/>
  <c r="Q5" i="3" s="1"/>
  <c r="J106" i="3"/>
  <c r="K106" i="3" s="1"/>
  <c r="C82" i="25" s="1"/>
  <c r="J102" i="3"/>
  <c r="K102" i="3" s="1"/>
  <c r="C78" i="25" s="1"/>
  <c r="J98" i="3"/>
  <c r="K98" i="3" s="1"/>
  <c r="J109" i="3"/>
  <c r="K109" i="3" s="1"/>
  <c r="C85" i="25" s="1"/>
  <c r="J105" i="3"/>
  <c r="K105" i="3" s="1"/>
  <c r="C81" i="25" s="1"/>
  <c r="J101" i="3"/>
  <c r="K101" i="3" s="1"/>
  <c r="C77" i="25" s="1"/>
  <c r="J103" i="3"/>
  <c r="K103" i="3" s="1"/>
  <c r="C79" i="25" s="1"/>
  <c r="J108" i="3"/>
  <c r="K108" i="3" s="1"/>
  <c r="C84" i="25" s="1"/>
  <c r="J100" i="3"/>
  <c r="K100" i="3" s="1"/>
  <c r="C76" i="25" s="1"/>
  <c r="J107" i="3"/>
  <c r="K107" i="3" s="1"/>
  <c r="C83" i="25" s="1"/>
  <c r="J99" i="3"/>
  <c r="K99" i="3" s="1"/>
  <c r="C75" i="25" s="1"/>
  <c r="J104" i="3"/>
  <c r="K104" i="3" s="1"/>
  <c r="C80" i="25" s="1"/>
  <c r="P119" i="3"/>
  <c r="Q119" i="3" s="1"/>
  <c r="P115" i="3"/>
  <c r="Q115" i="3" s="1"/>
  <c r="P111" i="3"/>
  <c r="Q111" i="3" s="1"/>
  <c r="P118" i="3"/>
  <c r="Q118" i="3" s="1"/>
  <c r="P114" i="3"/>
  <c r="Q114" i="3" s="1"/>
  <c r="P110" i="3"/>
  <c r="Q110" i="3" s="1"/>
  <c r="P121" i="3"/>
  <c r="Q121" i="3" s="1"/>
  <c r="P117" i="3"/>
  <c r="Q117" i="3" s="1"/>
  <c r="P113" i="3"/>
  <c r="Q113" i="3" s="1"/>
  <c r="P120" i="3"/>
  <c r="Q120" i="3" s="1"/>
  <c r="P116" i="3"/>
  <c r="Q116" i="3" s="1"/>
  <c r="P112" i="3"/>
  <c r="Q112" i="3" s="1"/>
  <c r="P20" i="3"/>
  <c r="Q20" i="3" s="1"/>
  <c r="P23" i="3"/>
  <c r="Q23" i="3" s="1"/>
  <c r="P15" i="3"/>
  <c r="Q15" i="3" s="1"/>
  <c r="P18" i="3"/>
  <c r="Q18" i="3" s="1"/>
  <c r="P25" i="3"/>
  <c r="Q25" i="3" s="1"/>
  <c r="P17" i="3"/>
  <c r="Q17" i="3" s="1"/>
  <c r="H60" i="23" l="1"/>
  <c r="H61" i="23" s="1"/>
  <c r="H63" i="23" s="1"/>
  <c r="P14" i="3"/>
  <c r="Q14" i="3" s="1"/>
  <c r="P19" i="3"/>
  <c r="Q19" i="3" s="1"/>
  <c r="P24" i="3"/>
  <c r="Q24" i="3" s="1"/>
  <c r="G73" i="3"/>
  <c r="H73" i="3" s="1"/>
  <c r="C73" i="16" s="1"/>
  <c r="G27" i="3"/>
  <c r="H27" i="3" s="1"/>
  <c r="G22" i="3"/>
  <c r="H22" i="3" s="1"/>
  <c r="C22" i="16" s="1"/>
  <c r="G11" i="3"/>
  <c r="H11" i="3" s="1"/>
  <c r="C11" i="9" s="1"/>
  <c r="AA11" i="9" s="1"/>
  <c r="M49" i="3"/>
  <c r="N49" i="3" s="1"/>
  <c r="M39" i="3"/>
  <c r="N39" i="3" s="1"/>
  <c r="M44" i="3"/>
  <c r="N44" i="3" s="1"/>
  <c r="M73" i="3"/>
  <c r="N73" i="3" s="1"/>
  <c r="M63" i="3"/>
  <c r="N63" i="3" s="1"/>
  <c r="M68" i="3"/>
  <c r="N68" i="3" s="1"/>
  <c r="P104" i="3"/>
  <c r="Q104" i="3" s="1"/>
  <c r="P103" i="3"/>
  <c r="Q103" i="3" s="1"/>
  <c r="P106" i="3"/>
  <c r="Q106" i="3" s="1"/>
  <c r="G20" i="3"/>
  <c r="H20" i="3" s="1"/>
  <c r="M43" i="3"/>
  <c r="N43" i="3" s="1"/>
  <c r="M67" i="3"/>
  <c r="N67" i="3" s="1"/>
  <c r="P107" i="3"/>
  <c r="Q107" i="3" s="1"/>
  <c r="P98" i="3"/>
  <c r="Q98" i="3" s="1"/>
  <c r="P105" i="3"/>
  <c r="Q105" i="3" s="1"/>
  <c r="AQ13" i="20"/>
  <c r="G63" i="3"/>
  <c r="H63" i="3" s="1"/>
  <c r="C63" i="9" s="1"/>
  <c r="G32" i="3"/>
  <c r="H32" i="3" s="1"/>
  <c r="M121" i="3"/>
  <c r="N121" i="3" s="1"/>
  <c r="M38" i="3"/>
  <c r="N38" i="3" s="1"/>
  <c r="M48" i="3"/>
  <c r="N48" i="3" s="1"/>
  <c r="M62" i="3"/>
  <c r="N62" i="3" s="1"/>
  <c r="M72" i="3"/>
  <c r="N72" i="3" s="1"/>
  <c r="P21" i="3"/>
  <c r="Q21" i="3" s="1"/>
  <c r="P22" i="3"/>
  <c r="Q22" i="3" s="1"/>
  <c r="P16" i="3"/>
  <c r="Q16" i="3" s="1"/>
  <c r="G68" i="3"/>
  <c r="H68" i="3" s="1"/>
  <c r="C68" i="9" s="1"/>
  <c r="G12" i="3"/>
  <c r="H12" i="3" s="1"/>
  <c r="C12" i="16" s="1"/>
  <c r="M111" i="3"/>
  <c r="N111" i="3" s="1"/>
  <c r="M41" i="3"/>
  <c r="N41" i="3" s="1"/>
  <c r="M42" i="3"/>
  <c r="N42" i="3" s="1"/>
  <c r="M47" i="3"/>
  <c r="N47" i="3" s="1"/>
  <c r="M65" i="3"/>
  <c r="N65" i="3" s="1"/>
  <c r="M66" i="3"/>
  <c r="N66" i="3" s="1"/>
  <c r="M71" i="3"/>
  <c r="N71" i="3" s="1"/>
  <c r="P102" i="3"/>
  <c r="Q102" i="3" s="1"/>
  <c r="P108" i="3"/>
  <c r="Q108" i="3" s="1"/>
  <c r="C12" i="22"/>
  <c r="P13" i="3"/>
  <c r="Q13" i="3" s="1"/>
  <c r="P8" i="3"/>
  <c r="Q8" i="3" s="1"/>
  <c r="G46" i="3"/>
  <c r="H46" i="3" s="1"/>
  <c r="C46" i="16" s="1"/>
  <c r="G57" i="3"/>
  <c r="H57" i="3" s="1"/>
  <c r="C57" i="9" s="1"/>
  <c r="G52" i="3"/>
  <c r="H52" i="3" s="1"/>
  <c r="C52" i="16" s="1"/>
  <c r="M53" i="3"/>
  <c r="N53" i="3" s="1"/>
  <c r="M59" i="3"/>
  <c r="N59" i="3" s="1"/>
  <c r="G107" i="3"/>
  <c r="H107" i="3" s="1"/>
  <c r="C107" i="9" s="1"/>
  <c r="P3" i="3"/>
  <c r="Q3" i="3" s="1"/>
  <c r="G41" i="3"/>
  <c r="H41" i="3" s="1"/>
  <c r="C41" i="16" s="1"/>
  <c r="G40" i="3"/>
  <c r="H40" i="3" s="1"/>
  <c r="C40" i="9" s="1"/>
  <c r="AA40" i="9" s="1"/>
  <c r="G58" i="3"/>
  <c r="H58" i="3" s="1"/>
  <c r="C58" i="9" s="1"/>
  <c r="M54" i="3"/>
  <c r="N54" i="3" s="1"/>
  <c r="G101" i="3"/>
  <c r="H101" i="3" s="1"/>
  <c r="C101" i="9" s="1"/>
  <c r="G102" i="3"/>
  <c r="H102" i="3" s="1"/>
  <c r="C102" i="16" s="1"/>
  <c r="P2" i="3"/>
  <c r="Q2" i="3" s="1"/>
  <c r="P7" i="3"/>
  <c r="Q7" i="3" s="1"/>
  <c r="P12" i="3"/>
  <c r="Q12" i="3" s="1"/>
  <c r="G45" i="3"/>
  <c r="H45" i="3" s="1"/>
  <c r="C45" i="9" s="1"/>
  <c r="AA45" i="9" s="1"/>
  <c r="G39" i="3"/>
  <c r="H39" i="3" s="1"/>
  <c r="C39" i="9" s="1"/>
  <c r="AA39" i="9" s="1"/>
  <c r="G44" i="3"/>
  <c r="H44" i="3" s="1"/>
  <c r="C44" i="9" s="1"/>
  <c r="AA44" i="9" s="1"/>
  <c r="G61" i="3"/>
  <c r="H61" i="3" s="1"/>
  <c r="C61" i="9" s="1"/>
  <c r="G51" i="3"/>
  <c r="H51" i="3" s="1"/>
  <c r="C51" i="16" s="1"/>
  <c r="G56" i="3"/>
  <c r="H56" i="3" s="1"/>
  <c r="C56" i="9" s="1"/>
  <c r="M57" i="3"/>
  <c r="N57" i="3" s="1"/>
  <c r="M58" i="3"/>
  <c r="N58" i="3" s="1"/>
  <c r="M52" i="3"/>
  <c r="N52" i="3" s="1"/>
  <c r="G105" i="3"/>
  <c r="H105" i="3" s="1"/>
  <c r="C105" i="9" s="1"/>
  <c r="G106" i="3"/>
  <c r="H106" i="3" s="1"/>
  <c r="C106" i="9" s="1"/>
  <c r="G100" i="3"/>
  <c r="H100" i="3" s="1"/>
  <c r="C100" i="9" s="1"/>
  <c r="G38" i="3"/>
  <c r="H38" i="3" s="1"/>
  <c r="C38" i="9" s="1"/>
  <c r="AA38" i="9" s="1"/>
  <c r="G43" i="3"/>
  <c r="H43" i="3" s="1"/>
  <c r="C43" i="9" s="1"/>
  <c r="AA43" i="9" s="1"/>
  <c r="G50" i="3"/>
  <c r="H50" i="3" s="1"/>
  <c r="C50" i="9" s="1"/>
  <c r="AA50" i="9" s="1"/>
  <c r="G55" i="3"/>
  <c r="H55" i="3" s="1"/>
  <c r="C55" i="16" s="1"/>
  <c r="M61" i="3"/>
  <c r="N61" i="3" s="1"/>
  <c r="M51" i="3"/>
  <c r="N51" i="3" s="1"/>
  <c r="M56" i="3"/>
  <c r="N56" i="3" s="1"/>
  <c r="G109" i="3"/>
  <c r="H109" i="3" s="1"/>
  <c r="C109" i="16" s="1"/>
  <c r="G99" i="3"/>
  <c r="H99" i="3" s="1"/>
  <c r="C99" i="9" s="1"/>
  <c r="M7" i="3"/>
  <c r="N7" i="3" s="1"/>
  <c r="G110" i="3"/>
  <c r="H110" i="3" s="1"/>
  <c r="C110" i="9" s="1"/>
  <c r="G120" i="3"/>
  <c r="H120" i="3" s="1"/>
  <c r="C120" i="9" s="1"/>
  <c r="E15" i="22"/>
  <c r="J13" i="22" s="1"/>
  <c r="M84" i="3"/>
  <c r="N84" i="3" s="1"/>
  <c r="M9" i="3"/>
  <c r="N9" i="3" s="1"/>
  <c r="M8" i="3"/>
  <c r="N8" i="3" s="1"/>
  <c r="G111" i="3"/>
  <c r="H111" i="3" s="1"/>
  <c r="C111" i="9" s="1"/>
  <c r="G82" i="3"/>
  <c r="H82" i="3" s="1"/>
  <c r="C82" i="16" s="1"/>
  <c r="M22" i="3"/>
  <c r="N22" i="3" s="1"/>
  <c r="P40" i="3"/>
  <c r="Q40" i="3" s="1"/>
  <c r="P45" i="3"/>
  <c r="Q45" i="3" s="1"/>
  <c r="P46" i="3"/>
  <c r="Q46" i="3" s="1"/>
  <c r="G97" i="3"/>
  <c r="H97" i="3" s="1"/>
  <c r="C97" i="16" s="1"/>
  <c r="M85" i="3"/>
  <c r="N85" i="3" s="1"/>
  <c r="M80" i="3"/>
  <c r="N80" i="3" s="1"/>
  <c r="M18" i="3"/>
  <c r="N18" i="3" s="1"/>
  <c r="M37" i="3"/>
  <c r="N37" i="3" s="1"/>
  <c r="M74" i="3"/>
  <c r="N74" i="3" s="1"/>
  <c r="M27" i="3"/>
  <c r="N27" i="3" s="1"/>
  <c r="M75" i="3"/>
  <c r="N75" i="3" s="1"/>
  <c r="M89" i="3"/>
  <c r="N89" i="3" s="1"/>
  <c r="M13" i="3"/>
  <c r="N13" i="3" s="1"/>
  <c r="M12" i="3"/>
  <c r="N12" i="3" s="1"/>
  <c r="G115" i="3"/>
  <c r="H115" i="3" s="1"/>
  <c r="C115" i="9" s="1"/>
  <c r="G76" i="3"/>
  <c r="H76" i="3" s="1"/>
  <c r="C76" i="9" s="1"/>
  <c r="M17" i="3"/>
  <c r="N17" i="3" s="1"/>
  <c r="M23" i="3"/>
  <c r="N23" i="3" s="1"/>
  <c r="P44" i="3"/>
  <c r="Q44" i="3" s="1"/>
  <c r="P49" i="3"/>
  <c r="Q49" i="3" s="1"/>
  <c r="P39" i="3"/>
  <c r="Q39" i="3" s="1"/>
  <c r="M26" i="3"/>
  <c r="N26" i="3" s="1"/>
  <c r="M36" i="3"/>
  <c r="N36" i="3" s="1"/>
  <c r="M94" i="3"/>
  <c r="N94" i="3" s="1"/>
  <c r="G75" i="3"/>
  <c r="H75" i="3" s="1"/>
  <c r="C75" i="16" s="1"/>
  <c r="M31" i="3"/>
  <c r="N31" i="3" s="1"/>
  <c r="M93" i="3"/>
  <c r="N93" i="3" s="1"/>
  <c r="M88" i="3"/>
  <c r="N88" i="3" s="1"/>
  <c r="G77" i="3"/>
  <c r="H77" i="3" s="1"/>
  <c r="C77" i="16" s="1"/>
  <c r="G80" i="3"/>
  <c r="H80" i="3" s="1"/>
  <c r="C80" i="9" s="1"/>
  <c r="M29" i="3"/>
  <c r="N29" i="3" s="1"/>
  <c r="M30" i="3"/>
  <c r="N30" i="3" s="1"/>
  <c r="M35" i="3"/>
  <c r="N35" i="3" s="1"/>
  <c r="M97" i="3"/>
  <c r="N97" i="3" s="1"/>
  <c r="M87" i="3"/>
  <c r="N87" i="3" s="1"/>
  <c r="M92" i="3"/>
  <c r="N92" i="3" s="1"/>
  <c r="G74" i="3"/>
  <c r="H74" i="3" s="1"/>
  <c r="C74" i="16" s="1"/>
  <c r="G79" i="3"/>
  <c r="H79" i="3" s="1"/>
  <c r="C79" i="16" s="1"/>
  <c r="G84" i="3"/>
  <c r="H84" i="3" s="1"/>
  <c r="C84" i="16" s="1"/>
  <c r="M33" i="3"/>
  <c r="N33" i="3" s="1"/>
  <c r="M34" i="3"/>
  <c r="N34" i="3" s="1"/>
  <c r="M28" i="3"/>
  <c r="N28" i="3" s="1"/>
  <c r="M86" i="3"/>
  <c r="N86" i="3" s="1"/>
  <c r="M91" i="3"/>
  <c r="N91" i="3" s="1"/>
  <c r="M96" i="3"/>
  <c r="N96" i="3" s="1"/>
  <c r="G81" i="3"/>
  <c r="H81" i="3" s="1"/>
  <c r="C81" i="16" s="1"/>
  <c r="G78" i="3"/>
  <c r="H78" i="3" s="1"/>
  <c r="C78" i="9" s="1"/>
  <c r="M77" i="3"/>
  <c r="N77" i="3" s="1"/>
  <c r="M78" i="3"/>
  <c r="N78" i="3" s="1"/>
  <c r="M83" i="3"/>
  <c r="N83" i="3" s="1"/>
  <c r="M2" i="3"/>
  <c r="N2" i="3" s="1"/>
  <c r="I5" i="21" s="1"/>
  <c r="M6" i="3"/>
  <c r="N6" i="3" s="1"/>
  <c r="M11" i="3"/>
  <c r="N11" i="3" s="1"/>
  <c r="G113" i="3"/>
  <c r="H113" i="3" s="1"/>
  <c r="C113" i="16" s="1"/>
  <c r="G114" i="3"/>
  <c r="H114" i="3" s="1"/>
  <c r="C114" i="9" s="1"/>
  <c r="G119" i="3"/>
  <c r="H119" i="3" s="1"/>
  <c r="C119" i="9" s="1"/>
  <c r="M25" i="3"/>
  <c r="N25" i="3" s="1"/>
  <c r="M15" i="3"/>
  <c r="N15" i="3" s="1"/>
  <c r="M20" i="3"/>
  <c r="N20" i="3" s="1"/>
  <c r="G90" i="3"/>
  <c r="H90" i="3" s="1"/>
  <c r="C90" i="9" s="1"/>
  <c r="M81" i="3"/>
  <c r="N81" i="3" s="1"/>
  <c r="M82" i="3"/>
  <c r="N82" i="3" s="1"/>
  <c r="M76" i="3"/>
  <c r="N76" i="3" s="1"/>
  <c r="M5" i="3"/>
  <c r="N5" i="3" s="1"/>
  <c r="M10" i="3"/>
  <c r="N10" i="3" s="1"/>
  <c r="M4" i="3"/>
  <c r="N4" i="3" s="1"/>
  <c r="G117" i="3"/>
  <c r="H117" i="3" s="1"/>
  <c r="C117" i="9" s="1"/>
  <c r="G118" i="3"/>
  <c r="H118" i="3" s="1"/>
  <c r="C118" i="9" s="1"/>
  <c r="M14" i="3"/>
  <c r="N14" i="3" s="1"/>
  <c r="M19" i="3"/>
  <c r="N19" i="3" s="1"/>
  <c r="M24" i="3"/>
  <c r="N24" i="3" s="1"/>
  <c r="G95" i="3"/>
  <c r="H95" i="3" s="1"/>
  <c r="C95" i="9" s="1"/>
  <c r="E9" i="20"/>
  <c r="G62" i="3"/>
  <c r="H62" i="3" s="1"/>
  <c r="C62" i="9" s="1"/>
  <c r="G67" i="3"/>
  <c r="H67" i="3" s="1"/>
  <c r="C67" i="9" s="1"/>
  <c r="G72" i="3"/>
  <c r="H72" i="3" s="1"/>
  <c r="C72" i="9" s="1"/>
  <c r="G26" i="3"/>
  <c r="H26" i="3" s="1"/>
  <c r="C26" i="9" s="1"/>
  <c r="AA26" i="9" s="1"/>
  <c r="G31" i="3"/>
  <c r="H31" i="3" s="1"/>
  <c r="C31" i="16" s="1"/>
  <c r="G36" i="3"/>
  <c r="H36" i="3" s="1"/>
  <c r="C36" i="9" s="1"/>
  <c r="AA36" i="9" s="1"/>
  <c r="G16" i="3"/>
  <c r="H16" i="3" s="1"/>
  <c r="C16" i="9" s="1"/>
  <c r="AA16" i="9" s="1"/>
  <c r="G15" i="3"/>
  <c r="H15" i="3" s="1"/>
  <c r="C15" i="16" s="1"/>
  <c r="G24" i="3"/>
  <c r="H24" i="3" s="1"/>
  <c r="C24" i="16" s="1"/>
  <c r="G5" i="3"/>
  <c r="H5" i="3" s="1"/>
  <c r="C5" i="9" s="1"/>
  <c r="AA5" i="9" s="1"/>
  <c r="G10" i="3"/>
  <c r="H10" i="3" s="1"/>
  <c r="C10" i="9" s="1"/>
  <c r="AA10" i="9" s="1"/>
  <c r="G2" i="3"/>
  <c r="H2" i="3" s="1"/>
  <c r="M110" i="3"/>
  <c r="N110" i="3" s="1"/>
  <c r="M115" i="3"/>
  <c r="N115" i="3" s="1"/>
  <c r="M120" i="3"/>
  <c r="N120" i="3" s="1"/>
  <c r="G65" i="3"/>
  <c r="H65" i="3" s="1"/>
  <c r="C65" i="9" s="1"/>
  <c r="G66" i="3"/>
  <c r="H66" i="3" s="1"/>
  <c r="C66" i="16" s="1"/>
  <c r="G71" i="3"/>
  <c r="H71" i="3" s="1"/>
  <c r="C71" i="9" s="1"/>
  <c r="G33" i="3"/>
  <c r="H33" i="3" s="1"/>
  <c r="C33" i="9" s="1"/>
  <c r="AA33" i="9" s="1"/>
  <c r="G30" i="3"/>
  <c r="H30" i="3" s="1"/>
  <c r="C30" i="16" s="1"/>
  <c r="G35" i="3"/>
  <c r="H35" i="3" s="1"/>
  <c r="C35" i="16" s="1"/>
  <c r="G17" i="3"/>
  <c r="H17" i="3" s="1"/>
  <c r="C17" i="9" s="1"/>
  <c r="AA17" i="9" s="1"/>
  <c r="G14" i="3"/>
  <c r="H14" i="3" s="1"/>
  <c r="C14" i="9" s="1"/>
  <c r="AA14" i="9" s="1"/>
  <c r="G19" i="3"/>
  <c r="H19" i="3" s="1"/>
  <c r="C19" i="9" s="1"/>
  <c r="AA19" i="9" s="1"/>
  <c r="G9" i="3"/>
  <c r="H9" i="3" s="1"/>
  <c r="C9" i="9" s="1"/>
  <c r="AA9" i="9" s="1"/>
  <c r="G13" i="3"/>
  <c r="H13" i="3" s="1"/>
  <c r="C13" i="9" s="1"/>
  <c r="AA13" i="9" s="1"/>
  <c r="G3" i="3"/>
  <c r="H3" i="3" s="1"/>
  <c r="C3" i="16" s="1"/>
  <c r="M113" i="3"/>
  <c r="N113" i="3" s="1"/>
  <c r="M114" i="3"/>
  <c r="N114" i="3" s="1"/>
  <c r="M119" i="3"/>
  <c r="N119" i="3" s="1"/>
  <c r="G69" i="3"/>
  <c r="H69" i="3" s="1"/>
  <c r="C69" i="9" s="1"/>
  <c r="G70" i="3"/>
  <c r="H70" i="3" s="1"/>
  <c r="C70" i="16" s="1"/>
  <c r="G37" i="3"/>
  <c r="H37" i="3" s="1"/>
  <c r="C37" i="16" s="1"/>
  <c r="G34" i="3"/>
  <c r="H34" i="3" s="1"/>
  <c r="C34" i="9" s="1"/>
  <c r="AA34" i="9" s="1"/>
  <c r="G21" i="3"/>
  <c r="H21" i="3" s="1"/>
  <c r="C21" i="9" s="1"/>
  <c r="AA21" i="9" s="1"/>
  <c r="G18" i="3"/>
  <c r="H18" i="3" s="1"/>
  <c r="C18" i="9" s="1"/>
  <c r="AA18" i="9" s="1"/>
  <c r="G4" i="3"/>
  <c r="H4" i="3" s="1"/>
  <c r="C4" i="16" s="1"/>
  <c r="G8" i="3"/>
  <c r="H8" i="3" s="1"/>
  <c r="C8" i="9" s="1"/>
  <c r="AA8" i="9" s="1"/>
  <c r="M117" i="3"/>
  <c r="N117" i="3" s="1"/>
  <c r="M118" i="3"/>
  <c r="N118" i="3" s="1"/>
  <c r="M112" i="3"/>
  <c r="N112" i="3" s="1"/>
  <c r="G89" i="3"/>
  <c r="H89" i="3" s="1"/>
  <c r="C89" i="9" s="1"/>
  <c r="D14" i="22"/>
  <c r="D19" i="23" s="1"/>
  <c r="G94" i="3"/>
  <c r="H94" i="3" s="1"/>
  <c r="C94" i="9" s="1"/>
  <c r="G88" i="3"/>
  <c r="H88" i="3" s="1"/>
  <c r="C88" i="16" s="1"/>
  <c r="G93" i="3"/>
  <c r="H93" i="3" s="1"/>
  <c r="C93" i="9" s="1"/>
  <c r="G87" i="3"/>
  <c r="H87" i="3" s="1"/>
  <c r="C87" i="9" s="1"/>
  <c r="G92" i="3"/>
  <c r="H92" i="3" s="1"/>
  <c r="C92" i="9" s="1"/>
  <c r="G86" i="3"/>
  <c r="H86" i="3" s="1"/>
  <c r="C86" i="16" s="1"/>
  <c r="G91" i="3"/>
  <c r="H91" i="3" s="1"/>
  <c r="C91" i="9" s="1"/>
  <c r="AD20" i="21"/>
  <c r="AF20" i="21" s="1"/>
  <c r="J34" i="23" s="1"/>
  <c r="C44" i="23" s="1"/>
  <c r="J10" i="23"/>
  <c r="C23" i="23" s="1"/>
  <c r="D13" i="22"/>
  <c r="D18" i="23" s="1"/>
  <c r="E13" i="22"/>
  <c r="J11" i="22" s="1"/>
  <c r="C16" i="22"/>
  <c r="D12" i="22"/>
  <c r="D17" i="23" s="1"/>
  <c r="E12" i="22"/>
  <c r="Y20" i="21"/>
  <c r="J9" i="23"/>
  <c r="C22" i="23" s="1"/>
  <c r="H53" i="9"/>
  <c r="T53" i="9" s="1"/>
  <c r="Z53" i="9" s="1"/>
  <c r="F53" i="15"/>
  <c r="O53" i="15" s="1"/>
  <c r="T53" i="15" s="1"/>
  <c r="F53" i="11"/>
  <c r="M53" i="11" s="1"/>
  <c r="P53" i="11" s="1"/>
  <c r="F53" i="7"/>
  <c r="O53" i="7" s="1"/>
  <c r="T53" i="7" s="1"/>
  <c r="U53" i="7" s="1"/>
  <c r="H53" i="16"/>
  <c r="T52" i="16"/>
  <c r="Z52" i="16" s="1"/>
  <c r="C57" i="11"/>
  <c r="C53" i="11"/>
  <c r="I13" i="21"/>
  <c r="I11" i="21"/>
  <c r="I12" i="21"/>
  <c r="I14" i="21"/>
  <c r="I10" i="21"/>
  <c r="P8" i="21"/>
  <c r="P6" i="21"/>
  <c r="P7" i="21"/>
  <c r="C50" i="11"/>
  <c r="Q50" i="11" s="1"/>
  <c r="C8" i="14"/>
  <c r="C38" i="7"/>
  <c r="U38" i="7" s="1"/>
  <c r="C52" i="11"/>
  <c r="Q52" i="11" s="1"/>
  <c r="AM10" i="20"/>
  <c r="C62" i="7"/>
  <c r="C2" i="7"/>
  <c r="U2" i="7" s="1"/>
  <c r="C110" i="15"/>
  <c r="E14" i="20" s="1"/>
  <c r="C98" i="15"/>
  <c r="E13" i="20" s="1"/>
  <c r="C74" i="15"/>
  <c r="E11" i="20" s="1"/>
  <c r="C86" i="15"/>
  <c r="E12" i="20" s="1"/>
  <c r="C14" i="7"/>
  <c r="U14" i="7" s="1"/>
  <c r="C26" i="7"/>
  <c r="U26" i="7" s="1"/>
  <c r="H98" i="3"/>
  <c r="C98" i="9" s="1"/>
  <c r="H15" i="20"/>
  <c r="AM14" i="20"/>
  <c r="G7" i="23" s="1"/>
  <c r="AM11" i="20"/>
  <c r="D7" i="23" s="1"/>
  <c r="AM12" i="20"/>
  <c r="E7" i="23" s="1"/>
  <c r="AM7" i="20"/>
  <c r="AM9" i="20"/>
  <c r="AC13" i="20"/>
  <c r="C2" i="25"/>
  <c r="U2" i="25" s="1"/>
  <c r="U7" i="20"/>
  <c r="W7" i="20" s="1"/>
  <c r="C14" i="25"/>
  <c r="U14" i="25" s="1"/>
  <c r="U8" i="20"/>
  <c r="W8" i="20" s="1"/>
  <c r="C38" i="25"/>
  <c r="U38" i="25" s="1"/>
  <c r="U10" i="20"/>
  <c r="C5" i="23" s="1"/>
  <c r="U6" i="20"/>
  <c r="U9" i="20"/>
  <c r="W9" i="20" s="1"/>
  <c r="C74" i="25"/>
  <c r="U74" i="25" s="1"/>
  <c r="U13" i="20"/>
  <c r="C86" i="25"/>
  <c r="U86" i="25" s="1"/>
  <c r="U14" i="20"/>
  <c r="C50" i="25"/>
  <c r="U50" i="25" s="1"/>
  <c r="U11" i="20"/>
  <c r="C62" i="25"/>
  <c r="U62" i="25" s="1"/>
  <c r="U12" i="20"/>
  <c r="U5" i="20"/>
  <c r="E5" i="20"/>
  <c r="C11" i="14"/>
  <c r="C12" i="14"/>
  <c r="C13" i="14"/>
  <c r="C10" i="14"/>
  <c r="E8" i="20"/>
  <c r="E6" i="20"/>
  <c r="E7" i="20"/>
  <c r="E10" i="20"/>
  <c r="C42" i="9"/>
  <c r="AA42" i="9" s="1"/>
  <c r="C42" i="16"/>
  <c r="C54" i="9"/>
  <c r="C54" i="16"/>
  <c r="C119" i="16"/>
  <c r="C101" i="16"/>
  <c r="C112" i="9"/>
  <c r="C112" i="16"/>
  <c r="C64" i="9"/>
  <c r="C64" i="16"/>
  <c r="C82" i="9"/>
  <c r="C7" i="9"/>
  <c r="AA7" i="9" s="1"/>
  <c r="C7" i="16"/>
  <c r="C89" i="16"/>
  <c r="C39" i="16"/>
  <c r="C56" i="16"/>
  <c r="C121" i="9"/>
  <c r="C121" i="16"/>
  <c r="C116" i="9"/>
  <c r="C116" i="16"/>
  <c r="C29" i="9"/>
  <c r="AA29" i="9" s="1"/>
  <c r="C29" i="16"/>
  <c r="C27" i="9"/>
  <c r="AA27" i="9" s="1"/>
  <c r="C27" i="16"/>
  <c r="C32" i="9"/>
  <c r="AA32" i="9" s="1"/>
  <c r="C32" i="16"/>
  <c r="C104" i="9"/>
  <c r="C104" i="16"/>
  <c r="C25" i="9"/>
  <c r="AA25" i="9" s="1"/>
  <c r="C25" i="16"/>
  <c r="C20" i="9"/>
  <c r="AA20" i="9" s="1"/>
  <c r="C20" i="16"/>
  <c r="C12" i="9"/>
  <c r="AA12" i="9" s="1"/>
  <c r="C6" i="9"/>
  <c r="AA6" i="9" s="1"/>
  <c r="C6" i="16"/>
  <c r="C49" i="9"/>
  <c r="AA49" i="9" s="1"/>
  <c r="C49" i="16"/>
  <c r="C47" i="9"/>
  <c r="AA47" i="9" s="1"/>
  <c r="C47" i="16"/>
  <c r="C53" i="9"/>
  <c r="C53" i="16"/>
  <c r="C59" i="9"/>
  <c r="C59" i="16"/>
  <c r="C71" i="16"/>
  <c r="C83" i="9"/>
  <c r="C83" i="16"/>
  <c r="C107" i="16"/>
  <c r="C13" i="16"/>
  <c r="C58" i="16"/>
  <c r="C85" i="9"/>
  <c r="C85" i="16"/>
  <c r="C28" i="9"/>
  <c r="AA28" i="9" s="1"/>
  <c r="C28" i="16"/>
  <c r="C105" i="16"/>
  <c r="C23" i="9"/>
  <c r="AA23" i="9" s="1"/>
  <c r="C23" i="16"/>
  <c r="C43" i="16"/>
  <c r="C48" i="9"/>
  <c r="AA48" i="9" s="1"/>
  <c r="C48" i="16"/>
  <c r="C60" i="9"/>
  <c r="C60" i="16"/>
  <c r="C115" i="16"/>
  <c r="C67" i="16"/>
  <c r="C84" i="9"/>
  <c r="C36" i="16"/>
  <c r="C103" i="9"/>
  <c r="C103" i="16"/>
  <c r="C108" i="9"/>
  <c r="C108" i="16"/>
  <c r="C5" i="16"/>
  <c r="C91" i="16"/>
  <c r="C96" i="9"/>
  <c r="C96" i="16"/>
  <c r="C108" i="11"/>
  <c r="C36" i="11"/>
  <c r="Q36" i="11" s="1"/>
  <c r="U36" i="25"/>
  <c r="C121" i="11"/>
  <c r="C43" i="11"/>
  <c r="Q43" i="11" s="1"/>
  <c r="U43" i="25"/>
  <c r="C80" i="11"/>
  <c r="U80" i="25"/>
  <c r="C62" i="11"/>
  <c r="C14" i="11"/>
  <c r="Q14" i="11" s="1"/>
  <c r="C87" i="11"/>
  <c r="U87" i="25"/>
  <c r="C11" i="11"/>
  <c r="Q11" i="11" s="1"/>
  <c r="U11" i="25"/>
  <c r="C59" i="11"/>
  <c r="U59" i="25"/>
  <c r="C51" i="11"/>
  <c r="Q51" i="11" s="1"/>
  <c r="U51" i="25"/>
  <c r="C99" i="11"/>
  <c r="C103" i="11"/>
  <c r="C98" i="11"/>
  <c r="C30" i="11"/>
  <c r="Q30" i="11" s="1"/>
  <c r="U30" i="25"/>
  <c r="C35" i="11"/>
  <c r="Q35" i="11" s="1"/>
  <c r="U35" i="25"/>
  <c r="C29" i="11"/>
  <c r="Q29" i="11" s="1"/>
  <c r="U29" i="25"/>
  <c r="C120" i="11"/>
  <c r="C119" i="11"/>
  <c r="C110" i="11"/>
  <c r="C42" i="11"/>
  <c r="Q42" i="11" s="1"/>
  <c r="U42" i="25"/>
  <c r="C47" i="11"/>
  <c r="Q47" i="11" s="1"/>
  <c r="U47" i="25"/>
  <c r="C41" i="11"/>
  <c r="Q41" i="11" s="1"/>
  <c r="U41" i="25"/>
  <c r="C75" i="11"/>
  <c r="U75" i="25"/>
  <c r="C79" i="11"/>
  <c r="U79" i="25"/>
  <c r="C74" i="11"/>
  <c r="C67" i="11"/>
  <c r="U67" i="25"/>
  <c r="C64" i="11"/>
  <c r="U64" i="25"/>
  <c r="C65" i="11"/>
  <c r="U65" i="25"/>
  <c r="C18" i="11"/>
  <c r="Q18" i="11" s="1"/>
  <c r="U18" i="25"/>
  <c r="C23" i="11"/>
  <c r="Q23" i="11" s="1"/>
  <c r="U23" i="25"/>
  <c r="C17" i="11"/>
  <c r="Q17" i="11" s="1"/>
  <c r="U17" i="25"/>
  <c r="C96" i="11"/>
  <c r="U96" i="25"/>
  <c r="C95" i="11"/>
  <c r="U95" i="25"/>
  <c r="C86" i="11"/>
  <c r="C10" i="11"/>
  <c r="Q10" i="11" s="1"/>
  <c r="U10" i="25"/>
  <c r="C4" i="11"/>
  <c r="Q4" i="11" s="1"/>
  <c r="U4" i="25"/>
  <c r="C9" i="11"/>
  <c r="Q9" i="11" s="1"/>
  <c r="U9" i="25"/>
  <c r="C56" i="11"/>
  <c r="U56" i="25"/>
  <c r="C61" i="11"/>
  <c r="U61" i="25"/>
  <c r="C104" i="11"/>
  <c r="C26" i="11"/>
  <c r="Q26" i="11" s="1"/>
  <c r="U26" i="25"/>
  <c r="C112" i="11"/>
  <c r="C48" i="11"/>
  <c r="Q48" i="11" s="1"/>
  <c r="U48" i="25"/>
  <c r="C85" i="11"/>
  <c r="U85" i="25"/>
  <c r="C71" i="11"/>
  <c r="U71" i="25"/>
  <c r="C19" i="11"/>
  <c r="Q19" i="11" s="1"/>
  <c r="U19" i="25"/>
  <c r="C97" i="11"/>
  <c r="U97" i="25"/>
  <c r="C6" i="11"/>
  <c r="Q6" i="11" s="1"/>
  <c r="U6" i="25"/>
  <c r="C5" i="11"/>
  <c r="Q5" i="11" s="1"/>
  <c r="U5" i="25"/>
  <c r="C107" i="11"/>
  <c r="C101" i="11"/>
  <c r="C102" i="11"/>
  <c r="C34" i="11"/>
  <c r="Q34" i="11" s="1"/>
  <c r="U34" i="25"/>
  <c r="C28" i="11"/>
  <c r="Q28" i="11" s="1"/>
  <c r="U28" i="25"/>
  <c r="C33" i="11"/>
  <c r="Q33" i="11" s="1"/>
  <c r="U33" i="25"/>
  <c r="C115" i="11"/>
  <c r="C113" i="11"/>
  <c r="C114" i="11"/>
  <c r="C46" i="11"/>
  <c r="Q46" i="11" s="1"/>
  <c r="U46" i="25"/>
  <c r="C40" i="11"/>
  <c r="Q40" i="11" s="1"/>
  <c r="U40" i="25"/>
  <c r="C45" i="11"/>
  <c r="Q45" i="11" s="1"/>
  <c r="U45" i="25"/>
  <c r="C83" i="11"/>
  <c r="U83" i="25"/>
  <c r="C77" i="11"/>
  <c r="U77" i="25"/>
  <c r="C78" i="11"/>
  <c r="U78" i="25"/>
  <c r="C72" i="11"/>
  <c r="U72" i="25"/>
  <c r="C70" i="11"/>
  <c r="U70" i="25"/>
  <c r="C69" i="11"/>
  <c r="U69" i="25"/>
  <c r="C22" i="11"/>
  <c r="Q22" i="11" s="1"/>
  <c r="U22" i="25"/>
  <c r="C16" i="11"/>
  <c r="Q16" i="11" s="1"/>
  <c r="U16" i="25"/>
  <c r="C21" i="11"/>
  <c r="Q21" i="11" s="1"/>
  <c r="U21" i="25"/>
  <c r="C91" i="11"/>
  <c r="U91" i="25"/>
  <c r="C89" i="11"/>
  <c r="U89" i="25"/>
  <c r="C90" i="11"/>
  <c r="U90" i="25"/>
  <c r="C3" i="11"/>
  <c r="Q3" i="11" s="1"/>
  <c r="U3" i="25"/>
  <c r="C8" i="11"/>
  <c r="Q8" i="11" s="1"/>
  <c r="U8" i="25"/>
  <c r="C13" i="11"/>
  <c r="Q13" i="11" s="1"/>
  <c r="U13" i="25"/>
  <c r="C60" i="11"/>
  <c r="U60" i="25"/>
  <c r="C55" i="11"/>
  <c r="U55" i="25"/>
  <c r="C109" i="11"/>
  <c r="C31" i="11"/>
  <c r="Q31" i="11" s="1"/>
  <c r="U31" i="25"/>
  <c r="C111" i="11"/>
  <c r="C38" i="11"/>
  <c r="Q38" i="11" s="1"/>
  <c r="C84" i="11"/>
  <c r="U84" i="25"/>
  <c r="C68" i="11"/>
  <c r="U68" i="25"/>
  <c r="C24" i="11"/>
  <c r="Q24" i="11" s="1"/>
  <c r="U24" i="25"/>
  <c r="C88" i="11"/>
  <c r="U88" i="25"/>
  <c r="C100" i="11"/>
  <c r="C105" i="11"/>
  <c r="C106" i="11"/>
  <c r="C27" i="11"/>
  <c r="Q27" i="11" s="1"/>
  <c r="U27" i="25"/>
  <c r="C32" i="11"/>
  <c r="Q32" i="11" s="1"/>
  <c r="U32" i="25"/>
  <c r="C37" i="11"/>
  <c r="Q37" i="11" s="1"/>
  <c r="U37" i="25"/>
  <c r="C116" i="11"/>
  <c r="C117" i="11"/>
  <c r="C118" i="11"/>
  <c r="C39" i="11"/>
  <c r="Q39" i="11" s="1"/>
  <c r="U39" i="25"/>
  <c r="C44" i="11"/>
  <c r="Q44" i="11" s="1"/>
  <c r="U44" i="25"/>
  <c r="C49" i="11"/>
  <c r="Q49" i="11" s="1"/>
  <c r="U49" i="25"/>
  <c r="C76" i="11"/>
  <c r="U76" i="25"/>
  <c r="C81" i="11"/>
  <c r="U81" i="25"/>
  <c r="C82" i="11"/>
  <c r="U82" i="25"/>
  <c r="C63" i="11"/>
  <c r="U63" i="25"/>
  <c r="C66" i="11"/>
  <c r="U66" i="25"/>
  <c r="C73" i="11"/>
  <c r="U73" i="25"/>
  <c r="C15" i="11"/>
  <c r="Q15" i="11" s="1"/>
  <c r="U15" i="25"/>
  <c r="C20" i="11"/>
  <c r="Q20" i="11" s="1"/>
  <c r="U20" i="25"/>
  <c r="C25" i="11"/>
  <c r="Q25" i="11" s="1"/>
  <c r="U25" i="25"/>
  <c r="C92" i="11"/>
  <c r="U92" i="25"/>
  <c r="C93" i="11"/>
  <c r="U93" i="25"/>
  <c r="C94" i="11"/>
  <c r="U94" i="25"/>
  <c r="C7" i="11"/>
  <c r="Q7" i="11" s="1"/>
  <c r="U7" i="25"/>
  <c r="C12" i="11"/>
  <c r="Q12" i="11" s="1"/>
  <c r="U12" i="25"/>
  <c r="C2" i="11"/>
  <c r="Q2" i="11" s="1"/>
  <c r="C54" i="11"/>
  <c r="U54" i="25"/>
  <c r="C58" i="11"/>
  <c r="U58" i="25"/>
  <c r="AT54" i="3"/>
  <c r="H64" i="23" l="1"/>
  <c r="H66" i="23"/>
  <c r="C22" i="9"/>
  <c r="AA22" i="9" s="1"/>
  <c r="C100" i="16"/>
  <c r="C11" i="16"/>
  <c r="C41" i="9"/>
  <c r="AA41" i="9" s="1"/>
  <c r="C120" i="16"/>
  <c r="C55" i="9"/>
  <c r="C109" i="9"/>
  <c r="C61" i="16"/>
  <c r="C52" i="9"/>
  <c r="AA52" i="9" s="1"/>
  <c r="C118" i="16"/>
  <c r="C3" i="9"/>
  <c r="AA3" i="9" s="1"/>
  <c r="C44" i="16"/>
  <c r="C97" i="9"/>
  <c r="C68" i="16"/>
  <c r="C106" i="16"/>
  <c r="C16" i="16"/>
  <c r="C72" i="16"/>
  <c r="C90" i="16"/>
  <c r="C95" i="16"/>
  <c r="C69" i="16"/>
  <c r="C87" i="16"/>
  <c r="C21" i="16"/>
  <c r="C10" i="16"/>
  <c r="C76" i="16"/>
  <c r="C33" i="16"/>
  <c r="AC10" i="20"/>
  <c r="AE10" i="20" s="1"/>
  <c r="C73" i="9"/>
  <c r="C99" i="16"/>
  <c r="C46" i="9"/>
  <c r="AA46" i="9" s="1"/>
  <c r="AM13" i="20"/>
  <c r="AO13" i="20" s="1"/>
  <c r="AM6" i="20"/>
  <c r="AO6" i="20" s="1"/>
  <c r="C102" i="9"/>
  <c r="C51" i="9"/>
  <c r="AA51" i="9" s="1"/>
  <c r="AC8" i="20"/>
  <c r="AE8" i="20" s="1"/>
  <c r="C40" i="16"/>
  <c r="M9" i="20"/>
  <c r="Q9" i="20" s="1"/>
  <c r="C37" i="9"/>
  <c r="AA37" i="9" s="1"/>
  <c r="C75" i="9"/>
  <c r="C63" i="16"/>
  <c r="C45" i="16"/>
  <c r="C81" i="9"/>
  <c r="C79" i="9"/>
  <c r="C31" i="9"/>
  <c r="AA31" i="9" s="1"/>
  <c r="C70" i="9"/>
  <c r="C77" i="9"/>
  <c r="C4" i="9"/>
  <c r="AA4" i="9" s="1"/>
  <c r="C35" i="9"/>
  <c r="AA35" i="9" s="1"/>
  <c r="AC9" i="20"/>
  <c r="AE9" i="20" s="1"/>
  <c r="AM5" i="20"/>
  <c r="AO5" i="20" s="1"/>
  <c r="M13" i="20"/>
  <c r="Q13" i="20" s="1"/>
  <c r="AM8" i="20"/>
  <c r="AO8" i="20" s="1"/>
  <c r="C34" i="16"/>
  <c r="C8" i="16"/>
  <c r="C117" i="16"/>
  <c r="C57" i="16"/>
  <c r="C17" i="16"/>
  <c r="C78" i="16"/>
  <c r="C114" i="16"/>
  <c r="C93" i="16"/>
  <c r="M8" i="20"/>
  <c r="Q8" i="20" s="1"/>
  <c r="R8" i="20" s="1"/>
  <c r="AC6" i="20"/>
  <c r="AE6" i="20" s="1"/>
  <c r="J14" i="22"/>
  <c r="M5" i="20"/>
  <c r="Q5" i="20" s="1"/>
  <c r="R5" i="20" s="1"/>
  <c r="AC5" i="20"/>
  <c r="AE5" i="20" s="1"/>
  <c r="AC11" i="20"/>
  <c r="AE11" i="20" s="1"/>
  <c r="AC12" i="20"/>
  <c r="AE12" i="20" s="1"/>
  <c r="AC7" i="20"/>
  <c r="AE7" i="20" s="1"/>
  <c r="C24" i="9"/>
  <c r="AA24" i="9" s="1"/>
  <c r="C9" i="16"/>
  <c r="C80" i="16"/>
  <c r="C111" i="16"/>
  <c r="C88" i="9"/>
  <c r="C66" i="9"/>
  <c r="C113" i="9"/>
  <c r="H13" i="14" s="1"/>
  <c r="M14" i="20"/>
  <c r="Q14" i="20" s="1"/>
  <c r="Q15" i="20" s="1"/>
  <c r="M11" i="20"/>
  <c r="Q11" i="20" s="1"/>
  <c r="AC14" i="20"/>
  <c r="AE14" i="20" s="1"/>
  <c r="AF14" i="20" s="1"/>
  <c r="AH14" i="20" s="1"/>
  <c r="H18" i="21" s="1"/>
  <c r="C65" i="16"/>
  <c r="C92" i="16"/>
  <c r="M6" i="20"/>
  <c r="Q6" i="20" s="1"/>
  <c r="R6" i="20" s="1"/>
  <c r="M7" i="20"/>
  <c r="Q7" i="20" s="1"/>
  <c r="R7" i="20" s="1"/>
  <c r="C18" i="16"/>
  <c r="C15" i="9"/>
  <c r="AA15" i="9" s="1"/>
  <c r="C30" i="9"/>
  <c r="AA30" i="9" s="1"/>
  <c r="C94" i="16"/>
  <c r="C19" i="16"/>
  <c r="M10" i="20"/>
  <c r="Q10" i="20" s="1"/>
  <c r="AA53" i="9"/>
  <c r="M12" i="20"/>
  <c r="Q12" i="20" s="1"/>
  <c r="W11" i="20"/>
  <c r="D5" i="23"/>
  <c r="W13" i="20"/>
  <c r="F5" i="23"/>
  <c r="W12" i="20"/>
  <c r="E5" i="23"/>
  <c r="W14" i="20"/>
  <c r="X14" i="20" s="1"/>
  <c r="Z14" i="20" s="1"/>
  <c r="G5" i="23"/>
  <c r="AE13" i="20"/>
  <c r="F6" i="23"/>
  <c r="AO10" i="20"/>
  <c r="C7" i="23"/>
  <c r="Q53" i="11"/>
  <c r="H54" i="9"/>
  <c r="T54" i="9" s="1"/>
  <c r="Z54" i="9" s="1"/>
  <c r="AA54" i="9" s="1"/>
  <c r="F54" i="15"/>
  <c r="O54" i="15" s="1"/>
  <c r="T54" i="15" s="1"/>
  <c r="F54" i="11"/>
  <c r="M54" i="11" s="1"/>
  <c r="P54" i="11" s="1"/>
  <c r="Q54" i="11" s="1"/>
  <c r="F54" i="7"/>
  <c r="O54" i="7" s="1"/>
  <c r="T54" i="7" s="1"/>
  <c r="U54" i="7" s="1"/>
  <c r="H54" i="16"/>
  <c r="T53" i="16"/>
  <c r="Z53" i="16" s="1"/>
  <c r="C14" i="16"/>
  <c r="P9" i="21"/>
  <c r="P19" i="21" s="1"/>
  <c r="P18" i="21" s="1"/>
  <c r="C2" i="9"/>
  <c r="AA2" i="9" s="1"/>
  <c r="I8" i="21"/>
  <c r="I7" i="21"/>
  <c r="I6" i="21"/>
  <c r="W5" i="20"/>
  <c r="C62" i="16"/>
  <c r="C7" i="14"/>
  <c r="E7" i="14" s="1"/>
  <c r="C5" i="14"/>
  <c r="E5" i="14" s="1"/>
  <c r="C6" i="14"/>
  <c r="E6" i="14" s="1"/>
  <c r="C9" i="14"/>
  <c r="C38" i="16"/>
  <c r="C4" i="14"/>
  <c r="E4" i="14" s="1"/>
  <c r="C98" i="16"/>
  <c r="C110" i="16"/>
  <c r="C86" i="9"/>
  <c r="C26" i="16"/>
  <c r="C74" i="9"/>
  <c r="C2" i="16"/>
  <c r="C50" i="16"/>
  <c r="H16" i="20"/>
  <c r="AO12" i="20"/>
  <c r="AO11" i="20"/>
  <c r="AO9" i="20"/>
  <c r="AO14" i="20"/>
  <c r="AP14" i="20" s="1"/>
  <c r="AR14" i="20" s="1"/>
  <c r="AO7" i="20"/>
  <c r="D6" i="21"/>
  <c r="W6" i="20"/>
  <c r="W10" i="20"/>
  <c r="D9" i="21"/>
  <c r="D8" i="21"/>
  <c r="D7" i="21"/>
  <c r="M8" i="14"/>
  <c r="M9" i="14"/>
  <c r="M12" i="14"/>
  <c r="M10" i="14"/>
  <c r="M7" i="14"/>
  <c r="O7" i="14" s="1"/>
  <c r="M11" i="14"/>
  <c r="M5" i="14"/>
  <c r="O5" i="14" s="1"/>
  <c r="M6" i="14"/>
  <c r="O6" i="14" s="1"/>
  <c r="M13" i="14"/>
  <c r="M4" i="14"/>
  <c r="O4" i="14" s="1"/>
  <c r="U98" i="25"/>
  <c r="AT55" i="3"/>
  <c r="C6" i="23" l="1"/>
  <c r="F7" i="23"/>
  <c r="H12" i="14"/>
  <c r="N13" i="20"/>
  <c r="N7" i="20"/>
  <c r="H9" i="14"/>
  <c r="H8" i="14"/>
  <c r="H7" i="14"/>
  <c r="J7" i="14" s="1"/>
  <c r="H5" i="14"/>
  <c r="J5" i="14" s="1"/>
  <c r="N9" i="20"/>
  <c r="N8" i="20"/>
  <c r="N14" i="20"/>
  <c r="N11" i="20"/>
  <c r="D6" i="23"/>
  <c r="D12" i="23" s="1"/>
  <c r="N5" i="20"/>
  <c r="N12" i="20"/>
  <c r="N6" i="20"/>
  <c r="E6" i="23"/>
  <c r="N10" i="20"/>
  <c r="G6" i="23"/>
  <c r="G12" i="23" s="1"/>
  <c r="H6" i="14"/>
  <c r="J6" i="14" s="1"/>
  <c r="AJ14" i="20"/>
  <c r="H7" i="23"/>
  <c r="O18" i="21"/>
  <c r="Q18" i="21" s="1"/>
  <c r="H31" i="23" s="1"/>
  <c r="C18" i="21"/>
  <c r="H5" i="23"/>
  <c r="W15" i="20"/>
  <c r="W16" i="20" s="1"/>
  <c r="X16" i="20" s="1"/>
  <c r="Z16" i="20" s="1"/>
  <c r="AE15" i="20"/>
  <c r="AE16" i="20" s="1"/>
  <c r="AF16" i="20" s="1"/>
  <c r="AH16" i="20" s="1"/>
  <c r="H20" i="21" s="1"/>
  <c r="C12" i="23"/>
  <c r="E12" i="23"/>
  <c r="H55" i="9"/>
  <c r="T55" i="9" s="1"/>
  <c r="Z55" i="9" s="1"/>
  <c r="AA55" i="9" s="1"/>
  <c r="F55" i="15"/>
  <c r="O55" i="15" s="1"/>
  <c r="T55" i="15" s="1"/>
  <c r="F55" i="11"/>
  <c r="M55" i="11" s="1"/>
  <c r="P55" i="11" s="1"/>
  <c r="Q55" i="11" s="1"/>
  <c r="F55" i="7"/>
  <c r="O55" i="7" s="1"/>
  <c r="T55" i="7" s="1"/>
  <c r="U55" i="7" s="1"/>
  <c r="H55" i="16"/>
  <c r="T54" i="16"/>
  <c r="Z54" i="16" s="1"/>
  <c r="H4" i="14"/>
  <c r="J4" i="14" s="1"/>
  <c r="P20" i="21"/>
  <c r="I9" i="21"/>
  <c r="I19" i="21" s="1"/>
  <c r="I18" i="21" s="1"/>
  <c r="H11" i="14"/>
  <c r="H10" i="14"/>
  <c r="Q16" i="20"/>
  <c r="AO15" i="20"/>
  <c r="AP15" i="20" s="1"/>
  <c r="AR15" i="20" s="1"/>
  <c r="F12" i="23"/>
  <c r="Z20" i="21"/>
  <c r="U20" i="21"/>
  <c r="V19" i="21"/>
  <c r="I32" i="23" s="1"/>
  <c r="D5" i="21"/>
  <c r="D19" i="21" s="1"/>
  <c r="AT56" i="3"/>
  <c r="D15" i="19"/>
  <c r="C15" i="19" s="1"/>
  <c r="I49" i="23" s="1"/>
  <c r="I58" i="23" s="1"/>
  <c r="I60" i="23" l="1"/>
  <c r="I61" i="23" s="1"/>
  <c r="I63" i="23" s="1"/>
  <c r="AF15" i="20"/>
  <c r="AH15" i="20" s="1"/>
  <c r="H19" i="21" s="1"/>
  <c r="J19" i="21" s="1"/>
  <c r="L19" i="21" s="1"/>
  <c r="I30" i="23" s="1"/>
  <c r="D20" i="21"/>
  <c r="D18" i="21"/>
  <c r="E18" i="21" s="1"/>
  <c r="H29" i="23" s="1"/>
  <c r="H6" i="23"/>
  <c r="J18" i="21"/>
  <c r="L18" i="21" s="1"/>
  <c r="H30" i="23" s="1"/>
  <c r="C20" i="21"/>
  <c r="J5" i="23"/>
  <c r="C18" i="23" s="1"/>
  <c r="I11" i="22" s="1"/>
  <c r="K11" i="22" s="1"/>
  <c r="O19" i="21"/>
  <c r="Q19" i="21" s="1"/>
  <c r="I31" i="23" s="1"/>
  <c r="I7" i="23"/>
  <c r="H56" i="16"/>
  <c r="T55" i="16"/>
  <c r="Z55" i="16" s="1"/>
  <c r="H56" i="9"/>
  <c r="T56" i="9" s="1"/>
  <c r="Z56" i="9" s="1"/>
  <c r="AA56" i="9" s="1"/>
  <c r="F56" i="15"/>
  <c r="O56" i="15" s="1"/>
  <c r="T56" i="15" s="1"/>
  <c r="F56" i="11"/>
  <c r="M56" i="11" s="1"/>
  <c r="P56" i="11" s="1"/>
  <c r="Q56" i="11" s="1"/>
  <c r="F56" i="7"/>
  <c r="O56" i="7" s="1"/>
  <c r="T56" i="7" s="1"/>
  <c r="U56" i="7" s="1"/>
  <c r="AJ16" i="20"/>
  <c r="I20" i="21"/>
  <c r="AO16" i="20"/>
  <c r="AP16" i="20" s="1"/>
  <c r="AR16" i="20" s="1"/>
  <c r="AA19" i="21"/>
  <c r="I33" i="23" s="1"/>
  <c r="V20" i="21"/>
  <c r="J32" i="23" s="1"/>
  <c r="C42" i="23" s="1"/>
  <c r="E42" i="23" s="1"/>
  <c r="X15" i="20"/>
  <c r="Z15" i="20" s="1"/>
  <c r="AT57" i="3"/>
  <c r="I64" i="23" l="1"/>
  <c r="I66" i="23"/>
  <c r="AJ15" i="20"/>
  <c r="I6" i="23" s="1"/>
  <c r="E20" i="21"/>
  <c r="J29" i="23" s="1"/>
  <c r="J6" i="23"/>
  <c r="C19" i="23" s="1"/>
  <c r="O20" i="21"/>
  <c r="Q20" i="21" s="1"/>
  <c r="J31" i="23" s="1"/>
  <c r="C41" i="23" s="1"/>
  <c r="J7" i="23"/>
  <c r="C20" i="23" s="1"/>
  <c r="C19" i="21"/>
  <c r="E19" i="21" s="1"/>
  <c r="I5" i="23"/>
  <c r="H57" i="9"/>
  <c r="T57" i="9" s="1"/>
  <c r="Z57" i="9" s="1"/>
  <c r="AA57" i="9" s="1"/>
  <c r="F57" i="15"/>
  <c r="O57" i="15" s="1"/>
  <c r="T57" i="15" s="1"/>
  <c r="F57" i="11"/>
  <c r="M57" i="11" s="1"/>
  <c r="P57" i="11" s="1"/>
  <c r="Q57" i="11" s="1"/>
  <c r="F57" i="7"/>
  <c r="O57" i="7" s="1"/>
  <c r="T57" i="7" s="1"/>
  <c r="U57" i="7" s="1"/>
  <c r="H57" i="16"/>
  <c r="T56" i="16"/>
  <c r="Z56" i="16" s="1"/>
  <c r="J20" i="21"/>
  <c r="L20" i="21" s="1"/>
  <c r="J30" i="23" s="1"/>
  <c r="C40" i="23" s="1"/>
  <c r="AA20" i="21"/>
  <c r="J33" i="23" s="1"/>
  <c r="C43" i="23" s="1"/>
  <c r="AT58" i="3"/>
  <c r="L12" i="22" l="1"/>
  <c r="L13" i="22"/>
  <c r="E20" i="23"/>
  <c r="I13" i="22"/>
  <c r="K13" i="22" s="1"/>
  <c r="E19" i="23"/>
  <c r="I12" i="22"/>
  <c r="C39" i="23"/>
  <c r="L11" i="22" s="1"/>
  <c r="I29" i="23"/>
  <c r="I35" i="23" s="1"/>
  <c r="J35" i="23"/>
  <c r="H35" i="23"/>
  <c r="H58" i="9"/>
  <c r="T58" i="9" s="1"/>
  <c r="Z58" i="9" s="1"/>
  <c r="AA58" i="9" s="1"/>
  <c r="F58" i="15"/>
  <c r="O58" i="15" s="1"/>
  <c r="T58" i="15" s="1"/>
  <c r="F58" i="11"/>
  <c r="M58" i="11" s="1"/>
  <c r="P58" i="11" s="1"/>
  <c r="Q58" i="11" s="1"/>
  <c r="F58" i="7"/>
  <c r="O58" i="7" s="1"/>
  <c r="T58" i="7" s="1"/>
  <c r="U58" i="7" s="1"/>
  <c r="H58" i="16"/>
  <c r="T57" i="16"/>
  <c r="Z57" i="16" s="1"/>
  <c r="AT59" i="3"/>
  <c r="C45" i="23" l="1"/>
  <c r="M13" i="22"/>
  <c r="D41" i="23" s="1"/>
  <c r="E41" i="23" s="1"/>
  <c r="L14" i="22"/>
  <c r="M11" i="22"/>
  <c r="D39" i="23" s="1"/>
  <c r="I14" i="22"/>
  <c r="K12" i="22"/>
  <c r="H59" i="16"/>
  <c r="T58" i="16"/>
  <c r="Z58" i="16" s="1"/>
  <c r="H59" i="9"/>
  <c r="T59" i="9" s="1"/>
  <c r="Z59" i="9" s="1"/>
  <c r="AA59" i="9" s="1"/>
  <c r="F59" i="15"/>
  <c r="O59" i="15" s="1"/>
  <c r="T59" i="15" s="1"/>
  <c r="F59" i="11"/>
  <c r="M59" i="11" s="1"/>
  <c r="P59" i="11" s="1"/>
  <c r="Q59" i="11" s="1"/>
  <c r="F59" i="7"/>
  <c r="O59" i="7" s="1"/>
  <c r="T59" i="7" s="1"/>
  <c r="U59" i="7" s="1"/>
  <c r="AT60" i="3"/>
  <c r="K14" i="22" l="1"/>
  <c r="M12" i="22"/>
  <c r="H60" i="9"/>
  <c r="T60" i="9" s="1"/>
  <c r="Z60" i="9" s="1"/>
  <c r="AA60" i="9" s="1"/>
  <c r="F60" i="15"/>
  <c r="O60" i="15" s="1"/>
  <c r="T60" i="15" s="1"/>
  <c r="F60" i="11"/>
  <c r="M60" i="11" s="1"/>
  <c r="P60" i="11" s="1"/>
  <c r="Q60" i="11" s="1"/>
  <c r="F60" i="7"/>
  <c r="O60" i="7" s="1"/>
  <c r="T60" i="7" s="1"/>
  <c r="U60" i="7" s="1"/>
  <c r="H60" i="16"/>
  <c r="T59" i="16"/>
  <c r="Z59" i="16" s="1"/>
  <c r="AT61" i="3"/>
  <c r="M14" i="22" l="1"/>
  <c r="D40" i="23"/>
  <c r="E40" i="23" s="1"/>
  <c r="H61" i="9"/>
  <c r="T61" i="9" s="1"/>
  <c r="Z61" i="9" s="1"/>
  <c r="AA61" i="9" s="1"/>
  <c r="F61" i="15"/>
  <c r="O61" i="15" s="1"/>
  <c r="T61" i="15" s="1"/>
  <c r="F61" i="11"/>
  <c r="M61" i="11" s="1"/>
  <c r="P61" i="11" s="1"/>
  <c r="Q61" i="11" s="1"/>
  <c r="F61" i="7"/>
  <c r="O61" i="7" s="1"/>
  <c r="T61" i="7" s="1"/>
  <c r="U61" i="7" s="1"/>
  <c r="H61" i="16"/>
  <c r="T60" i="16"/>
  <c r="Z60" i="16" s="1"/>
  <c r="AT62" i="3"/>
  <c r="H62" i="9" l="1"/>
  <c r="T62" i="9" s="1"/>
  <c r="Z62" i="9" s="1"/>
  <c r="F62" i="15"/>
  <c r="O62" i="15" s="1"/>
  <c r="T62" i="15" s="1"/>
  <c r="F62" i="11"/>
  <c r="M62" i="11" s="1"/>
  <c r="P62" i="11" s="1"/>
  <c r="F62" i="7"/>
  <c r="O62" i="7" s="1"/>
  <c r="T62" i="7" s="1"/>
  <c r="H62" i="16"/>
  <c r="T61" i="16"/>
  <c r="Z61" i="16" s="1"/>
  <c r="AT63" i="3"/>
  <c r="U62" i="7" l="1"/>
  <c r="Q62" i="11"/>
  <c r="H63" i="9"/>
  <c r="T63" i="9" s="1"/>
  <c r="Z63" i="9" s="1"/>
  <c r="AA63" i="9" s="1"/>
  <c r="F63" i="15"/>
  <c r="O63" i="15" s="1"/>
  <c r="T63" i="15" s="1"/>
  <c r="F63" i="11"/>
  <c r="M63" i="11" s="1"/>
  <c r="P63" i="11" s="1"/>
  <c r="Q63" i="11" s="1"/>
  <c r="F63" i="7"/>
  <c r="O63" i="7" s="1"/>
  <c r="T63" i="7" s="1"/>
  <c r="U63" i="7" s="1"/>
  <c r="H63" i="16"/>
  <c r="T62" i="16"/>
  <c r="Z62" i="16" s="1"/>
  <c r="AA62" i="9"/>
  <c r="AT64" i="3"/>
  <c r="H64" i="9" l="1"/>
  <c r="T64" i="9" s="1"/>
  <c r="Z64" i="9" s="1"/>
  <c r="F64" i="15"/>
  <c r="O64" i="15" s="1"/>
  <c r="T64" i="15" s="1"/>
  <c r="F64" i="11"/>
  <c r="M64" i="11" s="1"/>
  <c r="P64" i="11" s="1"/>
  <c r="F64" i="7"/>
  <c r="O64" i="7" s="1"/>
  <c r="T64" i="7" s="1"/>
  <c r="U64" i="7" s="1"/>
  <c r="H64" i="16"/>
  <c r="T63" i="16"/>
  <c r="Z63" i="16" s="1"/>
  <c r="AT65" i="3"/>
  <c r="H65" i="9" l="1"/>
  <c r="T65" i="9" s="1"/>
  <c r="Z65" i="9" s="1"/>
  <c r="AA65" i="9" s="1"/>
  <c r="F65" i="15"/>
  <c r="O65" i="15" s="1"/>
  <c r="T65" i="15" s="1"/>
  <c r="F65" i="11"/>
  <c r="M65" i="11" s="1"/>
  <c r="P65" i="11" s="1"/>
  <c r="Q65" i="11" s="1"/>
  <c r="F65" i="7"/>
  <c r="O65" i="7" s="1"/>
  <c r="T65" i="7" s="1"/>
  <c r="Q64" i="11"/>
  <c r="H65" i="16"/>
  <c r="T64" i="16"/>
  <c r="Z64" i="16" s="1"/>
  <c r="AA64" i="9"/>
  <c r="AT66" i="3"/>
  <c r="H66" i="16" l="1"/>
  <c r="T65" i="16"/>
  <c r="Z65" i="16" s="1"/>
  <c r="U65" i="7"/>
  <c r="H66" i="9"/>
  <c r="T66" i="9" s="1"/>
  <c r="Z66" i="9" s="1"/>
  <c r="F66" i="15"/>
  <c r="O66" i="15" s="1"/>
  <c r="T66" i="15" s="1"/>
  <c r="F66" i="11"/>
  <c r="M66" i="11" s="1"/>
  <c r="P66" i="11" s="1"/>
  <c r="F66" i="7"/>
  <c r="O66" i="7" s="1"/>
  <c r="T66" i="7" s="1"/>
  <c r="U66" i="7" s="1"/>
  <c r="AT67" i="3"/>
  <c r="H67" i="9" l="1"/>
  <c r="T67" i="9" s="1"/>
  <c r="Z67" i="9" s="1"/>
  <c r="AA67" i="9" s="1"/>
  <c r="F67" i="15"/>
  <c r="O67" i="15" s="1"/>
  <c r="T67" i="15" s="1"/>
  <c r="F67" i="11"/>
  <c r="M67" i="11" s="1"/>
  <c r="P67" i="11" s="1"/>
  <c r="Q67" i="11" s="1"/>
  <c r="F67" i="7"/>
  <c r="O67" i="7" s="1"/>
  <c r="T67" i="7" s="1"/>
  <c r="Q66" i="11"/>
  <c r="AA66" i="9"/>
  <c r="H67" i="16"/>
  <c r="T66" i="16"/>
  <c r="Z66" i="16" s="1"/>
  <c r="AT68" i="3"/>
  <c r="H68" i="9" l="1"/>
  <c r="T68" i="9" s="1"/>
  <c r="Z68" i="9" s="1"/>
  <c r="F68" i="15"/>
  <c r="O68" i="15" s="1"/>
  <c r="T68" i="15" s="1"/>
  <c r="F68" i="11"/>
  <c r="M68" i="11" s="1"/>
  <c r="P68" i="11" s="1"/>
  <c r="F68" i="7"/>
  <c r="O68" i="7" s="1"/>
  <c r="T68" i="7" s="1"/>
  <c r="U68" i="7" s="1"/>
  <c r="H68" i="16"/>
  <c r="T67" i="16"/>
  <c r="Z67" i="16" s="1"/>
  <c r="U67" i="7"/>
  <c r="AT69" i="3"/>
  <c r="H69" i="9" l="1"/>
  <c r="T69" i="9" s="1"/>
  <c r="Z69" i="9" s="1"/>
  <c r="AA69" i="9" s="1"/>
  <c r="F69" i="15"/>
  <c r="O69" i="15" s="1"/>
  <c r="T69" i="15" s="1"/>
  <c r="F69" i="11"/>
  <c r="M69" i="11" s="1"/>
  <c r="P69" i="11" s="1"/>
  <c r="Q69" i="11" s="1"/>
  <c r="F69" i="7"/>
  <c r="O69" i="7" s="1"/>
  <c r="T69" i="7" s="1"/>
  <c r="Q68" i="11"/>
  <c r="H69" i="16"/>
  <c r="T68" i="16"/>
  <c r="Z68" i="16" s="1"/>
  <c r="AA68" i="9"/>
  <c r="AT70" i="3"/>
  <c r="U69" i="7" l="1"/>
  <c r="H70" i="16"/>
  <c r="T69" i="16"/>
  <c r="Z69" i="16" s="1"/>
  <c r="H70" i="9"/>
  <c r="T70" i="9" s="1"/>
  <c r="Z70" i="9" s="1"/>
  <c r="F70" i="15"/>
  <c r="O70" i="15" s="1"/>
  <c r="T70" i="15" s="1"/>
  <c r="F70" i="11"/>
  <c r="M70" i="11" s="1"/>
  <c r="P70" i="11" s="1"/>
  <c r="F70" i="7"/>
  <c r="O70" i="7" s="1"/>
  <c r="T70" i="7" s="1"/>
  <c r="U70" i="7" s="1"/>
  <c r="AT71" i="3"/>
  <c r="H71" i="9" l="1"/>
  <c r="T71" i="9" s="1"/>
  <c r="Z71" i="9" s="1"/>
  <c r="AA71" i="9" s="1"/>
  <c r="F71" i="15"/>
  <c r="O71" i="15" s="1"/>
  <c r="T71" i="15" s="1"/>
  <c r="F71" i="11"/>
  <c r="M71" i="11" s="1"/>
  <c r="P71" i="11" s="1"/>
  <c r="Q71" i="11" s="1"/>
  <c r="F71" i="7"/>
  <c r="O71" i="7" s="1"/>
  <c r="T71" i="7" s="1"/>
  <c r="U71" i="7" s="1"/>
  <c r="Q70" i="11"/>
  <c r="H71" i="16"/>
  <c r="T70" i="16"/>
  <c r="Z70" i="16" s="1"/>
  <c r="AA70" i="9"/>
  <c r="AT72" i="3"/>
  <c r="H72" i="16" l="1"/>
  <c r="T71" i="16"/>
  <c r="Z71" i="16" s="1"/>
  <c r="H72" i="9"/>
  <c r="T72" i="9" s="1"/>
  <c r="Z72" i="9" s="1"/>
  <c r="AA72" i="9" s="1"/>
  <c r="F72" i="15"/>
  <c r="O72" i="15" s="1"/>
  <c r="T72" i="15" s="1"/>
  <c r="F72" i="11"/>
  <c r="M72" i="11" s="1"/>
  <c r="P72" i="11" s="1"/>
  <c r="Q72" i="11" s="1"/>
  <c r="F72" i="7"/>
  <c r="O72" i="7" s="1"/>
  <c r="T72" i="7" s="1"/>
  <c r="U72" i="7" s="1"/>
  <c r="AT73" i="3"/>
  <c r="H73" i="9" l="1"/>
  <c r="T73" i="9" s="1"/>
  <c r="Z73" i="9" s="1"/>
  <c r="AA73" i="9" s="1"/>
  <c r="F73" i="15"/>
  <c r="O73" i="15" s="1"/>
  <c r="T73" i="15" s="1"/>
  <c r="F73" i="11"/>
  <c r="M73" i="11" s="1"/>
  <c r="P73" i="11" s="1"/>
  <c r="Q73" i="11" s="1"/>
  <c r="F73" i="7"/>
  <c r="O73" i="7" s="1"/>
  <c r="T73" i="7" s="1"/>
  <c r="U73" i="7" s="1"/>
  <c r="H73" i="16"/>
  <c r="T72" i="16"/>
  <c r="Z72" i="16" s="1"/>
  <c r="AT74" i="3"/>
  <c r="H74" i="9" l="1"/>
  <c r="T74" i="9" s="1"/>
  <c r="Z74" i="9" s="1"/>
  <c r="F74" i="15"/>
  <c r="O74" i="15" s="1"/>
  <c r="T74" i="15" s="1"/>
  <c r="F74" i="11"/>
  <c r="M74" i="11" s="1"/>
  <c r="P74" i="11" s="1"/>
  <c r="F74" i="7"/>
  <c r="O74" i="7" s="1"/>
  <c r="T74" i="7" s="1"/>
  <c r="H74" i="16"/>
  <c r="T73" i="16"/>
  <c r="Z73" i="16" s="1"/>
  <c r="P10" i="20" s="1"/>
  <c r="AT75" i="3"/>
  <c r="R10" i="20" l="1"/>
  <c r="U74" i="7"/>
  <c r="Q74" i="11"/>
  <c r="H75" i="9"/>
  <c r="T75" i="9" s="1"/>
  <c r="Z75" i="9" s="1"/>
  <c r="AA75" i="9" s="1"/>
  <c r="F75" i="15"/>
  <c r="O75" i="15" s="1"/>
  <c r="T75" i="15" s="1"/>
  <c r="F75" i="11"/>
  <c r="M75" i="11" s="1"/>
  <c r="P75" i="11" s="1"/>
  <c r="Q75" i="11" s="1"/>
  <c r="F75" i="7"/>
  <c r="O75" i="7" s="1"/>
  <c r="T75" i="7" s="1"/>
  <c r="U75" i="7" s="1"/>
  <c r="H75" i="16"/>
  <c r="T74" i="16"/>
  <c r="Z74" i="16" s="1"/>
  <c r="AA74" i="9"/>
  <c r="AT76" i="3"/>
  <c r="H76" i="9" l="1"/>
  <c r="T76" i="9" s="1"/>
  <c r="Z76" i="9" s="1"/>
  <c r="F76" i="15"/>
  <c r="O76" i="15" s="1"/>
  <c r="T76" i="15" s="1"/>
  <c r="F76" i="11"/>
  <c r="M76" i="11" s="1"/>
  <c r="P76" i="11" s="1"/>
  <c r="F76" i="7"/>
  <c r="O76" i="7" s="1"/>
  <c r="T76" i="7" s="1"/>
  <c r="U76" i="7" s="1"/>
  <c r="H76" i="16"/>
  <c r="T75" i="16"/>
  <c r="Z75" i="16" s="1"/>
  <c r="AT77" i="3"/>
  <c r="H77" i="9" l="1"/>
  <c r="T77" i="9" s="1"/>
  <c r="Z77" i="9" s="1"/>
  <c r="AA77" i="9" s="1"/>
  <c r="F77" i="15"/>
  <c r="O77" i="15" s="1"/>
  <c r="T77" i="15" s="1"/>
  <c r="F77" i="11"/>
  <c r="M77" i="11" s="1"/>
  <c r="P77" i="11" s="1"/>
  <c r="Q77" i="11" s="1"/>
  <c r="F77" i="7"/>
  <c r="O77" i="7" s="1"/>
  <c r="T77" i="7" s="1"/>
  <c r="Q76" i="11"/>
  <c r="T76" i="16"/>
  <c r="Z76" i="16" s="1"/>
  <c r="H77" i="16"/>
  <c r="AA76" i="9"/>
  <c r="AT78" i="3"/>
  <c r="H78" i="9" l="1"/>
  <c r="T78" i="9" s="1"/>
  <c r="Z78" i="9" s="1"/>
  <c r="F78" i="15"/>
  <c r="O78" i="15" s="1"/>
  <c r="T78" i="15" s="1"/>
  <c r="F78" i="11"/>
  <c r="M78" i="11" s="1"/>
  <c r="P78" i="11" s="1"/>
  <c r="F78" i="7"/>
  <c r="O78" i="7" s="1"/>
  <c r="T78" i="7" s="1"/>
  <c r="U78" i="7" s="1"/>
  <c r="U77" i="7"/>
  <c r="H78" i="16"/>
  <c r="T77" i="16"/>
  <c r="Z77" i="16" s="1"/>
  <c r="AT79" i="3"/>
  <c r="H79" i="9" l="1"/>
  <c r="T79" i="9" s="1"/>
  <c r="Z79" i="9" s="1"/>
  <c r="AA79" i="9" s="1"/>
  <c r="F79" i="15"/>
  <c r="O79" i="15" s="1"/>
  <c r="T79" i="15" s="1"/>
  <c r="F79" i="11"/>
  <c r="M79" i="11" s="1"/>
  <c r="P79" i="11" s="1"/>
  <c r="Q79" i="11" s="1"/>
  <c r="F79" i="7"/>
  <c r="O79" i="7" s="1"/>
  <c r="T79" i="7" s="1"/>
  <c r="H79" i="16"/>
  <c r="T78" i="16"/>
  <c r="Z78" i="16" s="1"/>
  <c r="Q78" i="11"/>
  <c r="AA78" i="9"/>
  <c r="AT80" i="3"/>
  <c r="U79" i="7" l="1"/>
  <c r="H80" i="9"/>
  <c r="T80" i="9" s="1"/>
  <c r="Z80" i="9" s="1"/>
  <c r="F80" i="15"/>
  <c r="O80" i="15" s="1"/>
  <c r="T80" i="15" s="1"/>
  <c r="F80" i="11"/>
  <c r="M80" i="11" s="1"/>
  <c r="P80" i="11" s="1"/>
  <c r="F80" i="7"/>
  <c r="O80" i="7" s="1"/>
  <c r="T80" i="7" s="1"/>
  <c r="U80" i="7" s="1"/>
  <c r="H80" i="16"/>
  <c r="T79" i="16"/>
  <c r="Z79" i="16" s="1"/>
  <c r="AT81" i="3"/>
  <c r="H81" i="9" l="1"/>
  <c r="T81" i="9" s="1"/>
  <c r="Z81" i="9" s="1"/>
  <c r="AA81" i="9" s="1"/>
  <c r="F81" i="15"/>
  <c r="O81" i="15" s="1"/>
  <c r="T81" i="15" s="1"/>
  <c r="F81" i="11"/>
  <c r="M81" i="11" s="1"/>
  <c r="P81" i="11" s="1"/>
  <c r="Q81" i="11" s="1"/>
  <c r="F81" i="7"/>
  <c r="O81" i="7" s="1"/>
  <c r="T81" i="7" s="1"/>
  <c r="T80" i="16"/>
  <c r="Z80" i="16" s="1"/>
  <c r="H81" i="16"/>
  <c r="AA80" i="9"/>
  <c r="Q80" i="11"/>
  <c r="AT82" i="3"/>
  <c r="U81" i="7" l="1"/>
  <c r="H82" i="16"/>
  <c r="T81" i="16"/>
  <c r="Z81" i="16" s="1"/>
  <c r="H82" i="9"/>
  <c r="T82" i="9" s="1"/>
  <c r="Z82" i="9" s="1"/>
  <c r="F82" i="15"/>
  <c r="O82" i="15" s="1"/>
  <c r="T82" i="15" s="1"/>
  <c r="F82" i="11"/>
  <c r="M82" i="11" s="1"/>
  <c r="P82" i="11" s="1"/>
  <c r="F82" i="7"/>
  <c r="O82" i="7" s="1"/>
  <c r="T82" i="7" s="1"/>
  <c r="U82" i="7" s="1"/>
  <c r="AT83" i="3"/>
  <c r="H83" i="9" l="1"/>
  <c r="T83" i="9" s="1"/>
  <c r="Z83" i="9" s="1"/>
  <c r="AA83" i="9" s="1"/>
  <c r="F83" i="15"/>
  <c r="O83" i="15" s="1"/>
  <c r="T83" i="15" s="1"/>
  <c r="F83" i="11"/>
  <c r="M83" i="11" s="1"/>
  <c r="P83" i="11" s="1"/>
  <c r="Q83" i="11" s="1"/>
  <c r="F83" i="7"/>
  <c r="O83" i="7" s="1"/>
  <c r="T83" i="7" s="1"/>
  <c r="U83" i="7" s="1"/>
  <c r="Q82" i="11"/>
  <c r="T82" i="16"/>
  <c r="Z82" i="16" s="1"/>
  <c r="H83" i="16"/>
  <c r="AA82" i="9"/>
  <c r="AT84" i="3"/>
  <c r="T83" i="16" l="1"/>
  <c r="Z83" i="16" s="1"/>
  <c r="H84" i="16"/>
  <c r="H84" i="9"/>
  <c r="T84" i="9" s="1"/>
  <c r="Z84" i="9" s="1"/>
  <c r="AA84" i="9" s="1"/>
  <c r="F84" i="15"/>
  <c r="O84" i="15" s="1"/>
  <c r="T84" i="15" s="1"/>
  <c r="F84" i="11"/>
  <c r="M84" i="11" s="1"/>
  <c r="P84" i="11" s="1"/>
  <c r="Q84" i="11" s="1"/>
  <c r="F84" i="7"/>
  <c r="O84" i="7" s="1"/>
  <c r="T84" i="7" s="1"/>
  <c r="U84" i="7" s="1"/>
  <c r="AT85" i="3"/>
  <c r="H85" i="9" l="1"/>
  <c r="T85" i="9" s="1"/>
  <c r="Z85" i="9" s="1"/>
  <c r="AA85" i="9" s="1"/>
  <c r="F85" i="15"/>
  <c r="O85" i="15" s="1"/>
  <c r="T85" i="15" s="1"/>
  <c r="F85" i="11"/>
  <c r="M85" i="11" s="1"/>
  <c r="P85" i="11" s="1"/>
  <c r="Q85" i="11" s="1"/>
  <c r="F85" i="7"/>
  <c r="O85" i="7" s="1"/>
  <c r="T85" i="7" s="1"/>
  <c r="U85" i="7" s="1"/>
  <c r="T84" i="16"/>
  <c r="Z84" i="16" s="1"/>
  <c r="H85" i="16"/>
  <c r="AT86" i="3"/>
  <c r="H86" i="9" l="1"/>
  <c r="T86" i="9" s="1"/>
  <c r="Z86" i="9" s="1"/>
  <c r="F86" i="15"/>
  <c r="O86" i="15" s="1"/>
  <c r="T86" i="15" s="1"/>
  <c r="F86" i="11"/>
  <c r="M86" i="11" s="1"/>
  <c r="P86" i="11" s="1"/>
  <c r="F86" i="7"/>
  <c r="O86" i="7" s="1"/>
  <c r="T86" i="7" s="1"/>
  <c r="T85" i="16"/>
  <c r="Z85" i="16" s="1"/>
  <c r="H86" i="16"/>
  <c r="AT87" i="3"/>
  <c r="H87" i="16" l="1"/>
  <c r="T86" i="16"/>
  <c r="Z86" i="16" s="1"/>
  <c r="U86" i="7"/>
  <c r="Q86" i="11"/>
  <c r="H87" i="9"/>
  <c r="T87" i="9" s="1"/>
  <c r="Z87" i="9" s="1"/>
  <c r="AA87" i="9" s="1"/>
  <c r="F87" i="15"/>
  <c r="O87" i="15" s="1"/>
  <c r="T87" i="15" s="1"/>
  <c r="F87" i="11"/>
  <c r="M87" i="11" s="1"/>
  <c r="P87" i="11" s="1"/>
  <c r="Q87" i="11" s="1"/>
  <c r="F87" i="7"/>
  <c r="O87" i="7" s="1"/>
  <c r="T87" i="7" s="1"/>
  <c r="U87" i="7" s="1"/>
  <c r="AA86" i="9"/>
  <c r="AT88" i="3"/>
  <c r="H88" i="9" l="1"/>
  <c r="T88" i="9" s="1"/>
  <c r="Z88" i="9" s="1"/>
  <c r="F88" i="15"/>
  <c r="O88" i="15" s="1"/>
  <c r="T88" i="15" s="1"/>
  <c r="F88" i="11"/>
  <c r="M88" i="11" s="1"/>
  <c r="P88" i="11" s="1"/>
  <c r="F88" i="7"/>
  <c r="O88" i="7" s="1"/>
  <c r="T88" i="7" s="1"/>
  <c r="U88" i="7" s="1"/>
  <c r="H88" i="16"/>
  <c r="T87" i="16"/>
  <c r="Z87" i="16" s="1"/>
  <c r="AT89" i="3"/>
  <c r="H89" i="9" l="1"/>
  <c r="T89" i="9" s="1"/>
  <c r="Z89" i="9" s="1"/>
  <c r="AA89" i="9" s="1"/>
  <c r="F89" i="15"/>
  <c r="O89" i="15" s="1"/>
  <c r="T89" i="15" s="1"/>
  <c r="F89" i="11"/>
  <c r="M89" i="11" s="1"/>
  <c r="P89" i="11" s="1"/>
  <c r="Q89" i="11" s="1"/>
  <c r="F89" i="7"/>
  <c r="O89" i="7" s="1"/>
  <c r="T89" i="7" s="1"/>
  <c r="H89" i="16"/>
  <c r="T88" i="16"/>
  <c r="Z88" i="16" s="1"/>
  <c r="Q88" i="11"/>
  <c r="AA88" i="9"/>
  <c r="AT90" i="3"/>
  <c r="U89" i="7" l="1"/>
  <c r="H90" i="9"/>
  <c r="T90" i="9" s="1"/>
  <c r="Z90" i="9" s="1"/>
  <c r="F90" i="15"/>
  <c r="O90" i="15" s="1"/>
  <c r="T90" i="15" s="1"/>
  <c r="F90" i="11"/>
  <c r="M90" i="11" s="1"/>
  <c r="P90" i="11" s="1"/>
  <c r="F90" i="7"/>
  <c r="O90" i="7" s="1"/>
  <c r="T90" i="7" s="1"/>
  <c r="U90" i="7" s="1"/>
  <c r="T89" i="16"/>
  <c r="Z89" i="16" s="1"/>
  <c r="H90" i="16"/>
  <c r="AT91" i="3"/>
  <c r="H91" i="16" l="1"/>
  <c r="T90" i="16"/>
  <c r="Z90" i="16" s="1"/>
  <c r="H91" i="9"/>
  <c r="T91" i="9" s="1"/>
  <c r="Z91" i="9" s="1"/>
  <c r="AA91" i="9" s="1"/>
  <c r="F91" i="15"/>
  <c r="O91" i="15" s="1"/>
  <c r="T91" i="15" s="1"/>
  <c r="F91" i="11"/>
  <c r="M91" i="11" s="1"/>
  <c r="P91" i="11" s="1"/>
  <c r="Q91" i="11" s="1"/>
  <c r="F91" i="7"/>
  <c r="O91" i="7" s="1"/>
  <c r="T91" i="7" s="1"/>
  <c r="AA90" i="9"/>
  <c r="Q90" i="11"/>
  <c r="AT92" i="3"/>
  <c r="U91" i="7" l="1"/>
  <c r="H92" i="9"/>
  <c r="T92" i="9" s="1"/>
  <c r="Z92" i="9" s="1"/>
  <c r="F92" i="15"/>
  <c r="O92" i="15" s="1"/>
  <c r="T92" i="15" s="1"/>
  <c r="F92" i="11"/>
  <c r="M92" i="11" s="1"/>
  <c r="P92" i="11" s="1"/>
  <c r="F92" i="7"/>
  <c r="O92" i="7" s="1"/>
  <c r="T92" i="7" s="1"/>
  <c r="U92" i="7" s="1"/>
  <c r="H92" i="16"/>
  <c r="T91" i="16"/>
  <c r="Z91" i="16" s="1"/>
  <c r="AT93" i="3"/>
  <c r="H93" i="9" l="1"/>
  <c r="T93" i="9" s="1"/>
  <c r="Z93" i="9" s="1"/>
  <c r="AA93" i="9" s="1"/>
  <c r="F93" i="15"/>
  <c r="O93" i="15" s="1"/>
  <c r="T93" i="15" s="1"/>
  <c r="F93" i="11"/>
  <c r="M93" i="11" s="1"/>
  <c r="P93" i="11" s="1"/>
  <c r="Q93" i="11" s="1"/>
  <c r="F93" i="7"/>
  <c r="O93" i="7" s="1"/>
  <c r="T93" i="7" s="1"/>
  <c r="H93" i="16"/>
  <c r="T92" i="16"/>
  <c r="Z92" i="16" s="1"/>
  <c r="AA92" i="9"/>
  <c r="Q92" i="11"/>
  <c r="AT94" i="3"/>
  <c r="U93" i="7" l="1"/>
  <c r="H94" i="9"/>
  <c r="T94" i="9" s="1"/>
  <c r="Z94" i="9" s="1"/>
  <c r="F94" i="15"/>
  <c r="O94" i="15" s="1"/>
  <c r="T94" i="15" s="1"/>
  <c r="F94" i="11"/>
  <c r="M94" i="11" s="1"/>
  <c r="P94" i="11" s="1"/>
  <c r="F94" i="7"/>
  <c r="O94" i="7" s="1"/>
  <c r="T94" i="7" s="1"/>
  <c r="U94" i="7" s="1"/>
  <c r="H94" i="16"/>
  <c r="T93" i="16"/>
  <c r="Z93" i="16" s="1"/>
  <c r="AT95" i="3"/>
  <c r="H95" i="9" l="1"/>
  <c r="T95" i="9" s="1"/>
  <c r="Z95" i="9" s="1"/>
  <c r="AA95" i="9" s="1"/>
  <c r="F95" i="15"/>
  <c r="O95" i="15" s="1"/>
  <c r="T95" i="15" s="1"/>
  <c r="F95" i="11"/>
  <c r="M95" i="11" s="1"/>
  <c r="P95" i="11" s="1"/>
  <c r="Q95" i="11" s="1"/>
  <c r="F95" i="7"/>
  <c r="O95" i="7" s="1"/>
  <c r="T95" i="7" s="1"/>
  <c r="U95" i="7" s="1"/>
  <c r="H95" i="16"/>
  <c r="T94" i="16"/>
  <c r="Z94" i="16" s="1"/>
  <c r="AA94" i="9"/>
  <c r="Q94" i="11"/>
  <c r="AT96" i="3"/>
  <c r="H96" i="9" l="1"/>
  <c r="T96" i="9" s="1"/>
  <c r="Z96" i="9" s="1"/>
  <c r="AA96" i="9" s="1"/>
  <c r="F96" i="15"/>
  <c r="O96" i="15" s="1"/>
  <c r="T96" i="15" s="1"/>
  <c r="F96" i="11"/>
  <c r="M96" i="11" s="1"/>
  <c r="P96" i="11" s="1"/>
  <c r="Q96" i="11" s="1"/>
  <c r="F96" i="7"/>
  <c r="O96" i="7" s="1"/>
  <c r="T96" i="7" s="1"/>
  <c r="U96" i="7" s="1"/>
  <c r="H96" i="16"/>
  <c r="T95" i="16"/>
  <c r="Z95" i="16" s="1"/>
  <c r="AT97" i="3"/>
  <c r="H97" i="9" l="1"/>
  <c r="T97" i="9" s="1"/>
  <c r="Z97" i="9" s="1"/>
  <c r="AA97" i="9" s="1"/>
  <c r="F97" i="15"/>
  <c r="O97" i="15" s="1"/>
  <c r="T97" i="15" s="1"/>
  <c r="F97" i="11"/>
  <c r="M97" i="11" s="1"/>
  <c r="P97" i="11" s="1"/>
  <c r="Q97" i="11" s="1"/>
  <c r="F97" i="7"/>
  <c r="O97" i="7" s="1"/>
  <c r="T97" i="7" s="1"/>
  <c r="U97" i="7" s="1"/>
  <c r="H97" i="16"/>
  <c r="T96" i="16"/>
  <c r="Z96" i="16" s="1"/>
  <c r="AT98" i="3"/>
  <c r="H98" i="9" l="1"/>
  <c r="T98" i="9" s="1"/>
  <c r="Z98" i="9" s="1"/>
  <c r="F98" i="15"/>
  <c r="O98" i="15" s="1"/>
  <c r="T98" i="15" s="1"/>
  <c r="F98" i="11"/>
  <c r="M98" i="11" s="1"/>
  <c r="P98" i="11" s="1"/>
  <c r="F98" i="7"/>
  <c r="O98" i="7" s="1"/>
  <c r="T98" i="7" s="1"/>
  <c r="H98" i="16"/>
  <c r="T97" i="16"/>
  <c r="Z97" i="16" s="1"/>
  <c r="AT99" i="3"/>
  <c r="H99" i="9" l="1"/>
  <c r="T99" i="9" s="1"/>
  <c r="Z99" i="9" s="1"/>
  <c r="AA99" i="9" s="1"/>
  <c r="F99" i="15"/>
  <c r="O99" i="15" s="1"/>
  <c r="T99" i="15" s="1"/>
  <c r="F99" i="11"/>
  <c r="M99" i="11" s="1"/>
  <c r="P99" i="11" s="1"/>
  <c r="Q99" i="11" s="1"/>
  <c r="F99" i="7"/>
  <c r="O99" i="7" s="1"/>
  <c r="T99" i="7" s="1"/>
  <c r="U99" i="7" s="1"/>
  <c r="U98" i="7"/>
  <c r="H99" i="16"/>
  <c r="T98" i="16"/>
  <c r="Z98" i="16" s="1"/>
  <c r="Q98" i="11"/>
  <c r="AA98" i="9"/>
  <c r="AT100" i="3"/>
  <c r="H100" i="16" l="1"/>
  <c r="T99" i="16"/>
  <c r="Z99" i="16" s="1"/>
  <c r="H100" i="9"/>
  <c r="T100" i="9" s="1"/>
  <c r="Z100" i="9" s="1"/>
  <c r="F100" i="15"/>
  <c r="O100" i="15" s="1"/>
  <c r="T100" i="15" s="1"/>
  <c r="F100" i="11"/>
  <c r="M100" i="11" s="1"/>
  <c r="P100" i="11" s="1"/>
  <c r="F100" i="7"/>
  <c r="O100" i="7" s="1"/>
  <c r="T100" i="7" s="1"/>
  <c r="AT101" i="3"/>
  <c r="AA100" i="9" l="1"/>
  <c r="U100" i="7"/>
  <c r="H101" i="9"/>
  <c r="T101" i="9" s="1"/>
  <c r="Z101" i="9" s="1"/>
  <c r="AA101" i="9" s="1"/>
  <c r="F101" i="15"/>
  <c r="O101" i="15" s="1"/>
  <c r="T101" i="15" s="1"/>
  <c r="F101" i="11"/>
  <c r="M101" i="11" s="1"/>
  <c r="P101" i="11" s="1"/>
  <c r="Q101" i="11" s="1"/>
  <c r="F101" i="7"/>
  <c r="O101" i="7" s="1"/>
  <c r="T101" i="7" s="1"/>
  <c r="U101" i="7" s="1"/>
  <c r="Q100" i="11"/>
  <c r="H101" i="16"/>
  <c r="T100" i="16"/>
  <c r="Z100" i="16" s="1"/>
  <c r="AT102" i="3"/>
  <c r="H102" i="9" l="1"/>
  <c r="T102" i="9" s="1"/>
  <c r="Z102" i="9" s="1"/>
  <c r="F102" i="15"/>
  <c r="O102" i="15" s="1"/>
  <c r="T102" i="15" s="1"/>
  <c r="F102" i="11"/>
  <c r="M102" i="11" s="1"/>
  <c r="P102" i="11" s="1"/>
  <c r="Q102" i="11" s="1"/>
  <c r="F102" i="7"/>
  <c r="O102" i="7" s="1"/>
  <c r="T102" i="7" s="1"/>
  <c r="T101" i="16"/>
  <c r="Z101" i="16" s="1"/>
  <c r="H102" i="16"/>
  <c r="AT103" i="3"/>
  <c r="U102" i="7" l="1"/>
  <c r="H103" i="9"/>
  <c r="T103" i="9" s="1"/>
  <c r="Z103" i="9" s="1"/>
  <c r="AA103" i="9" s="1"/>
  <c r="F103" i="15"/>
  <c r="O103" i="15" s="1"/>
  <c r="T103" i="15" s="1"/>
  <c r="F103" i="11"/>
  <c r="M103" i="11" s="1"/>
  <c r="P103" i="11" s="1"/>
  <c r="F103" i="7"/>
  <c r="O103" i="7" s="1"/>
  <c r="T103" i="7" s="1"/>
  <c r="U103" i="7" s="1"/>
  <c r="T102" i="16"/>
  <c r="Z102" i="16" s="1"/>
  <c r="H103" i="16"/>
  <c r="AA102" i="9"/>
  <c r="AT104" i="3"/>
  <c r="H104" i="9" l="1"/>
  <c r="T104" i="9" s="1"/>
  <c r="Z104" i="9" s="1"/>
  <c r="F104" i="15"/>
  <c r="O104" i="15" s="1"/>
  <c r="T104" i="15" s="1"/>
  <c r="F104" i="11"/>
  <c r="M104" i="11" s="1"/>
  <c r="P104" i="11" s="1"/>
  <c r="Q104" i="11" s="1"/>
  <c r="F104" i="7"/>
  <c r="O104" i="7" s="1"/>
  <c r="T104" i="7" s="1"/>
  <c r="Q103" i="11"/>
  <c r="H104" i="16"/>
  <c r="T103" i="16"/>
  <c r="Z103" i="16" s="1"/>
  <c r="AT105" i="3"/>
  <c r="U104" i="7" l="1"/>
  <c r="H105" i="16"/>
  <c r="T104" i="16"/>
  <c r="Z104" i="16" s="1"/>
  <c r="H105" i="9"/>
  <c r="T105" i="9" s="1"/>
  <c r="Z105" i="9" s="1"/>
  <c r="AA105" i="9" s="1"/>
  <c r="F105" i="15"/>
  <c r="O105" i="15" s="1"/>
  <c r="T105" i="15" s="1"/>
  <c r="F105" i="11"/>
  <c r="M105" i="11" s="1"/>
  <c r="P105" i="11" s="1"/>
  <c r="F105" i="7"/>
  <c r="O105" i="7" s="1"/>
  <c r="T105" i="7" s="1"/>
  <c r="U105" i="7" s="1"/>
  <c r="AA104" i="9"/>
  <c r="AT106" i="3"/>
  <c r="Q105" i="11" l="1"/>
  <c r="H106" i="16"/>
  <c r="T105" i="16"/>
  <c r="Z105" i="16" s="1"/>
  <c r="H106" i="9"/>
  <c r="T106" i="9" s="1"/>
  <c r="Z106" i="9" s="1"/>
  <c r="F106" i="15"/>
  <c r="O106" i="15" s="1"/>
  <c r="T106" i="15" s="1"/>
  <c r="F106" i="11"/>
  <c r="M106" i="11" s="1"/>
  <c r="P106" i="11" s="1"/>
  <c r="Q106" i="11" s="1"/>
  <c r="F106" i="7"/>
  <c r="O106" i="7" s="1"/>
  <c r="T106" i="7" s="1"/>
  <c r="AT107" i="3"/>
  <c r="U106" i="7" l="1"/>
  <c r="H107" i="9"/>
  <c r="T107" i="9" s="1"/>
  <c r="Z107" i="9" s="1"/>
  <c r="AA107" i="9" s="1"/>
  <c r="F107" i="15"/>
  <c r="O107" i="15" s="1"/>
  <c r="T107" i="15" s="1"/>
  <c r="F107" i="11"/>
  <c r="M107" i="11" s="1"/>
  <c r="P107" i="11" s="1"/>
  <c r="Q107" i="11" s="1"/>
  <c r="F107" i="7"/>
  <c r="O107" i="7" s="1"/>
  <c r="T107" i="7" s="1"/>
  <c r="U107" i="7" s="1"/>
  <c r="H107" i="16"/>
  <c r="T106" i="16"/>
  <c r="Z106" i="16" s="1"/>
  <c r="AA106" i="9"/>
  <c r="AT108" i="3"/>
  <c r="H108" i="16" l="1"/>
  <c r="T107" i="16"/>
  <c r="Z107" i="16" s="1"/>
  <c r="H108" i="9"/>
  <c r="T108" i="9" s="1"/>
  <c r="Z108" i="9" s="1"/>
  <c r="AA108" i="9" s="1"/>
  <c r="F108" i="15"/>
  <c r="O108" i="15" s="1"/>
  <c r="T108" i="15" s="1"/>
  <c r="F108" i="11"/>
  <c r="M108" i="11" s="1"/>
  <c r="P108" i="11" s="1"/>
  <c r="Q108" i="11" s="1"/>
  <c r="F108" i="7"/>
  <c r="O108" i="7" s="1"/>
  <c r="T108" i="7" s="1"/>
  <c r="U108" i="7" s="1"/>
  <c r="AT109" i="3"/>
  <c r="H109" i="9" l="1"/>
  <c r="T109" i="9" s="1"/>
  <c r="Z109" i="9" s="1"/>
  <c r="AA109" i="9" s="1"/>
  <c r="F109" i="15"/>
  <c r="O109" i="15" s="1"/>
  <c r="T109" i="15" s="1"/>
  <c r="F109" i="11"/>
  <c r="M109" i="11" s="1"/>
  <c r="P109" i="11" s="1"/>
  <c r="Q109" i="11" s="1"/>
  <c r="F109" i="7"/>
  <c r="O109" i="7" s="1"/>
  <c r="T109" i="7" s="1"/>
  <c r="U109" i="7" s="1"/>
  <c r="H109" i="16"/>
  <c r="T108" i="16"/>
  <c r="Z108" i="16" s="1"/>
  <c r="AT110" i="3"/>
  <c r="H110" i="9" l="1"/>
  <c r="T110" i="9" s="1"/>
  <c r="Z110" i="9" s="1"/>
  <c r="F110" i="15"/>
  <c r="O110" i="15" s="1"/>
  <c r="T110" i="15" s="1"/>
  <c r="F110" i="11"/>
  <c r="M110" i="11" s="1"/>
  <c r="P110" i="11" s="1"/>
  <c r="F110" i="7"/>
  <c r="O110" i="7" s="1"/>
  <c r="T110" i="7" s="1"/>
  <c r="H110" i="16"/>
  <c r="T109" i="16"/>
  <c r="Z109" i="16" s="1"/>
  <c r="AT111" i="3"/>
  <c r="U110" i="7" l="1"/>
  <c r="Q110" i="11"/>
  <c r="H111" i="9"/>
  <c r="T111" i="9" s="1"/>
  <c r="Z111" i="9" s="1"/>
  <c r="AA111" i="9" s="1"/>
  <c r="F111" i="15"/>
  <c r="O111" i="15" s="1"/>
  <c r="T111" i="15" s="1"/>
  <c r="F111" i="11"/>
  <c r="M111" i="11" s="1"/>
  <c r="P111" i="11" s="1"/>
  <c r="Q111" i="11" s="1"/>
  <c r="F111" i="7"/>
  <c r="O111" i="7" s="1"/>
  <c r="T111" i="7" s="1"/>
  <c r="U111" i="7" s="1"/>
  <c r="H111" i="16"/>
  <c r="T110" i="16"/>
  <c r="Z110" i="16" s="1"/>
  <c r="AA110" i="9"/>
  <c r="AT112" i="3"/>
  <c r="H112" i="9" l="1"/>
  <c r="T112" i="9" s="1"/>
  <c r="Z112" i="9" s="1"/>
  <c r="F112" i="15"/>
  <c r="O112" i="15" s="1"/>
  <c r="T112" i="15" s="1"/>
  <c r="F112" i="11"/>
  <c r="M112" i="11" s="1"/>
  <c r="P112" i="11" s="1"/>
  <c r="F112" i="7"/>
  <c r="O112" i="7" s="1"/>
  <c r="T112" i="7" s="1"/>
  <c r="U112" i="7" s="1"/>
  <c r="H112" i="16"/>
  <c r="T111" i="16"/>
  <c r="Z111" i="16" s="1"/>
  <c r="AT113" i="3"/>
  <c r="Q112" i="11" l="1"/>
  <c r="H113" i="9"/>
  <c r="T113" i="9" s="1"/>
  <c r="Z113" i="9" s="1"/>
  <c r="AA113" i="9" s="1"/>
  <c r="F113" i="15"/>
  <c r="O113" i="15" s="1"/>
  <c r="T113" i="15" s="1"/>
  <c r="F113" i="11"/>
  <c r="M113" i="11" s="1"/>
  <c r="P113" i="11" s="1"/>
  <c r="Q113" i="11" s="1"/>
  <c r="F113" i="7"/>
  <c r="O113" i="7" s="1"/>
  <c r="T113" i="7" s="1"/>
  <c r="H113" i="16"/>
  <c r="T112" i="16"/>
  <c r="Z112" i="16" s="1"/>
  <c r="AA112" i="9"/>
  <c r="AT114" i="3"/>
  <c r="T113" i="16" l="1"/>
  <c r="Z113" i="16" s="1"/>
  <c r="H114" i="16"/>
  <c r="U113" i="7"/>
  <c r="H114" i="9"/>
  <c r="T114" i="9" s="1"/>
  <c r="Z114" i="9" s="1"/>
  <c r="F114" i="15"/>
  <c r="O114" i="15" s="1"/>
  <c r="T114" i="15" s="1"/>
  <c r="F114" i="11"/>
  <c r="M114" i="11" s="1"/>
  <c r="P114" i="11" s="1"/>
  <c r="F114" i="7"/>
  <c r="O114" i="7" s="1"/>
  <c r="T114" i="7" s="1"/>
  <c r="U114" i="7" s="1"/>
  <c r="AT115" i="3"/>
  <c r="H115" i="9" l="1"/>
  <c r="T115" i="9" s="1"/>
  <c r="Z115" i="9" s="1"/>
  <c r="AA115" i="9" s="1"/>
  <c r="F115" i="15"/>
  <c r="O115" i="15" s="1"/>
  <c r="T115" i="15" s="1"/>
  <c r="F115" i="11"/>
  <c r="M115" i="11" s="1"/>
  <c r="P115" i="11" s="1"/>
  <c r="Q115" i="11" s="1"/>
  <c r="F115" i="7"/>
  <c r="O115" i="7" s="1"/>
  <c r="T115" i="7" s="1"/>
  <c r="Q114" i="11"/>
  <c r="H115" i="16"/>
  <c r="T114" i="16"/>
  <c r="Z114" i="16" s="1"/>
  <c r="AA114" i="9"/>
  <c r="AT116" i="3"/>
  <c r="H116" i="16" l="1"/>
  <c r="T115" i="16"/>
  <c r="Z115" i="16" s="1"/>
  <c r="U115" i="7"/>
  <c r="H116" i="9"/>
  <c r="T116" i="9" s="1"/>
  <c r="Z116" i="9" s="1"/>
  <c r="F116" i="15"/>
  <c r="O116" i="15" s="1"/>
  <c r="T116" i="15" s="1"/>
  <c r="F116" i="11"/>
  <c r="M116" i="11" s="1"/>
  <c r="P116" i="11" s="1"/>
  <c r="F116" i="7"/>
  <c r="O116" i="7" s="1"/>
  <c r="T116" i="7" s="1"/>
  <c r="U116" i="7" s="1"/>
  <c r="AT117" i="3"/>
  <c r="Q116" i="11" l="1"/>
  <c r="H117" i="9"/>
  <c r="T117" i="9" s="1"/>
  <c r="Z117" i="9" s="1"/>
  <c r="AA117" i="9" s="1"/>
  <c r="F117" i="15"/>
  <c r="O117" i="15" s="1"/>
  <c r="T117" i="15" s="1"/>
  <c r="F117" i="11"/>
  <c r="M117" i="11" s="1"/>
  <c r="P117" i="11" s="1"/>
  <c r="Q117" i="11" s="1"/>
  <c r="F117" i="7"/>
  <c r="O117" i="7" s="1"/>
  <c r="T117" i="7" s="1"/>
  <c r="AA116" i="9"/>
  <c r="H117" i="16"/>
  <c r="T116" i="16"/>
  <c r="Z116" i="16" s="1"/>
  <c r="AT118" i="3"/>
  <c r="U117" i="7" l="1"/>
  <c r="H118" i="9"/>
  <c r="T118" i="9" s="1"/>
  <c r="Z118" i="9" s="1"/>
  <c r="F118" i="15"/>
  <c r="O118" i="15" s="1"/>
  <c r="T118" i="15" s="1"/>
  <c r="F118" i="11"/>
  <c r="M118" i="11" s="1"/>
  <c r="P118" i="11" s="1"/>
  <c r="F118" i="7"/>
  <c r="O118" i="7" s="1"/>
  <c r="T118" i="7" s="1"/>
  <c r="U118" i="7" s="1"/>
  <c r="H118" i="16"/>
  <c r="T117" i="16"/>
  <c r="Z117" i="16" s="1"/>
  <c r="AT119" i="3"/>
  <c r="H119" i="9" l="1"/>
  <c r="T119" i="9" s="1"/>
  <c r="Z119" i="9" s="1"/>
  <c r="AA119" i="9" s="1"/>
  <c r="F119" i="15"/>
  <c r="O119" i="15" s="1"/>
  <c r="T119" i="15" s="1"/>
  <c r="F119" i="11"/>
  <c r="M119" i="11" s="1"/>
  <c r="P119" i="11" s="1"/>
  <c r="Q119" i="11" s="1"/>
  <c r="F119" i="7"/>
  <c r="O119" i="7" s="1"/>
  <c r="T119" i="7" s="1"/>
  <c r="U119" i="7" s="1"/>
  <c r="H119" i="16"/>
  <c r="T118" i="16"/>
  <c r="Z118" i="16" s="1"/>
  <c r="AA118" i="9"/>
  <c r="Q118" i="11"/>
  <c r="AT120" i="3"/>
  <c r="H120" i="9" l="1"/>
  <c r="T120" i="9" s="1"/>
  <c r="Z120" i="9" s="1"/>
  <c r="AA120" i="9" s="1"/>
  <c r="F120" i="15"/>
  <c r="O120" i="15" s="1"/>
  <c r="T120" i="15" s="1"/>
  <c r="F120" i="11"/>
  <c r="M120" i="11" s="1"/>
  <c r="P120" i="11" s="1"/>
  <c r="Q120" i="11" s="1"/>
  <c r="F120" i="7"/>
  <c r="O120" i="7" s="1"/>
  <c r="T120" i="7" s="1"/>
  <c r="U120" i="7" s="1"/>
  <c r="H120" i="16"/>
  <c r="T119" i="16"/>
  <c r="Z119" i="16" s="1"/>
  <c r="P11" i="20"/>
  <c r="P12" i="20"/>
  <c r="P13" i="20"/>
  <c r="R13" i="20" s="1"/>
  <c r="AT121" i="3"/>
  <c r="H121" i="9" l="1"/>
  <c r="T121" i="9" s="1"/>
  <c r="Z121" i="9" s="1"/>
  <c r="F121" i="15"/>
  <c r="F121" i="11"/>
  <c r="M121" i="11" s="1"/>
  <c r="P121" i="11" s="1"/>
  <c r="F121" i="7"/>
  <c r="O121" i="7" s="1"/>
  <c r="T121" i="7" s="1"/>
  <c r="H121" i="16"/>
  <c r="T120" i="16"/>
  <c r="Z120" i="16" s="1"/>
  <c r="R12" i="20"/>
  <c r="R11" i="20"/>
  <c r="O121" i="15" l="1"/>
  <c r="T121" i="15" s="1"/>
  <c r="F122" i="15"/>
  <c r="U121" i="7"/>
  <c r="U122" i="7" s="1"/>
  <c r="E16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Q121" i="11"/>
  <c r="Q122" i="11" s="1"/>
  <c r="O16" i="14" s="1"/>
  <c r="N8" i="14"/>
  <c r="O8" i="14" s="1"/>
  <c r="N9" i="14"/>
  <c r="O9" i="14" s="1"/>
  <c r="N10" i="14"/>
  <c r="O10" i="14" s="1"/>
  <c r="N11" i="14"/>
  <c r="O11" i="14" s="1"/>
  <c r="N12" i="14"/>
  <c r="O12" i="14" s="1"/>
  <c r="N13" i="14"/>
  <c r="O13" i="14" s="1"/>
  <c r="H122" i="16"/>
  <c r="T121" i="16"/>
  <c r="Z121" i="16" s="1"/>
  <c r="P14" i="20" s="1"/>
  <c r="R14" i="20" s="1"/>
  <c r="H4" i="23" s="1"/>
  <c r="AA121" i="9"/>
  <c r="AA122" i="9" s="1"/>
  <c r="J16" i="14" s="1"/>
  <c r="I8" i="14"/>
  <c r="J8" i="14" s="1"/>
  <c r="I9" i="14"/>
  <c r="J9" i="14" s="1"/>
  <c r="I10" i="14"/>
  <c r="J10" i="14" s="1"/>
  <c r="I11" i="14"/>
  <c r="J11" i="14" s="1"/>
  <c r="I12" i="14"/>
  <c r="J12" i="14" s="1"/>
  <c r="I13" i="14"/>
  <c r="J13" i="14" s="1"/>
  <c r="O122" i="15" l="1"/>
  <c r="T122" i="15" s="1"/>
  <c r="F123" i="15"/>
  <c r="J15" i="14"/>
  <c r="H123" i="16"/>
  <c r="T122" i="16"/>
  <c r="Z122" i="16" s="1"/>
  <c r="O15" i="14"/>
  <c r="E15" i="14"/>
  <c r="F124" i="15" l="1"/>
  <c r="O123" i="15"/>
  <c r="T123" i="15" s="1"/>
  <c r="H124" i="16"/>
  <c r="T123" i="16"/>
  <c r="Z123" i="16" s="1"/>
  <c r="H125" i="16" l="1"/>
  <c r="T124" i="16"/>
  <c r="Z124" i="16" s="1"/>
  <c r="F125" i="15"/>
  <c r="O124" i="15"/>
  <c r="T124" i="15" s="1"/>
  <c r="F126" i="15" l="1"/>
  <c r="O125" i="15"/>
  <c r="T125" i="15" s="1"/>
  <c r="H126" i="16"/>
  <c r="T125" i="16"/>
  <c r="Z125" i="16" s="1"/>
  <c r="H127" i="16" l="1"/>
  <c r="T126" i="16"/>
  <c r="Z126" i="16" s="1"/>
  <c r="O126" i="15"/>
  <c r="T126" i="15" s="1"/>
  <c r="F127" i="15"/>
  <c r="T127" i="16" l="1"/>
  <c r="Z127" i="16" s="1"/>
  <c r="H128" i="16"/>
  <c r="O127" i="15"/>
  <c r="T127" i="15" s="1"/>
  <c r="F128" i="15"/>
  <c r="T128" i="16" l="1"/>
  <c r="Z128" i="16" s="1"/>
  <c r="H129" i="16"/>
  <c r="F129" i="15"/>
  <c r="O128" i="15"/>
  <c r="T128" i="15" s="1"/>
  <c r="F130" i="15" l="1"/>
  <c r="O129" i="15"/>
  <c r="T129" i="15" s="1"/>
  <c r="H130" i="16"/>
  <c r="T129" i="16"/>
  <c r="Z129" i="16" s="1"/>
  <c r="H131" i="16" l="1"/>
  <c r="T130" i="16"/>
  <c r="Z130" i="16" s="1"/>
  <c r="O130" i="15"/>
  <c r="T130" i="15" s="1"/>
  <c r="F131" i="15"/>
  <c r="F132" i="15" l="1"/>
  <c r="O131" i="15"/>
  <c r="T131" i="15" s="1"/>
  <c r="H132" i="16"/>
  <c r="T131" i="16"/>
  <c r="Z131" i="16" s="1"/>
  <c r="H133" i="16" l="1"/>
  <c r="T132" i="16"/>
  <c r="Z132" i="16" s="1"/>
  <c r="F133" i="15"/>
  <c r="O132" i="15"/>
  <c r="T132" i="15" s="1"/>
  <c r="O133" i="15" l="1"/>
  <c r="T133" i="15" s="1"/>
  <c r="F134" i="15"/>
  <c r="T133" i="16"/>
  <c r="Z133" i="16" s="1"/>
  <c r="H134" i="16"/>
  <c r="H135" i="16" l="1"/>
  <c r="T134" i="16"/>
  <c r="Z134" i="16" s="1"/>
  <c r="F135" i="15"/>
  <c r="O134" i="15"/>
  <c r="T134" i="15" s="1"/>
  <c r="O135" i="15" l="1"/>
  <c r="T135" i="15" s="1"/>
  <c r="F136" i="15"/>
  <c r="T135" i="16"/>
  <c r="Z135" i="16" s="1"/>
  <c r="H136" i="16"/>
  <c r="H137" i="16" l="1"/>
  <c r="T136" i="16"/>
  <c r="Z136" i="16" s="1"/>
  <c r="O136" i="15"/>
  <c r="T136" i="15" s="1"/>
  <c r="F137" i="15"/>
  <c r="O137" i="15" l="1"/>
  <c r="T137" i="15" s="1"/>
  <c r="F138" i="15"/>
  <c r="T137" i="16"/>
  <c r="Z137" i="16" s="1"/>
  <c r="H138" i="16"/>
  <c r="T138" i="16" l="1"/>
  <c r="Z138" i="16" s="1"/>
  <c r="H139" i="16"/>
  <c r="F139" i="15"/>
  <c r="O138" i="15"/>
  <c r="T138" i="15" s="1"/>
  <c r="O139" i="15" l="1"/>
  <c r="T139" i="15" s="1"/>
  <c r="F140" i="15"/>
  <c r="H140" i="16"/>
  <c r="T139" i="16"/>
  <c r="Z139" i="16" s="1"/>
  <c r="T140" i="16" l="1"/>
  <c r="Z140" i="16" s="1"/>
  <c r="H141" i="16"/>
  <c r="O140" i="15"/>
  <c r="T140" i="15" s="1"/>
  <c r="F141" i="15"/>
  <c r="O141" i="15" l="1"/>
  <c r="T141" i="15" s="1"/>
  <c r="F142" i="15"/>
  <c r="H142" i="16"/>
  <c r="T141" i="16"/>
  <c r="Z141" i="16" s="1"/>
  <c r="H143" i="16" l="1"/>
  <c r="T142" i="16"/>
  <c r="Z142" i="16" s="1"/>
  <c r="F143" i="15"/>
  <c r="O142" i="15"/>
  <c r="T142" i="15" s="1"/>
  <c r="F144" i="15" l="1"/>
  <c r="O143" i="15"/>
  <c r="T143" i="15" s="1"/>
  <c r="H144" i="16"/>
  <c r="T143" i="16"/>
  <c r="Z143" i="16" s="1"/>
  <c r="T144" i="16" l="1"/>
  <c r="Z144" i="16" s="1"/>
  <c r="H145" i="16"/>
  <c r="T145" i="16" s="1"/>
  <c r="Z145" i="16" s="1"/>
  <c r="O144" i="15"/>
  <c r="T144" i="15" s="1"/>
  <c r="F145" i="15"/>
  <c r="O145" i="15" s="1"/>
  <c r="T145" i="15" s="1"/>
  <c r="G9" i="20" l="1"/>
  <c r="I9" i="20" s="1"/>
  <c r="G10" i="20"/>
  <c r="G11" i="20"/>
  <c r="G12" i="20"/>
  <c r="G13" i="20"/>
  <c r="I13" i="20" s="1"/>
  <c r="G14" i="20"/>
  <c r="I14" i="20" s="1"/>
  <c r="G15" i="20"/>
  <c r="I15" i="20" s="1"/>
  <c r="I3" i="23" s="1"/>
  <c r="G16" i="20"/>
  <c r="P9" i="20"/>
  <c r="R9" i="20" s="1"/>
  <c r="P15" i="20"/>
  <c r="R15" i="20" s="1"/>
  <c r="I4" i="23" s="1"/>
  <c r="P16" i="20"/>
  <c r="H3" i="23" l="1"/>
  <c r="I16" i="20"/>
  <c r="J3" i="23" s="1"/>
  <c r="I12" i="20"/>
  <c r="R16" i="20"/>
  <c r="J4" i="23" s="1"/>
  <c r="C17" i="23" s="1"/>
  <c r="I12" i="23"/>
  <c r="I11" i="20"/>
  <c r="I10" i="20"/>
  <c r="H12" i="23" l="1"/>
  <c r="C16" i="23"/>
  <c r="J12" i="23"/>
  <c r="D25" i="23" l="1"/>
  <c r="C25" i="23"/>
  <c r="E16" i="23" l="1"/>
  <c r="E23" i="23"/>
  <c r="E18" i="23"/>
  <c r="E22" i="23"/>
  <c r="E17" i="23"/>
  <c r="E25" i="23" l="1"/>
  <c r="E43" i="23"/>
  <c r="E44" i="23"/>
  <c r="D45" i="23" l="1"/>
  <c r="E39" i="23"/>
  <c r="E45" i="23" s="1"/>
</calcChain>
</file>

<file path=xl/sharedStrings.xml><?xml version="1.0" encoding="utf-8"?>
<sst xmlns="http://schemas.openxmlformats.org/spreadsheetml/2006/main" count="692" uniqueCount="232">
  <si>
    <t>E</t>
  </si>
  <si>
    <t>G</t>
  </si>
  <si>
    <t>GI</t>
  </si>
  <si>
    <t>I</t>
  </si>
  <si>
    <t>L</t>
  </si>
  <si>
    <t>LT</t>
  </si>
  <si>
    <t>M</t>
  </si>
  <si>
    <t>R</t>
  </si>
  <si>
    <t>S</t>
  </si>
  <si>
    <t>SL</t>
  </si>
  <si>
    <t>U</t>
  </si>
  <si>
    <t>WR</t>
  </si>
  <si>
    <t>WC</t>
  </si>
  <si>
    <t>WU</t>
  </si>
  <si>
    <t>WI</t>
  </si>
  <si>
    <t>WS</t>
  </si>
  <si>
    <t>WG</t>
  </si>
  <si>
    <t>WL</t>
  </si>
  <si>
    <t>CR</t>
  </si>
  <si>
    <t>K</t>
  </si>
  <si>
    <t>Grand Total</t>
  </si>
  <si>
    <t>Date</t>
  </si>
  <si>
    <t>GS &lt; 50</t>
  </si>
  <si>
    <t>GS &lt; 50 Clinton</t>
  </si>
  <si>
    <t>GS &gt; 50 Interval Clinton</t>
  </si>
  <si>
    <t>GS &gt; 50 Clinton</t>
  </si>
  <si>
    <t>Sentinel Lights Clinton</t>
  </si>
  <si>
    <t>USL Clinton</t>
  </si>
  <si>
    <t>Street Lights Clinton</t>
  </si>
  <si>
    <t>Residential</t>
  </si>
  <si>
    <t>GS &gt; 50</t>
  </si>
  <si>
    <t>Sentinel</t>
  </si>
  <si>
    <t>Street Light</t>
  </si>
  <si>
    <t>USL</t>
  </si>
  <si>
    <t>Large User</t>
  </si>
  <si>
    <t>Embedded</t>
  </si>
  <si>
    <t>Intermediate</t>
  </si>
  <si>
    <t>MicroFit</t>
  </si>
  <si>
    <t>London HDD</t>
  </si>
  <si>
    <t>London CDD</t>
  </si>
  <si>
    <t>Month Days</t>
  </si>
  <si>
    <t>Shoulder</t>
  </si>
  <si>
    <t>Spring</t>
  </si>
  <si>
    <t>Fall</t>
  </si>
  <si>
    <t>HDD</t>
  </si>
  <si>
    <t>CDD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</si>
  <si>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</si>
  <si>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</si>
  <si>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</si>
  <si>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</si>
  <si>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</si>
  <si>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</si>
  <si>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</si>
  <si>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</si>
  <si>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</si>
  <si>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</si>
  <si>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</si>
  <si>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</si>
  <si>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</si>
  <si>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</si>
  <si>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</si>
  <si>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</si>
  <si>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</si>
  <si>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</si>
  <si>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</si>
  <si>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</si>
  <si>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</si>
  <si>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</si>
  <si>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</si>
  <si>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Ont_FTE</t>
  </si>
  <si>
    <t>coefficient</t>
  </si>
  <si>
    <t>std. error</t>
  </si>
  <si>
    <t>t-ratio</t>
  </si>
  <si>
    <t>p-value</t>
  </si>
  <si>
    <t>const</t>
  </si>
  <si>
    <t>Trend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</si>
  <si>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</si>
  <si>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</si>
  <si>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</si>
  <si>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</si>
  <si>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</si>
  <si>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</si>
  <si>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</si>
  <si>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</si>
  <si>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</si>
  <si>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</si>
  <si>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</si>
  <si>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</si>
  <si>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</si>
  <si>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Year</t>
  </si>
  <si>
    <t>Predicted kWh</t>
  </si>
  <si>
    <t>Model Error</t>
  </si>
  <si>
    <t>Weather Actual</t>
  </si>
  <si>
    <t>Res kWh</t>
  </si>
  <si>
    <t>Absolute</t>
  </si>
  <si>
    <t>GS&lt;50 kWh</t>
  </si>
  <si>
    <t>GS&gt;50 kWh</t>
  </si>
  <si>
    <t>Actual</t>
  </si>
  <si>
    <t>Predicted</t>
  </si>
  <si>
    <t>Error (%)</t>
  </si>
  <si>
    <t>Mean Absolute Percentage Error (Annual)</t>
  </si>
  <si>
    <t>Mean Absolute Percentage Error (Monthly)</t>
  </si>
  <si>
    <t>Normalized kWh</t>
  </si>
  <si>
    <t>Lamps / Devices</t>
  </si>
  <si>
    <t>Customers</t>
  </si>
  <si>
    <t>Connections</t>
  </si>
  <si>
    <t>Weather Normal</t>
  </si>
  <si>
    <t>Embedded Distributor</t>
  </si>
  <si>
    <t>Normalized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</si>
  <si>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</si>
  <si>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</si>
  <si>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</si>
  <si>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</si>
  <si>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</si>
  <si>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</si>
  <si>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</si>
  <si>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</si>
  <si>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</si>
  <si>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F = D * E</t>
  </si>
  <si>
    <t>kW</t>
  </si>
  <si>
    <t>Sentinel Light</t>
  </si>
  <si>
    <t>Total</t>
  </si>
  <si>
    <t>Normal Forecast</t>
  </si>
  <si>
    <t>kWh</t>
  </si>
  <si>
    <t>2013 Actual</t>
  </si>
  <si>
    <t>2014 Actual</t>
  </si>
  <si>
    <t>CDM Adjusted</t>
  </si>
  <si>
    <t>2016 Weather Normal Forecast</t>
  </si>
  <si>
    <t>CDM Adjustment</t>
  </si>
  <si>
    <t>2016 CDM Adjusted Forecast</t>
  </si>
  <si>
    <t>Customer Connections</t>
  </si>
  <si>
    <t>London FTE</t>
  </si>
  <si>
    <t>Peak Days</t>
  </si>
  <si>
    <t>London_HDD</t>
  </si>
  <si>
    <t>London_CDD</t>
  </si>
  <si>
    <t>London_FTE</t>
  </si>
  <si>
    <t>Ontario_FTE</t>
  </si>
  <si>
    <t>Peak_Days</t>
  </si>
  <si>
    <t>Month_Days</t>
  </si>
  <si>
    <t>Residential Persistence</t>
  </si>
  <si>
    <t>Savings Year</t>
  </si>
  <si>
    <t>Program Years</t>
  </si>
  <si>
    <t>No recent LRAMVA dispositions recently</t>
  </si>
  <si>
    <t>Business Persistence</t>
  </si>
  <si>
    <t>Industrial Persistence</t>
  </si>
  <si>
    <t>Business includes Pre-2011 programs</t>
  </si>
  <si>
    <t>2007-2009 Clinton</t>
  </si>
  <si>
    <t>2007-2009 Erie Thames</t>
  </si>
  <si>
    <t>2007-2009 West Perth</t>
  </si>
  <si>
    <t>2007-2009 Consolidated Erie Thames</t>
  </si>
  <si>
    <t>Missing Readings</t>
  </si>
  <si>
    <t>Oct 24th</t>
  </si>
  <si>
    <t>2007-2016 average monthly energy (kWh)</t>
  </si>
  <si>
    <t>Non-Res</t>
  </si>
  <si>
    <t>Large Use</t>
  </si>
  <si>
    <t>Intermediate_no_CDM</t>
  </si>
  <si>
    <t>Large_no_CDM</t>
  </si>
  <si>
    <t>Aug</t>
  </si>
  <si>
    <t>Persisting_CDM</t>
  </si>
  <si>
    <t>Residential_no_CDM</t>
  </si>
  <si>
    <t>GS_lt_50</t>
  </si>
  <si>
    <t>GS_lt_50_no_CDM</t>
  </si>
  <si>
    <t>GS_gt_50</t>
  </si>
  <si>
    <t>GS_gt_50_no_CDM</t>
  </si>
  <si>
    <t>Large_User</t>
  </si>
  <si>
    <t>Street_Light</t>
  </si>
  <si>
    <t>Residential_Cust</t>
  </si>
  <si>
    <t>GS_lt_50_Cust</t>
  </si>
  <si>
    <t>GS_gt_50_Cust</t>
  </si>
  <si>
    <t>Intermediate_Cust</t>
  </si>
  <si>
    <t>Large_Use_Cust</t>
  </si>
  <si>
    <t>Unmetered_Scattered_Load_Conn</t>
  </si>
  <si>
    <t>Sentinel_Lighting_Conn</t>
  </si>
  <si>
    <t>Street_Lighting_Conn</t>
  </si>
  <si>
    <t>Embedded_Distributor_Cust</t>
  </si>
  <si>
    <t>CDM Added Back</t>
  </si>
  <si>
    <t>Percent of Prior Year</t>
  </si>
  <si>
    <t>Embedded Distributors</t>
  </si>
  <si>
    <t>Dependent variable: Residential_no_CDM</t>
  </si>
  <si>
    <t>F(7, 112)</t>
  </si>
  <si>
    <t>Dependent variable: GS_lt_50_no_CDM</t>
  </si>
  <si>
    <t>F(10, 109)</t>
  </si>
  <si>
    <t>Model 40: OLS, using observations 2007:01-2016:12 (T = 120)</t>
  </si>
  <si>
    <t>Dependent variable: GS_gt_50_no_CDM</t>
  </si>
  <si>
    <t>F(5, 114)</t>
  </si>
  <si>
    <t>Model 15: OLS, using observations 2009:01-2016:12 (T = 96)</t>
  </si>
  <si>
    <t>F(7, 88)</t>
  </si>
  <si>
    <t>Actual No CDM</t>
  </si>
  <si>
    <t>Average per Customer</t>
  </si>
  <si>
    <t>C = A + B</t>
  </si>
  <si>
    <t>E = B</t>
  </si>
  <si>
    <t>F = D - E</t>
  </si>
  <si>
    <t>Persisting CDM</t>
  </si>
  <si>
    <t>Cumulative Persisting CDM</t>
  </si>
  <si>
    <t>Normalized No CDM</t>
  </si>
  <si>
    <t>2015-2020 Target</t>
  </si>
  <si>
    <t>2015 Results</t>
  </si>
  <si>
    <t>2016-2020 Remaining Target</t>
  </si>
  <si>
    <t>Annual Remaining</t>
  </si>
  <si>
    <t>Model 11: OLS, using observations 2007:01-2016:12 (T = 120)</t>
  </si>
  <si>
    <t>Theil's U</t>
  </si>
  <si>
    <t>Model 50: OLS, using observations 2007:01-2016:12 (T = 120)</t>
  </si>
  <si>
    <t>Forecasted no CDM</t>
  </si>
  <si>
    <t>Intermediate_kW</t>
  </si>
  <si>
    <t>GS_gt_50_kW</t>
  </si>
  <si>
    <t>Large_User_kW</t>
  </si>
  <si>
    <t>St_Light_kW</t>
  </si>
  <si>
    <t>Sentinel_kW</t>
  </si>
  <si>
    <t>Embedded_kW</t>
  </si>
  <si>
    <t>Lost Customer</t>
  </si>
  <si>
    <t>Net Forecast</t>
  </si>
  <si>
    <t>2018 Forecast</t>
  </si>
  <si>
    <t>2017 Forecast</t>
  </si>
  <si>
    <t>2016 Normalized</t>
  </si>
  <si>
    <t>2016 Actual</t>
  </si>
  <si>
    <t>2015 Actual</t>
  </si>
  <si>
    <t>2012 Actual</t>
  </si>
  <si>
    <t>kW Normalized</t>
  </si>
  <si>
    <t>Annual Remaining Target</t>
  </si>
  <si>
    <t>2015 Verified CDM</t>
  </si>
  <si>
    <t>Share</t>
  </si>
  <si>
    <t>LRAMVA Target</t>
  </si>
  <si>
    <t>Weight</t>
  </si>
  <si>
    <t>Amount</t>
  </si>
  <si>
    <t>Forecast CDM</t>
  </si>
  <si>
    <t>MWh</t>
  </si>
  <si>
    <t>Weather Normalized 2018 Forecast (kWh)</t>
  </si>
  <si>
    <t>% Savings</t>
  </si>
  <si>
    <t>Weather Normalized 2018 Forecast (kW)</t>
  </si>
  <si>
    <t>GS &lt; 50 no CDM</t>
  </si>
  <si>
    <t>London Airport</t>
  </si>
  <si>
    <t>20 Year Trend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</si>
</sst>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&quot;$&quot;#,##0_);\(&quot;$&quot;#,##0\)"/>
    <numFmt numFmtId="173" formatCode="##\-#"/>
    <numFmt numFmtId="174" formatCode="&quot;£ &quot;#,##0.00;[Red]\-&quot;£ &quot;#,##0.00"/>
    <numFmt numFmtId="175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0" tint="-0.34998626667073579"/>
      <name val="Times New Roman"/>
      <family val="1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/>
    <xf numFmtId="169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0" fontId="18" fillId="0" borderId="0"/>
    <xf numFmtId="171" fontId="18" fillId="0" borderId="0"/>
    <xf numFmtId="170" fontId="18" fillId="0" borderId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1" fillId="14" borderId="0" applyNumberFormat="0" applyBorder="0" applyAlignment="0" applyProtection="0"/>
    <xf numFmtId="0" fontId="25" fillId="35" borderId="0" applyNumberFormat="0" applyBorder="0" applyAlignment="0" applyProtection="0"/>
    <xf numFmtId="0" fontId="1" fillId="18" borderId="0" applyNumberFormat="0" applyBorder="0" applyAlignment="0" applyProtection="0"/>
    <xf numFmtId="0" fontId="25" fillId="36" borderId="0" applyNumberFormat="0" applyBorder="0" applyAlignment="0" applyProtection="0"/>
    <xf numFmtId="0" fontId="1" fillId="22" borderId="0" applyNumberFormat="0" applyBorder="0" applyAlignment="0" applyProtection="0"/>
    <xf numFmtId="0" fontId="25" fillId="37" borderId="0" applyNumberFormat="0" applyBorder="0" applyAlignment="0" applyProtection="0"/>
    <xf numFmtId="0" fontId="1" fillId="26" borderId="0" applyNumberFormat="0" applyBorder="0" applyAlignment="0" applyProtection="0"/>
    <xf numFmtId="0" fontId="25" fillId="38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1" fillId="11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25" fillId="41" borderId="0" applyNumberFormat="0" applyBorder="0" applyAlignment="0" applyProtection="0"/>
    <xf numFmtId="0" fontId="1" fillId="19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25" fillId="37" borderId="0" applyNumberFormat="0" applyBorder="0" applyAlignment="0" applyProtection="0"/>
    <xf numFmtId="0" fontId="1" fillId="27" borderId="0" applyNumberFormat="0" applyBorder="0" applyAlignment="0" applyProtection="0"/>
    <xf numFmtId="0" fontId="25" fillId="40" borderId="0" applyNumberFormat="0" applyBorder="0" applyAlignment="0" applyProtection="0"/>
    <xf numFmtId="0" fontId="1" fillId="31" borderId="0" applyNumberFormat="0" applyBorder="0" applyAlignment="0" applyProtection="0"/>
    <xf numFmtId="0" fontId="25" fillId="43" borderId="0" applyNumberFormat="0" applyBorder="0" applyAlignment="0" applyProtection="0"/>
    <xf numFmtId="0" fontId="17" fillId="12" borderId="0" applyNumberFormat="0" applyBorder="0" applyAlignment="0" applyProtection="0"/>
    <xf numFmtId="0" fontId="26" fillId="44" borderId="0" applyNumberFormat="0" applyBorder="0" applyAlignment="0" applyProtection="0"/>
    <xf numFmtId="0" fontId="17" fillId="16" borderId="0" applyNumberFormat="0" applyBorder="0" applyAlignment="0" applyProtection="0"/>
    <xf numFmtId="0" fontId="26" fillId="41" borderId="0" applyNumberFormat="0" applyBorder="0" applyAlignment="0" applyProtection="0"/>
    <xf numFmtId="0" fontId="17" fillId="20" borderId="0" applyNumberFormat="0" applyBorder="0" applyAlignment="0" applyProtection="0"/>
    <xf numFmtId="0" fontId="26" fillId="42" borderId="0" applyNumberFormat="0" applyBorder="0" applyAlignment="0" applyProtection="0"/>
    <xf numFmtId="0" fontId="17" fillId="24" borderId="0" applyNumberFormat="0" applyBorder="0" applyAlignment="0" applyProtection="0"/>
    <xf numFmtId="0" fontId="26" fillId="45" borderId="0" applyNumberFormat="0" applyBorder="0" applyAlignment="0" applyProtection="0"/>
    <xf numFmtId="0" fontId="17" fillId="28" borderId="0" applyNumberFormat="0" applyBorder="0" applyAlignment="0" applyProtection="0"/>
    <xf numFmtId="0" fontId="26" fillId="46" borderId="0" applyNumberFormat="0" applyBorder="0" applyAlignment="0" applyProtection="0"/>
    <xf numFmtId="0" fontId="17" fillId="32" borderId="0" applyNumberFormat="0" applyBorder="0" applyAlignment="0" applyProtection="0"/>
    <xf numFmtId="0" fontId="26" fillId="47" borderId="0" applyNumberFormat="0" applyBorder="0" applyAlignment="0" applyProtection="0"/>
    <xf numFmtId="0" fontId="17" fillId="9" borderId="0" applyNumberFormat="0" applyBorder="0" applyAlignment="0" applyProtection="0"/>
    <xf numFmtId="0" fontId="26" fillId="48" borderId="0" applyNumberFormat="0" applyBorder="0" applyAlignment="0" applyProtection="0"/>
    <xf numFmtId="0" fontId="17" fillId="13" borderId="0" applyNumberFormat="0" applyBorder="0" applyAlignment="0" applyProtection="0"/>
    <xf numFmtId="0" fontId="26" fillId="49" borderId="0" applyNumberFormat="0" applyBorder="0" applyAlignment="0" applyProtection="0"/>
    <xf numFmtId="0" fontId="17" fillId="17" borderId="0" applyNumberFormat="0" applyBorder="0" applyAlignment="0" applyProtection="0"/>
    <xf numFmtId="0" fontId="26" fillId="50" borderId="0" applyNumberFormat="0" applyBorder="0" applyAlignment="0" applyProtection="0"/>
    <xf numFmtId="0" fontId="17" fillId="21" borderId="0" applyNumberFormat="0" applyBorder="0" applyAlignment="0" applyProtection="0"/>
    <xf numFmtId="0" fontId="26" fillId="45" borderId="0" applyNumberFormat="0" applyBorder="0" applyAlignment="0" applyProtection="0"/>
    <xf numFmtId="0" fontId="17" fillId="25" borderId="0" applyNumberFormat="0" applyBorder="0" applyAlignment="0" applyProtection="0"/>
    <xf numFmtId="0" fontId="26" fillId="46" borderId="0" applyNumberFormat="0" applyBorder="0" applyAlignment="0" applyProtection="0"/>
    <xf numFmtId="0" fontId="17" fillId="29" borderId="0" applyNumberFormat="0" applyBorder="0" applyAlignment="0" applyProtection="0"/>
    <xf numFmtId="0" fontId="26" fillId="51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11" fillId="6" borderId="4" applyNumberFormat="0" applyAlignment="0" applyProtection="0"/>
    <xf numFmtId="0" fontId="28" fillId="52" borderId="19" applyNumberFormat="0" applyAlignment="0" applyProtection="0"/>
    <xf numFmtId="0" fontId="13" fillId="7" borderId="7" applyNumberFormat="0" applyAlignment="0" applyProtection="0"/>
    <xf numFmtId="0" fontId="29" fillId="53" borderId="2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31" fillId="36" borderId="0" applyNumberFormat="0" applyBorder="0" applyAlignment="0" applyProtection="0"/>
    <xf numFmtId="38" fontId="32" fillId="54" borderId="0" applyNumberFormat="0" applyBorder="0" applyAlignment="0" applyProtection="0"/>
    <xf numFmtId="0" fontId="3" fillId="0" borderId="1" applyNumberFormat="0" applyFill="0" applyAlignment="0" applyProtection="0"/>
    <xf numFmtId="0" fontId="33" fillId="0" borderId="21" applyNumberFormat="0" applyFill="0" applyAlignment="0" applyProtection="0"/>
    <xf numFmtId="0" fontId="4" fillId="0" borderId="2" applyNumberFormat="0" applyFill="0" applyAlignment="0" applyProtection="0"/>
    <xf numFmtId="0" fontId="34" fillId="0" borderId="22" applyNumberFormat="0" applyFill="0" applyAlignment="0" applyProtection="0"/>
    <xf numFmtId="0" fontId="5" fillId="0" borderId="3" applyNumberFormat="0" applyFill="0" applyAlignment="0" applyProtection="0"/>
    <xf numFmtId="0" fontId="35" fillId="0" borderId="23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0" fontId="32" fillId="55" borderId="24" applyNumberFormat="0" applyBorder="0" applyAlignment="0" applyProtection="0"/>
    <xf numFmtId="0" fontId="9" fillId="5" borderId="4" applyNumberFormat="0" applyAlignment="0" applyProtection="0"/>
    <xf numFmtId="0" fontId="37" fillId="39" borderId="19" applyNumberFormat="0" applyAlignment="0" applyProtection="0"/>
    <xf numFmtId="0" fontId="12" fillId="0" borderId="6" applyNumberFormat="0" applyFill="0" applyAlignment="0" applyProtection="0"/>
    <xf numFmtId="0" fontId="38" fillId="0" borderId="25" applyNumberFormat="0" applyFill="0" applyAlignment="0" applyProtection="0"/>
    <xf numFmtId="173" fontId="18" fillId="0" borderId="0"/>
    <xf numFmtId="167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8" fillId="4" borderId="0" applyNumberFormat="0" applyBorder="0" applyAlignment="0" applyProtection="0"/>
    <xf numFmtId="0" fontId="39" fillId="56" borderId="0" applyNumberFormat="0" applyBorder="0" applyAlignment="0" applyProtection="0"/>
    <xf numFmtId="174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57" borderId="26" applyNumberFormat="0" applyFont="0" applyAlignment="0" applyProtection="0"/>
    <xf numFmtId="0" fontId="10" fillId="6" borderId="5" applyNumberFormat="0" applyAlignment="0" applyProtection="0"/>
    <xf numFmtId="0" fontId="40" fillId="52" borderId="27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0" fontId="19" fillId="0" borderId="0" xfId="0" applyFont="1" applyFill="1" applyBorder="1"/>
    <xf numFmtId="0" fontId="20" fillId="0" borderId="0" xfId="5"/>
    <xf numFmtId="0" fontId="0" fillId="0" borderId="0" xfId="0"/>
    <xf numFmtId="0" fontId="19" fillId="0" borderId="0" xfId="0" applyFont="1" applyFill="1" applyBorder="1"/>
    <xf numFmtId="0" fontId="21" fillId="0" borderId="0" xfId="5" applyFont="1" applyAlignment="1">
      <alignment horizontal="right"/>
    </xf>
    <xf numFmtId="0" fontId="20" fillId="0" borderId="0" xfId="5" applyFont="1" applyAlignment="1">
      <alignment horizontal="right"/>
    </xf>
    <xf numFmtId="0" fontId="18" fillId="0" borderId="0" xfId="5" applyFont="1" applyAlignment="1">
      <alignment horizontal="right"/>
    </xf>
    <xf numFmtId="15" fontId="20" fillId="0" borderId="0" xfId="5" applyNumberFormat="1"/>
    <xf numFmtId="0" fontId="18" fillId="0" borderId="0" xfId="5" applyFont="1"/>
    <xf numFmtId="0" fontId="22" fillId="0" borderId="0" xfId="5" applyFont="1"/>
    <xf numFmtId="0" fontId="20" fillId="0" borderId="0" xfId="5" applyAlignment="1">
      <alignment horizontal="center"/>
    </xf>
    <xf numFmtId="2" fontId="20" fillId="0" borderId="0" xfId="5" applyNumberFormat="1"/>
    <xf numFmtId="0" fontId="20" fillId="0" borderId="0" xfId="5" applyAlignment="1">
      <alignment horizontal="right"/>
    </xf>
    <xf numFmtId="0" fontId="18" fillId="0" borderId="0" xfId="2"/>
    <xf numFmtId="17" fontId="20" fillId="0" borderId="0" xfId="5" applyNumberFormat="1"/>
    <xf numFmtId="10" fontId="18" fillId="0" borderId="0" xfId="2" applyNumberFormat="1"/>
    <xf numFmtId="11" fontId="20" fillId="0" borderId="0" xfId="5" applyNumberFormat="1"/>
    <xf numFmtId="167" fontId="0" fillId="0" borderId="0" xfId="6" applyNumberFormat="1" applyFont="1"/>
    <xf numFmtId="0" fontId="20" fillId="0" borderId="0" xfId="5" applyFont="1"/>
    <xf numFmtId="14" fontId="20" fillId="0" borderId="0" xfId="5" applyNumberFormat="1"/>
    <xf numFmtId="10" fontId="0" fillId="0" borderId="0" xfId="7" applyNumberFormat="1" applyFont="1"/>
    <xf numFmtId="10" fontId="20" fillId="0" borderId="0" xfId="5" applyNumberFormat="1"/>
    <xf numFmtId="3" fontId="20" fillId="0" borderId="0" xfId="5" applyNumberFormat="1"/>
    <xf numFmtId="164" fontId="0" fillId="0" borderId="0" xfId="7" applyNumberFormat="1" applyFont="1"/>
    <xf numFmtId="0" fontId="20" fillId="0" borderId="0" xfId="5" applyFill="1"/>
    <xf numFmtId="164" fontId="20" fillId="0" borderId="0" xfId="5" applyNumberFormat="1"/>
    <xf numFmtId="167" fontId="20" fillId="0" borderId="0" xfId="6" applyNumberFormat="1" applyFont="1"/>
    <xf numFmtId="0" fontId="18" fillId="0" borderId="0" xfId="2" applyAlignment="1">
      <alignment horizontal="right"/>
    </xf>
    <xf numFmtId="3" fontId="18" fillId="0" borderId="0" xfId="2" applyNumberFormat="1"/>
    <xf numFmtId="164" fontId="0" fillId="0" borderId="0" xfId="8" applyNumberFormat="1" applyFont="1"/>
    <xf numFmtId="10" fontId="0" fillId="0" borderId="0" xfId="8" applyNumberFormat="1" applyFont="1"/>
    <xf numFmtId="164" fontId="18" fillId="0" borderId="0" xfId="2" applyNumberFormat="1"/>
    <xf numFmtId="0" fontId="23" fillId="0" borderId="0" xfId="2" applyFont="1"/>
    <xf numFmtId="3" fontId="23" fillId="0" borderId="0" xfId="2" applyNumberFormat="1" applyFont="1"/>
    <xf numFmtId="10" fontId="23" fillId="0" borderId="0" xfId="8" applyNumberFormat="1" applyFont="1"/>
    <xf numFmtId="164" fontId="23" fillId="0" borderId="0" xfId="8" applyNumberFormat="1" applyFont="1"/>
    <xf numFmtId="0" fontId="18" fillId="0" borderId="0" xfId="2" applyFont="1"/>
    <xf numFmtId="0" fontId="18" fillId="0" borderId="0" xfId="2" applyFont="1" applyAlignment="1">
      <alignment horizontal="right"/>
    </xf>
    <xf numFmtId="0" fontId="18" fillId="0" borderId="0" xfId="2" applyAlignment="1">
      <alignment horizontal="center" wrapText="1"/>
    </xf>
    <xf numFmtId="0" fontId="21" fillId="0" borderId="0" xfId="2" applyFont="1"/>
    <xf numFmtId="0" fontId="18" fillId="0" borderId="0" xfId="2" applyAlignment="1">
      <alignment wrapText="1"/>
    </xf>
    <xf numFmtId="0" fontId="21" fillId="0" borderId="0" xfId="2" applyFont="1" applyAlignment="1">
      <alignment horizontal="center"/>
    </xf>
    <xf numFmtId="165" fontId="0" fillId="0" borderId="0" xfId="9" applyNumberFormat="1" applyFont="1"/>
    <xf numFmtId="165" fontId="21" fillId="0" borderId="0" xfId="9" applyNumberFormat="1" applyFont="1" applyAlignment="1">
      <alignment horizontal="center"/>
    </xf>
    <xf numFmtId="165" fontId="23" fillId="0" borderId="0" xfId="9" applyNumberFormat="1" applyFont="1"/>
    <xf numFmtId="0" fontId="21" fillId="33" borderId="10" xfId="2" applyFont="1" applyFill="1" applyBorder="1"/>
    <xf numFmtId="0" fontId="21" fillId="33" borderId="11" xfId="2" applyFont="1" applyFill="1" applyBorder="1" applyAlignment="1">
      <alignment vertical="center"/>
    </xf>
    <xf numFmtId="0" fontId="21" fillId="33" borderId="12" xfId="2" applyFont="1" applyFill="1" applyBorder="1" applyAlignment="1">
      <alignment vertical="center"/>
    </xf>
    <xf numFmtId="0" fontId="21" fillId="33" borderId="16" xfId="2" applyFont="1" applyFill="1" applyBorder="1" applyAlignment="1">
      <alignment horizontal="center"/>
    </xf>
    <xf numFmtId="3" fontId="18" fillId="33" borderId="17" xfId="2" applyNumberFormat="1" applyFill="1" applyBorder="1"/>
    <xf numFmtId="3" fontId="18" fillId="33" borderId="18" xfId="2" applyNumberFormat="1" applyFill="1" applyBorder="1"/>
    <xf numFmtId="0" fontId="21" fillId="33" borderId="11" xfId="2" applyFont="1" applyFill="1" applyBorder="1" applyAlignment="1">
      <alignment horizontal="center" vertical="center" wrapText="1"/>
    </xf>
    <xf numFmtId="0" fontId="21" fillId="33" borderId="12" xfId="2" applyFont="1" applyFill="1" applyBorder="1" applyAlignment="1">
      <alignment horizontal="center" vertical="center" wrapText="1"/>
    </xf>
    <xf numFmtId="0" fontId="20" fillId="0" borderId="0" xfId="5"/>
    <xf numFmtId="0" fontId="20" fillId="0" borderId="0" xfId="5"/>
    <xf numFmtId="0" fontId="20" fillId="58" borderId="0" xfId="5" applyFill="1"/>
    <xf numFmtId="3" fontId="0" fillId="0" borderId="0" xfId="0" applyNumberFormat="1"/>
    <xf numFmtId="165" fontId="0" fillId="0" borderId="0" xfId="1" applyNumberFormat="1" applyFont="1" applyFill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0" fillId="0" borderId="0" xfId="0" applyFill="1"/>
    <xf numFmtId="14" fontId="0" fillId="0" borderId="0" xfId="0" applyNumberFormat="1"/>
    <xf numFmtId="165" fontId="0" fillId="0" borderId="0" xfId="1" applyNumberFormat="1" applyFont="1"/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0" fillId="0" borderId="0" xfId="1" applyNumberFormat="1" applyFont="1" applyBorder="1"/>
    <xf numFmtId="165" fontId="25" fillId="0" borderId="0" xfId="1" applyNumberFormat="1" applyFont="1" applyFill="1" applyBorder="1" applyAlignment="1" applyProtection="1"/>
    <xf numFmtId="3" fontId="0" fillId="0" borderId="0" xfId="1" applyNumberFormat="1" applyFont="1" applyAlignment="1">
      <alignment horizontal="right"/>
    </xf>
    <xf numFmtId="3" fontId="0" fillId="0" borderId="0" xfId="1" applyNumberFormat="1" applyFont="1" applyAlignment="1"/>
    <xf numFmtId="165" fontId="0" fillId="58" borderId="0" xfId="1" applyNumberFormat="1" applyFont="1" applyFill="1"/>
    <xf numFmtId="2" fontId="0" fillId="0" borderId="0" xfId="0" applyNumberFormat="1"/>
    <xf numFmtId="0" fontId="20" fillId="0" borderId="0" xfId="5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0" fontId="20" fillId="0" borderId="0" xfId="5"/>
    <xf numFmtId="0" fontId="20" fillId="0" borderId="0" xfId="5"/>
    <xf numFmtId="0" fontId="18" fillId="0" borderId="0" xfId="2" applyAlignment="1">
      <alignment horizontal="center"/>
    </xf>
    <xf numFmtId="0" fontId="20" fillId="0" borderId="0" xfId="5"/>
    <xf numFmtId="0" fontId="18" fillId="0" borderId="0" xfId="2" applyAlignment="1">
      <alignment horizontal="center" wrapText="1"/>
    </xf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0" fillId="0" borderId="0" xfId="1" applyNumberFormat="1" applyFont="1"/>
    <xf numFmtId="10" fontId="23" fillId="0" borderId="0" xfId="170" applyNumberFormat="1" applyFont="1"/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44" fillId="0" borderId="0" xfId="5" applyFont="1"/>
    <xf numFmtId="0" fontId="44" fillId="0" borderId="0" xfId="5" applyFont="1" applyAlignment="1">
      <alignment horizontal="right"/>
    </xf>
    <xf numFmtId="0" fontId="45" fillId="0" borderId="0" xfId="5" applyFont="1" applyAlignment="1">
      <alignment horizontal="right"/>
    </xf>
    <xf numFmtId="3" fontId="44" fillId="0" borderId="0" xfId="5" applyNumberFormat="1" applyFont="1"/>
    <xf numFmtId="164" fontId="46" fillId="0" borderId="0" xfId="7" applyNumberFormat="1" applyFont="1"/>
    <xf numFmtId="0" fontId="44" fillId="0" borderId="0" xfId="5" applyFont="1" applyFill="1"/>
    <xf numFmtId="164" fontId="44" fillId="0" borderId="0" xfId="5" applyNumberFormat="1" applyFont="1"/>
    <xf numFmtId="175" fontId="20" fillId="0" borderId="0" xfId="5" applyNumberFormat="1"/>
    <xf numFmtId="1" fontId="20" fillId="0" borderId="0" xfId="5" applyNumberFormat="1"/>
    <xf numFmtId="3" fontId="18" fillId="33" borderId="30" xfId="2" applyNumberFormat="1" applyFill="1" applyBorder="1"/>
    <xf numFmtId="10" fontId="14" fillId="0" borderId="0" xfId="8" applyNumberFormat="1" applyFont="1"/>
    <xf numFmtId="3" fontId="18" fillId="33" borderId="29" xfId="2" applyNumberFormat="1" applyFill="1" applyBorder="1"/>
    <xf numFmtId="165" fontId="18" fillId="0" borderId="0" xfId="9" applyNumberFormat="1" applyFont="1" applyAlignment="1">
      <alignment horizontal="center"/>
    </xf>
    <xf numFmtId="165" fontId="17" fillId="0" borderId="0" xfId="9" applyNumberFormat="1" applyFont="1"/>
    <xf numFmtId="3" fontId="18" fillId="0" borderId="0" xfId="2" applyNumberFormat="1" applyFont="1"/>
    <xf numFmtId="164" fontId="18" fillId="0" borderId="0" xfId="8" applyNumberFormat="1" applyFont="1"/>
    <xf numFmtId="164" fontId="18" fillId="0" borderId="0" xfId="170" applyNumberFormat="1" applyFont="1"/>
    <xf numFmtId="165" fontId="18" fillId="0" borderId="0" xfId="1" applyNumberFormat="1" applyFont="1"/>
    <xf numFmtId="165" fontId="18" fillId="0" borderId="0" xfId="2" applyNumberFormat="1"/>
    <xf numFmtId="0" fontId="18" fillId="0" borderId="31" xfId="2" applyBorder="1"/>
    <xf numFmtId="0" fontId="18" fillId="0" borderId="33" xfId="2" applyBorder="1"/>
    <xf numFmtId="165" fontId="18" fillId="0" borderId="34" xfId="2" applyNumberFormat="1" applyBorder="1"/>
    <xf numFmtId="0" fontId="18" fillId="0" borderId="35" xfId="2" applyBorder="1"/>
    <xf numFmtId="165" fontId="18" fillId="0" borderId="36" xfId="2" applyNumberFormat="1" applyBorder="1"/>
    <xf numFmtId="165" fontId="18" fillId="0" borderId="32" xfId="2" applyNumberFormat="1" applyBorder="1"/>
    <xf numFmtId="0" fontId="18" fillId="0" borderId="37" xfId="2" applyBorder="1"/>
    <xf numFmtId="165" fontId="18" fillId="0" borderId="37" xfId="1" applyNumberFormat="1" applyFont="1" applyBorder="1"/>
    <xf numFmtId="165" fontId="18" fillId="0" borderId="38" xfId="1" applyNumberFormat="1" applyFont="1" applyBorder="1"/>
    <xf numFmtId="165" fontId="18" fillId="0" borderId="39" xfId="1" applyNumberFormat="1" applyFont="1" applyBorder="1"/>
    <xf numFmtId="0" fontId="18" fillId="0" borderId="38" xfId="2" applyBorder="1" applyAlignment="1">
      <alignment horizontal="center"/>
    </xf>
    <xf numFmtId="0" fontId="18" fillId="0" borderId="3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34" xfId="2" applyBorder="1" applyAlignment="1">
      <alignment horizontal="center"/>
    </xf>
    <xf numFmtId="0" fontId="21" fillId="0" borderId="0" xfId="2" applyFont="1" applyAlignment="1">
      <alignment horizontal="center" wrapText="1"/>
    </xf>
    <xf numFmtId="0" fontId="24" fillId="59" borderId="0" xfId="2" applyFont="1" applyFill="1"/>
    <xf numFmtId="0" fontId="18" fillId="59" borderId="0" xfId="2" applyFill="1"/>
    <xf numFmtId="0" fontId="21" fillId="59" borderId="13" xfId="2" applyFont="1" applyFill="1" applyBorder="1" applyAlignment="1">
      <alignment horizontal="center"/>
    </xf>
    <xf numFmtId="3" fontId="18" fillId="59" borderId="0" xfId="2" applyNumberFormat="1" applyFill="1" applyBorder="1"/>
    <xf numFmtId="3" fontId="18" fillId="59" borderId="14" xfId="2" applyNumberFormat="1" applyFill="1" applyBorder="1"/>
    <xf numFmtId="0" fontId="21" fillId="59" borderId="15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5"/>
    <xf numFmtId="0" fontId="44" fillId="0" borderId="0" xfId="5" applyFont="1"/>
    <xf numFmtId="0" fontId="20" fillId="0" borderId="0" xfId="5" applyFont="1" applyAlignment="1">
      <alignment horizontal="center"/>
    </xf>
    <xf numFmtId="0" fontId="20" fillId="0" borderId="0" xfId="5" applyAlignment="1">
      <alignment horizontal="left"/>
    </xf>
    <xf numFmtId="0" fontId="20" fillId="0" borderId="0" xfId="5" applyAlignment="1">
      <alignment horizontal="center"/>
    </xf>
    <xf numFmtId="0" fontId="44" fillId="0" borderId="0" xfId="5" applyFont="1" applyAlignment="1">
      <alignment horizontal="center"/>
    </xf>
    <xf numFmtId="0" fontId="18" fillId="0" borderId="0" xfId="2" applyAlignment="1">
      <alignment horizontal="center"/>
    </xf>
    <xf numFmtId="0" fontId="18" fillId="0" borderId="0" xfId="2" applyAlignment="1">
      <alignment horizontal="center" wrapText="1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8" fillId="0" borderId="40" xfId="2" applyBorder="1" applyAlignment="1">
      <alignment horizontal="center"/>
    </xf>
    <xf numFmtId="0" fontId="18" fillId="0" borderId="41" xfId="2" applyBorder="1" applyAlignment="1">
      <alignment horizontal="center"/>
    </xf>
    <xf numFmtId="3" fontId="18" fillId="59" borderId="0" xfId="2" applyNumberFormat="1" applyFill="1"/>
    <xf numFmtId="10" fontId="18" fillId="59" borderId="0" xfId="170" applyNumberFormat="1" applyFont="1" applyFill="1"/>
  </cellXfs>
  <cellStyles count="171">
    <cellStyle name="$" xfId="10"/>
    <cellStyle name="$.00" xfId="11"/>
    <cellStyle name="$_9. Rev2Cost_GDPIPI" xfId="12"/>
    <cellStyle name="$_lists" xfId="13"/>
    <cellStyle name="$_lists_4. Current Monthly Fixed Charge" xfId="14"/>
    <cellStyle name="$_Sheet4" xfId="15"/>
    <cellStyle name="$M" xfId="16"/>
    <cellStyle name="$M.00" xfId="17"/>
    <cellStyle name="$M_9. Rev2Cost_GDPIPI" xfId="18"/>
    <cellStyle name="20% - Accent1" xfId="147" builtinId="30" customBuiltin="1"/>
    <cellStyle name="20% - Accent1 2" xfId="19"/>
    <cellStyle name="20% - Accent1 3" xfId="20"/>
    <cellStyle name="20% - Accent2" xfId="151" builtinId="34" customBuiltin="1"/>
    <cellStyle name="20% - Accent2 2" xfId="21"/>
    <cellStyle name="20% - Accent2 3" xfId="22"/>
    <cellStyle name="20% - Accent3" xfId="155" builtinId="38" customBuiltin="1"/>
    <cellStyle name="20% - Accent3 2" xfId="23"/>
    <cellStyle name="20% - Accent3 3" xfId="24"/>
    <cellStyle name="20% - Accent4" xfId="159" builtinId="42" customBuiltin="1"/>
    <cellStyle name="20% - Accent4 2" xfId="25"/>
    <cellStyle name="20% - Accent4 3" xfId="26"/>
    <cellStyle name="20% - Accent5" xfId="163" builtinId="46" customBuiltin="1"/>
    <cellStyle name="20% - Accent5 2" xfId="27"/>
    <cellStyle name="20% - Accent5 3" xfId="28"/>
    <cellStyle name="20% - Accent6" xfId="167" builtinId="50" customBuiltin="1"/>
    <cellStyle name="20% - Accent6 2" xfId="29"/>
    <cellStyle name="20% - Accent6 3" xfId="30"/>
    <cellStyle name="40% - Accent1" xfId="148" builtinId="31" customBuiltin="1"/>
    <cellStyle name="40% - Accent1 2" xfId="31"/>
    <cellStyle name="40% - Accent1 3" xfId="32"/>
    <cellStyle name="40% - Accent2" xfId="152" builtinId="35" customBuiltin="1"/>
    <cellStyle name="40% - Accent2 2" xfId="33"/>
    <cellStyle name="40% - Accent2 3" xfId="34"/>
    <cellStyle name="40% - Accent3" xfId="156" builtinId="39" customBuiltin="1"/>
    <cellStyle name="40% - Accent3 2" xfId="35"/>
    <cellStyle name="40% - Accent3 3" xfId="36"/>
    <cellStyle name="40% - Accent4" xfId="160" builtinId="43" customBuiltin="1"/>
    <cellStyle name="40% - Accent4 2" xfId="37"/>
    <cellStyle name="40% - Accent4 3" xfId="38"/>
    <cellStyle name="40% - Accent5" xfId="164" builtinId="47" customBuiltin="1"/>
    <cellStyle name="40% - Accent5 2" xfId="39"/>
    <cellStyle name="40% - Accent5 3" xfId="40"/>
    <cellStyle name="40% - Accent6" xfId="168" builtinId="51" customBuiltin="1"/>
    <cellStyle name="40% - Accent6 2" xfId="41"/>
    <cellStyle name="40% - Accent6 3" xfId="42"/>
    <cellStyle name="60% - Accent1" xfId="149" builtinId="32" customBuiltin="1"/>
    <cellStyle name="60% - Accent1 2" xfId="43"/>
    <cellStyle name="60% - Accent1 3" xfId="44"/>
    <cellStyle name="60% - Accent2" xfId="153" builtinId="36" customBuiltin="1"/>
    <cellStyle name="60% - Accent2 2" xfId="45"/>
    <cellStyle name="60% - Accent2 3" xfId="46"/>
    <cellStyle name="60% - Accent3" xfId="157" builtinId="40" customBuiltin="1"/>
    <cellStyle name="60% - Accent3 2" xfId="47"/>
    <cellStyle name="60% - Accent3 3" xfId="48"/>
    <cellStyle name="60% - Accent4" xfId="161" builtinId="44" customBuiltin="1"/>
    <cellStyle name="60% - Accent4 2" xfId="49"/>
    <cellStyle name="60% - Accent4 3" xfId="50"/>
    <cellStyle name="60% - Accent5" xfId="165" builtinId="48" customBuiltin="1"/>
    <cellStyle name="60% - Accent5 2" xfId="51"/>
    <cellStyle name="60% - Accent5 3" xfId="52"/>
    <cellStyle name="60% - Accent6" xfId="169" builtinId="52" customBuiltin="1"/>
    <cellStyle name="60% - Accent6 2" xfId="53"/>
    <cellStyle name="60% - Accent6 3" xfId="54"/>
    <cellStyle name="Accent1" xfId="146" builtinId="29" customBuiltin="1"/>
    <cellStyle name="Accent1 2" xfId="55"/>
    <cellStyle name="Accent1 3" xfId="56"/>
    <cellStyle name="Accent2" xfId="150" builtinId="33" customBuiltin="1"/>
    <cellStyle name="Accent2 2" xfId="57"/>
    <cellStyle name="Accent2 3" xfId="58"/>
    <cellStyle name="Accent3" xfId="154" builtinId="37" customBuiltin="1"/>
    <cellStyle name="Accent3 2" xfId="59"/>
    <cellStyle name="Accent3 3" xfId="60"/>
    <cellStyle name="Accent4" xfId="158" builtinId="41" customBuiltin="1"/>
    <cellStyle name="Accent4 2" xfId="61"/>
    <cellStyle name="Accent4 3" xfId="62"/>
    <cellStyle name="Accent5" xfId="162" builtinId="45" customBuiltin="1"/>
    <cellStyle name="Accent5 2" xfId="63"/>
    <cellStyle name="Accent5 3" xfId="64"/>
    <cellStyle name="Accent6" xfId="166" builtinId="49" customBuiltin="1"/>
    <cellStyle name="Accent6 2" xfId="65"/>
    <cellStyle name="Accent6 3" xfId="66"/>
    <cellStyle name="Bad" xfId="135" builtinId="27" customBuiltin="1"/>
    <cellStyle name="Bad 2" xfId="67"/>
    <cellStyle name="Bad 3" xfId="68"/>
    <cellStyle name="Calculation" xfId="139" builtinId="22" customBuiltin="1"/>
    <cellStyle name="Calculation 2" xfId="69"/>
    <cellStyle name="Calculation 3" xfId="70"/>
    <cellStyle name="Check Cell" xfId="141" builtinId="23" customBuiltin="1"/>
    <cellStyle name="Check Cell 2" xfId="71"/>
    <cellStyle name="Check Cell 3" xfId="72"/>
    <cellStyle name="Comma" xfId="1" builtinId="3"/>
    <cellStyle name="Comma 2" xfId="4"/>
    <cellStyle name="Comma 2 2" xfId="73"/>
    <cellStyle name="Comma 3" xfId="6"/>
    <cellStyle name="Comma 3 2" xfId="74"/>
    <cellStyle name="Comma 4" xfId="75"/>
    <cellStyle name="Comma 5" xfId="9"/>
    <cellStyle name="Comma0" xfId="76"/>
    <cellStyle name="Currency 2" xfId="77"/>
    <cellStyle name="Currency 3" xfId="78"/>
    <cellStyle name="Currency 4" xfId="79"/>
    <cellStyle name="Currency0" xfId="80"/>
    <cellStyle name="Date" xfId="81"/>
    <cellStyle name="Explanatory Text" xfId="144" builtinId="53" customBuiltin="1"/>
    <cellStyle name="Explanatory Text 2" xfId="82"/>
    <cellStyle name="Explanatory Text 3" xfId="83"/>
    <cellStyle name="Fixed" xfId="84"/>
    <cellStyle name="Good" xfId="134" builtinId="26" customBuiltin="1"/>
    <cellStyle name="Good 2" xfId="85"/>
    <cellStyle name="Good 3" xfId="86"/>
    <cellStyle name="Grey" xfId="87"/>
    <cellStyle name="Heading 1" xfId="130" builtinId="16" customBuiltin="1"/>
    <cellStyle name="Heading 1 2" xfId="88"/>
    <cellStyle name="Heading 1 3" xfId="89"/>
    <cellStyle name="Heading 2" xfId="131" builtinId="17" customBuiltin="1"/>
    <cellStyle name="Heading 2 2" xfId="90"/>
    <cellStyle name="Heading 2 3" xfId="91"/>
    <cellStyle name="Heading 3" xfId="132" builtinId="18" customBuiltin="1"/>
    <cellStyle name="Heading 3 2" xfId="92"/>
    <cellStyle name="Heading 3 3" xfId="93"/>
    <cellStyle name="Heading 4" xfId="133" builtinId="19" customBuiltin="1"/>
    <cellStyle name="Heading 4 2" xfId="94"/>
    <cellStyle name="Heading 4 3" xfId="95"/>
    <cellStyle name="Hyperlink 2" xfId="96"/>
    <cellStyle name="Input" xfId="137" builtinId="20" customBuiltin="1"/>
    <cellStyle name="Input [yellow]" xfId="97"/>
    <cellStyle name="Input 2" xfId="98"/>
    <cellStyle name="Input 3" xfId="99"/>
    <cellStyle name="Linked Cell" xfId="140" builtinId="24" customBuiltin="1"/>
    <cellStyle name="Linked Cell 2" xfId="100"/>
    <cellStyle name="Linked Cell 3" xfId="101"/>
    <cellStyle name="M" xfId="102"/>
    <cellStyle name="M.00" xfId="103"/>
    <cellStyle name="M_9. Rev2Cost_GDPIPI" xfId="104"/>
    <cellStyle name="M_lists" xfId="105"/>
    <cellStyle name="M_lists_4. Current Monthly Fixed Charge" xfId="106"/>
    <cellStyle name="M_Sheet4" xfId="107"/>
    <cellStyle name="Neutral" xfId="136" builtinId="28" customBuiltin="1"/>
    <cellStyle name="Neutral 2" xfId="108"/>
    <cellStyle name="Neutral 3" xfId="109"/>
    <cellStyle name="Normal" xfId="0" builtinId="0"/>
    <cellStyle name="Normal - Style1" xfId="110"/>
    <cellStyle name="Normal 2" xfId="2"/>
    <cellStyle name="Normal 2 2" xfId="111"/>
    <cellStyle name="Normal 3" xfId="5"/>
    <cellStyle name="Normal 4" xfId="112"/>
    <cellStyle name="Normal 5" xfId="113"/>
    <cellStyle name="Normal 5 2" xfId="114"/>
    <cellStyle name="Normal 6" xfId="115"/>
    <cellStyle name="Note" xfId="143" builtinId="10" customBuiltin="1"/>
    <cellStyle name="Note 2" xfId="116"/>
    <cellStyle name="Note 3" xfId="117"/>
    <cellStyle name="Output" xfId="138" builtinId="21" customBuiltin="1"/>
    <cellStyle name="Output 2" xfId="118"/>
    <cellStyle name="Output 3" xfId="119"/>
    <cellStyle name="Percent" xfId="170" builtinId="5"/>
    <cellStyle name="Percent [2]" xfId="120"/>
    <cellStyle name="Percent 2" xfId="3"/>
    <cellStyle name="Percent 3" xfId="7"/>
    <cellStyle name="Percent 3 2" xfId="121"/>
    <cellStyle name="Percent 4" xfId="122"/>
    <cellStyle name="Percent 5" xfId="8"/>
    <cellStyle name="Title" xfId="129" builtinId="15" customBuiltin="1"/>
    <cellStyle name="Title 2" xfId="123"/>
    <cellStyle name="Title 3" xfId="124"/>
    <cellStyle name="Total" xfId="145" builtinId="25" customBuiltin="1"/>
    <cellStyle name="Total 2" xfId="125"/>
    <cellStyle name="Total 3" xfId="126"/>
    <cellStyle name="Warning Text" xfId="142" builtinId="11" customBuiltin="1"/>
    <cellStyle name="Warning Text 2" xfId="127"/>
    <cellStyle name="Warning Text 3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Residential_no_CDM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Monthly'!$C$2:$C$121</c:f>
              <c:numCache>
                <c:formatCode>_(* #,##0_);_(* \(#,##0\);_(* "-"??_);_(@_)</c:formatCode>
                <c:ptCount val="120"/>
                <c:pt idx="0">
                  <c:v>14581608.920969907</c:v>
                </c:pt>
                <c:pt idx="1">
                  <c:v>14900347.320969908</c:v>
                </c:pt>
                <c:pt idx="2">
                  <c:v>13266443.320969906</c:v>
                </c:pt>
                <c:pt idx="3">
                  <c:v>11367902.320969908</c:v>
                </c:pt>
                <c:pt idx="4">
                  <c:v>10571719.320969908</c:v>
                </c:pt>
                <c:pt idx="5">
                  <c:v>12208403.320969908</c:v>
                </c:pt>
                <c:pt idx="6">
                  <c:v>12684446.320969908</c:v>
                </c:pt>
                <c:pt idx="7">
                  <c:v>12052546.320969908</c:v>
                </c:pt>
                <c:pt idx="8">
                  <c:v>10146484.320969908</c:v>
                </c:pt>
                <c:pt idx="9">
                  <c:v>10490269.320969908</c:v>
                </c:pt>
                <c:pt idx="10">
                  <c:v>11374243.320969908</c:v>
                </c:pt>
                <c:pt idx="11">
                  <c:v>14349894.320969908</c:v>
                </c:pt>
                <c:pt idx="12">
                  <c:v>13687822.136470912</c:v>
                </c:pt>
                <c:pt idx="13">
                  <c:v>13785723.616470911</c:v>
                </c:pt>
                <c:pt idx="14">
                  <c:v>12643963.896470912</c:v>
                </c:pt>
                <c:pt idx="15">
                  <c:v>10212184.296470912</c:v>
                </c:pt>
                <c:pt idx="16">
                  <c:v>10279757.096470911</c:v>
                </c:pt>
                <c:pt idx="17">
                  <c:v>10871040.896470912</c:v>
                </c:pt>
                <c:pt idx="18">
                  <c:v>12420189.896470912</c:v>
                </c:pt>
                <c:pt idx="19">
                  <c:v>12069420.896470912</c:v>
                </c:pt>
                <c:pt idx="20">
                  <c:v>9822708.8964709118</c:v>
                </c:pt>
                <c:pt idx="21">
                  <c:v>10052323.896470912</c:v>
                </c:pt>
                <c:pt idx="22">
                  <c:v>11103226.896470912</c:v>
                </c:pt>
                <c:pt idx="23">
                  <c:v>14751336.896470912</c:v>
                </c:pt>
                <c:pt idx="24">
                  <c:v>14994049.254319351</c:v>
                </c:pt>
                <c:pt idx="25">
                  <c:v>13874031.254319351</c:v>
                </c:pt>
                <c:pt idx="26">
                  <c:v>11835174.254319351</c:v>
                </c:pt>
                <c:pt idx="27">
                  <c:v>11370094.254319351</c:v>
                </c:pt>
                <c:pt idx="28">
                  <c:v>9112702.0543193519</c:v>
                </c:pt>
                <c:pt idx="29">
                  <c:v>10026613.45431935</c:v>
                </c:pt>
                <c:pt idx="30">
                  <c:v>11170286.254319351</c:v>
                </c:pt>
                <c:pt idx="31">
                  <c:v>11765460.254319351</c:v>
                </c:pt>
                <c:pt idx="32">
                  <c:v>10472733.254319351</c:v>
                </c:pt>
                <c:pt idx="33">
                  <c:v>10701899.254319351</c:v>
                </c:pt>
                <c:pt idx="34">
                  <c:v>10944291.254319351</c:v>
                </c:pt>
                <c:pt idx="35">
                  <c:v>13904019.45431935</c:v>
                </c:pt>
                <c:pt idx="36">
                  <c:v>14717052.807938807</c:v>
                </c:pt>
                <c:pt idx="37">
                  <c:v>14375081.807938807</c:v>
                </c:pt>
                <c:pt idx="38">
                  <c:v>10713254.807938807</c:v>
                </c:pt>
                <c:pt idx="39">
                  <c:v>10191264.807938807</c:v>
                </c:pt>
                <c:pt idx="40">
                  <c:v>10178147.807938807</c:v>
                </c:pt>
                <c:pt idx="41">
                  <c:v>12149657.807938807</c:v>
                </c:pt>
                <c:pt idx="42">
                  <c:v>13218725.807938807</c:v>
                </c:pt>
                <c:pt idx="43">
                  <c:v>13112190.807938807</c:v>
                </c:pt>
                <c:pt idx="44">
                  <c:v>10595662.807938807</c:v>
                </c:pt>
                <c:pt idx="45">
                  <c:v>9940945.007938806</c:v>
                </c:pt>
                <c:pt idx="46">
                  <c:v>11403864.607938807</c:v>
                </c:pt>
                <c:pt idx="47">
                  <c:v>14482720.807938807</c:v>
                </c:pt>
                <c:pt idx="48">
                  <c:v>14730818.468051754</c:v>
                </c:pt>
                <c:pt idx="49">
                  <c:v>12474857.468051754</c:v>
                </c:pt>
                <c:pt idx="50">
                  <c:v>11284297.468051754</c:v>
                </c:pt>
                <c:pt idx="51">
                  <c:v>11134118.468051754</c:v>
                </c:pt>
                <c:pt idx="52">
                  <c:v>10309537.648051754</c:v>
                </c:pt>
                <c:pt idx="53">
                  <c:v>10923118.348051753</c:v>
                </c:pt>
                <c:pt idx="54">
                  <c:v>13973996.748051755</c:v>
                </c:pt>
                <c:pt idx="55">
                  <c:v>13088259.428051755</c:v>
                </c:pt>
                <c:pt idx="56">
                  <c:v>10428037.298051752</c:v>
                </c:pt>
                <c:pt idx="57">
                  <c:v>9961883.1680517532</c:v>
                </c:pt>
                <c:pt idx="58">
                  <c:v>10558824.248051753</c:v>
                </c:pt>
                <c:pt idx="59">
                  <c:v>12756788.608051755</c:v>
                </c:pt>
                <c:pt idx="60">
                  <c:v>13701990.338784929</c:v>
                </c:pt>
                <c:pt idx="61">
                  <c:v>12419248.918784933</c:v>
                </c:pt>
                <c:pt idx="62">
                  <c:v>10625784.518784931</c:v>
                </c:pt>
                <c:pt idx="63">
                  <c:v>9308329.4287849367</c:v>
                </c:pt>
                <c:pt idx="64">
                  <c:v>10160706.668784929</c:v>
                </c:pt>
                <c:pt idx="65">
                  <c:v>11226621.57878493</c:v>
                </c:pt>
                <c:pt idx="66">
                  <c:v>14521070.218784928</c:v>
                </c:pt>
                <c:pt idx="67">
                  <c:v>12646001.058784934</c:v>
                </c:pt>
                <c:pt idx="68">
                  <c:v>10714417.028784934</c:v>
                </c:pt>
                <c:pt idx="69">
                  <c:v>9933433.2287849337</c:v>
                </c:pt>
                <c:pt idx="70">
                  <c:v>11155987.468784932</c:v>
                </c:pt>
                <c:pt idx="71">
                  <c:v>12721788.438784931</c:v>
                </c:pt>
                <c:pt idx="72">
                  <c:v>13766519.236842874</c:v>
                </c:pt>
                <c:pt idx="73">
                  <c:v>13037264.436842877</c:v>
                </c:pt>
                <c:pt idx="74">
                  <c:v>11968675.47684288</c:v>
                </c:pt>
                <c:pt idx="75">
                  <c:v>10955923.596842881</c:v>
                </c:pt>
                <c:pt idx="76">
                  <c:v>9805347.5568428785</c:v>
                </c:pt>
                <c:pt idx="77">
                  <c:v>10790040.57684288</c:v>
                </c:pt>
                <c:pt idx="78">
                  <c:v>13306627.046842881</c:v>
                </c:pt>
                <c:pt idx="79">
                  <c:v>11765359.706842881</c:v>
                </c:pt>
                <c:pt idx="80">
                  <c:v>10845549.38684288</c:v>
                </c:pt>
                <c:pt idx="81">
                  <c:v>10013800.05684288</c:v>
                </c:pt>
                <c:pt idx="82">
                  <c:v>11605954.256842878</c:v>
                </c:pt>
                <c:pt idx="83">
                  <c:v>13860420.196842877</c:v>
                </c:pt>
                <c:pt idx="84">
                  <c:v>14722169.100343866</c:v>
                </c:pt>
                <c:pt idx="85">
                  <c:v>13790924.590343861</c:v>
                </c:pt>
                <c:pt idx="86">
                  <c:v>12528889.650343863</c:v>
                </c:pt>
                <c:pt idx="87">
                  <c:v>10816440.440343862</c:v>
                </c:pt>
                <c:pt idx="88">
                  <c:v>9703088.1603438631</c:v>
                </c:pt>
                <c:pt idx="89">
                  <c:v>10912677.660343865</c:v>
                </c:pt>
                <c:pt idx="90">
                  <c:v>11600834.720343864</c:v>
                </c:pt>
                <c:pt idx="91">
                  <c:v>11466154.010343865</c:v>
                </c:pt>
                <c:pt idx="92">
                  <c:v>10578662.600343861</c:v>
                </c:pt>
                <c:pt idx="93">
                  <c:v>9927126.3503438644</c:v>
                </c:pt>
                <c:pt idx="94">
                  <c:v>11544026.020343866</c:v>
                </c:pt>
                <c:pt idx="95">
                  <c:v>13053158.70034386</c:v>
                </c:pt>
                <c:pt idx="96">
                  <c:v>14179956.538303483</c:v>
                </c:pt>
                <c:pt idx="97">
                  <c:v>13790999.848303484</c:v>
                </c:pt>
                <c:pt idx="98">
                  <c:v>12167181.358303482</c:v>
                </c:pt>
                <c:pt idx="99">
                  <c:v>10541757.03830348</c:v>
                </c:pt>
                <c:pt idx="100">
                  <c:v>9816749.928303482</c:v>
                </c:pt>
                <c:pt idx="101">
                  <c:v>10526013.478303481</c:v>
                </c:pt>
                <c:pt idx="102">
                  <c:v>12091575.198303482</c:v>
                </c:pt>
                <c:pt idx="103">
                  <c:v>12608290.718303479</c:v>
                </c:pt>
                <c:pt idx="104">
                  <c:v>11472336.978303481</c:v>
                </c:pt>
                <c:pt idx="105">
                  <c:v>9760874.6783034839</c:v>
                </c:pt>
                <c:pt idx="106">
                  <c:v>10610626.948303482</c:v>
                </c:pt>
                <c:pt idx="107">
                  <c:v>11935835.708303479</c:v>
                </c:pt>
                <c:pt idx="108">
                  <c:v>13040485.289731631</c:v>
                </c:pt>
                <c:pt idx="109">
                  <c:v>12219959.469731636</c:v>
                </c:pt>
                <c:pt idx="110">
                  <c:v>11209716.929731634</c:v>
                </c:pt>
                <c:pt idx="111">
                  <c:v>10535031.609731635</c:v>
                </c:pt>
                <c:pt idx="112">
                  <c:v>9802426.5897316337</c:v>
                </c:pt>
                <c:pt idx="113">
                  <c:v>11190418.029731637</c:v>
                </c:pt>
                <c:pt idx="114">
                  <c:v>13653579.789731635</c:v>
                </c:pt>
                <c:pt idx="115">
                  <c:v>14761841.349731633</c:v>
                </c:pt>
                <c:pt idx="116">
                  <c:v>11769949.059731634</c:v>
                </c:pt>
                <c:pt idx="117">
                  <c:v>9824702.8897316344</c:v>
                </c:pt>
                <c:pt idx="118">
                  <c:v>10371409.499731634</c:v>
                </c:pt>
                <c:pt idx="119">
                  <c:v>12858747.429731634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F3-4AF0-890C-8F99813F06A5}"/>
            </c:ext>
          </c:extLst>
        </c:ser>
        <c:ser>
          <c:idx val="1"/>
          <c:order val="1"/>
          <c:tx>
            <c:strRef>
              <c:f>'Res Predicted Monthly'!$T$1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Monthly'!$T$2:$T$121</c:f>
              <c:numCache>
                <c:formatCode>_(* #,##0_);_(* \(#,##0\);_(* "-"??_);_(@_)</c:formatCode>
                <c:ptCount val="120"/>
                <c:pt idx="0">
                  <c:v>14047351.074815331</c:v>
                </c:pt>
                <c:pt idx="1">
                  <c:v>14144366.481897559</c:v>
                </c:pt>
                <c:pt idx="2">
                  <c:v>11902074.182306565</c:v>
                </c:pt>
                <c:pt idx="3">
                  <c:v>11028872.512789087</c:v>
                </c:pt>
                <c:pt idx="4">
                  <c:v>10316198.567390133</c:v>
                </c:pt>
                <c:pt idx="5">
                  <c:v>11660288.384170804</c:v>
                </c:pt>
                <c:pt idx="6">
                  <c:v>12401386.386483636</c:v>
                </c:pt>
                <c:pt idx="7">
                  <c:v>12879907.671563691</c:v>
                </c:pt>
                <c:pt idx="8">
                  <c:v>11015424.392813189</c:v>
                </c:pt>
                <c:pt idx="9">
                  <c:v>10362118.758892234</c:v>
                </c:pt>
                <c:pt idx="10">
                  <c:v>11542931.958068123</c:v>
                </c:pt>
                <c:pt idx="11">
                  <c:v>14008128.507652167</c:v>
                </c:pt>
                <c:pt idx="12">
                  <c:v>13903528.376606556</c:v>
                </c:pt>
                <c:pt idx="13">
                  <c:v>13724092.468908474</c:v>
                </c:pt>
                <c:pt idx="14">
                  <c:v>12409807.103005409</c:v>
                </c:pt>
                <c:pt idx="15">
                  <c:v>10386211.252627937</c:v>
                </c:pt>
                <c:pt idx="16">
                  <c:v>10126500.814580146</c:v>
                </c:pt>
                <c:pt idx="17">
                  <c:v>11509410.229245795</c:v>
                </c:pt>
                <c:pt idx="18">
                  <c:v>13008524.774191465</c:v>
                </c:pt>
                <c:pt idx="19">
                  <c:v>11845487.803761158</c:v>
                </c:pt>
                <c:pt idx="20">
                  <c:v>10565821.732022792</c:v>
                </c:pt>
                <c:pt idx="21">
                  <c:v>10482065.721565632</c:v>
                </c:pt>
                <c:pt idx="22">
                  <c:v>11489401.826380333</c:v>
                </c:pt>
                <c:pt idx="23">
                  <c:v>14034858.435094144</c:v>
                </c:pt>
                <c:pt idx="24">
                  <c:v>15026031.055778546</c:v>
                </c:pt>
                <c:pt idx="25">
                  <c:v>13228017.288963497</c:v>
                </c:pt>
                <c:pt idx="26">
                  <c:v>11834586.586974137</c:v>
                </c:pt>
                <c:pt idx="27">
                  <c:v>10657081.330803802</c:v>
                </c:pt>
                <c:pt idx="28">
                  <c:v>9813454.1631516665</c:v>
                </c:pt>
                <c:pt idx="29">
                  <c:v>10750281.977074536</c:v>
                </c:pt>
                <c:pt idx="30">
                  <c:v>11186849.371917816</c:v>
                </c:pt>
                <c:pt idx="31">
                  <c:v>12339553.217768779</c:v>
                </c:pt>
                <c:pt idx="32">
                  <c:v>10443952.815334303</c:v>
                </c:pt>
                <c:pt idx="33">
                  <c:v>10511025.095094549</c:v>
                </c:pt>
                <c:pt idx="34">
                  <c:v>10816085.682523787</c:v>
                </c:pt>
                <c:pt idx="35">
                  <c:v>13795726.916668769</c:v>
                </c:pt>
                <c:pt idx="36">
                  <c:v>14325404.19735701</c:v>
                </c:pt>
                <c:pt idx="37">
                  <c:v>13292090.438361684</c:v>
                </c:pt>
                <c:pt idx="38">
                  <c:v>11320118.476811923</c:v>
                </c:pt>
                <c:pt idx="39">
                  <c:v>10124204.486210171</c:v>
                </c:pt>
                <c:pt idx="40">
                  <c:v>10437902.366461616</c:v>
                </c:pt>
                <c:pt idx="41">
                  <c:v>11159052.541257538</c:v>
                </c:pt>
                <c:pt idx="42">
                  <c:v>13814897.698586579</c:v>
                </c:pt>
                <c:pt idx="43">
                  <c:v>13592654.775919547</c:v>
                </c:pt>
                <c:pt idx="44">
                  <c:v>10711433.748274192</c:v>
                </c:pt>
                <c:pt idx="45">
                  <c:v>10115832.350583516</c:v>
                </c:pt>
                <c:pt idx="46">
                  <c:v>11081923.702789864</c:v>
                </c:pt>
                <c:pt idx="47">
                  <c:v>14169135.710629603</c:v>
                </c:pt>
                <c:pt idx="48">
                  <c:v>14640290.03153572</c:v>
                </c:pt>
                <c:pt idx="49">
                  <c:v>13488258.268410949</c:v>
                </c:pt>
                <c:pt idx="50">
                  <c:v>12101515.904682402</c:v>
                </c:pt>
                <c:pt idx="51">
                  <c:v>10596823.631039742</c:v>
                </c:pt>
                <c:pt idx="52">
                  <c:v>9934460.2223427072</c:v>
                </c:pt>
                <c:pt idx="53">
                  <c:v>10634010.662644641</c:v>
                </c:pt>
                <c:pt idx="54">
                  <c:v>14591154.283088807</c:v>
                </c:pt>
                <c:pt idx="55">
                  <c:v>12448315.860480897</c:v>
                </c:pt>
                <c:pt idx="56">
                  <c:v>10705826.072563419</c:v>
                </c:pt>
                <c:pt idx="57">
                  <c:v>10037220.950417673</c:v>
                </c:pt>
                <c:pt idx="58">
                  <c:v>10664436.49740945</c:v>
                </c:pt>
                <c:pt idx="59">
                  <c:v>13197631.152645104</c:v>
                </c:pt>
                <c:pt idx="60">
                  <c:v>13730652.60246375</c:v>
                </c:pt>
                <c:pt idx="61">
                  <c:v>12741370.403685451</c:v>
                </c:pt>
                <c:pt idx="62">
                  <c:v>10614253.793920092</c:v>
                </c:pt>
                <c:pt idx="63">
                  <c:v>10568932.129351741</c:v>
                </c:pt>
                <c:pt idx="64">
                  <c:v>9970197.5900954679</c:v>
                </c:pt>
                <c:pt idx="65">
                  <c:v>11748186.667707836</c:v>
                </c:pt>
                <c:pt idx="66">
                  <c:v>14542606.063883213</c:v>
                </c:pt>
                <c:pt idx="67">
                  <c:v>12341297.559705837</c:v>
                </c:pt>
                <c:pt idx="68">
                  <c:v>10794312.203170592</c:v>
                </c:pt>
                <c:pt idx="69">
                  <c:v>10093808.011539405</c:v>
                </c:pt>
                <c:pt idx="70">
                  <c:v>11229577.654846948</c:v>
                </c:pt>
                <c:pt idx="71">
                  <c:v>13076660.27682744</c:v>
                </c:pt>
                <c:pt idx="72">
                  <c:v>13749579.468601447</c:v>
                </c:pt>
                <c:pt idx="73">
                  <c:v>13269725.700688472</c:v>
                </c:pt>
                <c:pt idx="74">
                  <c:v>11900261.544133695</c:v>
                </c:pt>
                <c:pt idx="75">
                  <c:v>10671463.22374961</c:v>
                </c:pt>
                <c:pt idx="76">
                  <c:v>10072686.441172834</c:v>
                </c:pt>
                <c:pt idx="77">
                  <c:v>11083421.48599172</c:v>
                </c:pt>
                <c:pt idx="78">
                  <c:v>13094090.588001315</c:v>
                </c:pt>
                <c:pt idx="79">
                  <c:v>11740782.122057026</c:v>
                </c:pt>
                <c:pt idx="80">
                  <c:v>10648843.85950294</c:v>
                </c:pt>
                <c:pt idx="81">
                  <c:v>9961594.7837538961</c:v>
                </c:pt>
                <c:pt idx="82">
                  <c:v>11365550.440548886</c:v>
                </c:pt>
                <c:pt idx="83">
                  <c:v>13871434.381219549</c:v>
                </c:pt>
                <c:pt idx="84">
                  <c:v>14551041.911254367</c:v>
                </c:pt>
                <c:pt idx="85">
                  <c:v>13625298.9259538</c:v>
                </c:pt>
                <c:pt idx="86">
                  <c:v>12486582.439397104</c:v>
                </c:pt>
                <c:pt idx="87">
                  <c:v>10573344.170323061</c:v>
                </c:pt>
                <c:pt idx="88">
                  <c:v>9727165.1179860383</c:v>
                </c:pt>
                <c:pt idx="89">
                  <c:v>11328467.860423507</c:v>
                </c:pt>
                <c:pt idx="90">
                  <c:v>11438540.527632898</c:v>
                </c:pt>
                <c:pt idx="91">
                  <c:v>11554893.214902988</c:v>
                </c:pt>
                <c:pt idx="92">
                  <c:v>10317845.544309592</c:v>
                </c:pt>
                <c:pt idx="93">
                  <c:v>9952989.0838319324</c:v>
                </c:pt>
                <c:pt idx="94">
                  <c:v>11378903.691469237</c:v>
                </c:pt>
                <c:pt idx="95">
                  <c:v>13150185.146493837</c:v>
                </c:pt>
                <c:pt idx="96">
                  <c:v>14513675.263696881</c:v>
                </c:pt>
                <c:pt idx="97">
                  <c:v>14362107.432085522</c:v>
                </c:pt>
                <c:pt idx="98">
                  <c:v>12122044.578581467</c:v>
                </c:pt>
                <c:pt idx="99">
                  <c:v>10426177.302983876</c:v>
                </c:pt>
                <c:pt idx="100">
                  <c:v>10089991.648892904</c:v>
                </c:pt>
                <c:pt idx="101">
                  <c:v>10190629.772964418</c:v>
                </c:pt>
                <c:pt idx="102">
                  <c:v>12099132.743214583</c:v>
                </c:pt>
                <c:pt idx="103">
                  <c:v>11726507.966104547</c:v>
                </c:pt>
                <c:pt idx="104">
                  <c:v>10986349.014157835</c:v>
                </c:pt>
                <c:pt idx="105">
                  <c:v>9945162.5969263706</c:v>
                </c:pt>
                <c:pt idx="106">
                  <c:v>10469823.623918999</c:v>
                </c:pt>
                <c:pt idx="107">
                  <c:v>12431722.719376799</c:v>
                </c:pt>
                <c:pt idx="108">
                  <c:v>13799114.367231982</c:v>
                </c:pt>
                <c:pt idx="109">
                  <c:v>12793111.322801648</c:v>
                </c:pt>
                <c:pt idx="110">
                  <c:v>11071952.046032405</c:v>
                </c:pt>
                <c:pt idx="111">
                  <c:v>10639065.978685174</c:v>
                </c:pt>
                <c:pt idx="112">
                  <c:v>10010500.744855475</c:v>
                </c:pt>
                <c:pt idx="113">
                  <c:v>10760855.570276259</c:v>
                </c:pt>
                <c:pt idx="114">
                  <c:v>13147360.480538942</c:v>
                </c:pt>
                <c:pt idx="115">
                  <c:v>13509060.430334484</c:v>
                </c:pt>
                <c:pt idx="116">
                  <c:v>10656732.249608191</c:v>
                </c:pt>
                <c:pt idx="117">
                  <c:v>9808918.3757421449</c:v>
                </c:pt>
                <c:pt idx="118">
                  <c:v>10452521.991143953</c:v>
                </c:pt>
                <c:pt idx="119">
                  <c:v>13448884.07094097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F3-4AF0-890C-8F99813F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7184"/>
        <c:axId val="98644352"/>
      </c:lineChart>
      <c:dateAx>
        <c:axId val="789571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44352"/>
        <c:crosses val="autoZero"/>
        <c:auto val="1"/>
        <c:lblOffset val="100"/>
        <c:baseTimeUnit val="months"/>
      </c:dateAx>
      <c:valAx>
        <c:axId val="98644352"/>
        <c:scaling>
          <c:orientation val="minMax"/>
          <c:min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5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Summary'!$E$5:$E$14</c:f>
              <c:numCache>
                <c:formatCode>#,##0</c:formatCode>
                <c:ptCount val="10"/>
                <c:pt idx="0">
                  <c:v>147994308.45163891</c:v>
                </c:pt>
                <c:pt idx="1">
                  <c:v>141699699.31765088</c:v>
                </c:pt>
                <c:pt idx="2">
                  <c:v>140171354.25183222</c:v>
                </c:pt>
                <c:pt idx="3">
                  <c:v>145078569.69526568</c:v>
                </c:pt>
                <c:pt idx="4">
                  <c:v>141624537.36662105</c:v>
                </c:pt>
                <c:pt idx="5">
                  <c:v>139135378.89541918</c:v>
                </c:pt>
                <c:pt idx="6">
                  <c:v>141721481.53211454</c:v>
                </c:pt>
                <c:pt idx="7">
                  <c:v>140644152.00412637</c:v>
                </c:pt>
                <c:pt idx="8">
                  <c:v>139502198.41964176</c:v>
                </c:pt>
                <c:pt idx="9">
                  <c:v>141238267.93677962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80E-4EB9-AD15-65274450DDA9}"/>
            </c:ext>
          </c:extLst>
        </c:ser>
        <c:ser>
          <c:idx val="3"/>
          <c:order val="1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Summary'!$G$5:$G$16</c:f>
              <c:numCache>
                <c:formatCode>#,##0</c:formatCode>
                <c:ptCount val="12"/>
                <c:pt idx="0">
                  <c:v>144651231.8095544</c:v>
                </c:pt>
                <c:pt idx="1">
                  <c:v>144035623.58234417</c:v>
                </c:pt>
                <c:pt idx="2">
                  <c:v>143420015.35513401</c:v>
                </c:pt>
                <c:pt idx="3">
                  <c:v>142804407.12792382</c:v>
                </c:pt>
                <c:pt idx="4">
                  <c:v>142188798.90071356</c:v>
                </c:pt>
                <c:pt idx="5">
                  <c:v>141573190.67350334</c:v>
                </c:pt>
                <c:pt idx="6">
                  <c:v>140957582.44629318</c:v>
                </c:pt>
                <c:pt idx="7">
                  <c:v>140341974.21908292</c:v>
                </c:pt>
                <c:pt idx="8">
                  <c:v>139726365.99187273</c:v>
                </c:pt>
                <c:pt idx="9">
                  <c:v>139110757.7646625</c:v>
                </c:pt>
                <c:pt idx="10">
                  <c:v>138495149.53745231</c:v>
                </c:pt>
                <c:pt idx="11">
                  <c:v>137879541.31024206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80E-4EB9-AD15-65274450DDA9}"/>
            </c:ext>
          </c:extLst>
        </c:ser>
        <c:ser>
          <c:idx val="1"/>
          <c:order val="2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Summary'!$C$5:$C$14</c:f>
              <c:numCache>
                <c:formatCode>#,##0</c:formatCode>
                <c:ptCount val="10"/>
                <c:pt idx="0">
                  <c:v>147855080.59999999</c:v>
                </c:pt>
                <c:pt idx="1">
                  <c:v>141293620.56</c:v>
                </c:pt>
                <c:pt idx="2">
                  <c:v>139285895.19999999</c:v>
                </c:pt>
                <c:pt idx="3">
                  <c:v>143730192</c:v>
                </c:pt>
                <c:pt idx="4">
                  <c:v>139849071.75</c:v>
                </c:pt>
                <c:pt idx="5">
                  <c:v>136951769.39000002</c:v>
                </c:pt>
                <c:pt idx="6">
                  <c:v>139174379.21000001</c:v>
                </c:pt>
                <c:pt idx="7">
                  <c:v>137614288.20000002</c:v>
                </c:pt>
                <c:pt idx="8">
                  <c:v>135712848.27999997</c:v>
                </c:pt>
                <c:pt idx="9">
                  <c:v>136671067.22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0E-4EB9-AD15-65274450DDA9}"/>
            </c:ext>
          </c:extLst>
        </c:ser>
        <c:ser>
          <c:idx val="2"/>
          <c:order val="3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Summary'!$I$5:$I$16</c:f>
              <c:numCache>
                <c:formatCode>#,##0</c:formatCode>
                <c:ptCount val="12"/>
                <c:pt idx="0">
                  <c:v>144512003.95791551</c:v>
                </c:pt>
                <c:pt idx="1">
                  <c:v>143629544.82469323</c:v>
                </c:pt>
                <c:pt idx="2">
                  <c:v>142534556.30330181</c:v>
                </c:pt>
                <c:pt idx="3">
                  <c:v>141456029.43265814</c:v>
                </c:pt>
                <c:pt idx="4">
                  <c:v>140413333.28409252</c:v>
                </c:pt>
                <c:pt idx="5">
                  <c:v>139389581.16808414</c:v>
                </c:pt>
                <c:pt idx="6">
                  <c:v>138410480.12417862</c:v>
                </c:pt>
                <c:pt idx="7">
                  <c:v>137312110.41495657</c:v>
                </c:pt>
                <c:pt idx="8">
                  <c:v>135937015.85223097</c:v>
                </c:pt>
                <c:pt idx="9">
                  <c:v>134543557.04788288</c:v>
                </c:pt>
                <c:pt idx="10">
                  <c:v>133927948.82067271</c:v>
                </c:pt>
                <c:pt idx="11">
                  <c:v>133312340.59346245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0E-4EB9-AD15-65274450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12384"/>
        <c:axId val="132113920"/>
      </c:lineChart>
      <c:catAx>
        <c:axId val="1321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113920"/>
        <c:crosses val="autoZero"/>
        <c:auto val="1"/>
        <c:lblAlgn val="ctr"/>
        <c:lblOffset val="100"/>
        <c:noMultiLvlLbl val="0"/>
      </c:catAx>
      <c:valAx>
        <c:axId val="132113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2112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Summary'!$N$3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Summary'!$N$5:$N$14</c:f>
              <c:numCache>
                <c:formatCode>#,##0</c:formatCode>
                <c:ptCount val="10"/>
                <c:pt idx="0">
                  <c:v>51997633.26674448</c:v>
                </c:pt>
                <c:pt idx="1">
                  <c:v>48943216.175640501</c:v>
                </c:pt>
                <c:pt idx="2">
                  <c:v>48039983.45030982</c:v>
                </c:pt>
                <c:pt idx="3">
                  <c:v>49616193.956250347</c:v>
                </c:pt>
                <c:pt idx="4">
                  <c:v>49273917.041528247</c:v>
                </c:pt>
                <c:pt idx="5">
                  <c:v>48699091.966143981</c:v>
                </c:pt>
                <c:pt idx="6">
                  <c:v>49904174.044276044</c:v>
                </c:pt>
                <c:pt idx="7">
                  <c:v>50588553.979683504</c:v>
                </c:pt>
                <c:pt idx="8">
                  <c:v>53413629.080875844</c:v>
                </c:pt>
                <c:pt idx="9">
                  <c:v>52327042.37961597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C-43A2-A31B-70E06C9FDD03}"/>
            </c:ext>
          </c:extLst>
        </c:ser>
        <c:ser>
          <c:idx val="3"/>
          <c:order val="1"/>
          <c:tx>
            <c:strRef>
              <c:f>'Normalized Annual Summary'!$P$3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Summary'!$P$5:$P$16</c:f>
              <c:numCache>
                <c:formatCode>#,##0</c:formatCode>
                <c:ptCount val="12"/>
                <c:pt idx="0">
                  <c:v>51021168.377520248</c:v>
                </c:pt>
                <c:pt idx="1">
                  <c:v>50181731.022512361</c:v>
                </c:pt>
                <c:pt idx="2">
                  <c:v>48573914.930004239</c:v>
                </c:pt>
                <c:pt idx="3">
                  <c:v>48890988.096104167</c:v>
                </c:pt>
                <c:pt idx="4">
                  <c:v>49809163.16710294</c:v>
                </c:pt>
                <c:pt idx="5">
                  <c:v>48911868.398443677</c:v>
                </c:pt>
                <c:pt idx="6">
                  <c:v>49530765.8580558</c:v>
                </c:pt>
                <c:pt idx="7">
                  <c:v>50059110.396185711</c:v>
                </c:pt>
                <c:pt idx="8">
                  <c:v>53367596.365513556</c:v>
                </c:pt>
                <c:pt idx="9">
                  <c:v>52457128.729630873</c:v>
                </c:pt>
                <c:pt idx="10">
                  <c:v>52739421.497981928</c:v>
                </c:pt>
                <c:pt idx="11">
                  <c:v>53027802.609303236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C-43A2-A31B-70E06C9FDD03}"/>
            </c:ext>
          </c:extLst>
        </c:ser>
        <c:ser>
          <c:idx val="1"/>
          <c:order val="2"/>
          <c:tx>
            <c:strRef>
              <c:f>'Normalized Annual Summary'!$L$3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Summary'!$L$5:$L$14</c:f>
              <c:numCache>
                <c:formatCode>#,##0</c:formatCode>
                <c:ptCount val="10"/>
                <c:pt idx="0">
                  <c:v>51948960.079999998</c:v>
                </c:pt>
                <c:pt idx="1">
                  <c:v>48801253.580000006</c:v>
                </c:pt>
                <c:pt idx="2">
                  <c:v>47730432.499999993</c:v>
                </c:pt>
                <c:pt idx="3">
                  <c:v>49127425.479999989</c:v>
                </c:pt>
                <c:pt idx="4">
                  <c:v>48634111.810000002</c:v>
                </c:pt>
                <c:pt idx="5">
                  <c:v>47672678.809999987</c:v>
                </c:pt>
                <c:pt idx="6">
                  <c:v>48218851.180000007</c:v>
                </c:pt>
                <c:pt idx="7">
                  <c:v>48123470.799999997</c:v>
                </c:pt>
                <c:pt idx="8">
                  <c:v>50019956.109999992</c:v>
                </c:pt>
                <c:pt idx="9">
                  <c:v>48503240.200000003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1C-43A2-A31B-70E06C9FDD03}"/>
            </c:ext>
          </c:extLst>
        </c:ser>
        <c:ser>
          <c:idx val="2"/>
          <c:order val="3"/>
          <c:tx>
            <c:strRef>
              <c:f>'Normalized Annual Summary'!$R$3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Summary'!$R$5:$R$16</c:f>
              <c:numCache>
                <c:formatCode>#,##0</c:formatCode>
                <c:ptCount val="12"/>
                <c:pt idx="0">
                  <c:v>50972495.190775774</c:v>
                </c:pt>
                <c:pt idx="1">
                  <c:v>50039768.426871859</c:v>
                </c:pt>
                <c:pt idx="2">
                  <c:v>48264363.979694419</c:v>
                </c:pt>
                <c:pt idx="3">
                  <c:v>48402219.619853824</c:v>
                </c:pt>
                <c:pt idx="4">
                  <c:v>49169357.935574695</c:v>
                </c:pt>
                <c:pt idx="5">
                  <c:v>47885455.242299691</c:v>
                </c:pt>
                <c:pt idx="6">
                  <c:v>47845442.993779756</c:v>
                </c:pt>
                <c:pt idx="7">
                  <c:v>47594027.216502205</c:v>
                </c:pt>
                <c:pt idx="8">
                  <c:v>49973923.394637711</c:v>
                </c:pt>
                <c:pt idx="9">
                  <c:v>48633326.550014913</c:v>
                </c:pt>
                <c:pt idx="10">
                  <c:v>48915619.318365961</c:v>
                </c:pt>
                <c:pt idx="11">
                  <c:v>49204000.429687276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1C-43A2-A31B-70E06C9F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49696"/>
        <c:axId val="131951232"/>
      </c:lineChart>
      <c:catAx>
        <c:axId val="1319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951232"/>
        <c:crosses val="autoZero"/>
        <c:auto val="1"/>
        <c:lblAlgn val="ctr"/>
        <c:lblOffset val="100"/>
        <c:noMultiLvlLbl val="0"/>
      </c:catAx>
      <c:valAx>
        <c:axId val="13195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949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 &lt; 50 no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Monthly'!$C$2:$C$121</c:f>
              <c:numCache>
                <c:formatCode>_(* #,##0_);_(* \(#,##0\);_(* "-"??_);_(@_)</c:formatCode>
                <c:ptCount val="120"/>
                <c:pt idx="0">
                  <c:v>4555426.1688953731</c:v>
                </c:pt>
                <c:pt idx="1">
                  <c:v>5124464.9388953727</c:v>
                </c:pt>
                <c:pt idx="2">
                  <c:v>4404053.8488953728</c:v>
                </c:pt>
                <c:pt idx="3">
                  <c:v>4345291.2888953723</c:v>
                </c:pt>
                <c:pt idx="4">
                  <c:v>4011075.588895373</c:v>
                </c:pt>
                <c:pt idx="5">
                  <c:v>4301202.6388953729</c:v>
                </c:pt>
                <c:pt idx="6">
                  <c:v>4466238.0788953733</c:v>
                </c:pt>
                <c:pt idx="7">
                  <c:v>3950116.3988953726</c:v>
                </c:pt>
                <c:pt idx="8">
                  <c:v>3891422.0488953725</c:v>
                </c:pt>
                <c:pt idx="9">
                  <c:v>4074204.6888953727</c:v>
                </c:pt>
                <c:pt idx="10">
                  <c:v>4098618.8288953728</c:v>
                </c:pt>
                <c:pt idx="11">
                  <c:v>4775518.7488953732</c:v>
                </c:pt>
                <c:pt idx="12">
                  <c:v>4386861.076303375</c:v>
                </c:pt>
                <c:pt idx="13">
                  <c:v>4617150.8063033754</c:v>
                </c:pt>
                <c:pt idx="14">
                  <c:v>4413735.7663033754</c:v>
                </c:pt>
                <c:pt idx="15">
                  <c:v>3748649.5063033756</c:v>
                </c:pt>
                <c:pt idx="16">
                  <c:v>3704971.2463033753</c:v>
                </c:pt>
                <c:pt idx="17">
                  <c:v>3809792.8063033754</c:v>
                </c:pt>
                <c:pt idx="18">
                  <c:v>4272219.4863033751</c:v>
                </c:pt>
                <c:pt idx="19">
                  <c:v>4005871.1463033753</c:v>
                </c:pt>
                <c:pt idx="20">
                  <c:v>3874520.8063033754</c:v>
                </c:pt>
                <c:pt idx="21">
                  <c:v>3746732.2963033756</c:v>
                </c:pt>
                <c:pt idx="22">
                  <c:v>3849751.9163033753</c:v>
                </c:pt>
                <c:pt idx="23">
                  <c:v>4512959.3163033752</c:v>
                </c:pt>
                <c:pt idx="24">
                  <c:v>5264694.9925258188</c:v>
                </c:pt>
                <c:pt idx="25">
                  <c:v>4426769.6925258189</c:v>
                </c:pt>
                <c:pt idx="26">
                  <c:v>4207822.7925258186</c:v>
                </c:pt>
                <c:pt idx="27">
                  <c:v>3915902.482525819</c:v>
                </c:pt>
                <c:pt idx="28">
                  <c:v>3342046.7525258185</c:v>
                </c:pt>
                <c:pt idx="29">
                  <c:v>3660108.4125258187</c:v>
                </c:pt>
                <c:pt idx="30">
                  <c:v>3970794.0225258186</c:v>
                </c:pt>
                <c:pt idx="31">
                  <c:v>3932148.8625258189</c:v>
                </c:pt>
                <c:pt idx="32">
                  <c:v>3515083.4425258189</c:v>
                </c:pt>
                <c:pt idx="33">
                  <c:v>3471825.3125258191</c:v>
                </c:pt>
                <c:pt idx="34">
                  <c:v>3874484.0325258188</c:v>
                </c:pt>
                <c:pt idx="35">
                  <c:v>4458302.6525258189</c:v>
                </c:pt>
                <c:pt idx="36">
                  <c:v>4697417.7863541953</c:v>
                </c:pt>
                <c:pt idx="37">
                  <c:v>5008535.2563541951</c:v>
                </c:pt>
                <c:pt idx="38">
                  <c:v>3573684.3163541961</c:v>
                </c:pt>
                <c:pt idx="39">
                  <c:v>3590208.1563541959</c:v>
                </c:pt>
                <c:pt idx="40">
                  <c:v>3758722.0363541958</c:v>
                </c:pt>
                <c:pt idx="41">
                  <c:v>4289252.2863541953</c:v>
                </c:pt>
                <c:pt idx="42">
                  <c:v>4318847.7063541953</c:v>
                </c:pt>
                <c:pt idx="43">
                  <c:v>4290762.7763541956</c:v>
                </c:pt>
                <c:pt idx="44">
                  <c:v>3747124.8363541956</c:v>
                </c:pt>
                <c:pt idx="45">
                  <c:v>3640387.4263541955</c:v>
                </c:pt>
                <c:pt idx="46">
                  <c:v>4031309.7163541955</c:v>
                </c:pt>
                <c:pt idx="47">
                  <c:v>4669941.6563541945</c:v>
                </c:pt>
                <c:pt idx="48">
                  <c:v>4809030.2226273539</c:v>
                </c:pt>
                <c:pt idx="49">
                  <c:v>4234672.8526273537</c:v>
                </c:pt>
                <c:pt idx="50">
                  <c:v>3764883.7426273539</c:v>
                </c:pt>
                <c:pt idx="51">
                  <c:v>3866987.8226273535</c:v>
                </c:pt>
                <c:pt idx="52">
                  <c:v>3707027.2926273537</c:v>
                </c:pt>
                <c:pt idx="53">
                  <c:v>3972068.8226273539</c:v>
                </c:pt>
                <c:pt idx="54">
                  <c:v>4809554.1926273536</c:v>
                </c:pt>
                <c:pt idx="55">
                  <c:v>4444966.2726273537</c:v>
                </c:pt>
                <c:pt idx="56">
                  <c:v>3611046.4826273536</c:v>
                </c:pt>
                <c:pt idx="57">
                  <c:v>3816942.2326273532</c:v>
                </c:pt>
                <c:pt idx="58">
                  <c:v>3883653.5526273521</c:v>
                </c:pt>
                <c:pt idx="59">
                  <c:v>4353083.5526273539</c:v>
                </c:pt>
                <c:pt idx="60">
                  <c:v>4638394.9996786648</c:v>
                </c:pt>
                <c:pt idx="61">
                  <c:v>4352407.2496786667</c:v>
                </c:pt>
                <c:pt idx="62">
                  <c:v>3741681.2696786644</c:v>
                </c:pt>
                <c:pt idx="63">
                  <c:v>3577054.1996786655</c:v>
                </c:pt>
                <c:pt idx="64">
                  <c:v>3254036.6896786643</c:v>
                </c:pt>
                <c:pt idx="65">
                  <c:v>3829766.4996786648</c:v>
                </c:pt>
                <c:pt idx="66">
                  <c:v>4522721.659678665</c:v>
                </c:pt>
                <c:pt idx="67">
                  <c:v>4924951.3196786642</c:v>
                </c:pt>
                <c:pt idx="68">
                  <c:v>3928254.3996786643</c:v>
                </c:pt>
                <c:pt idx="69">
                  <c:v>3893427.8796786643</c:v>
                </c:pt>
                <c:pt idx="70">
                  <c:v>3872779.7996786651</c:v>
                </c:pt>
                <c:pt idx="71">
                  <c:v>4163615.9996786653</c:v>
                </c:pt>
                <c:pt idx="72">
                  <c:v>4507142.1120230034</c:v>
                </c:pt>
                <c:pt idx="73">
                  <c:v>4563104.3620230034</c:v>
                </c:pt>
                <c:pt idx="74">
                  <c:v>4317259.0320230033</c:v>
                </c:pt>
                <c:pt idx="75">
                  <c:v>3826343.9020230039</c:v>
                </c:pt>
                <c:pt idx="76">
                  <c:v>3732528.9220230044</c:v>
                </c:pt>
                <c:pt idx="77">
                  <c:v>3967515.4020230034</c:v>
                </c:pt>
                <c:pt idx="78">
                  <c:v>4325652.3520230027</c:v>
                </c:pt>
                <c:pt idx="79">
                  <c:v>4153807.3820230048</c:v>
                </c:pt>
                <c:pt idx="80">
                  <c:v>3880420.8520230046</c:v>
                </c:pt>
                <c:pt idx="81">
                  <c:v>3774400.1020230036</c:v>
                </c:pt>
                <c:pt idx="82">
                  <c:v>4293209.9120230032</c:v>
                </c:pt>
                <c:pt idx="83">
                  <c:v>4562789.712023003</c:v>
                </c:pt>
                <c:pt idx="84">
                  <c:v>4988179.5083069578</c:v>
                </c:pt>
                <c:pt idx="85">
                  <c:v>4723861.3583069593</c:v>
                </c:pt>
                <c:pt idx="86">
                  <c:v>4365203.4383069584</c:v>
                </c:pt>
                <c:pt idx="87">
                  <c:v>3766948.9683069587</c:v>
                </c:pt>
                <c:pt idx="88">
                  <c:v>3605187.9783069585</c:v>
                </c:pt>
                <c:pt idx="89">
                  <c:v>4050140.2383069587</c:v>
                </c:pt>
                <c:pt idx="90">
                  <c:v>4025113.7683069585</c:v>
                </c:pt>
                <c:pt idx="91">
                  <c:v>4111661.3483069586</c:v>
                </c:pt>
                <c:pt idx="92">
                  <c:v>3802027.328306959</c:v>
                </c:pt>
                <c:pt idx="93">
                  <c:v>3630927.0783069585</c:v>
                </c:pt>
                <c:pt idx="94">
                  <c:v>4650784.3883069586</c:v>
                </c:pt>
                <c:pt idx="95">
                  <c:v>4868518.578306959</c:v>
                </c:pt>
                <c:pt idx="96">
                  <c:v>5465130.6709063211</c:v>
                </c:pt>
                <c:pt idx="97">
                  <c:v>5405912.5809063204</c:v>
                </c:pt>
                <c:pt idx="98">
                  <c:v>4793328.4009063197</c:v>
                </c:pt>
                <c:pt idx="99">
                  <c:v>4101859.6609063204</c:v>
                </c:pt>
                <c:pt idx="100">
                  <c:v>3978663.1209063213</c:v>
                </c:pt>
                <c:pt idx="101">
                  <c:v>4185557.47090632</c:v>
                </c:pt>
                <c:pt idx="102">
                  <c:v>4473730.8109063208</c:v>
                </c:pt>
                <c:pt idx="103">
                  <c:v>4421161.6909063198</c:v>
                </c:pt>
                <c:pt idx="104">
                  <c:v>4253621.7809063196</c:v>
                </c:pt>
                <c:pt idx="105">
                  <c:v>3879620.5809063204</c:v>
                </c:pt>
                <c:pt idx="106">
                  <c:v>4136697.9909063196</c:v>
                </c:pt>
                <c:pt idx="107">
                  <c:v>4318344.3209063206</c:v>
                </c:pt>
                <c:pt idx="108">
                  <c:v>4894772.1616346641</c:v>
                </c:pt>
                <c:pt idx="109">
                  <c:v>4646896.3716346631</c:v>
                </c:pt>
                <c:pt idx="110">
                  <c:v>4418409.7216346655</c:v>
                </c:pt>
                <c:pt idx="111">
                  <c:v>4147092.0016346639</c:v>
                </c:pt>
                <c:pt idx="112">
                  <c:v>3955061.6316346633</c:v>
                </c:pt>
                <c:pt idx="113">
                  <c:v>4241251.4016346633</c:v>
                </c:pt>
                <c:pt idx="114">
                  <c:v>3983218.2316346639</c:v>
                </c:pt>
                <c:pt idx="115">
                  <c:v>4839669.2816346632</c:v>
                </c:pt>
                <c:pt idx="116">
                  <c:v>4164554.6516346638</c:v>
                </c:pt>
                <c:pt idx="117">
                  <c:v>4075336.0316346637</c:v>
                </c:pt>
                <c:pt idx="118">
                  <c:v>4106267.7516346634</c:v>
                </c:pt>
                <c:pt idx="119">
                  <c:v>4854513.1416346636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91-4477-8EDF-142A46066DA4}"/>
            </c:ext>
          </c:extLst>
        </c:ser>
        <c:ser>
          <c:idx val="1"/>
          <c:order val="1"/>
          <c:tx>
            <c:strRef>
              <c:f>'GS &lt; 50 Predicted Monthly'!$Z$1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Monthly'!$Z$2:$Z$121</c:f>
              <c:numCache>
                <c:formatCode>_(* #,##0_);_(* \(#,##0\);_(* "-"??_);_(@_)</c:formatCode>
                <c:ptCount val="120"/>
                <c:pt idx="0">
                  <c:v>4686638.8881332837</c:v>
                </c:pt>
                <c:pt idx="1">
                  <c:v>4896971.2217770526</c:v>
                </c:pt>
                <c:pt idx="2">
                  <c:v>4232387.2628969103</c:v>
                </c:pt>
                <c:pt idx="3">
                  <c:v>4060181.6301412955</c:v>
                </c:pt>
                <c:pt idx="4">
                  <c:v>3684782.307106737</c:v>
                </c:pt>
                <c:pt idx="5">
                  <c:v>4100034.1149274195</c:v>
                </c:pt>
                <c:pt idx="6">
                  <c:v>4225251.2430703221</c:v>
                </c:pt>
                <c:pt idx="7">
                  <c:v>4444428.4365088399</c:v>
                </c:pt>
                <c:pt idx="8">
                  <c:v>4009334.4822051036</c:v>
                </c:pt>
                <c:pt idx="9">
                  <c:v>3831349.3096241141</c:v>
                </c:pt>
                <c:pt idx="10">
                  <c:v>4323706.3586599519</c:v>
                </c:pt>
                <c:pt idx="11">
                  <c:v>4684613.9369495437</c:v>
                </c:pt>
                <c:pt idx="12">
                  <c:v>4606219.1798212733</c:v>
                </c:pt>
                <c:pt idx="13">
                  <c:v>4695712.8670074828</c:v>
                </c:pt>
                <c:pt idx="14">
                  <c:v>4394382.1747250231</c:v>
                </c:pt>
                <c:pt idx="15">
                  <c:v>3765243.1599533935</c:v>
                </c:pt>
                <c:pt idx="16">
                  <c:v>3672148.3730520401</c:v>
                </c:pt>
                <c:pt idx="17">
                  <c:v>4064115.9953884715</c:v>
                </c:pt>
                <c:pt idx="18">
                  <c:v>4282635.2845197348</c:v>
                </c:pt>
                <c:pt idx="19">
                  <c:v>4141943.9390868712</c:v>
                </c:pt>
                <c:pt idx="20">
                  <c:v>3790269.5303002088</c:v>
                </c:pt>
                <c:pt idx="21">
                  <c:v>3900169.6468255026</c:v>
                </c:pt>
                <c:pt idx="22">
                  <c:v>4243560.2933103954</c:v>
                </c:pt>
                <c:pt idx="23">
                  <c:v>4639236.8018085249</c:v>
                </c:pt>
                <c:pt idx="24">
                  <c:v>5003057.3821677687</c:v>
                </c:pt>
                <c:pt idx="25">
                  <c:v>4464631.3935406515</c:v>
                </c:pt>
                <c:pt idx="26">
                  <c:v>4101258.2439562138</c:v>
                </c:pt>
                <c:pt idx="27">
                  <c:v>3767686.3183894204</c:v>
                </c:pt>
                <c:pt idx="28">
                  <c:v>3445568.2254522312</c:v>
                </c:pt>
                <c:pt idx="29">
                  <c:v>3791468.411792594</c:v>
                </c:pt>
                <c:pt idx="30">
                  <c:v>3744424.8844804284</c:v>
                </c:pt>
                <c:pt idx="31">
                  <c:v>4054082.6505982517</c:v>
                </c:pt>
                <c:pt idx="32">
                  <c:v>3567451.8576652762</c:v>
                </c:pt>
                <c:pt idx="33">
                  <c:v>3717171.7729943939</c:v>
                </c:pt>
                <c:pt idx="34">
                  <c:v>3869213.9495129799</c:v>
                </c:pt>
                <c:pt idx="35">
                  <c:v>4492930.2280379664</c:v>
                </c:pt>
                <c:pt idx="36">
                  <c:v>4673087.5077817542</c:v>
                </c:pt>
                <c:pt idx="37">
                  <c:v>4434474.1442516046</c:v>
                </c:pt>
                <c:pt idx="38">
                  <c:v>3878003.8615307063</c:v>
                </c:pt>
                <c:pt idx="39">
                  <c:v>3675519.9291483518</c:v>
                </c:pt>
                <c:pt idx="40">
                  <c:v>3652702.5121940104</c:v>
                </c:pt>
                <c:pt idx="41">
                  <c:v>3968146.6470415154</c:v>
                </c:pt>
                <c:pt idx="42">
                  <c:v>4387514.4127904484</c:v>
                </c:pt>
                <c:pt idx="43">
                  <c:v>4398111.8910821714</c:v>
                </c:pt>
                <c:pt idx="44">
                  <c:v>3707777.4518130836</c:v>
                </c:pt>
                <c:pt idx="45">
                  <c:v>3615856.2621985348</c:v>
                </c:pt>
                <c:pt idx="46">
                  <c:v>3986033.1947916667</c:v>
                </c:pt>
                <c:pt idx="47">
                  <c:v>4673393.9376467476</c:v>
                </c:pt>
                <c:pt idx="48">
                  <c:v>4848834.3011300322</c:v>
                </c:pt>
                <c:pt idx="49">
                  <c:v>4567403.2432036567</c:v>
                </c:pt>
                <c:pt idx="50">
                  <c:v>4252099.302544903</c:v>
                </c:pt>
                <c:pt idx="51">
                  <c:v>3849779.4364583883</c:v>
                </c:pt>
                <c:pt idx="52">
                  <c:v>3553613.9794277633</c:v>
                </c:pt>
                <c:pt idx="53">
                  <c:v>3873134.2627503797</c:v>
                </c:pt>
                <c:pt idx="54">
                  <c:v>4590619.600414102</c:v>
                </c:pt>
                <c:pt idx="55">
                  <c:v>4299104.2166755591</c:v>
                </c:pt>
                <c:pt idx="56">
                  <c:v>3863254.2543715877</c:v>
                </c:pt>
                <c:pt idx="57">
                  <c:v>3794876.4337004786</c:v>
                </c:pt>
                <c:pt idx="58">
                  <c:v>4014658.9939509379</c:v>
                </c:pt>
                <c:pt idx="59">
                  <c:v>4445926.6710151974</c:v>
                </c:pt>
                <c:pt idx="60">
                  <c:v>4630466.8416012004</c:v>
                </c:pt>
                <c:pt idx="61">
                  <c:v>4447405.1898433128</c:v>
                </c:pt>
                <c:pt idx="62">
                  <c:v>3567880.6518765222</c:v>
                </c:pt>
                <c:pt idx="63">
                  <c:v>3746952.8078372944</c:v>
                </c:pt>
                <c:pt idx="64">
                  <c:v>3454699.8786878772</c:v>
                </c:pt>
                <c:pt idx="65">
                  <c:v>4060057.0470184879</c:v>
                </c:pt>
                <c:pt idx="66">
                  <c:v>4518293.9686708618</c:v>
                </c:pt>
                <c:pt idx="67">
                  <c:v>4176947.8344930061</c:v>
                </c:pt>
                <c:pt idx="68">
                  <c:v>3810483.2949908492</c:v>
                </c:pt>
                <c:pt idx="69">
                  <c:v>3679303.4547663941</c:v>
                </c:pt>
                <c:pt idx="70">
                  <c:v>4106051.3646943998</c:v>
                </c:pt>
                <c:pt idx="71">
                  <c:v>4264204.6353363032</c:v>
                </c:pt>
                <c:pt idx="72">
                  <c:v>4558031.1087172227</c:v>
                </c:pt>
                <c:pt idx="73">
                  <c:v>4540759.6998604499</c:v>
                </c:pt>
                <c:pt idx="74">
                  <c:v>4242519.6631979719</c:v>
                </c:pt>
                <c:pt idx="75">
                  <c:v>3917802.6938826805</c:v>
                </c:pt>
                <c:pt idx="76">
                  <c:v>3605360.980324734</c:v>
                </c:pt>
                <c:pt idx="77">
                  <c:v>4024755.316171417</c:v>
                </c:pt>
                <c:pt idx="78">
                  <c:v>4322944.1732130172</c:v>
                </c:pt>
                <c:pt idx="79">
                  <c:v>4124832.2925281497</c:v>
                </c:pt>
                <c:pt idx="80">
                  <c:v>3845343.4969394449</c:v>
                </c:pt>
                <c:pt idx="81">
                  <c:v>3709644.757867787</c:v>
                </c:pt>
                <c:pt idx="82">
                  <c:v>4235867.0701128058</c:v>
                </c:pt>
                <c:pt idx="83">
                  <c:v>4630223.5959591269</c:v>
                </c:pt>
                <c:pt idx="84">
                  <c:v>4870732.592879287</c:v>
                </c:pt>
                <c:pt idx="85">
                  <c:v>4694718.2040247517</c:v>
                </c:pt>
                <c:pt idx="86">
                  <c:v>4437613.1343047284</c:v>
                </c:pt>
                <c:pt idx="87">
                  <c:v>3899514.2384219249</c:v>
                </c:pt>
                <c:pt idx="88">
                  <c:v>3582710.0444472628</c:v>
                </c:pt>
                <c:pt idx="89">
                  <c:v>4091040.0681127012</c:v>
                </c:pt>
                <c:pt idx="90">
                  <c:v>4035057.390653423</c:v>
                </c:pt>
                <c:pt idx="91">
                  <c:v>4148396.9761698162</c:v>
                </c:pt>
                <c:pt idx="92">
                  <c:v>3802262.7191868988</c:v>
                </c:pt>
                <c:pt idx="93">
                  <c:v>3767882.3032280202</c:v>
                </c:pt>
                <c:pt idx="94">
                  <c:v>4415789.1065246705</c:v>
                </c:pt>
                <c:pt idx="95">
                  <c:v>4602633.729538817</c:v>
                </c:pt>
                <c:pt idx="96">
                  <c:v>5202815.9121045293</c:v>
                </c:pt>
                <c:pt idx="97">
                  <c:v>5332854.8388627693</c:v>
                </c:pt>
                <c:pt idx="98">
                  <c:v>4660174.8492045244</c:v>
                </c:pt>
                <c:pt idx="99">
                  <c:v>4139131.569581815</c:v>
                </c:pt>
                <c:pt idx="100">
                  <c:v>3872145.2223789743</c:v>
                </c:pt>
                <c:pt idx="101">
                  <c:v>4138011.6856601583</c:v>
                </c:pt>
                <c:pt idx="102">
                  <c:v>4460789.6384656802</c:v>
                </c:pt>
                <c:pt idx="103">
                  <c:v>4530227.7381011173</c:v>
                </c:pt>
                <c:pt idx="104">
                  <c:v>4207238.4656460499</c:v>
                </c:pt>
                <c:pt idx="105">
                  <c:v>4087540.4643964581</c:v>
                </c:pt>
                <c:pt idx="106">
                  <c:v>4267749.9295532331</c:v>
                </c:pt>
                <c:pt idx="107">
                  <c:v>4476185.362749951</c:v>
                </c:pt>
                <c:pt idx="108">
                  <c:v>4963786.7952972744</c:v>
                </c:pt>
                <c:pt idx="109">
                  <c:v>4728139.3473654129</c:v>
                </c:pt>
                <c:pt idx="110">
                  <c:v>4233743.1850186484</c:v>
                </c:pt>
                <c:pt idx="111">
                  <c:v>4202403.4369846424</c:v>
                </c:pt>
                <c:pt idx="112">
                  <c:v>3875151.4088199781</c:v>
                </c:pt>
                <c:pt idx="113">
                  <c:v>4195892.430392988</c:v>
                </c:pt>
                <c:pt idx="114">
                  <c:v>4600559.7129781116</c:v>
                </c:pt>
                <c:pt idx="115">
                  <c:v>4757040.5040123444</c:v>
                </c:pt>
                <c:pt idx="116">
                  <c:v>4064661.0761376233</c:v>
                </c:pt>
                <c:pt idx="117">
                  <c:v>3953587.8104713191</c:v>
                </c:pt>
                <c:pt idx="118">
                  <c:v>4147620.0608278578</c:v>
                </c:pt>
                <c:pt idx="119">
                  <c:v>4738613.3656772375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91-4477-8EDF-142A4606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07808"/>
        <c:axId val="98809344"/>
      </c:lineChart>
      <c:dateAx>
        <c:axId val="988078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09344"/>
        <c:crosses val="autoZero"/>
        <c:auto val="1"/>
        <c:lblOffset val="100"/>
        <c:baseTimeUnit val="months"/>
      </c:dateAx>
      <c:valAx>
        <c:axId val="98809344"/>
        <c:scaling>
          <c:orientation val="minMax"/>
          <c:min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0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 GS_gt_50_no_CDM </c:v>
                </c:pt>
              </c:strCache>
            </c:strRef>
          </c:tx>
          <c:marker>
            <c:symbol val="none"/>
          </c:marker>
          <c:cat>
            <c:numRef>
              <c:f>'GS &gt;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&gt; 50 Predicted Monthly'!$C$2:$C$121</c:f>
              <c:numCache>
                <c:formatCode>_(* #,##0_);_(* \(#,##0\);_(* "-"??_);_(@_)</c:formatCode>
                <c:ptCount val="120"/>
                <c:pt idx="0">
                  <c:v>9311865.0802443437</c:v>
                </c:pt>
                <c:pt idx="1">
                  <c:v>11210961.490244342</c:v>
                </c:pt>
                <c:pt idx="2">
                  <c:v>9820458.3602443449</c:v>
                </c:pt>
                <c:pt idx="3">
                  <c:v>11510005.750244344</c:v>
                </c:pt>
                <c:pt idx="4">
                  <c:v>12805693.300244344</c:v>
                </c:pt>
                <c:pt idx="5">
                  <c:v>10529475.410244344</c:v>
                </c:pt>
                <c:pt idx="6">
                  <c:v>10775703.490244344</c:v>
                </c:pt>
                <c:pt idx="7">
                  <c:v>10399433.130244343</c:v>
                </c:pt>
                <c:pt idx="8">
                  <c:v>10706833.280244341</c:v>
                </c:pt>
                <c:pt idx="9">
                  <c:v>11385253.550244344</c:v>
                </c:pt>
                <c:pt idx="10">
                  <c:v>10933348.290244343</c:v>
                </c:pt>
                <c:pt idx="11">
                  <c:v>10240594.410244342</c:v>
                </c:pt>
                <c:pt idx="12">
                  <c:v>9806104.3065819051</c:v>
                </c:pt>
                <c:pt idx="13">
                  <c:v>10825528.636581907</c:v>
                </c:pt>
                <c:pt idx="14">
                  <c:v>10843117.946581906</c:v>
                </c:pt>
                <c:pt idx="15">
                  <c:v>9880775.5965819042</c:v>
                </c:pt>
                <c:pt idx="16">
                  <c:v>10167202.836581906</c:v>
                </c:pt>
                <c:pt idx="17">
                  <c:v>9848591.4865819048</c:v>
                </c:pt>
                <c:pt idx="18">
                  <c:v>9599234.3165819049</c:v>
                </c:pt>
                <c:pt idx="19">
                  <c:v>10270703.446581906</c:v>
                </c:pt>
                <c:pt idx="20">
                  <c:v>9184875.726581905</c:v>
                </c:pt>
                <c:pt idx="21">
                  <c:v>10277726.956581905</c:v>
                </c:pt>
                <c:pt idx="22">
                  <c:v>9446029.9265819062</c:v>
                </c:pt>
                <c:pt idx="23">
                  <c:v>9206544.2565819062</c:v>
                </c:pt>
                <c:pt idx="24">
                  <c:v>10115013.960461708</c:v>
                </c:pt>
                <c:pt idx="25">
                  <c:v>9525587.2104617096</c:v>
                </c:pt>
                <c:pt idx="26">
                  <c:v>10224994.770461708</c:v>
                </c:pt>
                <c:pt idx="27">
                  <c:v>9206992.1804617085</c:v>
                </c:pt>
                <c:pt idx="28">
                  <c:v>8820058.6604617089</c:v>
                </c:pt>
                <c:pt idx="29">
                  <c:v>8320243.3404617086</c:v>
                </c:pt>
                <c:pt idx="30">
                  <c:v>9401823.4404617082</c:v>
                </c:pt>
                <c:pt idx="31">
                  <c:v>8821299.4504617099</c:v>
                </c:pt>
                <c:pt idx="32">
                  <c:v>9572756.2204617094</c:v>
                </c:pt>
                <c:pt idx="33">
                  <c:v>10403519.730461707</c:v>
                </c:pt>
                <c:pt idx="34">
                  <c:v>10420643.950461708</c:v>
                </c:pt>
                <c:pt idx="35">
                  <c:v>10360120.79046171</c:v>
                </c:pt>
                <c:pt idx="36">
                  <c:v>8989707.867594013</c:v>
                </c:pt>
                <c:pt idx="37">
                  <c:v>11238584.337594012</c:v>
                </c:pt>
                <c:pt idx="38">
                  <c:v>9647595.367594013</c:v>
                </c:pt>
                <c:pt idx="39">
                  <c:v>8939286.3875940125</c:v>
                </c:pt>
                <c:pt idx="40">
                  <c:v>10353502.797594011</c:v>
                </c:pt>
                <c:pt idx="41">
                  <c:v>9743814.8675940111</c:v>
                </c:pt>
                <c:pt idx="42">
                  <c:v>9902981.2175940108</c:v>
                </c:pt>
                <c:pt idx="43">
                  <c:v>9991628.5175940115</c:v>
                </c:pt>
                <c:pt idx="44">
                  <c:v>11067944.187594011</c:v>
                </c:pt>
                <c:pt idx="45">
                  <c:v>10525474.527594011</c:v>
                </c:pt>
                <c:pt idx="46">
                  <c:v>10279318.137594011</c:v>
                </c:pt>
                <c:pt idx="47">
                  <c:v>9672037.9575940128</c:v>
                </c:pt>
                <c:pt idx="48">
                  <c:v>9975294.7010581996</c:v>
                </c:pt>
                <c:pt idx="49">
                  <c:v>10000911.551058199</c:v>
                </c:pt>
                <c:pt idx="50">
                  <c:v>9231000.3410581984</c:v>
                </c:pt>
                <c:pt idx="51">
                  <c:v>9900647.2710581999</c:v>
                </c:pt>
                <c:pt idx="52">
                  <c:v>9019052.1010582</c:v>
                </c:pt>
                <c:pt idx="53">
                  <c:v>10610506.081058199</c:v>
                </c:pt>
                <c:pt idx="54">
                  <c:v>11621643.961058199</c:v>
                </c:pt>
                <c:pt idx="55">
                  <c:v>10725072.331058199</c:v>
                </c:pt>
                <c:pt idx="56">
                  <c:v>10027779.461058199</c:v>
                </c:pt>
                <c:pt idx="57">
                  <c:v>10719072.821058199</c:v>
                </c:pt>
                <c:pt idx="58">
                  <c:v>11540369.441058198</c:v>
                </c:pt>
                <c:pt idx="59">
                  <c:v>10135295.0310582</c:v>
                </c:pt>
                <c:pt idx="60">
                  <c:v>12177502.67755398</c:v>
                </c:pt>
                <c:pt idx="61">
                  <c:v>11673376.66755398</c:v>
                </c:pt>
                <c:pt idx="62">
                  <c:v>9840618.4475539774</c:v>
                </c:pt>
                <c:pt idx="63">
                  <c:v>8933015.8775539789</c:v>
                </c:pt>
                <c:pt idx="64">
                  <c:v>9343931.8775539789</c:v>
                </c:pt>
                <c:pt idx="65">
                  <c:v>10090507.40755398</c:v>
                </c:pt>
                <c:pt idx="66">
                  <c:v>9819102.4475539811</c:v>
                </c:pt>
                <c:pt idx="67">
                  <c:v>10558618.08755398</c:v>
                </c:pt>
                <c:pt idx="68">
                  <c:v>10420120.797553979</c:v>
                </c:pt>
                <c:pt idx="69">
                  <c:v>12152447.48755398</c:v>
                </c:pt>
                <c:pt idx="70">
                  <c:v>9906472.4675539806</c:v>
                </c:pt>
                <c:pt idx="71">
                  <c:v>10098840.947553981</c:v>
                </c:pt>
                <c:pt idx="72">
                  <c:v>9154131.3499058764</c:v>
                </c:pt>
                <c:pt idx="73">
                  <c:v>10298179.339905877</c:v>
                </c:pt>
                <c:pt idx="74">
                  <c:v>10255977.789905878</c:v>
                </c:pt>
                <c:pt idx="75">
                  <c:v>9006319.6699058767</c:v>
                </c:pt>
                <c:pt idx="76">
                  <c:v>10953604.889905876</c:v>
                </c:pt>
                <c:pt idx="77">
                  <c:v>10526740.869905876</c:v>
                </c:pt>
                <c:pt idx="78">
                  <c:v>10419004.649905875</c:v>
                </c:pt>
                <c:pt idx="79">
                  <c:v>10693013.479905875</c:v>
                </c:pt>
                <c:pt idx="80">
                  <c:v>10308007.769905876</c:v>
                </c:pt>
                <c:pt idx="81">
                  <c:v>10391319.069905877</c:v>
                </c:pt>
                <c:pt idx="82">
                  <c:v>10470189.509905877</c:v>
                </c:pt>
                <c:pt idx="83">
                  <c:v>9880400.2199058775</c:v>
                </c:pt>
                <c:pt idx="84">
                  <c:v>12682291.81914901</c:v>
                </c:pt>
                <c:pt idx="85">
                  <c:v>10768973.579149008</c:v>
                </c:pt>
                <c:pt idx="86">
                  <c:v>10880478.939149009</c:v>
                </c:pt>
                <c:pt idx="87">
                  <c:v>8749376.5691490099</c:v>
                </c:pt>
                <c:pt idx="88">
                  <c:v>10372384.24914901</c:v>
                </c:pt>
                <c:pt idx="89">
                  <c:v>10556164.529149009</c:v>
                </c:pt>
                <c:pt idx="90">
                  <c:v>10305534.56914901</c:v>
                </c:pt>
                <c:pt idx="91">
                  <c:v>10665937.879149009</c:v>
                </c:pt>
                <c:pt idx="92">
                  <c:v>10684767.099149009</c:v>
                </c:pt>
                <c:pt idx="93">
                  <c:v>10777471.409149008</c:v>
                </c:pt>
                <c:pt idx="94">
                  <c:v>10500318.929149011</c:v>
                </c:pt>
                <c:pt idx="95">
                  <c:v>9933652.4691490103</c:v>
                </c:pt>
                <c:pt idx="96">
                  <c:v>10582210.954274649</c:v>
                </c:pt>
                <c:pt idx="97">
                  <c:v>10094724.104274649</c:v>
                </c:pt>
                <c:pt idx="98">
                  <c:v>10256314.25427465</c:v>
                </c:pt>
                <c:pt idx="99">
                  <c:v>9595036.1342746504</c:v>
                </c:pt>
                <c:pt idx="100">
                  <c:v>9936716.2542746495</c:v>
                </c:pt>
                <c:pt idx="101">
                  <c:v>9839856.9242746513</c:v>
                </c:pt>
                <c:pt idx="102">
                  <c:v>10267126.284274649</c:v>
                </c:pt>
                <c:pt idx="103">
                  <c:v>10466757.41427465</c:v>
                </c:pt>
                <c:pt idx="104">
                  <c:v>10687192.664274648</c:v>
                </c:pt>
                <c:pt idx="105">
                  <c:v>10413110.224274648</c:v>
                </c:pt>
                <c:pt idx="106">
                  <c:v>10438235.344274649</c:v>
                </c:pt>
                <c:pt idx="107">
                  <c:v>9629764.5342746489</c:v>
                </c:pt>
                <c:pt idx="108">
                  <c:v>10696831.053509627</c:v>
                </c:pt>
                <c:pt idx="109">
                  <c:v>10023135.683509627</c:v>
                </c:pt>
                <c:pt idx="110">
                  <c:v>10105133.353509627</c:v>
                </c:pt>
                <c:pt idx="111">
                  <c:v>9693140.2935096249</c:v>
                </c:pt>
                <c:pt idx="112">
                  <c:v>10135588.373509629</c:v>
                </c:pt>
                <c:pt idx="113">
                  <c:v>10140116.223509628</c:v>
                </c:pt>
                <c:pt idx="114">
                  <c:v>12235827.873509627</c:v>
                </c:pt>
                <c:pt idx="115">
                  <c:v>11468924.513509626</c:v>
                </c:pt>
                <c:pt idx="116">
                  <c:v>10612957.783509627</c:v>
                </c:pt>
                <c:pt idx="117">
                  <c:v>10648595.963509627</c:v>
                </c:pt>
                <c:pt idx="118">
                  <c:v>10445507.863509627</c:v>
                </c:pt>
                <c:pt idx="119">
                  <c:v>10361931.973509628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45-47ED-B2EF-0BCCFCCE2A35}"/>
            </c:ext>
          </c:extLst>
        </c:ser>
        <c:ser>
          <c:idx val="1"/>
          <c:order val="1"/>
          <c:tx>
            <c:strRef>
              <c:f>'GS &gt; 50 Predicted Monthly'!$P$1</c:f>
              <c:strCache>
                <c:ptCount val="1"/>
                <c:pt idx="0">
                  <c:v>Predicted kWh</c:v>
                </c:pt>
              </c:strCache>
            </c:strRef>
          </c:tx>
          <c:marker>
            <c:symbol val="none"/>
          </c:marker>
          <c:cat>
            <c:numRef>
              <c:f>'GS &gt;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&gt; 50 Predicted Monthly'!$P$2:$P$121</c:f>
              <c:numCache>
                <c:formatCode>_(* #,##0_);_(* \(#,##0\);_(* "-"??_);_(@_)</c:formatCode>
                <c:ptCount val="120"/>
                <c:pt idx="0">
                  <c:v>10516929.85227054</c:v>
                </c:pt>
                <c:pt idx="1">
                  <c:v>10520655.75824788</c:v>
                </c:pt>
                <c:pt idx="2">
                  <c:v>10282904.11332785</c:v>
                </c:pt>
                <c:pt idx="3">
                  <c:v>9650414.7293383572</c:v>
                </c:pt>
                <c:pt idx="4">
                  <c:v>10209681.253561689</c:v>
                </c:pt>
                <c:pt idx="5">
                  <c:v>10335041.492751442</c:v>
                </c:pt>
                <c:pt idx="6">
                  <c:v>10503230.315571606</c:v>
                </c:pt>
                <c:pt idx="7">
                  <c:v>10556723.700632531</c:v>
                </c:pt>
                <c:pt idx="8">
                  <c:v>10498611.113439292</c:v>
                </c:pt>
                <c:pt idx="9">
                  <c:v>10532043.635478454</c:v>
                </c:pt>
                <c:pt idx="10">
                  <c:v>10676297.789804872</c:v>
                </c:pt>
                <c:pt idx="11">
                  <c:v>10160840.18831262</c:v>
                </c:pt>
                <c:pt idx="12">
                  <c:v>10627394.194806481</c:v>
                </c:pt>
                <c:pt idx="13">
                  <c:v>10591766.600011282</c:v>
                </c:pt>
                <c:pt idx="14">
                  <c:v>10488610.562316995</c:v>
                </c:pt>
                <c:pt idx="15">
                  <c:v>9755472.4394137673</c:v>
                </c:pt>
                <c:pt idx="16">
                  <c:v>10430218.898399185</c:v>
                </c:pt>
                <c:pt idx="17">
                  <c:v>10488546.737302115</c:v>
                </c:pt>
                <c:pt idx="18">
                  <c:v>10573376.185762325</c:v>
                </c:pt>
                <c:pt idx="19">
                  <c:v>10578171.491085183</c:v>
                </c:pt>
                <c:pt idx="20">
                  <c:v>10512365.680966437</c:v>
                </c:pt>
                <c:pt idx="21">
                  <c:v>10653159.735460252</c:v>
                </c:pt>
                <c:pt idx="22">
                  <c:v>10641624.875177976</c:v>
                </c:pt>
                <c:pt idx="23">
                  <c:v>10069104.705233393</c:v>
                </c:pt>
                <c:pt idx="24">
                  <c:v>10528934.669306379</c:v>
                </c:pt>
                <c:pt idx="25">
                  <c:v>10161917.595864167</c:v>
                </c:pt>
                <c:pt idx="26">
                  <c:v>9893215.8440309707</c:v>
                </c:pt>
                <c:pt idx="27">
                  <c:v>9152343.0797917619</c:v>
                </c:pt>
                <c:pt idx="28">
                  <c:v>9673960.28360896</c:v>
                </c:pt>
                <c:pt idx="29">
                  <c:v>9726066.6414206047</c:v>
                </c:pt>
                <c:pt idx="30">
                  <c:v>9802122.7399605326</c:v>
                </c:pt>
                <c:pt idx="31">
                  <c:v>9848010.0156755392</c:v>
                </c:pt>
                <c:pt idx="32">
                  <c:v>9823018.6526876222</c:v>
                </c:pt>
                <c:pt idx="33">
                  <c:v>9969697.5932743382</c:v>
                </c:pt>
                <c:pt idx="34">
                  <c:v>9977051.6252768245</c:v>
                </c:pt>
                <c:pt idx="35">
                  <c:v>9519580.2132257596</c:v>
                </c:pt>
                <c:pt idx="36">
                  <c:v>10116164.160750093</c:v>
                </c:pt>
                <c:pt idx="37">
                  <c:v>9953045.3671094943</c:v>
                </c:pt>
                <c:pt idx="38">
                  <c:v>9744567.3050013669</c:v>
                </c:pt>
                <c:pt idx="39">
                  <c:v>9093301.1747145969</c:v>
                </c:pt>
                <c:pt idx="40">
                  <c:v>9764629.4270645343</c:v>
                </c:pt>
                <c:pt idx="41">
                  <c:v>10000839.725961434</c:v>
                </c:pt>
                <c:pt idx="42">
                  <c:v>10153654.890441203</c:v>
                </c:pt>
                <c:pt idx="43">
                  <c:v>10204446.826344518</c:v>
                </c:pt>
                <c:pt idx="44">
                  <c:v>10102037.986965267</c:v>
                </c:pt>
                <c:pt idx="45">
                  <c:v>10123135.301780015</c:v>
                </c:pt>
                <c:pt idx="46">
                  <c:v>10169329.681229511</c:v>
                </c:pt>
                <c:pt idx="47">
                  <c:v>9768843.1165498197</c:v>
                </c:pt>
                <c:pt idx="48">
                  <c:v>10415436.374188555</c:v>
                </c:pt>
                <c:pt idx="49">
                  <c:v>10258903.901960144</c:v>
                </c:pt>
                <c:pt idx="50">
                  <c:v>10127021.406281967</c:v>
                </c:pt>
                <c:pt idx="51">
                  <c:v>9444180.9122304078</c:v>
                </c:pt>
                <c:pt idx="52">
                  <c:v>10042052.946373893</c:v>
                </c:pt>
                <c:pt idx="53">
                  <c:v>10233930.893894296</c:v>
                </c:pt>
                <c:pt idx="54">
                  <c:v>10342530.99010767</c:v>
                </c:pt>
                <c:pt idx="55">
                  <c:v>10396884.986795105</c:v>
                </c:pt>
                <c:pt idx="56">
                  <c:v>10309533.852136448</c:v>
                </c:pt>
                <c:pt idx="57">
                  <c:v>10314458.503369326</c:v>
                </c:pt>
                <c:pt idx="58">
                  <c:v>10285546.372416338</c:v>
                </c:pt>
                <c:pt idx="59">
                  <c:v>9766546.4911545329</c:v>
                </c:pt>
                <c:pt idx="60">
                  <c:v>10365227.95461273</c:v>
                </c:pt>
                <c:pt idx="61">
                  <c:v>10186085.149528211</c:v>
                </c:pt>
                <c:pt idx="62">
                  <c:v>9948303.3350776583</c:v>
                </c:pt>
                <c:pt idx="63">
                  <c:v>9466396.4067233466</c:v>
                </c:pt>
                <c:pt idx="64">
                  <c:v>10015133.525906878</c:v>
                </c:pt>
                <c:pt idx="65">
                  <c:v>10189265.174886337</c:v>
                </c:pt>
                <c:pt idx="66">
                  <c:v>10276950.518648757</c:v>
                </c:pt>
                <c:pt idx="67">
                  <c:v>10325840.078462588</c:v>
                </c:pt>
                <c:pt idx="68">
                  <c:v>10279542.687317593</c:v>
                </c:pt>
                <c:pt idx="69">
                  <c:v>10303045.27868472</c:v>
                </c:pt>
                <c:pt idx="70">
                  <c:v>10391518.717941962</c:v>
                </c:pt>
                <c:pt idx="71">
                  <c:v>9830416.0638929065</c:v>
                </c:pt>
                <c:pt idx="72">
                  <c:v>10485104.479985865</c:v>
                </c:pt>
                <c:pt idx="73">
                  <c:v>10418045.379557187</c:v>
                </c:pt>
                <c:pt idx="74">
                  <c:v>10283114.17990041</c:v>
                </c:pt>
                <c:pt idx="75">
                  <c:v>9637577.2900646236</c:v>
                </c:pt>
                <c:pt idx="76">
                  <c:v>10224652.716596277</c:v>
                </c:pt>
                <c:pt idx="77">
                  <c:v>10419293.719659328</c:v>
                </c:pt>
                <c:pt idx="78">
                  <c:v>10542529.93970333</c:v>
                </c:pt>
                <c:pt idx="79">
                  <c:v>10588918.984210575</c:v>
                </c:pt>
                <c:pt idx="80">
                  <c:v>10549814.178869501</c:v>
                </c:pt>
                <c:pt idx="81">
                  <c:v>10575307.391576352</c:v>
                </c:pt>
                <c:pt idx="82">
                  <c:v>10668690.289011201</c:v>
                </c:pt>
                <c:pt idx="83">
                  <c:v>10108472.961245852</c:v>
                </c:pt>
                <c:pt idx="84">
                  <c:v>10693959.669697123</c:v>
                </c:pt>
                <c:pt idx="85">
                  <c:v>10533982.555448012</c:v>
                </c:pt>
                <c:pt idx="86">
                  <c:v>10441194.550971631</c:v>
                </c:pt>
                <c:pt idx="87">
                  <c:v>9730799.2983665336</c:v>
                </c:pt>
                <c:pt idx="88">
                  <c:v>10311369.723058939</c:v>
                </c:pt>
                <c:pt idx="89">
                  <c:v>10418327.313117592</c:v>
                </c:pt>
                <c:pt idx="90">
                  <c:v>10535791.403496144</c:v>
                </c:pt>
                <c:pt idx="91">
                  <c:v>10553912.733943952</c:v>
                </c:pt>
                <c:pt idx="92">
                  <c:v>10517864.757756114</c:v>
                </c:pt>
                <c:pt idx="93">
                  <c:v>10592160.681453861</c:v>
                </c:pt>
                <c:pt idx="94">
                  <c:v>10687869.86703614</c:v>
                </c:pt>
                <c:pt idx="95">
                  <c:v>10050034.853739111</c:v>
                </c:pt>
                <c:pt idx="96">
                  <c:v>10674525.680453938</c:v>
                </c:pt>
                <c:pt idx="97">
                  <c:v>10603667.75750627</c:v>
                </c:pt>
                <c:pt idx="98">
                  <c:v>10364197.220501212</c:v>
                </c:pt>
                <c:pt idx="99">
                  <c:v>9646180.8755249251</c:v>
                </c:pt>
                <c:pt idx="100">
                  <c:v>10234934.568268465</c:v>
                </c:pt>
                <c:pt idx="101">
                  <c:v>10443248.919104125</c:v>
                </c:pt>
                <c:pt idx="102">
                  <c:v>10605704.970807988</c:v>
                </c:pt>
                <c:pt idx="103">
                  <c:v>10637345.202883821</c:v>
                </c:pt>
                <c:pt idx="104">
                  <c:v>10496055.525837746</c:v>
                </c:pt>
                <c:pt idx="105">
                  <c:v>10557531.92336541</c:v>
                </c:pt>
                <c:pt idx="106">
                  <c:v>10518422.523515027</c:v>
                </c:pt>
                <c:pt idx="107">
                  <c:v>9966706.4772819541</c:v>
                </c:pt>
                <c:pt idx="108">
                  <c:v>10674125.772794819</c:v>
                </c:pt>
                <c:pt idx="109">
                  <c:v>10536921.630547689</c:v>
                </c:pt>
                <c:pt idx="110">
                  <c:v>10365318.598261414</c:v>
                </c:pt>
                <c:pt idx="111">
                  <c:v>9785978.076089818</c:v>
                </c:pt>
                <c:pt idx="112">
                  <c:v>10388327.259871677</c:v>
                </c:pt>
                <c:pt idx="113">
                  <c:v>10548093.246951217</c:v>
                </c:pt>
                <c:pt idx="114">
                  <c:v>10636433.606153136</c:v>
                </c:pt>
                <c:pt idx="115">
                  <c:v>10603219.277431617</c:v>
                </c:pt>
                <c:pt idx="116">
                  <c:v>10486002.282577241</c:v>
                </c:pt>
                <c:pt idx="117">
                  <c:v>10585583.417250162</c:v>
                </c:pt>
                <c:pt idx="118">
                  <c:v>10645898.164730117</c:v>
                </c:pt>
                <c:pt idx="119">
                  <c:v>10226686.071622225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45-47ED-B2EF-0BCCFCCE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48448"/>
        <c:axId val="99050240"/>
      </c:lineChart>
      <c:dateAx>
        <c:axId val="99048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9050240"/>
        <c:crosses val="autoZero"/>
        <c:auto val="1"/>
        <c:lblOffset val="100"/>
        <c:baseTimeUnit val="months"/>
      </c:dateAx>
      <c:valAx>
        <c:axId val="99050240"/>
        <c:scaling>
          <c:orientation val="minMax"/>
          <c:min val="8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904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 Alt'!$C$1</c:f>
              <c:strCache>
                <c:ptCount val="1"/>
                <c:pt idx="0">
                  <c:v> GS_gt_50_no_CDM </c:v>
                </c:pt>
              </c:strCache>
            </c:strRef>
          </c:tx>
          <c:marker>
            <c:symbol val="none"/>
          </c:marker>
          <c:cat>
            <c:numRef>
              <c:f>'GS &gt; 50 Predicted Monthly Alt'!$A$2:$A$97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 Alt'!$C$2:$C$97</c:f>
              <c:numCache>
                <c:formatCode>_(* #,##0_);_(* \(#,##0\);_(* "-"??_);_(@_)</c:formatCode>
                <c:ptCount val="96"/>
                <c:pt idx="0">
                  <c:v>10115013.960461708</c:v>
                </c:pt>
                <c:pt idx="1">
                  <c:v>9525587.2104617096</c:v>
                </c:pt>
                <c:pt idx="2">
                  <c:v>10224994.770461708</c:v>
                </c:pt>
                <c:pt idx="3">
                  <c:v>9206992.1804617085</c:v>
                </c:pt>
                <c:pt idx="4">
                  <c:v>8820058.6604617089</c:v>
                </c:pt>
                <c:pt idx="5">
                  <c:v>8320243.3404617086</c:v>
                </c:pt>
                <c:pt idx="6">
                  <c:v>9401823.4404617082</c:v>
                </c:pt>
                <c:pt idx="7">
                  <c:v>8821299.4504617099</c:v>
                </c:pt>
                <c:pt idx="8">
                  <c:v>9572756.2204617094</c:v>
                </c:pt>
                <c:pt idx="9">
                  <c:v>10403519.730461707</c:v>
                </c:pt>
                <c:pt idx="10">
                  <c:v>10420643.950461708</c:v>
                </c:pt>
                <c:pt idx="11">
                  <c:v>10360120.79046171</c:v>
                </c:pt>
                <c:pt idx="12">
                  <c:v>8989707.867594013</c:v>
                </c:pt>
                <c:pt idx="13">
                  <c:v>11238584.337594012</c:v>
                </c:pt>
                <c:pt idx="14">
                  <c:v>9647595.367594013</c:v>
                </c:pt>
                <c:pt idx="15">
                  <c:v>8939286.3875940125</c:v>
                </c:pt>
                <c:pt idx="16">
                  <c:v>10353502.797594011</c:v>
                </c:pt>
                <c:pt idx="17">
                  <c:v>9743814.8675940111</c:v>
                </c:pt>
                <c:pt idx="18">
                  <c:v>9902981.2175940108</c:v>
                </c:pt>
                <c:pt idx="19">
                  <c:v>9991628.5175940115</c:v>
                </c:pt>
                <c:pt idx="20">
                  <c:v>11067944.187594011</c:v>
                </c:pt>
                <c:pt idx="21">
                  <c:v>10525474.527594011</c:v>
                </c:pt>
                <c:pt idx="22">
                  <c:v>10279318.137594011</c:v>
                </c:pt>
                <c:pt idx="23">
                  <c:v>9672037.9575940128</c:v>
                </c:pt>
                <c:pt idx="24">
                  <c:v>9975294.7010581996</c:v>
                </c:pt>
                <c:pt idx="25">
                  <c:v>10000911.551058199</c:v>
                </c:pt>
                <c:pt idx="26">
                  <c:v>9231000.3410581984</c:v>
                </c:pt>
                <c:pt idx="27">
                  <c:v>9900647.2710581999</c:v>
                </c:pt>
                <c:pt idx="28">
                  <c:v>9019052.1010582</c:v>
                </c:pt>
                <c:pt idx="29">
                  <c:v>10610506.081058199</c:v>
                </c:pt>
                <c:pt idx="30">
                  <c:v>11621643.961058199</c:v>
                </c:pt>
                <c:pt idx="31">
                  <c:v>10725072.331058199</c:v>
                </c:pt>
                <c:pt idx="32">
                  <c:v>10027779.461058199</c:v>
                </c:pt>
                <c:pt idx="33">
                  <c:v>10719072.821058199</c:v>
                </c:pt>
                <c:pt idx="34">
                  <c:v>11540369.441058198</c:v>
                </c:pt>
                <c:pt idx="35">
                  <c:v>10135295.0310582</c:v>
                </c:pt>
                <c:pt idx="36">
                  <c:v>12177502.67755398</c:v>
                </c:pt>
                <c:pt idx="37">
                  <c:v>11673376.66755398</c:v>
                </c:pt>
                <c:pt idx="38">
                  <c:v>9840618.4475539774</c:v>
                </c:pt>
                <c:pt idx="39">
                  <c:v>8933015.8775539789</c:v>
                </c:pt>
                <c:pt idx="40">
                  <c:v>9343931.8775539789</c:v>
                </c:pt>
                <c:pt idx="41">
                  <c:v>10090507.40755398</c:v>
                </c:pt>
                <c:pt idx="42">
                  <c:v>9819102.4475539811</c:v>
                </c:pt>
                <c:pt idx="43">
                  <c:v>10558618.08755398</c:v>
                </c:pt>
                <c:pt idx="44">
                  <c:v>10420120.797553979</c:v>
                </c:pt>
                <c:pt idx="45">
                  <c:v>12152447.48755398</c:v>
                </c:pt>
                <c:pt idx="46">
                  <c:v>9906472.4675539806</c:v>
                </c:pt>
                <c:pt idx="47">
                  <c:v>10098840.947553981</c:v>
                </c:pt>
                <c:pt idx="48">
                  <c:v>9154131.3499058764</c:v>
                </c:pt>
                <c:pt idx="49">
                  <c:v>10298179.339905877</c:v>
                </c:pt>
                <c:pt idx="50">
                  <c:v>10255977.789905878</c:v>
                </c:pt>
                <c:pt idx="51">
                  <c:v>9006319.6699058767</c:v>
                </c:pt>
                <c:pt idx="52">
                  <c:v>10953604.889905876</c:v>
                </c:pt>
                <c:pt idx="53">
                  <c:v>10526740.869905876</c:v>
                </c:pt>
                <c:pt idx="54">
                  <c:v>10419004.649905875</c:v>
                </c:pt>
                <c:pt idx="55">
                  <c:v>10693013.479905875</c:v>
                </c:pt>
                <c:pt idx="56">
                  <c:v>10308007.769905876</c:v>
                </c:pt>
                <c:pt idx="57">
                  <c:v>10391319.069905877</c:v>
                </c:pt>
                <c:pt idx="58">
                  <c:v>10470189.509905877</c:v>
                </c:pt>
                <c:pt idx="59">
                  <c:v>9880400.2199058775</c:v>
                </c:pt>
                <c:pt idx="60">
                  <c:v>12682291.81914901</c:v>
                </c:pt>
                <c:pt idx="61">
                  <c:v>10768973.579149008</c:v>
                </c:pt>
                <c:pt idx="62">
                  <c:v>10880478.939149009</c:v>
                </c:pt>
                <c:pt idx="63">
                  <c:v>8749376.5691490099</c:v>
                </c:pt>
                <c:pt idx="64">
                  <c:v>10372384.24914901</c:v>
                </c:pt>
                <c:pt idx="65">
                  <c:v>10556164.529149009</c:v>
                </c:pt>
                <c:pt idx="66">
                  <c:v>10305534.56914901</c:v>
                </c:pt>
                <c:pt idx="67">
                  <c:v>10665937.879149009</c:v>
                </c:pt>
                <c:pt idx="68">
                  <c:v>10684767.099149009</c:v>
                </c:pt>
                <c:pt idx="69">
                  <c:v>10777471.409149008</c:v>
                </c:pt>
                <c:pt idx="70">
                  <c:v>10500318.929149011</c:v>
                </c:pt>
                <c:pt idx="71">
                  <c:v>9933652.4691490103</c:v>
                </c:pt>
                <c:pt idx="72">
                  <c:v>10582210.954274649</c:v>
                </c:pt>
                <c:pt idx="73">
                  <c:v>10094724.104274649</c:v>
                </c:pt>
                <c:pt idx="74">
                  <c:v>10256314.25427465</c:v>
                </c:pt>
                <c:pt idx="75">
                  <c:v>9595036.1342746504</c:v>
                </c:pt>
                <c:pt idx="76">
                  <c:v>9936716.2542746495</c:v>
                </c:pt>
                <c:pt idx="77">
                  <c:v>9839856.9242746513</c:v>
                </c:pt>
                <c:pt idx="78">
                  <c:v>10267126.284274649</c:v>
                </c:pt>
                <c:pt idx="79">
                  <c:v>10466757.41427465</c:v>
                </c:pt>
                <c:pt idx="80">
                  <c:v>10687192.664274648</c:v>
                </c:pt>
                <c:pt idx="81">
                  <c:v>10413110.224274648</c:v>
                </c:pt>
                <c:pt idx="82">
                  <c:v>10438235.344274649</c:v>
                </c:pt>
                <c:pt idx="83">
                  <c:v>9629764.5342746489</c:v>
                </c:pt>
                <c:pt idx="84">
                  <c:v>10696831.053509627</c:v>
                </c:pt>
                <c:pt idx="85">
                  <c:v>10023135.683509627</c:v>
                </c:pt>
                <c:pt idx="86">
                  <c:v>10105133.353509627</c:v>
                </c:pt>
                <c:pt idx="87">
                  <c:v>9693140.2935096249</c:v>
                </c:pt>
                <c:pt idx="88">
                  <c:v>10135588.373509629</c:v>
                </c:pt>
                <c:pt idx="89">
                  <c:v>10140116.223509628</c:v>
                </c:pt>
                <c:pt idx="90">
                  <c:v>12235827.873509627</c:v>
                </c:pt>
                <c:pt idx="91">
                  <c:v>11468924.513509626</c:v>
                </c:pt>
                <c:pt idx="92">
                  <c:v>10612957.783509627</c:v>
                </c:pt>
                <c:pt idx="93">
                  <c:v>10648595.963509627</c:v>
                </c:pt>
                <c:pt idx="94">
                  <c:v>10445507.863509627</c:v>
                </c:pt>
                <c:pt idx="95">
                  <c:v>10361931.973509628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26-40B5-B81D-67FD08637F01}"/>
            </c:ext>
          </c:extLst>
        </c:ser>
        <c:ser>
          <c:idx val="1"/>
          <c:order val="1"/>
          <c:tx>
            <c:strRef>
              <c:f>'GS &gt; 50 Predicted Monthly Alt'!$T$1</c:f>
              <c:strCache>
                <c:ptCount val="1"/>
                <c:pt idx="0">
                  <c:v>Predicted kWh</c:v>
                </c:pt>
              </c:strCache>
            </c:strRef>
          </c:tx>
          <c:marker>
            <c:symbol val="none"/>
          </c:marker>
          <c:cat>
            <c:numRef>
              <c:f>'GS &gt; 50 Predicted Monthly Alt'!$A$2:$A$97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 Alt'!$T$2:$T$97</c:f>
              <c:numCache>
                <c:formatCode>_(* #,##0_);_(* \(#,##0\);_(* "-"??_);_(@_)</c:formatCode>
                <c:ptCount val="96"/>
                <c:pt idx="0">
                  <c:v>10308645.904117636</c:v>
                </c:pt>
                <c:pt idx="1">
                  <c:v>10068712.265053295</c:v>
                </c:pt>
                <c:pt idx="2">
                  <c:v>9392041.2671363056</c:v>
                </c:pt>
                <c:pt idx="3">
                  <c:v>9003770.2374384962</c:v>
                </c:pt>
                <c:pt idx="4">
                  <c:v>9518449.168892052</c:v>
                </c:pt>
                <c:pt idx="5">
                  <c:v>9419236.5736429561</c:v>
                </c:pt>
                <c:pt idx="6">
                  <c:v>9875287.8579133116</c:v>
                </c:pt>
                <c:pt idx="7">
                  <c:v>9984805.9735706709</c:v>
                </c:pt>
                <c:pt idx="8">
                  <c:v>10066792.564160725</c:v>
                </c:pt>
                <c:pt idx="9">
                  <c:v>10395841.162034387</c:v>
                </c:pt>
                <c:pt idx="10">
                  <c:v>9930231.5310003702</c:v>
                </c:pt>
                <c:pt idx="11">
                  <c:v>9599238.1154849548</c:v>
                </c:pt>
                <c:pt idx="12">
                  <c:v>10218152.035014071</c:v>
                </c:pt>
                <c:pt idx="13">
                  <c:v>10418401.340891797</c:v>
                </c:pt>
                <c:pt idx="14">
                  <c:v>9460284.0437345635</c:v>
                </c:pt>
                <c:pt idx="15">
                  <c:v>9024242.48597789</c:v>
                </c:pt>
                <c:pt idx="16">
                  <c:v>9538161.6812529434</c:v>
                </c:pt>
                <c:pt idx="17">
                  <c:v>9623871.1583007798</c:v>
                </c:pt>
                <c:pt idx="18">
                  <c:v>10244124.794691948</c:v>
                </c:pt>
                <c:pt idx="19">
                  <c:v>10106185.97897462</c:v>
                </c:pt>
                <c:pt idx="20">
                  <c:v>10215740.147567416</c:v>
                </c:pt>
                <c:pt idx="21">
                  <c:v>10464307.069976235</c:v>
                </c:pt>
                <c:pt idx="22">
                  <c:v>10045738.530618709</c:v>
                </c:pt>
                <c:pt idx="23">
                  <c:v>9743741.5047162753</c:v>
                </c:pt>
                <c:pt idx="24">
                  <c:v>10385570.949876666</c:v>
                </c:pt>
                <c:pt idx="25">
                  <c:v>10233369.976820827</c:v>
                </c:pt>
                <c:pt idx="26">
                  <c:v>9645918.6392514668</c:v>
                </c:pt>
                <c:pt idx="27">
                  <c:v>9327363.8193934187</c:v>
                </c:pt>
                <c:pt idx="28">
                  <c:v>9822663.1728850249</c:v>
                </c:pt>
                <c:pt idx="29">
                  <c:v>9764726.4752314705</c:v>
                </c:pt>
                <c:pt idx="30">
                  <c:v>10210511.766761789</c:v>
                </c:pt>
                <c:pt idx="31">
                  <c:v>10440132.751734126</c:v>
                </c:pt>
                <c:pt idx="32">
                  <c:v>10494949.113626439</c:v>
                </c:pt>
                <c:pt idx="33">
                  <c:v>10764919.62335391</c:v>
                </c:pt>
                <c:pt idx="34">
                  <c:v>10323488.546032302</c:v>
                </c:pt>
                <c:pt idx="35">
                  <c:v>10001364.108884456</c:v>
                </c:pt>
                <c:pt idx="36">
                  <c:v>10606948.067028623</c:v>
                </c:pt>
                <c:pt idx="37">
                  <c:v>10412792.49155964</c:v>
                </c:pt>
                <c:pt idx="38">
                  <c:v>9818277.9308794253</c:v>
                </c:pt>
                <c:pt idx="39">
                  <c:v>9500081.5094129816</c:v>
                </c:pt>
                <c:pt idx="40">
                  <c:v>10124453.93670211</c:v>
                </c:pt>
                <c:pt idx="41">
                  <c:v>9925221.253048813</c:v>
                </c:pt>
                <c:pt idx="42">
                  <c:v>10676503.943794491</c:v>
                </c:pt>
                <c:pt idx="43">
                  <c:v>10650925.891295996</c:v>
                </c:pt>
                <c:pt idx="44">
                  <c:v>10552408.283746893</c:v>
                </c:pt>
                <c:pt idx="45">
                  <c:v>10779072.145952014</c:v>
                </c:pt>
                <c:pt idx="46">
                  <c:v>10359069.599922558</c:v>
                </c:pt>
                <c:pt idx="47">
                  <c:v>10091672.103695629</c:v>
                </c:pt>
                <c:pt idx="48">
                  <c:v>10723092.588482132</c:v>
                </c:pt>
                <c:pt idx="49">
                  <c:v>10562766.134228291</c:v>
                </c:pt>
                <c:pt idx="50">
                  <c:v>9957523.8522566017</c:v>
                </c:pt>
                <c:pt idx="51">
                  <c:v>9628918.4704162683</c:v>
                </c:pt>
                <c:pt idx="52">
                  <c:v>10203996.052782688</c:v>
                </c:pt>
                <c:pt idx="53">
                  <c:v>10069519.333971174</c:v>
                </c:pt>
                <c:pt idx="54">
                  <c:v>11046484.000556862</c:v>
                </c:pt>
                <c:pt idx="55">
                  <c:v>10761724.453666972</c:v>
                </c:pt>
                <c:pt idx="56">
                  <c:v>10825194.15226466</c:v>
                </c:pt>
                <c:pt idx="57">
                  <c:v>11054351.972982928</c:v>
                </c:pt>
                <c:pt idx="58">
                  <c:v>10612602.134743739</c:v>
                </c:pt>
                <c:pt idx="59">
                  <c:v>10251125.335276218</c:v>
                </c:pt>
                <c:pt idx="60">
                  <c:v>10865525.284120755</c:v>
                </c:pt>
                <c:pt idx="61">
                  <c:v>11059454.864057189</c:v>
                </c:pt>
                <c:pt idx="62">
                  <c:v>10121258.528730141</c:v>
                </c:pt>
                <c:pt idx="63">
                  <c:v>9794479.4772693571</c:v>
                </c:pt>
                <c:pt idx="64">
                  <c:v>10369116.869145762</c:v>
                </c:pt>
                <c:pt idx="65">
                  <c:v>10335855.342010662</c:v>
                </c:pt>
                <c:pt idx="66">
                  <c:v>11122541.854768097</c:v>
                </c:pt>
                <c:pt idx="67">
                  <c:v>10784458.473856516</c:v>
                </c:pt>
                <c:pt idx="68">
                  <c:v>10860157.751049642</c:v>
                </c:pt>
                <c:pt idx="69">
                  <c:v>11044560.806642938</c:v>
                </c:pt>
                <c:pt idx="70">
                  <c:v>10417564.509615283</c:v>
                </c:pt>
                <c:pt idx="71">
                  <c:v>9990181.4003925882</c:v>
                </c:pt>
                <c:pt idx="72">
                  <c:v>10504660.04397442</c:v>
                </c:pt>
                <c:pt idx="73">
                  <c:v>10287376.157290967</c:v>
                </c:pt>
                <c:pt idx="74">
                  <c:v>9695835.5852890071</c:v>
                </c:pt>
                <c:pt idx="75">
                  <c:v>9356077.7459052205</c:v>
                </c:pt>
                <c:pt idx="76">
                  <c:v>9967812.6144521795</c:v>
                </c:pt>
                <c:pt idx="77">
                  <c:v>9870588.9294007421</c:v>
                </c:pt>
                <c:pt idx="78">
                  <c:v>10586308.591491867</c:v>
                </c:pt>
                <c:pt idx="79">
                  <c:v>10416861.126034744</c:v>
                </c:pt>
                <c:pt idx="80">
                  <c:v>10557642.006284896</c:v>
                </c:pt>
                <c:pt idx="81">
                  <c:v>10838058.468685722</c:v>
                </c:pt>
                <c:pt idx="82">
                  <c:v>10372900.856859868</c:v>
                </c:pt>
                <c:pt idx="83">
                  <c:v>10059379.624829199</c:v>
                </c:pt>
                <c:pt idx="84">
                  <c:v>10685728.51605395</c:v>
                </c:pt>
                <c:pt idx="85">
                  <c:v>10505938.24876626</c:v>
                </c:pt>
                <c:pt idx="86">
                  <c:v>9932932.1183361933</c:v>
                </c:pt>
                <c:pt idx="87">
                  <c:v>9585739.3072567713</c:v>
                </c:pt>
                <c:pt idx="88">
                  <c:v>10164506.162312994</c:v>
                </c:pt>
                <c:pt idx="89">
                  <c:v>9982419.6261536982</c:v>
                </c:pt>
                <c:pt idx="90">
                  <c:v>10547066.971132746</c:v>
                </c:pt>
                <c:pt idx="91">
                  <c:v>10542288.190136367</c:v>
                </c:pt>
                <c:pt idx="92">
                  <c:v>10645041.259315422</c:v>
                </c:pt>
                <c:pt idx="93">
                  <c:v>10932733.858434474</c:v>
                </c:pt>
                <c:pt idx="94">
                  <c:v>10540187.720011672</c:v>
                </c:pt>
                <c:pt idx="95">
                  <c:v>10232986.213922294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26-40B5-B81D-67FD08637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2352"/>
        <c:axId val="99173888"/>
      </c:lineChart>
      <c:dateAx>
        <c:axId val="99172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9173888"/>
        <c:crosses val="autoZero"/>
        <c:auto val="1"/>
        <c:lblOffset val="100"/>
        <c:baseTimeUnit val="months"/>
      </c:dateAx>
      <c:valAx>
        <c:axId val="99173888"/>
        <c:scaling>
          <c:orientation val="minMax"/>
          <c:min val="8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917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Summary'!$C$3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Summary'!$C$4:$C$13</c:f>
              <c:numCache>
                <c:formatCode>#,##0</c:formatCode>
                <c:ptCount val="10"/>
                <c:pt idx="0">
                  <c:v>147994308.45163891</c:v>
                </c:pt>
                <c:pt idx="1">
                  <c:v>141699699.31765088</c:v>
                </c:pt>
                <c:pt idx="2">
                  <c:v>140171354.25183222</c:v>
                </c:pt>
                <c:pt idx="3">
                  <c:v>145078569.69526568</c:v>
                </c:pt>
                <c:pt idx="4">
                  <c:v>141624537.36662105</c:v>
                </c:pt>
                <c:pt idx="5">
                  <c:v>139135378.89541918</c:v>
                </c:pt>
                <c:pt idx="6">
                  <c:v>141721481.53211454</c:v>
                </c:pt>
                <c:pt idx="7">
                  <c:v>140644152.00412637</c:v>
                </c:pt>
                <c:pt idx="8">
                  <c:v>139502198.41964176</c:v>
                </c:pt>
                <c:pt idx="9">
                  <c:v>141238267.93677962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3D-4B52-BA35-EB586FC573A4}"/>
            </c:ext>
          </c:extLst>
        </c:ser>
        <c:ser>
          <c:idx val="1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Summary'!$D$4:$D$13</c:f>
              <c:numCache>
                <c:formatCode>#,##0</c:formatCode>
                <c:ptCount val="10"/>
                <c:pt idx="0">
                  <c:v>145309048.8788425</c:v>
                </c:pt>
                <c:pt idx="1">
                  <c:v>143485710.53798983</c:v>
                </c:pt>
                <c:pt idx="2">
                  <c:v>140402645.50205418</c:v>
                </c:pt>
                <c:pt idx="3">
                  <c:v>144144650.49324325</c:v>
                </c:pt>
                <c:pt idx="4">
                  <c:v>143039943.53726152</c:v>
                </c:pt>
                <c:pt idx="5">
                  <c:v>141451854.95719779</c:v>
                </c:pt>
                <c:pt idx="6">
                  <c:v>141429434.03942138</c:v>
                </c:pt>
                <c:pt idx="7">
                  <c:v>140085257.63397837</c:v>
                </c:pt>
                <c:pt idx="8">
                  <c:v>139363324.66290417</c:v>
                </c:pt>
                <c:pt idx="9">
                  <c:v>140098077.62819162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D-4B52-BA35-EB586FC5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6864"/>
        <c:axId val="99242752"/>
      </c:lineChart>
      <c:catAx>
        <c:axId val="992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42752"/>
        <c:crosses val="autoZero"/>
        <c:auto val="1"/>
        <c:lblAlgn val="ctr"/>
        <c:lblOffset val="100"/>
        <c:noMultiLvlLbl val="0"/>
      </c:catAx>
      <c:valAx>
        <c:axId val="9924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23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Summary'!$H$3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Summary'!$H$4:$H$13</c:f>
              <c:numCache>
                <c:formatCode>#,##0</c:formatCode>
                <c:ptCount val="10"/>
                <c:pt idx="0">
                  <c:v>51997633.26674448</c:v>
                </c:pt>
                <c:pt idx="1">
                  <c:v>48943216.175640501</c:v>
                </c:pt>
                <c:pt idx="2">
                  <c:v>48039983.45030982</c:v>
                </c:pt>
                <c:pt idx="3">
                  <c:v>49616193.956250347</c:v>
                </c:pt>
                <c:pt idx="4">
                  <c:v>49273917.041528247</c:v>
                </c:pt>
                <c:pt idx="5">
                  <c:v>48699091.966143981</c:v>
                </c:pt>
                <c:pt idx="6">
                  <c:v>49904174.044276044</c:v>
                </c:pt>
                <c:pt idx="7">
                  <c:v>50588553.979683504</c:v>
                </c:pt>
                <c:pt idx="8">
                  <c:v>53413629.080875844</c:v>
                </c:pt>
                <c:pt idx="9">
                  <c:v>52327042.37961597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97-463E-B537-CC6C59815848}"/>
            </c:ext>
          </c:extLst>
        </c:ser>
        <c:ser>
          <c:idx val="1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Summary'!$I$4:$I$13</c:f>
              <c:numCache>
                <c:formatCode>#,##0</c:formatCode>
                <c:ptCount val="10"/>
                <c:pt idx="0">
                  <c:v>51179679.192000568</c:v>
                </c:pt>
                <c:pt idx="1">
                  <c:v>50195637.245798916</c:v>
                </c:pt>
                <c:pt idx="2">
                  <c:v>48018945.318588175</c:v>
                </c:pt>
                <c:pt idx="3">
                  <c:v>49050621.752270594</c:v>
                </c:pt>
                <c:pt idx="4">
                  <c:v>49953304.695642993</c:v>
                </c:pt>
                <c:pt idx="5">
                  <c:v>48462746.969816506</c:v>
                </c:pt>
                <c:pt idx="6">
                  <c:v>49758084.848774806</c:v>
                </c:pt>
                <c:pt idx="7">
                  <c:v>50348350.507492304</c:v>
                </c:pt>
                <c:pt idx="8">
                  <c:v>53374865.676705249</c:v>
                </c:pt>
                <c:pt idx="9">
                  <c:v>52461199.133983441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97-463E-B537-CC6C5981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2848"/>
        <c:axId val="99264384"/>
      </c:lineChart>
      <c:catAx>
        <c:axId val="992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64384"/>
        <c:crosses val="autoZero"/>
        <c:auto val="1"/>
        <c:lblAlgn val="ctr"/>
        <c:lblOffset val="100"/>
        <c:noMultiLvlLbl val="0"/>
      </c:catAx>
      <c:valAx>
        <c:axId val="99264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2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Summary'!$M$3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Summary'!$M$4:$M$13</c:f>
              <c:numCache>
                <c:formatCode>#,##0</c:formatCode>
                <c:ptCount val="10"/>
                <c:pt idx="0">
                  <c:v>129629625.54293212</c:v>
                </c:pt>
                <c:pt idx="1">
                  <c:v>119356435.43898286</c:v>
                </c:pt>
                <c:pt idx="2">
                  <c:v>115193053.70554049</c:v>
                </c:pt>
                <c:pt idx="3">
                  <c:v>120351876.17112814</c:v>
                </c:pt>
                <c:pt idx="4">
                  <c:v>123506645.0926984</c:v>
                </c:pt>
                <c:pt idx="5">
                  <c:v>125014555.19064774</c:v>
                </c:pt>
                <c:pt idx="6">
                  <c:v>122356888.60887052</c:v>
                </c:pt>
                <c:pt idx="7">
                  <c:v>126877352.03978811</c:v>
                </c:pt>
                <c:pt idx="8">
                  <c:v>122207045.09129581</c:v>
                </c:pt>
                <c:pt idx="9">
                  <c:v>126567690.95211552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BB-4B1A-8A20-D769B54EE4E1}"/>
            </c:ext>
          </c:extLst>
        </c:ser>
        <c:ser>
          <c:idx val="1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Summary'!$N$4:$N$13</c:f>
              <c:numCache>
                <c:formatCode>#,##0</c:formatCode>
                <c:ptCount val="10"/>
                <c:pt idx="0">
                  <c:v>124443373.94273713</c:v>
                </c:pt>
                <c:pt idx="1">
                  <c:v>125409812.10593539</c:v>
                </c:pt>
                <c:pt idx="2">
                  <c:v>118075918.95412347</c:v>
                </c:pt>
                <c:pt idx="3">
                  <c:v>119193994.96391186</c:v>
                </c:pt>
                <c:pt idx="4">
                  <c:v>121937027.63090868</c:v>
                </c:pt>
                <c:pt idx="5">
                  <c:v>121577724.89168367</c:v>
                </c:pt>
                <c:pt idx="6">
                  <c:v>124501521.51038049</c:v>
                </c:pt>
                <c:pt idx="7">
                  <c:v>125067267.40808514</c:v>
                </c:pt>
                <c:pt idx="8">
                  <c:v>124748521.6450509</c:v>
                </c:pt>
                <c:pt idx="9">
                  <c:v>125482587.40428114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BB-4B1A-8A20-D769B54EE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93408"/>
        <c:axId val="116995200"/>
      </c:lineChart>
      <c:catAx>
        <c:axId val="1169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95200"/>
        <c:crosses val="autoZero"/>
        <c:auto val="1"/>
        <c:lblAlgn val="ctr"/>
        <c:lblOffset val="100"/>
        <c:noMultiLvlLbl val="0"/>
      </c:catAx>
      <c:valAx>
        <c:axId val="116995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99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 Residential_no_CDM 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Monthly'!$C$2:$C$121</c:f>
              <c:numCache>
                <c:formatCode>_(* #,##0_);_(* \(#,##0\);_(* "-"??_);_(@_)</c:formatCode>
                <c:ptCount val="120"/>
                <c:pt idx="0">
                  <c:v>14581608.920969907</c:v>
                </c:pt>
                <c:pt idx="1">
                  <c:v>14900347.320969908</c:v>
                </c:pt>
                <c:pt idx="2">
                  <c:v>13266443.320969906</c:v>
                </c:pt>
                <c:pt idx="3">
                  <c:v>11367902.320969908</c:v>
                </c:pt>
                <c:pt idx="4">
                  <c:v>10571719.320969908</c:v>
                </c:pt>
                <c:pt idx="5">
                  <c:v>12208403.320969908</c:v>
                </c:pt>
                <c:pt idx="6">
                  <c:v>12684446.320969908</c:v>
                </c:pt>
                <c:pt idx="7">
                  <c:v>12052546.320969908</c:v>
                </c:pt>
                <c:pt idx="8">
                  <c:v>10146484.320969908</c:v>
                </c:pt>
                <c:pt idx="9">
                  <c:v>10490269.320969908</c:v>
                </c:pt>
                <c:pt idx="10">
                  <c:v>11374243.320969908</c:v>
                </c:pt>
                <c:pt idx="11">
                  <c:v>14349894.320969908</c:v>
                </c:pt>
                <c:pt idx="12">
                  <c:v>13687822.136470912</c:v>
                </c:pt>
                <c:pt idx="13">
                  <c:v>13785723.616470911</c:v>
                </c:pt>
                <c:pt idx="14">
                  <c:v>12643963.896470912</c:v>
                </c:pt>
                <c:pt idx="15">
                  <c:v>10212184.296470912</c:v>
                </c:pt>
                <c:pt idx="16">
                  <c:v>10279757.096470911</c:v>
                </c:pt>
                <c:pt idx="17">
                  <c:v>10871040.896470912</c:v>
                </c:pt>
                <c:pt idx="18">
                  <c:v>12420189.896470912</c:v>
                </c:pt>
                <c:pt idx="19">
                  <c:v>12069420.896470912</c:v>
                </c:pt>
                <c:pt idx="20">
                  <c:v>9822708.8964709118</c:v>
                </c:pt>
                <c:pt idx="21">
                  <c:v>10052323.896470912</c:v>
                </c:pt>
                <c:pt idx="22">
                  <c:v>11103226.896470912</c:v>
                </c:pt>
                <c:pt idx="23">
                  <c:v>14751336.896470912</c:v>
                </c:pt>
                <c:pt idx="24">
                  <c:v>14994049.254319351</c:v>
                </c:pt>
                <c:pt idx="25">
                  <c:v>13874031.254319351</c:v>
                </c:pt>
                <c:pt idx="26">
                  <c:v>11835174.254319351</c:v>
                </c:pt>
                <c:pt idx="27">
                  <c:v>11370094.254319351</c:v>
                </c:pt>
                <c:pt idx="28">
                  <c:v>9112702.0543193519</c:v>
                </c:pt>
                <c:pt idx="29">
                  <c:v>10026613.45431935</c:v>
                </c:pt>
                <c:pt idx="30">
                  <c:v>11170286.254319351</c:v>
                </c:pt>
                <c:pt idx="31">
                  <c:v>11765460.254319351</c:v>
                </c:pt>
                <c:pt idx="32">
                  <c:v>10472733.254319351</c:v>
                </c:pt>
                <c:pt idx="33">
                  <c:v>10701899.254319351</c:v>
                </c:pt>
                <c:pt idx="34">
                  <c:v>10944291.254319351</c:v>
                </c:pt>
                <c:pt idx="35">
                  <c:v>13904019.45431935</c:v>
                </c:pt>
                <c:pt idx="36">
                  <c:v>14717052.807938807</c:v>
                </c:pt>
                <c:pt idx="37">
                  <c:v>14375081.807938807</c:v>
                </c:pt>
                <c:pt idx="38">
                  <c:v>10713254.807938807</c:v>
                </c:pt>
                <c:pt idx="39">
                  <c:v>10191264.807938807</c:v>
                </c:pt>
                <c:pt idx="40">
                  <c:v>10178147.807938807</c:v>
                </c:pt>
                <c:pt idx="41">
                  <c:v>12149657.807938807</c:v>
                </c:pt>
                <c:pt idx="42">
                  <c:v>13218725.807938807</c:v>
                </c:pt>
                <c:pt idx="43">
                  <c:v>13112190.807938807</c:v>
                </c:pt>
                <c:pt idx="44">
                  <c:v>10595662.807938807</c:v>
                </c:pt>
                <c:pt idx="45">
                  <c:v>9940945.007938806</c:v>
                </c:pt>
                <c:pt idx="46">
                  <c:v>11403864.607938807</c:v>
                </c:pt>
                <c:pt idx="47">
                  <c:v>14482720.807938807</c:v>
                </c:pt>
                <c:pt idx="48">
                  <c:v>14730818.468051754</c:v>
                </c:pt>
                <c:pt idx="49">
                  <c:v>12474857.468051754</c:v>
                </c:pt>
                <c:pt idx="50">
                  <c:v>11284297.468051754</c:v>
                </c:pt>
                <c:pt idx="51">
                  <c:v>11134118.468051754</c:v>
                </c:pt>
                <c:pt idx="52">
                  <c:v>10309537.648051754</c:v>
                </c:pt>
                <c:pt idx="53">
                  <c:v>10923118.348051753</c:v>
                </c:pt>
                <c:pt idx="54">
                  <c:v>13973996.748051755</c:v>
                </c:pt>
                <c:pt idx="55">
                  <c:v>13088259.428051755</c:v>
                </c:pt>
                <c:pt idx="56">
                  <c:v>10428037.298051752</c:v>
                </c:pt>
                <c:pt idx="57">
                  <c:v>9961883.1680517532</c:v>
                </c:pt>
                <c:pt idx="58">
                  <c:v>10558824.248051753</c:v>
                </c:pt>
                <c:pt idx="59">
                  <c:v>12756788.608051755</c:v>
                </c:pt>
                <c:pt idx="60">
                  <c:v>13701990.338784929</c:v>
                </c:pt>
                <c:pt idx="61">
                  <c:v>12419248.918784933</c:v>
                </c:pt>
                <c:pt idx="62">
                  <c:v>10625784.518784931</c:v>
                </c:pt>
                <c:pt idx="63">
                  <c:v>9308329.4287849367</c:v>
                </c:pt>
                <c:pt idx="64">
                  <c:v>10160706.668784929</c:v>
                </c:pt>
                <c:pt idx="65">
                  <c:v>11226621.57878493</c:v>
                </c:pt>
                <c:pt idx="66">
                  <c:v>14521070.218784928</c:v>
                </c:pt>
                <c:pt idx="67">
                  <c:v>12646001.058784934</c:v>
                </c:pt>
                <c:pt idx="68">
                  <c:v>10714417.028784934</c:v>
                </c:pt>
                <c:pt idx="69">
                  <c:v>9933433.2287849337</c:v>
                </c:pt>
                <c:pt idx="70">
                  <c:v>11155987.468784932</c:v>
                </c:pt>
                <c:pt idx="71">
                  <c:v>12721788.438784931</c:v>
                </c:pt>
                <c:pt idx="72">
                  <c:v>13766519.236842874</c:v>
                </c:pt>
                <c:pt idx="73">
                  <c:v>13037264.436842877</c:v>
                </c:pt>
                <c:pt idx="74">
                  <c:v>11968675.47684288</c:v>
                </c:pt>
                <c:pt idx="75">
                  <c:v>10955923.596842881</c:v>
                </c:pt>
                <c:pt idx="76">
                  <c:v>9805347.5568428785</c:v>
                </c:pt>
                <c:pt idx="77">
                  <c:v>10790040.57684288</c:v>
                </c:pt>
                <c:pt idx="78">
                  <c:v>13306627.046842881</c:v>
                </c:pt>
                <c:pt idx="79">
                  <c:v>11765359.706842881</c:v>
                </c:pt>
                <c:pt idx="80">
                  <c:v>10845549.38684288</c:v>
                </c:pt>
                <c:pt idx="81">
                  <c:v>10013800.05684288</c:v>
                </c:pt>
                <c:pt idx="82">
                  <c:v>11605954.256842878</c:v>
                </c:pt>
                <c:pt idx="83">
                  <c:v>13860420.196842877</c:v>
                </c:pt>
                <c:pt idx="84">
                  <c:v>14722169.100343866</c:v>
                </c:pt>
                <c:pt idx="85">
                  <c:v>13790924.590343861</c:v>
                </c:pt>
                <c:pt idx="86">
                  <c:v>12528889.650343863</c:v>
                </c:pt>
                <c:pt idx="87">
                  <c:v>10816440.440343862</c:v>
                </c:pt>
                <c:pt idx="88">
                  <c:v>9703088.1603438631</c:v>
                </c:pt>
                <c:pt idx="89">
                  <c:v>10912677.660343865</c:v>
                </c:pt>
                <c:pt idx="90">
                  <c:v>11600834.720343864</c:v>
                </c:pt>
                <c:pt idx="91">
                  <c:v>11466154.010343865</c:v>
                </c:pt>
                <c:pt idx="92">
                  <c:v>10578662.600343861</c:v>
                </c:pt>
                <c:pt idx="93">
                  <c:v>9927126.3503438644</c:v>
                </c:pt>
                <c:pt idx="94">
                  <c:v>11544026.020343866</c:v>
                </c:pt>
                <c:pt idx="95">
                  <c:v>13053158.70034386</c:v>
                </c:pt>
                <c:pt idx="96">
                  <c:v>14179956.538303483</c:v>
                </c:pt>
                <c:pt idx="97">
                  <c:v>13790999.848303484</c:v>
                </c:pt>
                <c:pt idx="98">
                  <c:v>12167181.358303482</c:v>
                </c:pt>
                <c:pt idx="99">
                  <c:v>10541757.03830348</c:v>
                </c:pt>
                <c:pt idx="100">
                  <c:v>9816749.928303482</c:v>
                </c:pt>
                <c:pt idx="101">
                  <c:v>10526013.478303481</c:v>
                </c:pt>
                <c:pt idx="102">
                  <c:v>12091575.198303482</c:v>
                </c:pt>
                <c:pt idx="103">
                  <c:v>12608290.718303479</c:v>
                </c:pt>
                <c:pt idx="104">
                  <c:v>11472336.978303481</c:v>
                </c:pt>
                <c:pt idx="105">
                  <c:v>9760874.6783034839</c:v>
                </c:pt>
                <c:pt idx="106">
                  <c:v>10610626.948303482</c:v>
                </c:pt>
                <c:pt idx="107">
                  <c:v>11935835.708303479</c:v>
                </c:pt>
                <c:pt idx="108">
                  <c:v>13040485.289731631</c:v>
                </c:pt>
                <c:pt idx="109">
                  <c:v>12219959.469731636</c:v>
                </c:pt>
                <c:pt idx="110">
                  <c:v>11209716.929731634</c:v>
                </c:pt>
                <c:pt idx="111">
                  <c:v>10535031.609731635</c:v>
                </c:pt>
                <c:pt idx="112">
                  <c:v>9802426.5897316337</c:v>
                </c:pt>
                <c:pt idx="113">
                  <c:v>11190418.029731637</c:v>
                </c:pt>
                <c:pt idx="114">
                  <c:v>13653579.789731635</c:v>
                </c:pt>
                <c:pt idx="115">
                  <c:v>14761841.349731633</c:v>
                </c:pt>
                <c:pt idx="116">
                  <c:v>11769949.059731634</c:v>
                </c:pt>
                <c:pt idx="117">
                  <c:v>9824702.8897316344</c:v>
                </c:pt>
                <c:pt idx="118">
                  <c:v>10371409.499731634</c:v>
                </c:pt>
                <c:pt idx="119">
                  <c:v>12858747.429731634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92-490C-8438-CB7B0E8FB3B5}"/>
            </c:ext>
          </c:extLst>
        </c:ser>
        <c:ser>
          <c:idx val="1"/>
          <c:order val="1"/>
          <c:tx>
            <c:strRef>
              <c:f>'Res Normalized Monthly'!$T$1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Monthly'!$T$2:$T$145</c:f>
              <c:numCache>
                <c:formatCode>_(* #,##0_);_(* \(#,##0\);_(* "-"??_);_(@_)</c:formatCode>
                <c:ptCount val="144"/>
                <c:pt idx="0">
                  <c:v>14459519.920137988</c:v>
                </c:pt>
                <c:pt idx="1">
                  <c:v>13697696.958379537</c:v>
                </c:pt>
                <c:pt idx="2">
                  <c:v>12007172.75078835</c:v>
                </c:pt>
                <c:pt idx="3">
                  <c:v>10798070.687060252</c:v>
                </c:pt>
                <c:pt idx="4">
                  <c:v>10280758.852896729</c:v>
                </c:pt>
                <c:pt idx="5">
                  <c:v>11313313.600379536</c:v>
                </c:pt>
                <c:pt idx="6">
                  <c:v>13163307.376957756</c:v>
                </c:pt>
                <c:pt idx="7">
                  <c:v>12628699.147463726</c:v>
                </c:pt>
                <c:pt idx="8">
                  <c:v>10915507.248379534</c:v>
                </c:pt>
                <c:pt idx="9">
                  <c:v>10357926.658038564</c:v>
                </c:pt>
                <c:pt idx="10">
                  <c:v>11279968.792113788</c:v>
                </c:pt>
                <c:pt idx="11">
                  <c:v>13749289.81695867</c:v>
                </c:pt>
                <c:pt idx="12">
                  <c:v>14408219.234537138</c:v>
                </c:pt>
                <c:pt idx="13">
                  <c:v>13646396.272778686</c:v>
                </c:pt>
                <c:pt idx="14">
                  <c:v>11955872.065187499</c:v>
                </c:pt>
                <c:pt idx="15">
                  <c:v>10746770.001459399</c:v>
                </c:pt>
                <c:pt idx="16">
                  <c:v>10229458.167295877</c:v>
                </c:pt>
                <c:pt idx="17">
                  <c:v>11262012.914778685</c:v>
                </c:pt>
                <c:pt idx="18">
                  <c:v>13112006.691356905</c:v>
                </c:pt>
                <c:pt idx="19">
                  <c:v>12577398.461862875</c:v>
                </c:pt>
                <c:pt idx="20">
                  <c:v>10864206.562778683</c:v>
                </c:pt>
                <c:pt idx="21">
                  <c:v>10306625.972437713</c:v>
                </c:pt>
                <c:pt idx="22">
                  <c:v>11228668.106512936</c:v>
                </c:pt>
                <c:pt idx="23">
                  <c:v>13697989.131357817</c:v>
                </c:pt>
                <c:pt idx="24">
                  <c:v>14356918.548936287</c:v>
                </c:pt>
                <c:pt idx="25">
                  <c:v>13595095.587177835</c:v>
                </c:pt>
                <c:pt idx="26">
                  <c:v>11904571.379586648</c:v>
                </c:pt>
                <c:pt idx="27">
                  <c:v>10695469.315858549</c:v>
                </c:pt>
                <c:pt idx="28">
                  <c:v>10178157.481695026</c:v>
                </c:pt>
                <c:pt idx="29">
                  <c:v>11210712.229177833</c:v>
                </c:pt>
                <c:pt idx="30">
                  <c:v>13060706.005756052</c:v>
                </c:pt>
                <c:pt idx="31">
                  <c:v>12526097.776262024</c:v>
                </c:pt>
                <c:pt idx="32">
                  <c:v>10812905.877177833</c:v>
                </c:pt>
                <c:pt idx="33">
                  <c:v>10255325.286836863</c:v>
                </c:pt>
                <c:pt idx="34">
                  <c:v>11177367.420912085</c:v>
                </c:pt>
                <c:pt idx="35">
                  <c:v>13646688.445756966</c:v>
                </c:pt>
                <c:pt idx="36">
                  <c:v>14305617.863335434</c:v>
                </c:pt>
                <c:pt idx="37">
                  <c:v>13543794.901576983</c:v>
                </c:pt>
                <c:pt idx="38">
                  <c:v>11853270.693985797</c:v>
                </c:pt>
                <c:pt idx="39">
                  <c:v>10644168.630257698</c:v>
                </c:pt>
                <c:pt idx="40">
                  <c:v>10126856.796094175</c:v>
                </c:pt>
                <c:pt idx="41">
                  <c:v>11159411.543576982</c:v>
                </c:pt>
                <c:pt idx="42">
                  <c:v>13009405.320155201</c:v>
                </c:pt>
                <c:pt idx="43">
                  <c:v>12474797.090661172</c:v>
                </c:pt>
                <c:pt idx="44">
                  <c:v>10761605.19157698</c:v>
                </c:pt>
                <c:pt idx="45">
                  <c:v>10204024.601236012</c:v>
                </c:pt>
                <c:pt idx="46">
                  <c:v>11126066.735311234</c:v>
                </c:pt>
                <c:pt idx="47">
                  <c:v>13595387.760156116</c:v>
                </c:pt>
                <c:pt idx="48">
                  <c:v>14254317.177734584</c:v>
                </c:pt>
                <c:pt idx="49">
                  <c:v>13492494.215976132</c:v>
                </c:pt>
                <c:pt idx="50">
                  <c:v>11801970.008384945</c:v>
                </c:pt>
                <c:pt idx="51">
                  <c:v>10592867.944656845</c:v>
                </c:pt>
                <c:pt idx="52">
                  <c:v>10075556.110493325</c:v>
                </c:pt>
                <c:pt idx="53">
                  <c:v>11108110.857976131</c:v>
                </c:pt>
                <c:pt idx="54">
                  <c:v>12958104.634554351</c:v>
                </c:pt>
                <c:pt idx="55">
                  <c:v>12423496.405060321</c:v>
                </c:pt>
                <c:pt idx="56">
                  <c:v>10710304.505976129</c:v>
                </c:pt>
                <c:pt idx="57">
                  <c:v>10152723.915635159</c:v>
                </c:pt>
                <c:pt idx="58">
                  <c:v>11074766.049710384</c:v>
                </c:pt>
                <c:pt idx="59">
                  <c:v>13544087.074555265</c:v>
                </c:pt>
                <c:pt idx="60">
                  <c:v>14203016.492133733</c:v>
                </c:pt>
                <c:pt idx="61">
                  <c:v>13441193.530375281</c:v>
                </c:pt>
                <c:pt idx="62">
                  <c:v>11750669.322784094</c:v>
                </c:pt>
                <c:pt idx="63">
                  <c:v>10541567.259055994</c:v>
                </c:pt>
                <c:pt idx="64">
                  <c:v>10024255.424892472</c:v>
                </c:pt>
                <c:pt idx="65">
                  <c:v>11056810.172375279</c:v>
                </c:pt>
                <c:pt idx="66">
                  <c:v>12906803.9489535</c:v>
                </c:pt>
                <c:pt idx="67">
                  <c:v>12372195.71945947</c:v>
                </c:pt>
                <c:pt idx="68">
                  <c:v>10659003.820375279</c:v>
                </c:pt>
                <c:pt idx="69">
                  <c:v>10101423.230034309</c:v>
                </c:pt>
                <c:pt idx="70">
                  <c:v>11023465.364109531</c:v>
                </c:pt>
                <c:pt idx="71">
                  <c:v>13492786.388954412</c:v>
                </c:pt>
                <c:pt idx="72">
                  <c:v>14151715.806532882</c:v>
                </c:pt>
                <c:pt idx="73">
                  <c:v>13389892.844774431</c:v>
                </c:pt>
                <c:pt idx="74">
                  <c:v>11699368.637183243</c:v>
                </c:pt>
                <c:pt idx="75">
                  <c:v>10490266.573455144</c:v>
                </c:pt>
                <c:pt idx="76">
                  <c:v>9972954.7392916214</c:v>
                </c:pt>
                <c:pt idx="77">
                  <c:v>11005509.486774428</c:v>
                </c:pt>
                <c:pt idx="78">
                  <c:v>12855503.263352647</c:v>
                </c:pt>
                <c:pt idx="79">
                  <c:v>12320895.03385862</c:v>
                </c:pt>
                <c:pt idx="80">
                  <c:v>10607703.134774428</c:v>
                </c:pt>
                <c:pt idx="81">
                  <c:v>10050122.544433458</c:v>
                </c:pt>
                <c:pt idx="82">
                  <c:v>10972164.67850868</c:v>
                </c:pt>
                <c:pt idx="83">
                  <c:v>13441485.703353561</c:v>
                </c:pt>
                <c:pt idx="84">
                  <c:v>14100415.12093203</c:v>
                </c:pt>
                <c:pt idx="85">
                  <c:v>13338592.159173578</c:v>
                </c:pt>
                <c:pt idx="86">
                  <c:v>11648067.951582393</c:v>
                </c:pt>
                <c:pt idx="87">
                  <c:v>10438965.887854293</c:v>
                </c:pt>
                <c:pt idx="88">
                  <c:v>9921654.0536907706</c:v>
                </c:pt>
                <c:pt idx="89">
                  <c:v>10954208.801173577</c:v>
                </c:pt>
                <c:pt idx="90">
                  <c:v>12804202.577751797</c:v>
                </c:pt>
                <c:pt idx="91">
                  <c:v>12269594.348257767</c:v>
                </c:pt>
                <c:pt idx="92">
                  <c:v>10556402.449173575</c:v>
                </c:pt>
                <c:pt idx="93">
                  <c:v>9998821.858832607</c:v>
                </c:pt>
                <c:pt idx="94">
                  <c:v>10920863.99290783</c:v>
                </c:pt>
                <c:pt idx="95">
                  <c:v>13390185.017752711</c:v>
                </c:pt>
                <c:pt idx="96">
                  <c:v>14049114.435331179</c:v>
                </c:pt>
                <c:pt idx="97">
                  <c:v>13287291.473572727</c:v>
                </c:pt>
                <c:pt idx="98">
                  <c:v>11596767.26598154</c:v>
                </c:pt>
                <c:pt idx="99">
                  <c:v>10387665.20225344</c:v>
                </c:pt>
                <c:pt idx="100">
                  <c:v>9870353.3680899199</c:v>
                </c:pt>
                <c:pt idx="101">
                  <c:v>10902908.115572726</c:v>
                </c:pt>
                <c:pt idx="102">
                  <c:v>12752901.892150946</c:v>
                </c:pt>
                <c:pt idx="103">
                  <c:v>12218293.662656916</c:v>
                </c:pt>
                <c:pt idx="104">
                  <c:v>10505101.763572725</c:v>
                </c:pt>
                <c:pt idx="105">
                  <c:v>9947521.1732317545</c:v>
                </c:pt>
                <c:pt idx="106">
                  <c:v>10869563.307306977</c:v>
                </c:pt>
                <c:pt idx="107">
                  <c:v>13338884.33215186</c:v>
                </c:pt>
                <c:pt idx="108">
                  <c:v>13997813.749730328</c:v>
                </c:pt>
                <c:pt idx="109">
                  <c:v>13235990.787971877</c:v>
                </c:pt>
                <c:pt idx="110">
                  <c:v>11545466.580380689</c:v>
                </c:pt>
                <c:pt idx="111">
                  <c:v>10336364.51665259</c:v>
                </c:pt>
                <c:pt idx="112">
                  <c:v>9819052.6824890673</c:v>
                </c:pt>
                <c:pt idx="113">
                  <c:v>10851607.429971874</c:v>
                </c:pt>
                <c:pt idx="114">
                  <c:v>12701601.206550095</c:v>
                </c:pt>
                <c:pt idx="115">
                  <c:v>12166992.977056066</c:v>
                </c:pt>
                <c:pt idx="116">
                  <c:v>10453801.077971874</c:v>
                </c:pt>
                <c:pt idx="117">
                  <c:v>9896220.4876309037</c:v>
                </c:pt>
                <c:pt idx="118">
                  <c:v>10818262.621706126</c:v>
                </c:pt>
                <c:pt idx="119">
                  <c:v>13287583.646551007</c:v>
                </c:pt>
                <c:pt idx="120">
                  <c:v>13946513.064129476</c:v>
                </c:pt>
                <c:pt idx="121">
                  <c:v>13184690.102371026</c:v>
                </c:pt>
                <c:pt idx="122">
                  <c:v>11494165.894779839</c:v>
                </c:pt>
                <c:pt idx="123">
                  <c:v>10285063.831051739</c:v>
                </c:pt>
                <c:pt idx="124">
                  <c:v>9767751.9968882166</c:v>
                </c:pt>
                <c:pt idx="125">
                  <c:v>10800306.744371023</c:v>
                </c:pt>
                <c:pt idx="126">
                  <c:v>12650300.520949243</c:v>
                </c:pt>
                <c:pt idx="127">
                  <c:v>12115692.291455213</c:v>
                </c:pt>
                <c:pt idx="128">
                  <c:v>10402500.392371023</c:v>
                </c:pt>
                <c:pt idx="129">
                  <c:v>9844919.802030053</c:v>
                </c:pt>
                <c:pt idx="130">
                  <c:v>10766961.936105276</c:v>
                </c:pt>
                <c:pt idx="131">
                  <c:v>13236282.960950157</c:v>
                </c:pt>
                <c:pt idx="132">
                  <c:v>13895212.378528625</c:v>
                </c:pt>
                <c:pt idx="133">
                  <c:v>13133389.416770173</c:v>
                </c:pt>
                <c:pt idx="134">
                  <c:v>11442865.209178986</c:v>
                </c:pt>
                <c:pt idx="135">
                  <c:v>10233763.145450888</c:v>
                </c:pt>
                <c:pt idx="136">
                  <c:v>9716451.3112873659</c:v>
                </c:pt>
                <c:pt idx="137">
                  <c:v>10749006.058770172</c:v>
                </c:pt>
                <c:pt idx="138">
                  <c:v>12598999.835348392</c:v>
                </c:pt>
                <c:pt idx="139">
                  <c:v>12064391.605854362</c:v>
                </c:pt>
                <c:pt idx="140">
                  <c:v>10351199.70677017</c:v>
                </c:pt>
                <c:pt idx="141">
                  <c:v>9793619.1164292004</c:v>
                </c:pt>
                <c:pt idx="142">
                  <c:v>10715661.250504425</c:v>
                </c:pt>
                <c:pt idx="143">
                  <c:v>13184982.275349306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92-490C-8438-CB7B0E8F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6000"/>
        <c:axId val="117145984"/>
      </c:lineChart>
      <c:dateAx>
        <c:axId val="117136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7145984"/>
        <c:crosses val="autoZero"/>
        <c:auto val="1"/>
        <c:lblOffset val="100"/>
        <c:baseTimeUnit val="months"/>
      </c:dateAx>
      <c:valAx>
        <c:axId val="117145984"/>
        <c:scaling>
          <c:orientation val="minMax"/>
          <c:min val="9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713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 GS_lt_50_no_CDM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Monthly'!$C$2:$C$121</c:f>
              <c:numCache>
                <c:formatCode>_(* #,##0_);_(* \(#,##0\);_(* "-"??_);_(@_)</c:formatCode>
                <c:ptCount val="120"/>
                <c:pt idx="0">
                  <c:v>4555426.1688953731</c:v>
                </c:pt>
                <c:pt idx="1">
                  <c:v>5124464.9388953727</c:v>
                </c:pt>
                <c:pt idx="2">
                  <c:v>4404053.8488953728</c:v>
                </c:pt>
                <c:pt idx="3">
                  <c:v>4345291.2888953723</c:v>
                </c:pt>
                <c:pt idx="4">
                  <c:v>4011075.588895373</c:v>
                </c:pt>
                <c:pt idx="5">
                  <c:v>4301202.6388953729</c:v>
                </c:pt>
                <c:pt idx="6">
                  <c:v>4466238.0788953733</c:v>
                </c:pt>
                <c:pt idx="7">
                  <c:v>3950116.3988953726</c:v>
                </c:pt>
                <c:pt idx="8">
                  <c:v>3891422.0488953725</c:v>
                </c:pt>
                <c:pt idx="9">
                  <c:v>4074204.6888953727</c:v>
                </c:pt>
                <c:pt idx="10">
                  <c:v>4098618.8288953728</c:v>
                </c:pt>
                <c:pt idx="11">
                  <c:v>4775518.7488953732</c:v>
                </c:pt>
                <c:pt idx="12">
                  <c:v>4386861.076303375</c:v>
                </c:pt>
                <c:pt idx="13">
                  <c:v>4617150.8063033754</c:v>
                </c:pt>
                <c:pt idx="14">
                  <c:v>4413735.7663033754</c:v>
                </c:pt>
                <c:pt idx="15">
                  <c:v>3748649.5063033756</c:v>
                </c:pt>
                <c:pt idx="16">
                  <c:v>3704971.2463033753</c:v>
                </c:pt>
                <c:pt idx="17">
                  <c:v>3809792.8063033754</c:v>
                </c:pt>
                <c:pt idx="18">
                  <c:v>4272219.4863033751</c:v>
                </c:pt>
                <c:pt idx="19">
                  <c:v>4005871.1463033753</c:v>
                </c:pt>
                <c:pt idx="20">
                  <c:v>3874520.8063033754</c:v>
                </c:pt>
                <c:pt idx="21">
                  <c:v>3746732.2963033756</c:v>
                </c:pt>
                <c:pt idx="22">
                  <c:v>3849751.9163033753</c:v>
                </c:pt>
                <c:pt idx="23">
                  <c:v>4512959.3163033752</c:v>
                </c:pt>
                <c:pt idx="24">
                  <c:v>5264694.9925258188</c:v>
                </c:pt>
                <c:pt idx="25">
                  <c:v>4426769.6925258189</c:v>
                </c:pt>
                <c:pt idx="26">
                  <c:v>4207822.7925258186</c:v>
                </c:pt>
                <c:pt idx="27">
                  <c:v>3915902.482525819</c:v>
                </c:pt>
                <c:pt idx="28">
                  <c:v>3342046.7525258185</c:v>
                </c:pt>
                <c:pt idx="29">
                  <c:v>3660108.4125258187</c:v>
                </c:pt>
                <c:pt idx="30">
                  <c:v>3970794.0225258186</c:v>
                </c:pt>
                <c:pt idx="31">
                  <c:v>3932148.8625258189</c:v>
                </c:pt>
                <c:pt idx="32">
                  <c:v>3515083.4425258189</c:v>
                </c:pt>
                <c:pt idx="33">
                  <c:v>3471825.3125258191</c:v>
                </c:pt>
                <c:pt idx="34">
                  <c:v>3874484.0325258188</c:v>
                </c:pt>
                <c:pt idx="35">
                  <c:v>4458302.6525258189</c:v>
                </c:pt>
                <c:pt idx="36">
                  <c:v>4697417.7863541953</c:v>
                </c:pt>
                <c:pt idx="37">
                  <c:v>5008535.2563541951</c:v>
                </c:pt>
                <c:pt idx="38">
                  <c:v>3573684.3163541961</c:v>
                </c:pt>
                <c:pt idx="39">
                  <c:v>3590208.1563541959</c:v>
                </c:pt>
                <c:pt idx="40">
                  <c:v>3758722.0363541958</c:v>
                </c:pt>
                <c:pt idx="41">
                  <c:v>4289252.2863541953</c:v>
                </c:pt>
                <c:pt idx="42">
                  <c:v>4318847.7063541953</c:v>
                </c:pt>
                <c:pt idx="43">
                  <c:v>4290762.7763541956</c:v>
                </c:pt>
                <c:pt idx="44">
                  <c:v>3747124.8363541956</c:v>
                </c:pt>
                <c:pt idx="45">
                  <c:v>3640387.4263541955</c:v>
                </c:pt>
                <c:pt idx="46">
                  <c:v>4031309.7163541955</c:v>
                </c:pt>
                <c:pt idx="47">
                  <c:v>4669941.6563541945</c:v>
                </c:pt>
                <c:pt idx="48">
                  <c:v>4809030.2226273539</c:v>
                </c:pt>
                <c:pt idx="49">
                  <c:v>4234672.8526273537</c:v>
                </c:pt>
                <c:pt idx="50">
                  <c:v>3764883.7426273539</c:v>
                </c:pt>
                <c:pt idx="51">
                  <c:v>3866987.8226273535</c:v>
                </c:pt>
                <c:pt idx="52">
                  <c:v>3707027.2926273537</c:v>
                </c:pt>
                <c:pt idx="53">
                  <c:v>3972068.8226273539</c:v>
                </c:pt>
                <c:pt idx="54">
                  <c:v>4809554.1926273536</c:v>
                </c:pt>
                <c:pt idx="55">
                  <c:v>4444966.2726273537</c:v>
                </c:pt>
                <c:pt idx="56">
                  <c:v>3611046.4826273536</c:v>
                </c:pt>
                <c:pt idx="57">
                  <c:v>3816942.2326273532</c:v>
                </c:pt>
                <c:pt idx="58">
                  <c:v>3883653.5526273521</c:v>
                </c:pt>
                <c:pt idx="59">
                  <c:v>4353083.5526273539</c:v>
                </c:pt>
                <c:pt idx="60">
                  <c:v>4638394.9996786648</c:v>
                </c:pt>
                <c:pt idx="61">
                  <c:v>4352407.2496786667</c:v>
                </c:pt>
                <c:pt idx="62">
                  <c:v>3741681.2696786644</c:v>
                </c:pt>
                <c:pt idx="63">
                  <c:v>3577054.1996786655</c:v>
                </c:pt>
                <c:pt idx="64">
                  <c:v>3254036.6896786643</c:v>
                </c:pt>
                <c:pt idx="65">
                  <c:v>3829766.4996786648</c:v>
                </c:pt>
                <c:pt idx="66">
                  <c:v>4522721.659678665</c:v>
                </c:pt>
                <c:pt idx="67">
                  <c:v>4924951.3196786642</c:v>
                </c:pt>
                <c:pt idx="68">
                  <c:v>3928254.3996786643</c:v>
                </c:pt>
                <c:pt idx="69">
                  <c:v>3893427.8796786643</c:v>
                </c:pt>
                <c:pt idx="70">
                  <c:v>3872779.7996786651</c:v>
                </c:pt>
                <c:pt idx="71">
                  <c:v>4163615.9996786653</c:v>
                </c:pt>
                <c:pt idx="72">
                  <c:v>4507142.1120230034</c:v>
                </c:pt>
                <c:pt idx="73">
                  <c:v>4563104.3620230034</c:v>
                </c:pt>
                <c:pt idx="74">
                  <c:v>4317259.0320230033</c:v>
                </c:pt>
                <c:pt idx="75">
                  <c:v>3826343.9020230039</c:v>
                </c:pt>
                <c:pt idx="76">
                  <c:v>3732528.9220230044</c:v>
                </c:pt>
                <c:pt idx="77">
                  <c:v>3967515.4020230034</c:v>
                </c:pt>
                <c:pt idx="78">
                  <c:v>4325652.3520230027</c:v>
                </c:pt>
                <c:pt idx="79">
                  <c:v>4153807.3820230048</c:v>
                </c:pt>
                <c:pt idx="80">
                  <c:v>3880420.8520230046</c:v>
                </c:pt>
                <c:pt idx="81">
                  <c:v>3774400.1020230036</c:v>
                </c:pt>
                <c:pt idx="82">
                  <c:v>4293209.9120230032</c:v>
                </c:pt>
                <c:pt idx="83">
                  <c:v>4562789.712023003</c:v>
                </c:pt>
                <c:pt idx="84">
                  <c:v>4988179.5083069578</c:v>
                </c:pt>
                <c:pt idx="85">
                  <c:v>4723861.3583069593</c:v>
                </c:pt>
                <c:pt idx="86">
                  <c:v>4365203.4383069584</c:v>
                </c:pt>
                <c:pt idx="87">
                  <c:v>3766948.9683069587</c:v>
                </c:pt>
                <c:pt idx="88">
                  <c:v>3605187.9783069585</c:v>
                </c:pt>
                <c:pt idx="89">
                  <c:v>4050140.2383069587</c:v>
                </c:pt>
                <c:pt idx="90">
                  <c:v>4025113.7683069585</c:v>
                </c:pt>
                <c:pt idx="91">
                  <c:v>4111661.3483069586</c:v>
                </c:pt>
                <c:pt idx="92">
                  <c:v>3802027.328306959</c:v>
                </c:pt>
                <c:pt idx="93">
                  <c:v>3630927.0783069585</c:v>
                </c:pt>
                <c:pt idx="94">
                  <c:v>4650784.3883069586</c:v>
                </c:pt>
                <c:pt idx="95">
                  <c:v>4868518.578306959</c:v>
                </c:pt>
                <c:pt idx="96">
                  <c:v>5465130.6709063211</c:v>
                </c:pt>
                <c:pt idx="97">
                  <c:v>5405912.5809063204</c:v>
                </c:pt>
                <c:pt idx="98">
                  <c:v>4793328.4009063197</c:v>
                </c:pt>
                <c:pt idx="99">
                  <c:v>4101859.6609063204</c:v>
                </c:pt>
                <c:pt idx="100">
                  <c:v>3978663.1209063213</c:v>
                </c:pt>
                <c:pt idx="101">
                  <c:v>4185557.47090632</c:v>
                </c:pt>
                <c:pt idx="102">
                  <c:v>4473730.8109063208</c:v>
                </c:pt>
                <c:pt idx="103">
                  <c:v>4421161.6909063198</c:v>
                </c:pt>
                <c:pt idx="104">
                  <c:v>4253621.7809063196</c:v>
                </c:pt>
                <c:pt idx="105">
                  <c:v>3879620.5809063204</c:v>
                </c:pt>
                <c:pt idx="106">
                  <c:v>4136697.9909063196</c:v>
                </c:pt>
                <c:pt idx="107">
                  <c:v>4318344.3209063206</c:v>
                </c:pt>
                <c:pt idx="108">
                  <c:v>4894772.1616346641</c:v>
                </c:pt>
                <c:pt idx="109">
                  <c:v>4646896.3716346631</c:v>
                </c:pt>
                <c:pt idx="110">
                  <c:v>4418409.7216346655</c:v>
                </c:pt>
                <c:pt idx="111">
                  <c:v>4147092.0016346639</c:v>
                </c:pt>
                <c:pt idx="112">
                  <c:v>3955061.6316346633</c:v>
                </c:pt>
                <c:pt idx="113">
                  <c:v>4241251.4016346633</c:v>
                </c:pt>
                <c:pt idx="114">
                  <c:v>3983218.2316346639</c:v>
                </c:pt>
                <c:pt idx="115">
                  <c:v>4839669.2816346632</c:v>
                </c:pt>
                <c:pt idx="116">
                  <c:v>4164554.6516346638</c:v>
                </c:pt>
                <c:pt idx="117">
                  <c:v>4075336.0316346637</c:v>
                </c:pt>
                <c:pt idx="118">
                  <c:v>4106267.7516346634</c:v>
                </c:pt>
                <c:pt idx="119">
                  <c:v>4854513.1416346636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7-4804-9260-966B6C026159}"/>
            </c:ext>
          </c:extLst>
        </c:ser>
        <c:ser>
          <c:idx val="1"/>
          <c:order val="1"/>
          <c:tx>
            <c:strRef>
              <c:f>'GS &lt; 50 Normalized Monthly'!$Z$1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Monthly'!$Z$2:$Z$145</c:f>
              <c:numCache>
                <c:formatCode>_(* #,##0_);_(* \(#,##0\);_(* "-"??_);_(@_)</c:formatCode>
                <c:ptCount val="144"/>
                <c:pt idx="0">
                  <c:v>4841495.5981836822</c:v>
                </c:pt>
                <c:pt idx="1">
                  <c:v>4729152.1988772685</c:v>
                </c:pt>
                <c:pt idx="2">
                  <c:v>4270902.4115798147</c:v>
                </c:pt>
                <c:pt idx="3">
                  <c:v>3972053.3794858763</c:v>
                </c:pt>
                <c:pt idx="4">
                  <c:v>3679461.0236867513</c:v>
                </c:pt>
                <c:pt idx="5">
                  <c:v>4031811.5181119097</c:v>
                </c:pt>
                <c:pt idx="6">
                  <c:v>4386174.1479857061</c:v>
                </c:pt>
                <c:pt idx="7">
                  <c:v>4389397.2974457815</c:v>
                </c:pt>
                <c:pt idx="8">
                  <c:v>3996394.2464990639</c:v>
                </c:pt>
                <c:pt idx="9">
                  <c:v>3912053.3891274957</c:v>
                </c:pt>
                <c:pt idx="10">
                  <c:v>4224907.9870551126</c:v>
                </c:pt>
                <c:pt idx="11">
                  <c:v>4587365.1794817876</c:v>
                </c:pt>
                <c:pt idx="12">
                  <c:v>4795837.504298131</c:v>
                </c:pt>
                <c:pt idx="13">
                  <c:v>4666521.4871818898</c:v>
                </c:pt>
                <c:pt idx="14">
                  <c:v>4222861.7856384208</c:v>
                </c:pt>
                <c:pt idx="15">
                  <c:v>3899296.0713851596</c:v>
                </c:pt>
                <c:pt idx="16">
                  <c:v>3627844.9293255685</c:v>
                </c:pt>
                <c:pt idx="17">
                  <c:v>4016523.1914262194</c:v>
                </c:pt>
                <c:pt idx="18">
                  <c:v>4308353.5416823197</c:v>
                </c:pt>
                <c:pt idx="19">
                  <c:v>4297730.5202798527</c:v>
                </c:pt>
                <c:pt idx="20">
                  <c:v>3866911.8718747608</c:v>
                </c:pt>
                <c:pt idx="21">
                  <c:v>3821579.548325513</c:v>
                </c:pt>
                <c:pt idx="22">
                  <c:v>4145599.550968844</c:v>
                </c:pt>
                <c:pt idx="23">
                  <c:v>4512671.0201256834</c:v>
                </c:pt>
                <c:pt idx="24">
                  <c:v>4751663.8995234082</c:v>
                </c:pt>
                <c:pt idx="25">
                  <c:v>4602547.0517410468</c:v>
                </c:pt>
                <c:pt idx="26">
                  <c:v>4126580.731742329</c:v>
                </c:pt>
                <c:pt idx="27">
                  <c:v>3794828.6130111665</c:v>
                </c:pt>
                <c:pt idx="28">
                  <c:v>3504022.3210859108</c:v>
                </c:pt>
                <c:pt idx="29">
                  <c:v>3873345.4333208948</c:v>
                </c:pt>
                <c:pt idx="30">
                  <c:v>4136739.526960467</c:v>
                </c:pt>
                <c:pt idx="31">
                  <c:v>4087556.9932081853</c:v>
                </c:pt>
                <c:pt idx="32">
                  <c:v>3646316.8549788194</c:v>
                </c:pt>
                <c:pt idx="33">
                  <c:v>3608427.0210160306</c:v>
                </c:pt>
                <c:pt idx="34">
                  <c:v>4004951.7716288269</c:v>
                </c:pt>
                <c:pt idx="35">
                  <c:v>4436934.711787153</c:v>
                </c:pt>
                <c:pt idx="36">
                  <c:v>4665653.5480700722</c:v>
                </c:pt>
                <c:pt idx="37">
                  <c:v>4529042.4880768387</c:v>
                </c:pt>
                <c:pt idx="38">
                  <c:v>4077343.8287649378</c:v>
                </c:pt>
                <c:pt idx="39">
                  <c:v>3869463.3329052222</c:v>
                </c:pt>
                <c:pt idx="40">
                  <c:v>3597713.9567546453</c:v>
                </c:pt>
                <c:pt idx="41">
                  <c:v>3974332.1118666213</c:v>
                </c:pt>
                <c:pt idx="42">
                  <c:v>4216139.3109662058</c:v>
                </c:pt>
                <c:pt idx="43">
                  <c:v>4161447.7982107988</c:v>
                </c:pt>
                <c:pt idx="44">
                  <c:v>3703087.5954621402</c:v>
                </c:pt>
                <c:pt idx="45">
                  <c:v>3636315.8240823704</c:v>
                </c:pt>
                <c:pt idx="46">
                  <c:v>4002618.2542047719</c:v>
                </c:pt>
                <c:pt idx="47">
                  <c:v>4457830.0467395391</c:v>
                </c:pt>
                <c:pt idx="48">
                  <c:v>4703819.7349232687</c:v>
                </c:pt>
                <c:pt idx="49">
                  <c:v>4568994.7388039036</c:v>
                </c:pt>
                <c:pt idx="50">
                  <c:v>4138584.7399410056</c:v>
                </c:pt>
                <c:pt idx="51">
                  <c:v>3846879.96334254</c:v>
                </c:pt>
                <c:pt idx="52">
                  <c:v>3591211.8434008793</c:v>
                </c:pt>
                <c:pt idx="53">
                  <c:v>3978254.8290091814</c:v>
                </c:pt>
                <c:pt idx="54">
                  <c:v>4246115.7526694508</c:v>
                </c:pt>
                <c:pt idx="55">
                  <c:v>4301747.9260139335</c:v>
                </c:pt>
                <c:pt idx="56">
                  <c:v>3863037.7665498769</c:v>
                </c:pt>
                <c:pt idx="57">
                  <c:v>3825596.9540595943</c:v>
                </c:pt>
                <c:pt idx="58">
                  <c:v>4168824.6598591246</c:v>
                </c:pt>
                <c:pt idx="59">
                  <c:v>4576094.258530179</c:v>
                </c:pt>
                <c:pt idx="60">
                  <c:v>4807939.5417603794</c:v>
                </c:pt>
                <c:pt idx="61">
                  <c:v>4710337.0155894672</c:v>
                </c:pt>
                <c:pt idx="62">
                  <c:v>4003590.0456415294</c:v>
                </c:pt>
                <c:pt idx="63">
                  <c:v>3735258.2274569203</c:v>
                </c:pt>
                <c:pt idx="64">
                  <c:v>3508619.4916417105</c:v>
                </c:pt>
                <c:pt idx="65">
                  <c:v>3913228.2225697581</c:v>
                </c:pt>
                <c:pt idx="66">
                  <c:v>4173197.6351710623</c:v>
                </c:pt>
                <c:pt idx="67">
                  <c:v>4185950.9128545038</c:v>
                </c:pt>
                <c:pt idx="68">
                  <c:v>3752005.8175021308</c:v>
                </c:pt>
                <c:pt idx="69">
                  <c:v>3672580.8116237638</c:v>
                </c:pt>
                <c:pt idx="70">
                  <c:v>4028612.5393034089</c:v>
                </c:pt>
                <c:pt idx="71">
                  <c:v>4420548.1373290392</c:v>
                </c:pt>
                <c:pt idx="72">
                  <c:v>4709118.487082825</c:v>
                </c:pt>
                <c:pt idx="73">
                  <c:v>4585907.9171516821</c:v>
                </c:pt>
                <c:pt idx="74">
                  <c:v>4166070.1954945754</c:v>
                </c:pt>
                <c:pt idx="75">
                  <c:v>3848311.6943354234</c:v>
                </c:pt>
                <c:pt idx="76">
                  <c:v>3594875.3190680859</c:v>
                </c:pt>
                <c:pt idx="77">
                  <c:v>3998441.9010137077</c:v>
                </c:pt>
                <c:pt idx="78">
                  <c:v>4272257.4844775544</c:v>
                </c:pt>
                <c:pt idx="79">
                  <c:v>4242577.5473004077</c:v>
                </c:pt>
                <c:pt idx="80">
                  <c:v>3814737.89913313</c:v>
                </c:pt>
                <c:pt idx="81">
                  <c:v>3741713.2338587958</c:v>
                </c:pt>
                <c:pt idx="82">
                  <c:v>4088067.3866056092</c:v>
                </c:pt>
                <c:pt idx="83">
                  <c:v>4468686.7925340049</c:v>
                </c:pt>
                <c:pt idx="84">
                  <c:v>4701426.7780371662</c:v>
                </c:pt>
                <c:pt idx="85">
                  <c:v>4586999.0807658946</c:v>
                </c:pt>
                <c:pt idx="86">
                  <c:v>4121601.6973009175</c:v>
                </c:pt>
                <c:pt idx="87">
                  <c:v>3847613.4534037192</c:v>
                </c:pt>
                <c:pt idx="88">
                  <c:v>3617402.5898407707</c:v>
                </c:pt>
                <c:pt idx="89">
                  <c:v>4020074.4695134321</c:v>
                </c:pt>
                <c:pt idx="90">
                  <c:v>4316817.330590684</c:v>
                </c:pt>
                <c:pt idx="91">
                  <c:v>4298601.032220237</c:v>
                </c:pt>
                <c:pt idx="92">
                  <c:v>3839644.361289605</c:v>
                </c:pt>
                <c:pt idx="93">
                  <c:v>3772426.9091093815</c:v>
                </c:pt>
                <c:pt idx="94">
                  <c:v>4243698.1743821166</c:v>
                </c:pt>
                <c:pt idx="95">
                  <c:v>4692804.519731788</c:v>
                </c:pt>
                <c:pt idx="96">
                  <c:v>5028274.9143668581</c:v>
                </c:pt>
                <c:pt idx="97">
                  <c:v>4929033.7710315455</c:v>
                </c:pt>
                <c:pt idx="98">
                  <c:v>4461850.3236926999</c:v>
                </c:pt>
                <c:pt idx="99">
                  <c:v>4123248.8428850006</c:v>
                </c:pt>
                <c:pt idx="100">
                  <c:v>3851499.4667344238</c:v>
                </c:pt>
                <c:pt idx="101">
                  <c:v>4291986.9438654585</c:v>
                </c:pt>
                <c:pt idx="102">
                  <c:v>4602277.7417142671</c:v>
                </c:pt>
                <c:pt idx="103">
                  <c:v>4632894.9988084417</c:v>
                </c:pt>
                <c:pt idx="104">
                  <c:v>4135824.4963284489</c:v>
                </c:pt>
                <c:pt idx="105">
                  <c:v>4075751.2996436991</c:v>
                </c:pt>
                <c:pt idx="106">
                  <c:v>4417936.8564608004</c:v>
                </c:pt>
                <c:pt idx="107">
                  <c:v>4817016.7099819053</c:v>
                </c:pt>
                <c:pt idx="108">
                  <c:v>5038440.5033878312</c:v>
                </c:pt>
                <c:pt idx="109">
                  <c:v>4894534.4005176062</c:v>
                </c:pt>
                <c:pt idx="110">
                  <c:v>4410676.5694599217</c:v>
                </c:pt>
                <c:pt idx="111">
                  <c:v>4087261.6425881805</c:v>
                </c:pt>
                <c:pt idx="112">
                  <c:v>3826231.9903528625</c:v>
                </c:pt>
                <c:pt idx="113">
                  <c:v>4208657.3585589491</c:v>
                </c:pt>
                <c:pt idx="114">
                  <c:v>4510017.8370384146</c:v>
                </c:pt>
                <c:pt idx="115">
                  <c:v>4477211.4529139856</c:v>
                </c:pt>
                <c:pt idx="116">
                  <c:v>4050115.7196381497</c:v>
                </c:pt>
                <c:pt idx="117">
                  <c:v>3990937.2252263599</c:v>
                </c:pt>
                <c:pt idx="118">
                  <c:v>4285033.1414702814</c:v>
                </c:pt>
                <c:pt idx="119">
                  <c:v>4678010.8884783396</c:v>
                </c:pt>
                <c:pt idx="120">
                  <c:v>5061787.9513454391</c:v>
                </c:pt>
                <c:pt idx="121">
                  <c:v>4917881.848475215</c:v>
                </c:pt>
                <c:pt idx="122">
                  <c:v>4433983.1829394596</c:v>
                </c:pt>
                <c:pt idx="123">
                  <c:v>4110609.0905457884</c:v>
                </c:pt>
                <c:pt idx="124">
                  <c:v>3849620.2727885437</c:v>
                </c:pt>
                <c:pt idx="125">
                  <c:v>4232127.3099507745</c:v>
                </c:pt>
                <c:pt idx="126">
                  <c:v>4533651.1263425276</c:v>
                </c:pt>
                <c:pt idx="127">
                  <c:v>4500803.9077400248</c:v>
                </c:pt>
                <c:pt idx="128">
                  <c:v>4073789.8434203332</c:v>
                </c:pt>
                <c:pt idx="129">
                  <c:v>4014652.1834866144</c:v>
                </c:pt>
                <c:pt idx="130">
                  <c:v>4308707.2652524645</c:v>
                </c:pt>
                <c:pt idx="131">
                  <c:v>4701807.5156947374</c:v>
                </c:pt>
                <c:pt idx="132">
                  <c:v>5085641.6582565522</c:v>
                </c:pt>
                <c:pt idx="133">
                  <c:v>4941735.5553863272</c:v>
                </c:pt>
                <c:pt idx="134">
                  <c:v>4457795.8008431122</c:v>
                </c:pt>
                <c:pt idx="135">
                  <c:v>4134462.7974569015</c:v>
                </c:pt>
                <c:pt idx="136">
                  <c:v>3873515.0687071159</c:v>
                </c:pt>
                <c:pt idx="137">
                  <c:v>4256104.2838842673</c:v>
                </c:pt>
                <c:pt idx="138">
                  <c:v>4557792.4563058643</c:v>
                </c:pt>
                <c:pt idx="139">
                  <c:v>4524904.148695902</c:v>
                </c:pt>
                <c:pt idx="140">
                  <c:v>4097972.2623911318</c:v>
                </c:pt>
                <c:pt idx="141">
                  <c:v>4038875.6914648726</c:v>
                </c:pt>
                <c:pt idx="142">
                  <c:v>4332889.6842232635</c:v>
                </c:pt>
                <c:pt idx="143">
                  <c:v>4726113.201687919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7-4804-9260-966B6C02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80928"/>
        <c:axId val="130752512"/>
      </c:lineChart>
      <c:dateAx>
        <c:axId val="1323809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0752512"/>
        <c:crosses val="autoZero"/>
        <c:auto val="1"/>
        <c:lblOffset val="100"/>
        <c:baseTimeUnit val="months"/>
      </c:dateAx>
      <c:valAx>
        <c:axId val="130752512"/>
        <c:scaling>
          <c:orientation val="minMax"/>
          <c:min val="3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3238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363854</xdr:colOff>
      <xdr:row>5</xdr:row>
      <xdr:rowOff>7620</xdr:rowOff>
    </xdr:from>
    <xdr:to>
      <xdr:col>30</xdr:col>
      <xdr:colOff>518160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316230</xdr:colOff>
      <xdr:row>12</xdr:row>
      <xdr:rowOff>97155</xdr:rowOff>
    </xdr:from>
    <xdr:to>
      <xdr:col>36</xdr:col>
      <xdr:colOff>87630</xdr:colOff>
      <xdr:row>29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3</xdr:row>
      <xdr:rowOff>171450</xdr:rowOff>
    </xdr:from>
    <xdr:to>
      <xdr:col>27</xdr:col>
      <xdr:colOff>457200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152400</xdr:colOff>
      <xdr:row>3</xdr:row>
      <xdr:rowOff>171450</xdr:rowOff>
    </xdr:from>
    <xdr:to>
      <xdr:col>31</xdr:col>
      <xdr:colOff>457200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D14D2C0-7F97-44D0-9691-788B433E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17</xdr:row>
      <xdr:rowOff>133350</xdr:rowOff>
    </xdr:from>
    <xdr:to>
      <xdr:col>7</xdr:col>
      <xdr:colOff>685800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36</xdr:row>
      <xdr:rowOff>38100</xdr:rowOff>
    </xdr:from>
    <xdr:to>
      <xdr:col>10</xdr:col>
      <xdr:colOff>428625</xdr:colOff>
      <xdr:row>53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438149</xdr:colOff>
      <xdr:row>17</xdr:row>
      <xdr:rowOff>152400</xdr:rowOff>
    </xdr:from>
    <xdr:to>
      <xdr:col>14</xdr:col>
      <xdr:colOff>742950</xdr:colOff>
      <xdr:row>34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7</xdr:row>
      <xdr:rowOff>95250</xdr:rowOff>
    </xdr:from>
    <xdr:to>
      <xdr:col>31</xdr:col>
      <xdr:colOff>352425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514349</xdr:colOff>
      <xdr:row>13</xdr:row>
      <xdr:rowOff>28574</xdr:rowOff>
    </xdr:from>
    <xdr:to>
      <xdr:col>39</xdr:col>
      <xdr:colOff>447674</xdr:colOff>
      <xdr:row>33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0</xdr:rowOff>
    </xdr:from>
    <xdr:to>
      <xdr:col>8</xdr:col>
      <xdr:colOff>647701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447676</xdr:colOff>
      <xdr:row>34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35DFE2F5-728C-436F-934E-A0E8EA496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6"/>
  <sheetViews>
    <sheetView topLeftCell="P1" workbookViewId="0">
      <pane ySplit="1" topLeftCell="A14" activePane="bottomLeft" state="frozen"/>
      <selection pane="bottomLeft" activeCell="V3" sqref="V3"/>
    </sheetView>
  </sheetViews>
  <sheetFormatPr defaultRowHeight="14.4" x14ac:dyDescent="0.3"/>
  <cols>
    <col min="1" max="1" width="10.33203125" bestFit="1" customWidth="1"/>
    <col min="2" max="2" width="5" style="84" bestFit="1" customWidth="1"/>
    <col min="3" max="3" width="11.21875" bestFit="1" customWidth="1"/>
    <col min="4" max="4" width="13.77734375" style="84" bestFit="1" customWidth="1"/>
    <col min="5" max="5" width="18.21875" style="84" bestFit="1" customWidth="1"/>
    <col min="6" max="6" width="10.21875" bestFit="1" customWidth="1"/>
    <col min="7" max="7" width="13.77734375" style="84" bestFit="1" customWidth="1"/>
    <col min="8" max="8" width="16.44140625" style="84" bestFit="1" customWidth="1"/>
    <col min="9" max="9" width="11.21875" bestFit="1" customWidth="1"/>
    <col min="10" max="10" width="13.77734375" style="84" bestFit="1" customWidth="1"/>
    <col min="11" max="11" width="16.88671875" style="84" bestFit="1" customWidth="1"/>
    <col min="12" max="12" width="11.5546875" bestFit="1" customWidth="1"/>
    <col min="13" max="13" width="13.77734375" style="84" bestFit="1" customWidth="1"/>
    <col min="14" max="14" width="19.88671875" style="84" bestFit="1" customWidth="1"/>
    <col min="15" max="15" width="11.21875" bestFit="1" customWidth="1"/>
    <col min="16" max="16" width="13.77734375" style="84" bestFit="1" customWidth="1"/>
    <col min="17" max="17" width="13.6640625" style="84" bestFit="1" customWidth="1"/>
    <col min="18" max="18" width="10.77734375" bestFit="1" customWidth="1"/>
    <col min="19" max="19" width="7.44140625" bestFit="1" customWidth="1"/>
    <col min="20" max="20" width="7.77734375" bestFit="1" customWidth="1"/>
    <col min="21" max="21" width="10.21875" bestFit="1" customWidth="1"/>
    <col min="22" max="27" width="10.21875" style="84" customWidth="1"/>
    <col min="28" max="28" width="14.5546875" style="5" bestFit="1" customWidth="1"/>
    <col min="29" max="29" width="12.77734375" style="5" bestFit="1" customWidth="1"/>
    <col min="30" max="30" width="13.33203125" style="5" bestFit="1" customWidth="1"/>
    <col min="31" max="31" width="16.21875" style="5" bestFit="1" customWidth="1"/>
    <col min="32" max="32" width="14.21875" style="5" bestFit="1" customWidth="1"/>
    <col min="33" max="33" width="29.77734375" style="5" bestFit="1" customWidth="1"/>
    <col min="34" max="34" width="20.109375" style="5" bestFit="1" customWidth="1"/>
    <col min="35" max="35" width="18.5546875" style="5" bestFit="1" customWidth="1"/>
    <col min="36" max="36" width="24.109375" style="5" bestFit="1" customWidth="1"/>
    <col min="37" max="37" width="11.77734375" bestFit="1" customWidth="1"/>
    <col min="38" max="38" width="11.6640625" bestFit="1" customWidth="1"/>
    <col min="39" max="39" width="11.33203125" bestFit="1" customWidth="1"/>
    <col min="40" max="40" width="9.77734375" style="5" bestFit="1" customWidth="1"/>
    <col min="41" max="41" width="8.109375" bestFit="1" customWidth="1"/>
    <col min="42" max="42" width="11.109375" bestFit="1" customWidth="1"/>
    <col min="43" max="43" width="11" style="5" bestFit="1" customWidth="1"/>
    <col min="44" max="44" width="5.88671875" bestFit="1" customWidth="1"/>
    <col min="45" max="45" width="5" bestFit="1" customWidth="1"/>
    <col min="46" max="46" width="5.6640625" bestFit="1" customWidth="1"/>
    <col min="47" max="58" width="5" bestFit="1" customWidth="1"/>
  </cols>
  <sheetData>
    <row r="1" spans="1:58" x14ac:dyDescent="0.3">
      <c r="A1" t="s">
        <v>21</v>
      </c>
      <c r="B1" s="84" t="s">
        <v>89</v>
      </c>
      <c r="C1" s="5" t="s">
        <v>29</v>
      </c>
      <c r="D1" s="84" t="s">
        <v>158</v>
      </c>
      <c r="E1" s="84" t="s">
        <v>159</v>
      </c>
      <c r="F1" s="5" t="s">
        <v>160</v>
      </c>
      <c r="G1" s="84" t="s">
        <v>158</v>
      </c>
      <c r="H1" s="84" t="s">
        <v>161</v>
      </c>
      <c r="I1" s="5" t="s">
        <v>162</v>
      </c>
      <c r="J1" s="84" t="s">
        <v>158</v>
      </c>
      <c r="K1" s="84" t="s">
        <v>163</v>
      </c>
      <c r="L1" s="5" t="s">
        <v>36</v>
      </c>
      <c r="M1" s="84" t="s">
        <v>158</v>
      </c>
      <c r="N1" s="84" t="s">
        <v>155</v>
      </c>
      <c r="O1" s="5" t="s">
        <v>164</v>
      </c>
      <c r="P1" s="84" t="s">
        <v>158</v>
      </c>
      <c r="Q1" s="84" t="s">
        <v>156</v>
      </c>
      <c r="R1" s="5" t="s">
        <v>165</v>
      </c>
      <c r="S1" s="5" t="s">
        <v>31</v>
      </c>
      <c r="T1" s="5" t="s">
        <v>33</v>
      </c>
      <c r="U1" s="5" t="s">
        <v>35</v>
      </c>
      <c r="V1" s="84" t="s">
        <v>204</v>
      </c>
      <c r="W1" s="84" t="s">
        <v>203</v>
      </c>
      <c r="X1" s="84" t="s">
        <v>205</v>
      </c>
      <c r="Y1" s="84" t="s">
        <v>206</v>
      </c>
      <c r="Z1" s="84" t="s">
        <v>207</v>
      </c>
      <c r="AA1" s="84" t="s">
        <v>208</v>
      </c>
      <c r="AB1" s="5" t="s">
        <v>166</v>
      </c>
      <c r="AC1" s="5" t="s">
        <v>167</v>
      </c>
      <c r="AD1" s="5" t="s">
        <v>168</v>
      </c>
      <c r="AE1" s="5" t="s">
        <v>169</v>
      </c>
      <c r="AF1" s="5" t="s">
        <v>170</v>
      </c>
      <c r="AG1" s="5" t="s">
        <v>171</v>
      </c>
      <c r="AH1" s="5" t="s">
        <v>172</v>
      </c>
      <c r="AI1" s="5" t="s">
        <v>173</v>
      </c>
      <c r="AJ1" s="5" t="s">
        <v>174</v>
      </c>
      <c r="AK1" s="5" t="s">
        <v>133</v>
      </c>
      <c r="AL1" s="5" t="s">
        <v>134</v>
      </c>
      <c r="AM1" s="5" t="s">
        <v>138</v>
      </c>
      <c r="AN1" s="5" t="s">
        <v>137</v>
      </c>
      <c r="AO1" s="5" t="s">
        <v>41</v>
      </c>
      <c r="AP1" s="5" t="s">
        <v>136</v>
      </c>
      <c r="AQ1" s="5" t="s">
        <v>135</v>
      </c>
      <c r="AR1" s="5" t="s">
        <v>42</v>
      </c>
      <c r="AS1" s="5" t="s">
        <v>43</v>
      </c>
      <c r="AT1" t="s">
        <v>75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157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3">
      <c r="A2" s="1">
        <f>Sheet2!A50</f>
        <v>39083</v>
      </c>
      <c r="B2" s="92">
        <f>YEAR(A2)</f>
        <v>2007</v>
      </c>
      <c r="C2" s="2">
        <f>Sheet2!B50</f>
        <v>14570006.6</v>
      </c>
      <c r="D2" s="72">
        <f ca="1">OFFSET('Historic CDM'!$C$94,0,(ROW()-2)/12)/12*1000</f>
        <v>11602.320969908009</v>
      </c>
      <c r="E2" s="72">
        <f ca="1">C2+D2</f>
        <v>14581608.920969907</v>
      </c>
      <c r="F2" s="2">
        <f>Sheet2!C50</f>
        <v>4551370.07</v>
      </c>
      <c r="G2" s="72">
        <f ca="1">OFFSET('Historic CDM'!$C$108,0,(ROW()-2)/12)/12*1000</f>
        <v>4056.0988953729311</v>
      </c>
      <c r="H2" s="72">
        <f ca="1">F2+G2</f>
        <v>4555426.1688953731</v>
      </c>
      <c r="I2" s="2">
        <f>Sheet2!D50</f>
        <v>9301934.1500000004</v>
      </c>
      <c r="J2" s="72">
        <f ca="1">OFFSET('Historic CDM'!$C$122,0,(ROW()-2)/12)/12*1000</f>
        <v>9930.9302443426295</v>
      </c>
      <c r="K2" s="72">
        <f ca="1">I2+J2</f>
        <v>9311865.0802443437</v>
      </c>
      <c r="L2" s="2">
        <f>Sheet2!E50</f>
        <v>7271823.0800000001</v>
      </c>
      <c r="M2" s="72">
        <f ca="1">OFFSET('Historic CDM'!$C$136,0,(ROW()-2)/12)/12*1000</f>
        <v>5396.9659526723135</v>
      </c>
      <c r="N2" s="72">
        <f ca="1">L2+M2</f>
        <v>7277220.0459526721</v>
      </c>
      <c r="O2" s="2">
        <f>Sheet2!F50</f>
        <v>7473074.0999999996</v>
      </c>
      <c r="P2" s="72">
        <f ca="1">OFFSET('Historic CDM'!$C$150,0,(ROW()-2)/12)/12*1000</f>
        <v>8043.2771434057549</v>
      </c>
      <c r="Q2" s="72">
        <f ca="1">O2+P2</f>
        <v>7481117.3771434054</v>
      </c>
      <c r="R2" s="2">
        <f>Sheet2!G50</f>
        <v>333552.49</v>
      </c>
      <c r="S2" s="60">
        <f>Sheet2!H50</f>
        <v>4325</v>
      </c>
      <c r="T2" s="60">
        <f>Sheet2!I50</f>
        <v>43910</v>
      </c>
      <c r="U2" s="60">
        <f>Sheet2!J50</f>
        <v>1318340.3</v>
      </c>
      <c r="V2" s="60">
        <v>25230.57</v>
      </c>
      <c r="W2" s="60">
        <v>16435.009999999998</v>
      </c>
      <c r="X2" s="60">
        <v>13243.25</v>
      </c>
      <c r="Y2" s="60">
        <v>812.08</v>
      </c>
      <c r="Z2" s="60"/>
      <c r="AA2" s="60"/>
      <c r="AB2" s="2">
        <v>15662</v>
      </c>
      <c r="AC2" s="2">
        <v>1878</v>
      </c>
      <c r="AD2" s="2">
        <v>182</v>
      </c>
      <c r="AE2" s="2">
        <v>5</v>
      </c>
      <c r="AF2" s="2">
        <v>1</v>
      </c>
      <c r="AG2" s="2">
        <v>112</v>
      </c>
      <c r="AH2" s="2">
        <v>301</v>
      </c>
      <c r="AI2" s="2">
        <v>4197</v>
      </c>
      <c r="AJ2" s="2">
        <v>0</v>
      </c>
      <c r="AK2" s="2">
        <f>Weather!B122</f>
        <v>655.6</v>
      </c>
      <c r="AL2" s="72">
        <f>Weather!C122</f>
        <v>0</v>
      </c>
      <c r="AM2" s="2">
        <v>31</v>
      </c>
      <c r="AN2" s="2">
        <v>22</v>
      </c>
      <c r="AO2" s="2">
        <f>AR2+AS2</f>
        <v>0</v>
      </c>
      <c r="AP2" s="2">
        <f>Employment!B2</f>
        <v>6454.7</v>
      </c>
      <c r="AQ2" s="72">
        <f>Employment!C2</f>
        <v>254</v>
      </c>
      <c r="AR2" s="2">
        <v>0</v>
      </c>
      <c r="AS2" s="2">
        <v>0</v>
      </c>
      <c r="AT2">
        <v>1</v>
      </c>
      <c r="AU2" s="72">
        <v>1</v>
      </c>
      <c r="AV2" s="72">
        <v>0</v>
      </c>
      <c r="AW2" s="72">
        <v>0</v>
      </c>
      <c r="AX2" s="72">
        <v>0</v>
      </c>
      <c r="AY2" s="72">
        <v>0</v>
      </c>
      <c r="AZ2" s="72">
        <v>0</v>
      </c>
      <c r="BA2" s="72">
        <v>0</v>
      </c>
      <c r="BB2" s="72">
        <v>0</v>
      </c>
      <c r="BC2" s="72">
        <v>0</v>
      </c>
      <c r="BD2" s="72">
        <v>0</v>
      </c>
      <c r="BE2" s="72">
        <v>0</v>
      </c>
      <c r="BF2" s="72">
        <v>0</v>
      </c>
    </row>
    <row r="3" spans="1:58" x14ac:dyDescent="0.3">
      <c r="A3" s="1">
        <f>Sheet2!A51</f>
        <v>39114</v>
      </c>
      <c r="B3" s="92">
        <f t="shared" ref="B3:B66" si="0">YEAR(A3)</f>
        <v>2007</v>
      </c>
      <c r="C3" s="2">
        <f>Sheet2!B51</f>
        <v>14888745</v>
      </c>
      <c r="D3" s="72">
        <f ca="1">OFFSET('Historic CDM'!$C$94,0,(ROW()-2)/12)/12*1000</f>
        <v>11602.320969908009</v>
      </c>
      <c r="E3" s="72">
        <f t="shared" ref="E3:E66" ca="1" si="1">C3+D3</f>
        <v>14900347.320969908</v>
      </c>
      <c r="F3" s="2">
        <f>Sheet2!C51</f>
        <v>5120408.84</v>
      </c>
      <c r="G3" s="72">
        <f ca="1">OFFSET('Historic CDM'!$C$108,0,(ROW()-2)/12)/12*1000</f>
        <v>4056.0988953729311</v>
      </c>
      <c r="H3" s="72">
        <f t="shared" ref="H3:H66" ca="1" si="2">F3+G3</f>
        <v>5124464.9388953727</v>
      </c>
      <c r="I3" s="2">
        <f>Sheet2!D51</f>
        <v>11201030.559999999</v>
      </c>
      <c r="J3" s="72">
        <f ca="1">OFFSET('Historic CDM'!$C$122,0,(ROW()-2)/12)/12*1000</f>
        <v>9930.9302443426295</v>
      </c>
      <c r="K3" s="72">
        <f t="shared" ref="K3:K66" ca="1" si="3">I3+J3</f>
        <v>11210961.490244342</v>
      </c>
      <c r="L3" s="2">
        <f>Sheet2!E51</f>
        <v>7908904.5500000007</v>
      </c>
      <c r="M3" s="72">
        <f ca="1">OFFSET('Historic CDM'!$C$136,0,(ROW()-2)/12)/12*1000</f>
        <v>5396.9659526723135</v>
      </c>
      <c r="N3" s="72">
        <f t="shared" ref="N3:N66" ca="1" si="4">L3+M3</f>
        <v>7914301.5159526728</v>
      </c>
      <c r="O3" s="2">
        <f>Sheet2!F51</f>
        <v>6614409.1299999999</v>
      </c>
      <c r="P3" s="72">
        <f ca="1">OFFSET('Historic CDM'!$C$150,0,(ROW()-2)/12)/12*1000</f>
        <v>8043.2771434057549</v>
      </c>
      <c r="Q3" s="72">
        <f t="shared" ref="Q3:Q66" ca="1" si="5">O3+P3</f>
        <v>6622452.4071434056</v>
      </c>
      <c r="R3" s="2">
        <f>Sheet2!G51</f>
        <v>596501.58000000007</v>
      </c>
      <c r="S3" s="60">
        <f>Sheet2!H51</f>
        <v>4075</v>
      </c>
      <c r="T3" s="60">
        <f>Sheet2!I51</f>
        <v>55413</v>
      </c>
      <c r="U3" s="60">
        <v>1315780</v>
      </c>
      <c r="V3" s="60">
        <v>29405.739999999998</v>
      </c>
      <c r="W3" s="60">
        <v>17300.060000000001</v>
      </c>
      <c r="X3" s="60">
        <v>13912.54</v>
      </c>
      <c r="Y3" s="60">
        <v>812.07999999999993</v>
      </c>
      <c r="Z3" s="60"/>
      <c r="AA3" s="60"/>
      <c r="AB3" s="2">
        <v>15666</v>
      </c>
      <c r="AC3" s="2">
        <v>1879</v>
      </c>
      <c r="AD3" s="2">
        <v>182</v>
      </c>
      <c r="AE3" s="2">
        <v>5</v>
      </c>
      <c r="AF3" s="2">
        <v>1</v>
      </c>
      <c r="AG3" s="2">
        <v>112</v>
      </c>
      <c r="AH3" s="2">
        <v>301</v>
      </c>
      <c r="AI3" s="2">
        <v>4197</v>
      </c>
      <c r="AJ3" s="2">
        <v>0</v>
      </c>
      <c r="AK3" s="72">
        <f>Weather!B123</f>
        <v>758.7</v>
      </c>
      <c r="AL3" s="72">
        <f>Weather!C123</f>
        <v>0</v>
      </c>
      <c r="AM3" s="2">
        <v>28</v>
      </c>
      <c r="AN3" s="2">
        <v>20</v>
      </c>
      <c r="AO3" s="72">
        <f t="shared" ref="AO3:AO66" si="6">AR3+AS3</f>
        <v>0</v>
      </c>
      <c r="AP3" s="72">
        <f>Employment!B3</f>
        <v>6435.8</v>
      </c>
      <c r="AQ3" s="72">
        <f>Employment!C3</f>
        <v>253.3</v>
      </c>
      <c r="AR3" s="2">
        <v>0</v>
      </c>
      <c r="AS3" s="2">
        <v>0</v>
      </c>
      <c r="AT3">
        <v>2</v>
      </c>
      <c r="AU3" s="72">
        <v>0</v>
      </c>
      <c r="AV3" s="72">
        <v>1</v>
      </c>
      <c r="AW3" s="72">
        <v>0</v>
      </c>
      <c r="AX3" s="72">
        <v>0</v>
      </c>
      <c r="AY3" s="72">
        <v>0</v>
      </c>
      <c r="AZ3" s="72">
        <v>0</v>
      </c>
      <c r="BA3" s="72">
        <v>0</v>
      </c>
      <c r="BB3" s="72">
        <v>0</v>
      </c>
      <c r="BC3" s="72">
        <v>0</v>
      </c>
      <c r="BD3" s="72">
        <v>0</v>
      </c>
      <c r="BE3" s="72">
        <v>0</v>
      </c>
      <c r="BF3" s="72">
        <v>0</v>
      </c>
    </row>
    <row r="4" spans="1:58" x14ac:dyDescent="0.3">
      <c r="A4" s="1">
        <f>Sheet2!A52</f>
        <v>39142</v>
      </c>
      <c r="B4" s="92">
        <f t="shared" si="0"/>
        <v>2007</v>
      </c>
      <c r="C4" s="2">
        <f>Sheet2!B52</f>
        <v>13254840.999999998</v>
      </c>
      <c r="D4" s="72">
        <f ca="1">OFFSET('Historic CDM'!$C$94,0,(ROW()-2)/12)/12*1000</f>
        <v>11602.320969908009</v>
      </c>
      <c r="E4" s="72">
        <f t="shared" ca="1" si="1"/>
        <v>13266443.320969906</v>
      </c>
      <c r="F4" s="2">
        <f>Sheet2!C52</f>
        <v>4399997.75</v>
      </c>
      <c r="G4" s="72">
        <f ca="1">OFFSET('Historic CDM'!$C$108,0,(ROW()-2)/12)/12*1000</f>
        <v>4056.0988953729311</v>
      </c>
      <c r="H4" s="72">
        <f t="shared" ca="1" si="2"/>
        <v>4404053.8488953728</v>
      </c>
      <c r="I4" s="2">
        <f>Sheet2!D52</f>
        <v>9810527.4300000016</v>
      </c>
      <c r="J4" s="72">
        <f ca="1">OFFSET('Historic CDM'!$C$122,0,(ROW()-2)/12)/12*1000</f>
        <v>9930.9302443426295</v>
      </c>
      <c r="K4" s="72">
        <f t="shared" ca="1" si="3"/>
        <v>9820458.3602443449</v>
      </c>
      <c r="L4" s="2">
        <f>Sheet2!E52</f>
        <v>4399824.68</v>
      </c>
      <c r="M4" s="72">
        <f ca="1">OFFSET('Historic CDM'!$C$136,0,(ROW()-2)/12)/12*1000</f>
        <v>5396.9659526723135</v>
      </c>
      <c r="N4" s="72">
        <f t="shared" ca="1" si="4"/>
        <v>4405221.6459526718</v>
      </c>
      <c r="O4" s="2">
        <f>Sheet2!F52</f>
        <v>6914475.6200000001</v>
      </c>
      <c r="P4" s="72">
        <f ca="1">OFFSET('Historic CDM'!$C$150,0,(ROW()-2)/12)/12*1000</f>
        <v>8043.2771434057549</v>
      </c>
      <c r="Q4" s="72">
        <f t="shared" ca="1" si="5"/>
        <v>6922518.8971434059</v>
      </c>
      <c r="R4" s="2">
        <f>Sheet2!G52</f>
        <v>316691.77</v>
      </c>
      <c r="S4" s="60">
        <f>Sheet2!H52</f>
        <v>4387</v>
      </c>
      <c r="T4" s="60">
        <f>Sheet2!I52</f>
        <v>47053</v>
      </c>
      <c r="U4" s="60">
        <f>Sheet2!J52-300000</f>
        <v>1309279.5999999999</v>
      </c>
      <c r="V4" s="60">
        <v>30232.190000000002</v>
      </c>
      <c r="W4" s="60">
        <v>16440.47</v>
      </c>
      <c r="X4" s="60">
        <v>12824.37</v>
      </c>
      <c r="Y4" s="60">
        <v>1482.1000000000001</v>
      </c>
      <c r="Z4" s="60"/>
      <c r="AA4" s="60"/>
      <c r="AB4" s="2">
        <v>15677</v>
      </c>
      <c r="AC4" s="2">
        <v>1880</v>
      </c>
      <c r="AD4" s="2">
        <v>182</v>
      </c>
      <c r="AE4" s="2">
        <v>5</v>
      </c>
      <c r="AF4" s="2">
        <v>1</v>
      </c>
      <c r="AG4" s="2">
        <v>112</v>
      </c>
      <c r="AH4" s="2">
        <v>301</v>
      </c>
      <c r="AI4" s="2">
        <v>4197</v>
      </c>
      <c r="AJ4" s="2">
        <v>0</v>
      </c>
      <c r="AK4" s="72">
        <f>Weather!B124</f>
        <v>527</v>
      </c>
      <c r="AL4" s="72">
        <f>Weather!C124</f>
        <v>0</v>
      </c>
      <c r="AM4" s="2">
        <v>31</v>
      </c>
      <c r="AN4" s="2">
        <v>22</v>
      </c>
      <c r="AO4" s="72">
        <f t="shared" si="6"/>
        <v>1</v>
      </c>
      <c r="AP4" s="72">
        <f>Employment!B4</f>
        <v>6409.9</v>
      </c>
      <c r="AQ4" s="72">
        <f>Employment!C4</f>
        <v>250.9</v>
      </c>
      <c r="AR4" s="2">
        <v>1</v>
      </c>
      <c r="AS4" s="2">
        <v>0</v>
      </c>
      <c r="AT4">
        <f>AT3+1</f>
        <v>3</v>
      </c>
      <c r="AU4" s="72">
        <v>0</v>
      </c>
      <c r="AV4" s="72">
        <v>0</v>
      </c>
      <c r="AW4" s="72">
        <v>1</v>
      </c>
      <c r="AX4" s="72">
        <v>0</v>
      </c>
      <c r="AY4" s="72">
        <v>0</v>
      </c>
      <c r="AZ4" s="72">
        <v>0</v>
      </c>
      <c r="BA4" s="72">
        <v>0</v>
      </c>
      <c r="BB4" s="72">
        <v>0</v>
      </c>
      <c r="BC4" s="72">
        <v>0</v>
      </c>
      <c r="BD4" s="72">
        <v>0</v>
      </c>
      <c r="BE4" s="72">
        <v>0</v>
      </c>
      <c r="BF4" s="72">
        <v>0</v>
      </c>
    </row>
    <row r="5" spans="1:58" x14ac:dyDescent="0.3">
      <c r="A5" s="1">
        <f>Sheet2!A53</f>
        <v>39173</v>
      </c>
      <c r="B5" s="92">
        <f t="shared" si="0"/>
        <v>2007</v>
      </c>
      <c r="C5" s="2">
        <f>Sheet2!B53</f>
        <v>11356300</v>
      </c>
      <c r="D5" s="72">
        <f ca="1">OFFSET('Historic CDM'!$C$94,0,(ROW()-2)/12)/12*1000</f>
        <v>11602.320969908009</v>
      </c>
      <c r="E5" s="72">
        <f t="shared" ca="1" si="1"/>
        <v>11367902.320969908</v>
      </c>
      <c r="F5" s="2">
        <f>Sheet2!C53</f>
        <v>4341235.1899999995</v>
      </c>
      <c r="G5" s="72">
        <f ca="1">OFFSET('Historic CDM'!$C$108,0,(ROW()-2)/12)/12*1000</f>
        <v>4056.0988953729311</v>
      </c>
      <c r="H5" s="72">
        <f t="shared" ca="1" si="2"/>
        <v>4345291.2888953723</v>
      </c>
      <c r="I5" s="2">
        <f>Sheet2!D53</f>
        <v>11500074.82</v>
      </c>
      <c r="J5" s="72">
        <f ca="1">OFFSET('Historic CDM'!$C$122,0,(ROW()-2)/12)/12*1000</f>
        <v>9930.9302443426295</v>
      </c>
      <c r="K5" s="72">
        <f t="shared" ca="1" si="3"/>
        <v>11510005.750244344</v>
      </c>
      <c r="L5" s="2">
        <f>Sheet2!E53</f>
        <v>8414010.7300000004</v>
      </c>
      <c r="M5" s="72">
        <f ca="1">OFFSET('Historic CDM'!$C$136,0,(ROW()-2)/12)/12*1000</f>
        <v>5396.9659526723135</v>
      </c>
      <c r="N5" s="72">
        <f t="shared" ca="1" si="4"/>
        <v>8419407.6959526725</v>
      </c>
      <c r="O5" s="2">
        <f>Sheet2!F53</f>
        <v>6765942.96</v>
      </c>
      <c r="P5" s="72">
        <f ca="1">OFFSET('Historic CDM'!$C$150,0,(ROW()-2)/12)/12*1000</f>
        <v>8043.2771434057549</v>
      </c>
      <c r="Q5" s="72">
        <f t="shared" ca="1" si="5"/>
        <v>6773986.2371434057</v>
      </c>
      <c r="R5" s="2">
        <f>Sheet2!G53</f>
        <v>301359.46000000002</v>
      </c>
      <c r="S5" s="60">
        <f>Sheet2!H53</f>
        <v>4407</v>
      </c>
      <c r="T5" s="60">
        <f>Sheet2!I53</f>
        <v>54145</v>
      </c>
      <c r="U5" s="60">
        <f>Sheet2!J53</f>
        <v>1417922.4</v>
      </c>
      <c r="V5" s="60">
        <v>25294.32</v>
      </c>
      <c r="W5" s="60">
        <v>9275.4</v>
      </c>
      <c r="X5" s="60">
        <v>13107.3</v>
      </c>
      <c r="Y5" s="60">
        <v>879.12</v>
      </c>
      <c r="Z5" s="60"/>
      <c r="AA5" s="60">
        <v>3387.4</v>
      </c>
      <c r="AB5" s="2">
        <v>15686</v>
      </c>
      <c r="AC5" s="2">
        <v>1883</v>
      </c>
      <c r="AD5" s="2">
        <v>181</v>
      </c>
      <c r="AE5" s="2">
        <v>5</v>
      </c>
      <c r="AF5" s="2">
        <v>1</v>
      </c>
      <c r="AG5" s="2">
        <v>112</v>
      </c>
      <c r="AH5" s="2">
        <v>301</v>
      </c>
      <c r="AI5" s="2">
        <v>4197</v>
      </c>
      <c r="AJ5" s="2">
        <v>0</v>
      </c>
      <c r="AK5" s="72">
        <f>Weather!B125</f>
        <v>371.1</v>
      </c>
      <c r="AL5" s="72">
        <f>Weather!C125</f>
        <v>0</v>
      </c>
      <c r="AM5" s="2">
        <v>30</v>
      </c>
      <c r="AN5" s="2">
        <v>19</v>
      </c>
      <c r="AO5" s="72">
        <f t="shared" si="6"/>
        <v>1</v>
      </c>
      <c r="AP5" s="72">
        <f>Employment!B5</f>
        <v>6427.5</v>
      </c>
      <c r="AQ5" s="72">
        <f>Employment!C5</f>
        <v>249.3</v>
      </c>
      <c r="AR5" s="2">
        <v>1</v>
      </c>
      <c r="AS5" s="2">
        <v>0</v>
      </c>
      <c r="AT5" s="5">
        <f t="shared" ref="AT5:AT68" si="7">AT4+1</f>
        <v>4</v>
      </c>
      <c r="AU5" s="72">
        <v>0</v>
      </c>
      <c r="AV5" s="72">
        <v>0</v>
      </c>
      <c r="AW5" s="72">
        <v>0</v>
      </c>
      <c r="AX5" s="72">
        <v>1</v>
      </c>
      <c r="AY5" s="72">
        <v>0</v>
      </c>
      <c r="AZ5" s="72">
        <v>0</v>
      </c>
      <c r="BA5" s="72">
        <v>0</v>
      </c>
      <c r="BB5" s="72">
        <v>0</v>
      </c>
      <c r="BC5" s="72">
        <v>0</v>
      </c>
      <c r="BD5" s="72">
        <v>0</v>
      </c>
      <c r="BE5" s="72">
        <v>0</v>
      </c>
      <c r="BF5" s="72">
        <v>0</v>
      </c>
    </row>
    <row r="6" spans="1:58" x14ac:dyDescent="0.3">
      <c r="A6" s="1">
        <f>Sheet2!A54</f>
        <v>39203</v>
      </c>
      <c r="B6" s="92">
        <f t="shared" si="0"/>
        <v>2007</v>
      </c>
      <c r="C6" s="2">
        <f>Sheet2!B54</f>
        <v>10560117</v>
      </c>
      <c r="D6" s="72">
        <f ca="1">OFFSET('Historic CDM'!$C$94,0,(ROW()-2)/12)/12*1000</f>
        <v>11602.320969908009</v>
      </c>
      <c r="E6" s="72">
        <f t="shared" ca="1" si="1"/>
        <v>10571719.320969908</v>
      </c>
      <c r="F6" s="2">
        <f>Sheet2!C54</f>
        <v>4007019.49</v>
      </c>
      <c r="G6" s="72">
        <f ca="1">OFFSET('Historic CDM'!$C$108,0,(ROW()-2)/12)/12*1000</f>
        <v>4056.0988953729311</v>
      </c>
      <c r="H6" s="72">
        <f t="shared" ca="1" si="2"/>
        <v>4011075.588895373</v>
      </c>
      <c r="I6" s="2">
        <f>Sheet2!D54</f>
        <v>12795762.370000001</v>
      </c>
      <c r="J6" s="72">
        <f ca="1">OFFSET('Historic CDM'!$C$122,0,(ROW()-2)/12)/12*1000</f>
        <v>9930.9302443426295</v>
      </c>
      <c r="K6" s="72">
        <f t="shared" ca="1" si="3"/>
        <v>12805693.300244344</v>
      </c>
      <c r="L6" s="2">
        <f>Sheet2!E54</f>
        <v>8164629.3499999996</v>
      </c>
      <c r="M6" s="72">
        <f ca="1">OFFSET('Historic CDM'!$C$136,0,(ROW()-2)/12)/12*1000</f>
        <v>5396.9659526723135</v>
      </c>
      <c r="N6" s="72">
        <f t="shared" ca="1" si="4"/>
        <v>8170026.3159526717</v>
      </c>
      <c r="O6" s="2">
        <f>Sheet2!F54</f>
        <v>10968279.75</v>
      </c>
      <c r="P6" s="72">
        <f ca="1">OFFSET('Historic CDM'!$C$150,0,(ROW()-2)/12)/12*1000</f>
        <v>8043.2771434057549</v>
      </c>
      <c r="Q6" s="72">
        <f t="shared" ca="1" si="5"/>
        <v>10976323.027143406</v>
      </c>
      <c r="R6" s="2">
        <f>Sheet2!G54</f>
        <v>291896.86</v>
      </c>
      <c r="S6" s="2">
        <f>Sheet2!H54</f>
        <v>4289</v>
      </c>
      <c r="T6" s="60">
        <f>Sheet2!I54</f>
        <v>43699</v>
      </c>
      <c r="U6" s="60">
        <f>Sheet2!J54</f>
        <v>1306635.1000000001</v>
      </c>
      <c r="V6" s="60">
        <v>33072.799999999996</v>
      </c>
      <c r="W6" s="60">
        <v>18184.55</v>
      </c>
      <c r="X6" s="60">
        <v>13449.46</v>
      </c>
      <c r="Y6" s="60">
        <v>964.21</v>
      </c>
      <c r="Z6" s="60"/>
      <c r="AA6" s="60">
        <v>2832.7000000000003</v>
      </c>
      <c r="AB6" s="2">
        <v>15701</v>
      </c>
      <c r="AC6" s="2">
        <v>1883</v>
      </c>
      <c r="AD6" s="2">
        <v>181</v>
      </c>
      <c r="AE6" s="2">
        <v>5</v>
      </c>
      <c r="AF6" s="2">
        <v>1</v>
      </c>
      <c r="AG6" s="2">
        <v>112</v>
      </c>
      <c r="AH6" s="2">
        <v>301</v>
      </c>
      <c r="AI6" s="2">
        <v>4197</v>
      </c>
      <c r="AJ6" s="2">
        <v>3</v>
      </c>
      <c r="AK6" s="72">
        <f>Weather!B126</f>
        <v>131.9</v>
      </c>
      <c r="AL6" s="72">
        <f>Weather!C126</f>
        <v>22.7</v>
      </c>
      <c r="AM6" s="2">
        <v>31</v>
      </c>
      <c r="AN6" s="2">
        <v>22</v>
      </c>
      <c r="AO6" s="72">
        <f t="shared" si="6"/>
        <v>1</v>
      </c>
      <c r="AP6" s="72">
        <f>Employment!B6</f>
        <v>6484.1</v>
      </c>
      <c r="AQ6" s="72">
        <f>Employment!C6</f>
        <v>248.9</v>
      </c>
      <c r="AR6" s="2">
        <v>1</v>
      </c>
      <c r="AS6" s="2">
        <v>0</v>
      </c>
      <c r="AT6" s="5">
        <f t="shared" si="7"/>
        <v>5</v>
      </c>
      <c r="AU6" s="72">
        <v>0</v>
      </c>
      <c r="AV6" s="72">
        <v>0</v>
      </c>
      <c r="AW6" s="72">
        <v>0</v>
      </c>
      <c r="AX6" s="72">
        <v>0</v>
      </c>
      <c r="AY6" s="72">
        <v>1</v>
      </c>
      <c r="AZ6" s="72">
        <v>0</v>
      </c>
      <c r="BA6" s="72">
        <v>0</v>
      </c>
      <c r="BB6" s="72">
        <v>0</v>
      </c>
      <c r="BC6" s="72">
        <v>0</v>
      </c>
      <c r="BD6" s="72">
        <v>0</v>
      </c>
      <c r="BE6" s="72">
        <v>0</v>
      </c>
      <c r="BF6" s="72">
        <v>0</v>
      </c>
    </row>
    <row r="7" spans="1:58" x14ac:dyDescent="0.3">
      <c r="A7" s="1">
        <f>Sheet2!A55</f>
        <v>39234</v>
      </c>
      <c r="B7" s="92">
        <f t="shared" si="0"/>
        <v>2007</v>
      </c>
      <c r="C7" s="2">
        <f>Sheet2!B55</f>
        <v>12196801</v>
      </c>
      <c r="D7" s="72">
        <f ca="1">OFFSET('Historic CDM'!$C$94,0,(ROW()-2)/12)/12*1000</f>
        <v>11602.320969908009</v>
      </c>
      <c r="E7" s="72">
        <f t="shared" ca="1" si="1"/>
        <v>12208403.320969908</v>
      </c>
      <c r="F7" s="2">
        <f>Sheet2!C55</f>
        <v>4297146.54</v>
      </c>
      <c r="G7" s="72">
        <f ca="1">OFFSET('Historic CDM'!$C$108,0,(ROW()-2)/12)/12*1000</f>
        <v>4056.0988953729311</v>
      </c>
      <c r="H7" s="72">
        <f t="shared" ca="1" si="2"/>
        <v>4301202.6388953729</v>
      </c>
      <c r="I7" s="2">
        <f>Sheet2!D55</f>
        <v>10519544.48</v>
      </c>
      <c r="J7" s="72">
        <f ca="1">OFFSET('Historic CDM'!$C$122,0,(ROW()-2)/12)/12*1000</f>
        <v>9930.9302443426295</v>
      </c>
      <c r="K7" s="72">
        <f t="shared" ca="1" si="3"/>
        <v>10529475.410244344</v>
      </c>
      <c r="L7" s="2">
        <f>Sheet2!E55</f>
        <v>5372134.5600000005</v>
      </c>
      <c r="M7" s="72">
        <f ca="1">OFFSET('Historic CDM'!$C$136,0,(ROW()-2)/12)/12*1000</f>
        <v>5396.9659526723135</v>
      </c>
      <c r="N7" s="72">
        <f t="shared" ca="1" si="4"/>
        <v>5377531.5259526726</v>
      </c>
      <c r="O7" s="2">
        <f>Sheet2!F55</f>
        <v>6043355.2599999998</v>
      </c>
      <c r="P7" s="72">
        <f ca="1">OFFSET('Historic CDM'!$C$150,0,(ROW()-2)/12)/12*1000</f>
        <v>8043.2771434057549</v>
      </c>
      <c r="Q7" s="72">
        <f t="shared" ca="1" si="5"/>
        <v>6051398.5371434055</v>
      </c>
      <c r="R7" s="2">
        <f>Sheet2!G55</f>
        <v>239177.89</v>
      </c>
      <c r="S7" s="2">
        <f>Sheet2!H55</f>
        <v>4229.9400000000005</v>
      </c>
      <c r="T7" s="60">
        <f>Sheet2!I55</f>
        <v>38999</v>
      </c>
      <c r="U7" s="2">
        <f>Sheet2!J55</f>
        <v>1424457.9</v>
      </c>
      <c r="V7" s="72">
        <v>33454.07</v>
      </c>
      <c r="W7" s="72">
        <v>16588.559999999998</v>
      </c>
      <c r="X7" s="72">
        <v>13769.7</v>
      </c>
      <c r="Y7" s="72">
        <v>964.1</v>
      </c>
      <c r="Z7" s="72"/>
      <c r="AA7" s="72">
        <v>2751.3</v>
      </c>
      <c r="AB7" s="2">
        <v>15711</v>
      </c>
      <c r="AC7" s="2">
        <v>1882</v>
      </c>
      <c r="AD7" s="2">
        <v>182</v>
      </c>
      <c r="AE7" s="2">
        <v>5</v>
      </c>
      <c r="AF7" s="2">
        <v>1</v>
      </c>
      <c r="AG7" s="2">
        <v>112</v>
      </c>
      <c r="AH7" s="2">
        <v>301</v>
      </c>
      <c r="AI7" s="2">
        <v>4197</v>
      </c>
      <c r="AJ7" s="2">
        <v>3</v>
      </c>
      <c r="AK7" s="72">
        <f>Weather!B127</f>
        <v>23.2</v>
      </c>
      <c r="AL7" s="72">
        <f>Weather!C127</f>
        <v>70.2</v>
      </c>
      <c r="AM7" s="2">
        <v>30</v>
      </c>
      <c r="AN7" s="2">
        <v>21</v>
      </c>
      <c r="AO7" s="72">
        <f t="shared" si="6"/>
        <v>0</v>
      </c>
      <c r="AP7" s="72">
        <f>Employment!B7</f>
        <v>6557.6</v>
      </c>
      <c r="AQ7" s="72">
        <f>Employment!C7</f>
        <v>250.2</v>
      </c>
      <c r="AR7" s="2">
        <v>0</v>
      </c>
      <c r="AS7" s="2">
        <v>0</v>
      </c>
      <c r="AT7" s="5">
        <f t="shared" si="7"/>
        <v>6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1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</row>
    <row r="8" spans="1:58" x14ac:dyDescent="0.3">
      <c r="A8" s="1">
        <f>Sheet2!A56</f>
        <v>39264</v>
      </c>
      <c r="B8" s="92">
        <f t="shared" si="0"/>
        <v>2007</v>
      </c>
      <c r="C8" s="2">
        <f>Sheet2!B56</f>
        <v>12672844</v>
      </c>
      <c r="D8" s="72">
        <f ca="1">OFFSET('Historic CDM'!$C$94,0,(ROW()-2)/12)/12*1000</f>
        <v>11602.320969908009</v>
      </c>
      <c r="E8" s="72">
        <f t="shared" ca="1" si="1"/>
        <v>12684446.320969908</v>
      </c>
      <c r="F8" s="2">
        <f>Sheet2!C56</f>
        <v>4462181.9800000004</v>
      </c>
      <c r="G8" s="72">
        <f ca="1">OFFSET('Historic CDM'!$C$108,0,(ROW()-2)/12)/12*1000</f>
        <v>4056.0988953729311</v>
      </c>
      <c r="H8" s="72">
        <f t="shared" ca="1" si="2"/>
        <v>4466238.0788953733</v>
      </c>
      <c r="I8" s="2">
        <f>Sheet2!D56</f>
        <v>10765772.560000001</v>
      </c>
      <c r="J8" s="72">
        <f ca="1">OFFSET('Historic CDM'!$C$122,0,(ROW()-2)/12)/12*1000</f>
        <v>9930.9302443426295</v>
      </c>
      <c r="K8" s="72">
        <f t="shared" ca="1" si="3"/>
        <v>10775703.490244344</v>
      </c>
      <c r="L8" s="2">
        <f>Sheet2!E56</f>
        <v>7331509.4099999992</v>
      </c>
      <c r="M8" s="72">
        <f ca="1">OFFSET('Historic CDM'!$C$136,0,(ROW()-2)/12)/12*1000</f>
        <v>5396.9659526723135</v>
      </c>
      <c r="N8" s="72">
        <f t="shared" ca="1" si="4"/>
        <v>7336906.3759526713</v>
      </c>
      <c r="O8" s="2">
        <f>Sheet2!F56</f>
        <v>8074530.0700000003</v>
      </c>
      <c r="P8" s="72">
        <f ca="1">OFFSET('Historic CDM'!$C$150,0,(ROW()-2)/12)/12*1000</f>
        <v>8043.2771434057549</v>
      </c>
      <c r="Q8" s="72">
        <f t="shared" ca="1" si="5"/>
        <v>8082573.347143406</v>
      </c>
      <c r="R8" s="2">
        <f>Sheet2!G56</f>
        <v>282367.7</v>
      </c>
      <c r="S8" s="2">
        <f>Sheet2!H56</f>
        <v>4232.88</v>
      </c>
      <c r="T8" s="2">
        <f>Sheet2!I56</f>
        <v>39725</v>
      </c>
      <c r="U8" s="2">
        <f>Sheet2!J56</f>
        <v>1481509.8</v>
      </c>
      <c r="V8" s="72">
        <v>30629.410000000003</v>
      </c>
      <c r="W8" s="72">
        <v>12188.230000000001</v>
      </c>
      <c r="X8" s="72">
        <v>13841.77</v>
      </c>
      <c r="Y8" s="72">
        <v>880.6</v>
      </c>
      <c r="Z8" s="72"/>
      <c r="AA8" s="72">
        <v>3295</v>
      </c>
      <c r="AB8" s="2">
        <v>15719</v>
      </c>
      <c r="AC8" s="2">
        <v>1889</v>
      </c>
      <c r="AD8" s="2">
        <v>183</v>
      </c>
      <c r="AE8" s="2">
        <v>5</v>
      </c>
      <c r="AF8" s="2">
        <v>1</v>
      </c>
      <c r="AG8" s="2">
        <v>112</v>
      </c>
      <c r="AH8" s="2">
        <v>301</v>
      </c>
      <c r="AI8" s="2">
        <v>4197</v>
      </c>
      <c r="AJ8" s="2">
        <v>3</v>
      </c>
      <c r="AK8" s="72">
        <f>Weather!B128</f>
        <v>11.3</v>
      </c>
      <c r="AL8" s="72">
        <f>Weather!C128</f>
        <v>71.599999999999994</v>
      </c>
      <c r="AM8" s="2">
        <v>31</v>
      </c>
      <c r="AN8" s="2">
        <v>21</v>
      </c>
      <c r="AO8" s="72">
        <f t="shared" si="6"/>
        <v>0</v>
      </c>
      <c r="AP8" s="72">
        <f>Employment!B8</f>
        <v>6623.6</v>
      </c>
      <c r="AQ8" s="72">
        <f>Employment!C8</f>
        <v>254.9</v>
      </c>
      <c r="AR8" s="2">
        <v>0</v>
      </c>
      <c r="AS8" s="2">
        <v>0</v>
      </c>
      <c r="AT8" s="5">
        <f t="shared" si="7"/>
        <v>7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1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</row>
    <row r="9" spans="1:58" x14ac:dyDescent="0.3">
      <c r="A9" s="1">
        <f>Sheet2!A57</f>
        <v>39295</v>
      </c>
      <c r="B9" s="92">
        <f t="shared" si="0"/>
        <v>2007</v>
      </c>
      <c r="C9" s="2">
        <f>Sheet2!B57</f>
        <v>12040944</v>
      </c>
      <c r="D9" s="72">
        <f ca="1">OFFSET('Historic CDM'!$C$94,0,(ROW()-2)/12)/12*1000</f>
        <v>11602.320969908009</v>
      </c>
      <c r="E9" s="72">
        <f t="shared" ca="1" si="1"/>
        <v>12052546.320969908</v>
      </c>
      <c r="F9" s="2">
        <f>Sheet2!C57</f>
        <v>3946060.3</v>
      </c>
      <c r="G9" s="72">
        <f ca="1">OFFSET('Historic CDM'!$C$108,0,(ROW()-2)/12)/12*1000</f>
        <v>4056.0988953729311</v>
      </c>
      <c r="H9" s="72">
        <f t="shared" ca="1" si="2"/>
        <v>3950116.3988953726</v>
      </c>
      <c r="I9" s="2">
        <f>Sheet2!D57</f>
        <v>10389502.199999999</v>
      </c>
      <c r="J9" s="72">
        <f ca="1">OFFSET('Historic CDM'!$C$122,0,(ROW()-2)/12)/12*1000</f>
        <v>9930.9302443426295</v>
      </c>
      <c r="K9" s="72">
        <f t="shared" ca="1" si="3"/>
        <v>10399433.130244343</v>
      </c>
      <c r="L9" s="2">
        <f>Sheet2!E57</f>
        <v>6262610.1899999995</v>
      </c>
      <c r="M9" s="72">
        <f ca="1">OFFSET('Historic CDM'!$C$136,0,(ROW()-2)/12)/12*1000</f>
        <v>5396.9659526723135</v>
      </c>
      <c r="N9" s="72">
        <f t="shared" ca="1" si="4"/>
        <v>6268007.1559526715</v>
      </c>
      <c r="O9" s="2">
        <f>Sheet2!F57</f>
        <v>7580525.8899999997</v>
      </c>
      <c r="P9" s="72">
        <f ca="1">OFFSET('Historic CDM'!$C$150,0,(ROW()-2)/12)/12*1000</f>
        <v>8043.2771434057549</v>
      </c>
      <c r="Q9" s="72">
        <f t="shared" ca="1" si="5"/>
        <v>7588569.1671434054</v>
      </c>
      <c r="R9" s="2">
        <f>Sheet2!G57</f>
        <v>233226.56</v>
      </c>
      <c r="S9" s="2">
        <f>Sheet2!H57</f>
        <v>3931.6800000000003</v>
      </c>
      <c r="T9" s="2">
        <f>Sheet2!I57</f>
        <v>39695</v>
      </c>
      <c r="U9" s="2">
        <f>Sheet2!J57</f>
        <v>1613818.2</v>
      </c>
      <c r="V9" s="72">
        <v>29644.84</v>
      </c>
      <c r="W9" s="72">
        <v>16449.329999999998</v>
      </c>
      <c r="X9" s="72">
        <v>14197.61</v>
      </c>
      <c r="Y9" s="72">
        <v>965.57999999999993</v>
      </c>
      <c r="Z9" s="72"/>
      <c r="AA9" s="72">
        <v>3490.4</v>
      </c>
      <c r="AB9" s="2">
        <v>15734</v>
      </c>
      <c r="AC9" s="2">
        <v>1890</v>
      </c>
      <c r="AD9" s="2">
        <v>183</v>
      </c>
      <c r="AE9" s="2">
        <v>5</v>
      </c>
      <c r="AF9" s="2">
        <v>1</v>
      </c>
      <c r="AG9" s="2">
        <v>113</v>
      </c>
      <c r="AH9" s="2">
        <v>301</v>
      </c>
      <c r="AI9" s="2">
        <v>4197</v>
      </c>
      <c r="AJ9" s="2">
        <v>3</v>
      </c>
      <c r="AK9" s="72">
        <f>Weather!B129</f>
        <v>11.5</v>
      </c>
      <c r="AL9" s="72">
        <f>Weather!C129</f>
        <v>89.1</v>
      </c>
      <c r="AM9" s="2">
        <v>31</v>
      </c>
      <c r="AN9" s="2">
        <v>22</v>
      </c>
      <c r="AO9" s="72">
        <f t="shared" si="6"/>
        <v>0</v>
      </c>
      <c r="AP9" s="72">
        <f>Employment!B9</f>
        <v>6646.3</v>
      </c>
      <c r="AQ9" s="72">
        <f>Employment!C9</f>
        <v>257.8</v>
      </c>
      <c r="AR9" s="2">
        <v>0</v>
      </c>
      <c r="AS9" s="2">
        <v>0</v>
      </c>
      <c r="AT9" s="5">
        <f t="shared" si="7"/>
        <v>8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1</v>
      </c>
      <c r="BC9" s="72">
        <v>0</v>
      </c>
      <c r="BD9" s="72">
        <v>0</v>
      </c>
      <c r="BE9" s="72">
        <v>0</v>
      </c>
      <c r="BF9" s="72">
        <v>0</v>
      </c>
    </row>
    <row r="10" spans="1:58" x14ac:dyDescent="0.3">
      <c r="A10" s="1">
        <f>Sheet2!A58</f>
        <v>39326</v>
      </c>
      <c r="B10" s="92">
        <f t="shared" si="0"/>
        <v>2007</v>
      </c>
      <c r="C10" s="2">
        <f>Sheet2!B58</f>
        <v>10134882</v>
      </c>
      <c r="D10" s="72">
        <f ca="1">OFFSET('Historic CDM'!$C$94,0,(ROW()-2)/12)/12*1000</f>
        <v>11602.320969908009</v>
      </c>
      <c r="E10" s="72">
        <f t="shared" ca="1" si="1"/>
        <v>10146484.320969908</v>
      </c>
      <c r="F10" s="2">
        <f>Sheet2!C58</f>
        <v>3887365.9499999997</v>
      </c>
      <c r="G10" s="72">
        <f ca="1">OFFSET('Historic CDM'!$C$108,0,(ROW()-2)/12)/12*1000</f>
        <v>4056.0988953729311</v>
      </c>
      <c r="H10" s="72">
        <f t="shared" ca="1" si="2"/>
        <v>3891422.0488953725</v>
      </c>
      <c r="I10" s="2">
        <f>Sheet2!D58</f>
        <v>10696902.349999998</v>
      </c>
      <c r="J10" s="72">
        <f ca="1">OFFSET('Historic CDM'!$C$122,0,(ROW()-2)/12)/12*1000</f>
        <v>9930.9302443426295</v>
      </c>
      <c r="K10" s="72">
        <f t="shared" ca="1" si="3"/>
        <v>10706833.280244341</v>
      </c>
      <c r="L10" s="2">
        <f>Sheet2!E58</f>
        <v>5491172.8300000001</v>
      </c>
      <c r="M10" s="72">
        <f ca="1">OFFSET('Historic CDM'!$C$136,0,(ROW()-2)/12)/12*1000</f>
        <v>5396.9659526723135</v>
      </c>
      <c r="N10" s="72">
        <f t="shared" ca="1" si="4"/>
        <v>5496569.7959526721</v>
      </c>
      <c r="O10" s="2">
        <f>Sheet2!F58</f>
        <v>7282604.2200000007</v>
      </c>
      <c r="P10" s="72">
        <f ca="1">OFFSET('Historic CDM'!$C$150,0,(ROW()-2)/12)/12*1000</f>
        <v>8043.2771434057549</v>
      </c>
      <c r="Q10" s="72">
        <f t="shared" ca="1" si="5"/>
        <v>7290647.4971434064</v>
      </c>
      <c r="R10" s="2">
        <f>Sheet2!G58</f>
        <v>361386.83</v>
      </c>
      <c r="S10" s="2">
        <f>Sheet2!H58</f>
        <v>5050.5</v>
      </c>
      <c r="T10" s="2">
        <f>Sheet2!I58</f>
        <v>29300</v>
      </c>
      <c r="U10" s="2">
        <f>Sheet2!J58</f>
        <v>1435950.5</v>
      </c>
      <c r="V10" s="72">
        <v>29353.439999999999</v>
      </c>
      <c r="W10" s="72">
        <v>13368.97</v>
      </c>
      <c r="X10" s="72">
        <v>13839.95</v>
      </c>
      <c r="Y10" s="72">
        <v>722.81</v>
      </c>
      <c r="Z10" s="72"/>
      <c r="AA10" s="72">
        <v>3467</v>
      </c>
      <c r="AB10" s="2">
        <v>15745</v>
      </c>
      <c r="AC10" s="2">
        <v>1891</v>
      </c>
      <c r="AD10" s="2">
        <v>183</v>
      </c>
      <c r="AE10" s="2">
        <v>5</v>
      </c>
      <c r="AF10" s="2">
        <v>1</v>
      </c>
      <c r="AG10" s="2">
        <v>113</v>
      </c>
      <c r="AH10" s="2">
        <v>301</v>
      </c>
      <c r="AI10" s="2">
        <v>4197</v>
      </c>
      <c r="AJ10" s="2">
        <v>3</v>
      </c>
      <c r="AK10" s="72">
        <f>Weather!B130</f>
        <v>61</v>
      </c>
      <c r="AL10" s="72">
        <f>Weather!C130</f>
        <v>35</v>
      </c>
      <c r="AM10" s="2">
        <v>30</v>
      </c>
      <c r="AN10" s="2">
        <v>19</v>
      </c>
      <c r="AO10" s="72">
        <f t="shared" si="6"/>
        <v>1</v>
      </c>
      <c r="AP10" s="72">
        <f>Employment!B10</f>
        <v>6618.1</v>
      </c>
      <c r="AQ10" s="72">
        <f>Employment!C10</f>
        <v>260.2</v>
      </c>
      <c r="AR10" s="2">
        <v>0</v>
      </c>
      <c r="AS10" s="2">
        <v>1</v>
      </c>
      <c r="AT10" s="5">
        <f t="shared" si="7"/>
        <v>9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1</v>
      </c>
      <c r="BD10" s="72">
        <v>0</v>
      </c>
      <c r="BE10" s="72">
        <v>0</v>
      </c>
      <c r="BF10" s="72">
        <v>0</v>
      </c>
    </row>
    <row r="11" spans="1:58" x14ac:dyDescent="0.3">
      <c r="A11" s="1">
        <f>Sheet2!A59</f>
        <v>39356</v>
      </c>
      <c r="B11" s="92">
        <f t="shared" si="0"/>
        <v>2007</v>
      </c>
      <c r="C11" s="2">
        <f>Sheet2!B59</f>
        <v>10478667</v>
      </c>
      <c r="D11" s="72">
        <f ca="1">OFFSET('Historic CDM'!$C$94,0,(ROW()-2)/12)/12*1000</f>
        <v>11602.320969908009</v>
      </c>
      <c r="E11" s="72">
        <f t="shared" ca="1" si="1"/>
        <v>10490269.320969908</v>
      </c>
      <c r="F11" s="2">
        <f>Sheet2!C59</f>
        <v>4070148.59</v>
      </c>
      <c r="G11" s="72">
        <f ca="1">OFFSET('Historic CDM'!$C$108,0,(ROW()-2)/12)/12*1000</f>
        <v>4056.0988953729311</v>
      </c>
      <c r="H11" s="72">
        <f t="shared" ca="1" si="2"/>
        <v>4074204.6888953727</v>
      </c>
      <c r="I11" s="2">
        <f>Sheet2!D59</f>
        <v>11375322.620000001</v>
      </c>
      <c r="J11" s="72">
        <f ca="1">OFFSET('Historic CDM'!$C$122,0,(ROW()-2)/12)/12*1000</f>
        <v>9930.9302443426295</v>
      </c>
      <c r="K11" s="72">
        <f t="shared" ca="1" si="3"/>
        <v>11385253.550244344</v>
      </c>
      <c r="L11" s="2">
        <f>Sheet2!E59</f>
        <v>6422987.6699999999</v>
      </c>
      <c r="M11" s="72">
        <f ca="1">OFFSET('Historic CDM'!$C$136,0,(ROW()-2)/12)/12*1000</f>
        <v>5396.9659526723135</v>
      </c>
      <c r="N11" s="72">
        <f t="shared" ca="1" si="4"/>
        <v>6428384.635952672</v>
      </c>
      <c r="O11" s="2">
        <f>Sheet2!F59</f>
        <v>6977893.8499999996</v>
      </c>
      <c r="P11" s="72">
        <f ca="1">OFFSET('Historic CDM'!$C$150,0,(ROW()-2)/12)/12*1000</f>
        <v>8043.2771434057549</v>
      </c>
      <c r="Q11" s="72">
        <f t="shared" ca="1" si="5"/>
        <v>6985937.1271434054</v>
      </c>
      <c r="R11" s="2">
        <f>Sheet2!G59</f>
        <v>358132.04000000004</v>
      </c>
      <c r="S11" s="2">
        <f>Sheet2!H59</f>
        <v>4384.0200000000004</v>
      </c>
      <c r="T11" s="2">
        <f>Sheet2!I59</f>
        <v>48092</v>
      </c>
      <c r="U11" s="2">
        <f>Sheet2!J59-600000</f>
        <v>1488978.4000000001</v>
      </c>
      <c r="V11" s="72">
        <v>29734.3</v>
      </c>
      <c r="W11" s="72">
        <v>11429.210000000001</v>
      </c>
      <c r="X11" s="72">
        <v>13658.39</v>
      </c>
      <c r="Y11" s="72">
        <v>958.37</v>
      </c>
      <c r="Z11" s="72"/>
      <c r="AA11" s="72">
        <v>3316.8999999999996</v>
      </c>
      <c r="AB11" s="2">
        <v>15755</v>
      </c>
      <c r="AC11" s="2">
        <v>1888</v>
      </c>
      <c r="AD11" s="2">
        <v>183</v>
      </c>
      <c r="AE11" s="2">
        <v>5</v>
      </c>
      <c r="AF11" s="2">
        <v>1</v>
      </c>
      <c r="AG11" s="2">
        <v>113</v>
      </c>
      <c r="AH11" s="2">
        <v>301</v>
      </c>
      <c r="AI11" s="2">
        <v>4197</v>
      </c>
      <c r="AJ11" s="2">
        <v>3</v>
      </c>
      <c r="AK11" s="72">
        <f>Weather!B131</f>
        <v>149.9</v>
      </c>
      <c r="AL11" s="72">
        <f>Weather!C131</f>
        <v>21.5</v>
      </c>
      <c r="AM11" s="2">
        <v>31</v>
      </c>
      <c r="AN11" s="2">
        <v>22</v>
      </c>
      <c r="AO11" s="72">
        <f t="shared" si="6"/>
        <v>1</v>
      </c>
      <c r="AP11" s="72">
        <f>Employment!B11</f>
        <v>6613</v>
      </c>
      <c r="AQ11" s="72">
        <f>Employment!C11</f>
        <v>259.2</v>
      </c>
      <c r="AR11" s="2">
        <v>0</v>
      </c>
      <c r="AS11" s="2">
        <v>1</v>
      </c>
      <c r="AT11" s="5">
        <f t="shared" si="7"/>
        <v>10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1</v>
      </c>
      <c r="BE11" s="72">
        <v>0</v>
      </c>
      <c r="BF11" s="72">
        <v>0</v>
      </c>
    </row>
    <row r="12" spans="1:58" x14ac:dyDescent="0.3">
      <c r="A12" s="1">
        <f>Sheet2!A60</f>
        <v>39387</v>
      </c>
      <c r="B12" s="92">
        <f t="shared" si="0"/>
        <v>2007</v>
      </c>
      <c r="C12" s="2">
        <f>Sheet2!B60</f>
        <v>11362641</v>
      </c>
      <c r="D12" s="72">
        <f ca="1">OFFSET('Historic CDM'!$C$94,0,(ROW()-2)/12)/12*1000</f>
        <v>11602.320969908009</v>
      </c>
      <c r="E12" s="72">
        <f t="shared" ca="1" si="1"/>
        <v>11374243.320969908</v>
      </c>
      <c r="F12" s="2">
        <f>Sheet2!C60</f>
        <v>4094562.73</v>
      </c>
      <c r="G12" s="72">
        <f ca="1">OFFSET('Historic CDM'!$C$108,0,(ROW()-2)/12)/12*1000</f>
        <v>4056.0988953729311</v>
      </c>
      <c r="H12" s="72">
        <f t="shared" ca="1" si="2"/>
        <v>4098618.8288953728</v>
      </c>
      <c r="I12" s="2">
        <f>Sheet2!D60</f>
        <v>10923417.359999999</v>
      </c>
      <c r="J12" s="72">
        <f ca="1">OFFSET('Historic CDM'!$C$122,0,(ROW()-2)/12)/12*1000</f>
        <v>9930.9302443426295</v>
      </c>
      <c r="K12" s="72">
        <f t="shared" ca="1" si="3"/>
        <v>10933348.290244343</v>
      </c>
      <c r="L12" s="2">
        <f>Sheet2!E60</f>
        <v>7120092.96</v>
      </c>
      <c r="M12" s="72">
        <f ca="1">OFFSET('Historic CDM'!$C$136,0,(ROW()-2)/12)/12*1000</f>
        <v>5396.9659526723135</v>
      </c>
      <c r="N12" s="72">
        <f t="shared" ca="1" si="4"/>
        <v>7125489.925952672</v>
      </c>
      <c r="O12" s="2">
        <f>Sheet2!F60</f>
        <v>7425348.7999999998</v>
      </c>
      <c r="P12" s="72">
        <f ca="1">OFFSET('Historic CDM'!$C$150,0,(ROW()-2)/12)/12*1000</f>
        <v>8043.2771434057549</v>
      </c>
      <c r="Q12" s="72">
        <f t="shared" ca="1" si="5"/>
        <v>7433392.0771434056</v>
      </c>
      <c r="R12" s="2">
        <f>Sheet2!G60</f>
        <v>409890.3</v>
      </c>
      <c r="S12" s="2">
        <f>Sheet2!H60</f>
        <v>4535.9400000000005</v>
      </c>
      <c r="T12" s="2">
        <f>Sheet2!I60</f>
        <v>38999</v>
      </c>
      <c r="U12" s="2">
        <f>Sheet2!J60+600000</f>
        <v>1522176.2000000002</v>
      </c>
      <c r="V12" s="72">
        <v>30074.449999999997</v>
      </c>
      <c r="W12" s="72">
        <v>13509.79</v>
      </c>
      <c r="X12" s="72">
        <v>13078.11</v>
      </c>
      <c r="Y12" s="72">
        <v>877.4</v>
      </c>
      <c r="Z12" s="72"/>
      <c r="AA12" s="72">
        <v>5441.5</v>
      </c>
      <c r="AB12" s="2">
        <v>15766</v>
      </c>
      <c r="AC12" s="2">
        <v>1887</v>
      </c>
      <c r="AD12" s="2">
        <v>183</v>
      </c>
      <c r="AE12" s="2">
        <v>5</v>
      </c>
      <c r="AF12" s="2">
        <v>1</v>
      </c>
      <c r="AG12" s="2">
        <v>114</v>
      </c>
      <c r="AH12" s="2">
        <v>301</v>
      </c>
      <c r="AI12" s="2">
        <v>4197</v>
      </c>
      <c r="AJ12" s="2">
        <v>3</v>
      </c>
      <c r="AK12" s="72">
        <f>Weather!B132</f>
        <v>468.7</v>
      </c>
      <c r="AL12" s="72">
        <f>Weather!C132</f>
        <v>0</v>
      </c>
      <c r="AM12" s="2">
        <v>30</v>
      </c>
      <c r="AN12" s="2">
        <v>21</v>
      </c>
      <c r="AO12" s="72">
        <f t="shared" si="6"/>
        <v>1</v>
      </c>
      <c r="AP12" s="72">
        <f>Employment!B12</f>
        <v>6593.3</v>
      </c>
      <c r="AQ12" s="72">
        <f>Employment!C12</f>
        <v>255.7</v>
      </c>
      <c r="AR12" s="2">
        <v>0</v>
      </c>
      <c r="AS12" s="2">
        <v>1</v>
      </c>
      <c r="AT12" s="5">
        <f t="shared" si="7"/>
        <v>11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1</v>
      </c>
      <c r="BF12" s="72">
        <v>0</v>
      </c>
    </row>
    <row r="13" spans="1:58" x14ac:dyDescent="0.3">
      <c r="A13" s="1">
        <f>Sheet2!A61</f>
        <v>39417</v>
      </c>
      <c r="B13" s="92">
        <f t="shared" si="0"/>
        <v>2007</v>
      </c>
      <c r="C13" s="2">
        <f>Sheet2!B61</f>
        <v>14338292</v>
      </c>
      <c r="D13" s="72">
        <f ca="1">OFFSET('Historic CDM'!$C$94,0,(ROW()-2)/12)/12*1000</f>
        <v>11602.320969908009</v>
      </c>
      <c r="E13" s="72">
        <f t="shared" ca="1" si="1"/>
        <v>14349894.320969908</v>
      </c>
      <c r="F13" s="2">
        <f>Sheet2!C61</f>
        <v>4771462.6500000004</v>
      </c>
      <c r="G13" s="72">
        <f ca="1">OFFSET('Historic CDM'!$C$108,0,(ROW()-2)/12)/12*1000</f>
        <v>4056.0988953729311</v>
      </c>
      <c r="H13" s="72">
        <f t="shared" ca="1" si="2"/>
        <v>4775518.7488953732</v>
      </c>
      <c r="I13" s="2">
        <f>Sheet2!D61</f>
        <v>10230663.479999999</v>
      </c>
      <c r="J13" s="72">
        <f ca="1">OFFSET('Historic CDM'!$C$122,0,(ROW()-2)/12)/12*1000</f>
        <v>9930.9302443426295</v>
      </c>
      <c r="K13" s="72">
        <f t="shared" ca="1" si="3"/>
        <v>10240594.410244342</v>
      </c>
      <c r="L13" s="2">
        <f>Sheet2!E61</f>
        <v>5228233.63</v>
      </c>
      <c r="M13" s="72">
        <f ca="1">OFFSET('Historic CDM'!$C$136,0,(ROW()-2)/12)/12*1000</f>
        <v>5396.9659526723135</v>
      </c>
      <c r="N13" s="72">
        <f t="shared" ca="1" si="4"/>
        <v>5233630.595952672</v>
      </c>
      <c r="O13" s="2">
        <f>Sheet2!F61</f>
        <v>5148978.18</v>
      </c>
      <c r="P13" s="72">
        <f ca="1">OFFSET('Historic CDM'!$C$150,0,(ROW()-2)/12)/12*1000</f>
        <v>8043.2771434057549</v>
      </c>
      <c r="Q13" s="72">
        <f t="shared" ca="1" si="5"/>
        <v>5157021.4571434055</v>
      </c>
      <c r="R13" s="2">
        <f>Sheet2!G61</f>
        <v>419755.49</v>
      </c>
      <c r="S13" s="2">
        <f>Sheet2!H61</f>
        <v>4301.3999999999996</v>
      </c>
      <c r="T13" s="2">
        <f>Sheet2!I61</f>
        <v>60306</v>
      </c>
      <c r="U13" s="2">
        <f>Sheet2!J61</f>
        <v>1756456.7</v>
      </c>
      <c r="V13" s="72">
        <v>30461.05</v>
      </c>
      <c r="W13" s="72">
        <v>16040.64</v>
      </c>
      <c r="X13" s="72">
        <v>13301.65</v>
      </c>
      <c r="Y13" s="72">
        <v>962.38</v>
      </c>
      <c r="Z13" s="72"/>
      <c r="AA13" s="72">
        <v>584.70000000000005</v>
      </c>
      <c r="AB13" s="2">
        <v>15769</v>
      </c>
      <c r="AC13" s="2">
        <v>1889</v>
      </c>
      <c r="AD13" s="2">
        <v>184</v>
      </c>
      <c r="AE13" s="2">
        <v>5</v>
      </c>
      <c r="AF13" s="2">
        <v>1</v>
      </c>
      <c r="AG13" s="2">
        <v>114</v>
      </c>
      <c r="AH13" s="2">
        <v>301</v>
      </c>
      <c r="AI13" s="2">
        <v>4197</v>
      </c>
      <c r="AJ13" s="2">
        <v>3</v>
      </c>
      <c r="AK13" s="72">
        <f>Weather!B133</f>
        <v>657</v>
      </c>
      <c r="AL13" s="72">
        <f>Weather!C133</f>
        <v>0</v>
      </c>
      <c r="AM13" s="2">
        <v>31</v>
      </c>
      <c r="AN13" s="2">
        <v>19</v>
      </c>
      <c r="AO13" s="72">
        <f t="shared" si="6"/>
        <v>0</v>
      </c>
      <c r="AP13" s="72">
        <f>Employment!B13</f>
        <v>6596.3</v>
      </c>
      <c r="AQ13" s="72">
        <f>Employment!C13</f>
        <v>251.7</v>
      </c>
      <c r="AR13" s="2">
        <v>0</v>
      </c>
      <c r="AS13" s="2">
        <v>0</v>
      </c>
      <c r="AT13" s="5">
        <f t="shared" si="7"/>
        <v>12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1</v>
      </c>
    </row>
    <row r="14" spans="1:58" x14ac:dyDescent="0.3">
      <c r="A14" s="1">
        <f>Sheet2!A62</f>
        <v>39448</v>
      </c>
      <c r="B14" s="92">
        <f t="shared" si="0"/>
        <v>2008</v>
      </c>
      <c r="C14" s="2">
        <f>Sheet2!B62</f>
        <v>13653982.24</v>
      </c>
      <c r="D14" s="72">
        <f ca="1">OFFSET('Historic CDM'!$C$94,0,(ROW()-2)/12)/12*1000</f>
        <v>33839.896470912056</v>
      </c>
      <c r="E14" s="72">
        <f t="shared" ca="1" si="1"/>
        <v>13687822.136470912</v>
      </c>
      <c r="F14" s="2">
        <f>Sheet2!C62</f>
        <v>4375030.8599999994</v>
      </c>
      <c r="G14" s="72">
        <f ca="1">OFFSET('Historic CDM'!$C$108,0,(ROW()-2)/12)/12*1000</f>
        <v>11830.21630337546</v>
      </c>
      <c r="H14" s="72">
        <f t="shared" ca="1" si="2"/>
        <v>4386861.076303375</v>
      </c>
      <c r="I14" s="2">
        <f>Sheet2!D62</f>
        <v>9777139.2699999996</v>
      </c>
      <c r="J14" s="72">
        <f ca="1">OFFSET('Historic CDM'!$C$122,0,(ROW()-2)/12)/12*1000</f>
        <v>28965.036581906286</v>
      </c>
      <c r="K14" s="72">
        <f t="shared" ca="1" si="3"/>
        <v>9806104.3065819051</v>
      </c>
      <c r="L14" s="2">
        <f>Sheet2!E62</f>
        <v>3009155.89</v>
      </c>
      <c r="M14" s="72">
        <f ca="1">OFFSET('Historic CDM'!$C$136,0,(ROW()-2)/12)/12*1000</f>
        <v>15741.054705273882</v>
      </c>
      <c r="N14" s="72">
        <f t="shared" ca="1" si="4"/>
        <v>3024896.944705274</v>
      </c>
      <c r="O14" s="2">
        <f>Sheet2!F62</f>
        <v>7659318.5499999998</v>
      </c>
      <c r="P14" s="72">
        <f ca="1">OFFSET('Historic CDM'!$C$150,0,(ROW()-2)/12)/12*1000</f>
        <v>23459.415277826261</v>
      </c>
      <c r="Q14" s="72">
        <f t="shared" ca="1" si="5"/>
        <v>7682777.9652778264</v>
      </c>
      <c r="R14" s="2">
        <f>Sheet2!G62</f>
        <v>345005.74</v>
      </c>
      <c r="S14" s="2">
        <f>Sheet2!H62</f>
        <v>4197.8999999999996</v>
      </c>
      <c r="T14" s="2">
        <f>Sheet2!I62</f>
        <v>39756</v>
      </c>
      <c r="U14" s="2">
        <f>Sheet2!J62</f>
        <v>1800940.9</v>
      </c>
      <c r="V14" s="72">
        <v>28239.640000000003</v>
      </c>
      <c r="W14" s="72">
        <v>11969.3</v>
      </c>
      <c r="X14" s="72">
        <v>13084.49</v>
      </c>
      <c r="Y14" s="72">
        <v>877.4</v>
      </c>
      <c r="Z14" s="72"/>
      <c r="AA14" s="72">
        <v>3409</v>
      </c>
      <c r="AB14" s="2">
        <v>15777</v>
      </c>
      <c r="AC14" s="2">
        <v>1891</v>
      </c>
      <c r="AD14" s="2">
        <v>185</v>
      </c>
      <c r="AE14" s="2">
        <v>5</v>
      </c>
      <c r="AF14" s="2">
        <v>1</v>
      </c>
      <c r="AG14" s="2">
        <v>116</v>
      </c>
      <c r="AH14" s="2">
        <v>301</v>
      </c>
      <c r="AI14" s="2">
        <v>4283</v>
      </c>
      <c r="AJ14" s="2">
        <v>3</v>
      </c>
      <c r="AK14" s="72">
        <f>Weather!B134</f>
        <v>639</v>
      </c>
      <c r="AL14" s="72">
        <f>Weather!C134</f>
        <v>0</v>
      </c>
      <c r="AM14" s="2">
        <f>AM2</f>
        <v>31</v>
      </c>
      <c r="AN14" s="2">
        <v>22</v>
      </c>
      <c r="AO14" s="72">
        <f t="shared" si="6"/>
        <v>0</v>
      </c>
      <c r="AP14" s="72">
        <f>Employment!B14</f>
        <v>6544</v>
      </c>
      <c r="AQ14" s="72">
        <f>Employment!C14</f>
        <v>247</v>
      </c>
      <c r="AR14" s="2">
        <f>AR2</f>
        <v>0</v>
      </c>
      <c r="AS14" s="72">
        <f t="shared" ref="AS14:AS77" si="8">AS2</f>
        <v>0</v>
      </c>
      <c r="AT14" s="5">
        <f t="shared" si="7"/>
        <v>13</v>
      </c>
      <c r="AU14" s="73">
        <f>AU2</f>
        <v>1</v>
      </c>
      <c r="AV14" s="73">
        <f t="shared" ref="AV14:BF14" si="9">AV2</f>
        <v>0</v>
      </c>
      <c r="AW14" s="73">
        <f t="shared" si="9"/>
        <v>0</v>
      </c>
      <c r="AX14" s="73">
        <f t="shared" si="9"/>
        <v>0</v>
      </c>
      <c r="AY14" s="73">
        <f t="shared" si="9"/>
        <v>0</v>
      </c>
      <c r="AZ14" s="73">
        <f t="shared" si="9"/>
        <v>0</v>
      </c>
      <c r="BA14" s="73">
        <f t="shared" si="9"/>
        <v>0</v>
      </c>
      <c r="BB14" s="73">
        <f t="shared" si="9"/>
        <v>0</v>
      </c>
      <c r="BC14" s="73">
        <f t="shared" si="9"/>
        <v>0</v>
      </c>
      <c r="BD14" s="73">
        <f t="shared" si="9"/>
        <v>0</v>
      </c>
      <c r="BE14" s="73">
        <f t="shared" si="9"/>
        <v>0</v>
      </c>
      <c r="BF14" s="73">
        <f t="shared" si="9"/>
        <v>0</v>
      </c>
    </row>
    <row r="15" spans="1:58" x14ac:dyDescent="0.3">
      <c r="A15" s="1">
        <f>Sheet2!A63</f>
        <v>39479</v>
      </c>
      <c r="B15" s="92">
        <f t="shared" si="0"/>
        <v>2008</v>
      </c>
      <c r="C15" s="2">
        <f>Sheet2!B63</f>
        <v>13751883.719999999</v>
      </c>
      <c r="D15" s="72">
        <f ca="1">OFFSET('Historic CDM'!$C$94,0,(ROW()-2)/12)/12*1000</f>
        <v>33839.896470912056</v>
      </c>
      <c r="E15" s="72">
        <f t="shared" ca="1" si="1"/>
        <v>13785723.616470911</v>
      </c>
      <c r="F15" s="2">
        <f>Sheet2!C63</f>
        <v>4605320.59</v>
      </c>
      <c r="G15" s="72">
        <f ca="1">OFFSET('Historic CDM'!$C$108,0,(ROW()-2)/12)/12*1000</f>
        <v>11830.21630337546</v>
      </c>
      <c r="H15" s="72">
        <f t="shared" ca="1" si="2"/>
        <v>4617150.8063033754</v>
      </c>
      <c r="I15" s="2">
        <f>Sheet2!D63</f>
        <v>10796563.600000001</v>
      </c>
      <c r="J15" s="72">
        <f ca="1">OFFSET('Historic CDM'!$C$122,0,(ROW()-2)/12)/12*1000</f>
        <v>28965.036581906286</v>
      </c>
      <c r="K15" s="72">
        <f t="shared" ca="1" si="3"/>
        <v>10825528.636581907</v>
      </c>
      <c r="L15" s="2">
        <f>Sheet2!E63</f>
        <v>6637122.8899999997</v>
      </c>
      <c r="M15" s="72">
        <f ca="1">OFFSET('Historic CDM'!$C$136,0,(ROW()-2)/12)/12*1000</f>
        <v>15741.054705273882</v>
      </c>
      <c r="N15" s="72">
        <f t="shared" ca="1" si="4"/>
        <v>6652863.944705274</v>
      </c>
      <c r="O15" s="2">
        <f>Sheet2!F63</f>
        <v>10469998.17</v>
      </c>
      <c r="P15" s="72">
        <f ca="1">OFFSET('Historic CDM'!$C$150,0,(ROW()-2)/12)/12*1000</f>
        <v>23459.415277826261</v>
      </c>
      <c r="Q15" s="72">
        <f t="shared" ca="1" si="5"/>
        <v>10493457.585277826</v>
      </c>
      <c r="R15" s="2">
        <f>Sheet2!G63</f>
        <v>332897.54000000004</v>
      </c>
      <c r="S15" s="2">
        <f>Sheet2!H63</f>
        <v>4448.1000000000004</v>
      </c>
      <c r="T15" s="2">
        <f>Sheet2!I63</f>
        <v>40194</v>
      </c>
      <c r="U15" s="2">
        <f>Sheet2!J63</f>
        <v>1770399</v>
      </c>
      <c r="V15" s="72">
        <v>25422.1</v>
      </c>
      <c r="W15" s="72">
        <v>6967.9</v>
      </c>
      <c r="X15" s="72">
        <v>13137.42</v>
      </c>
      <c r="Y15" s="72">
        <v>792.42</v>
      </c>
      <c r="Z15" s="72"/>
      <c r="AA15" s="72">
        <v>3617.2</v>
      </c>
      <c r="AB15" s="2">
        <v>15786</v>
      </c>
      <c r="AC15" s="2">
        <v>1891</v>
      </c>
      <c r="AD15" s="2">
        <v>185</v>
      </c>
      <c r="AE15" s="2">
        <v>5</v>
      </c>
      <c r="AF15" s="2">
        <v>1</v>
      </c>
      <c r="AG15" s="2">
        <v>117</v>
      </c>
      <c r="AH15" s="2">
        <v>301</v>
      </c>
      <c r="AI15" s="2">
        <v>4283</v>
      </c>
      <c r="AJ15" s="2">
        <v>3</v>
      </c>
      <c r="AK15" s="72">
        <f>Weather!B135</f>
        <v>692.5</v>
      </c>
      <c r="AL15" s="72">
        <f>Weather!C135</f>
        <v>0</v>
      </c>
      <c r="AM15" s="2">
        <v>29</v>
      </c>
      <c r="AN15" s="2">
        <v>20</v>
      </c>
      <c r="AO15" s="72">
        <f t="shared" si="6"/>
        <v>0</v>
      </c>
      <c r="AP15" s="72">
        <f>Employment!B15</f>
        <v>6522.8</v>
      </c>
      <c r="AQ15" s="72">
        <f>Employment!C15</f>
        <v>245.3</v>
      </c>
      <c r="AR15" s="72">
        <f t="shared" ref="AR15" si="10">AR3</f>
        <v>0</v>
      </c>
      <c r="AS15" s="72">
        <f t="shared" si="8"/>
        <v>0</v>
      </c>
      <c r="AT15" s="5">
        <f t="shared" si="7"/>
        <v>14</v>
      </c>
      <c r="AU15" s="73">
        <f t="shared" ref="AU15:BF15" si="11">AU3</f>
        <v>0</v>
      </c>
      <c r="AV15" s="73">
        <f t="shared" si="11"/>
        <v>1</v>
      </c>
      <c r="AW15" s="73">
        <f t="shared" si="11"/>
        <v>0</v>
      </c>
      <c r="AX15" s="73">
        <f t="shared" si="11"/>
        <v>0</v>
      </c>
      <c r="AY15" s="73">
        <f t="shared" si="11"/>
        <v>0</v>
      </c>
      <c r="AZ15" s="73">
        <f t="shared" si="11"/>
        <v>0</v>
      </c>
      <c r="BA15" s="73">
        <f t="shared" si="11"/>
        <v>0</v>
      </c>
      <c r="BB15" s="73">
        <f t="shared" si="11"/>
        <v>0</v>
      </c>
      <c r="BC15" s="73">
        <f t="shared" si="11"/>
        <v>0</v>
      </c>
      <c r="BD15" s="73">
        <f t="shared" si="11"/>
        <v>0</v>
      </c>
      <c r="BE15" s="73">
        <f t="shared" si="11"/>
        <v>0</v>
      </c>
      <c r="BF15" s="73">
        <f t="shared" si="11"/>
        <v>0</v>
      </c>
    </row>
    <row r="16" spans="1:58" x14ac:dyDescent="0.3">
      <c r="A16" s="1">
        <f>Sheet2!A64</f>
        <v>39508</v>
      </c>
      <c r="B16" s="92">
        <f t="shared" si="0"/>
        <v>2008</v>
      </c>
      <c r="C16" s="2">
        <f>Sheet2!B64</f>
        <v>12610124</v>
      </c>
      <c r="D16" s="72">
        <f ca="1">OFFSET('Historic CDM'!$C$94,0,(ROW()-2)/12)/12*1000</f>
        <v>33839.896470912056</v>
      </c>
      <c r="E16" s="72">
        <f t="shared" ca="1" si="1"/>
        <v>12643963.896470912</v>
      </c>
      <c r="F16" s="2">
        <f>Sheet2!C64</f>
        <v>4401905.55</v>
      </c>
      <c r="G16" s="72">
        <f ca="1">OFFSET('Historic CDM'!$C$108,0,(ROW()-2)/12)/12*1000</f>
        <v>11830.21630337546</v>
      </c>
      <c r="H16" s="72">
        <f t="shared" ca="1" si="2"/>
        <v>4413735.7663033754</v>
      </c>
      <c r="I16" s="2">
        <f>Sheet2!D64</f>
        <v>10814152.91</v>
      </c>
      <c r="J16" s="72">
        <f ca="1">OFFSET('Historic CDM'!$C$122,0,(ROW()-2)/12)/12*1000</f>
        <v>28965.036581906286</v>
      </c>
      <c r="K16" s="72">
        <f t="shared" ca="1" si="3"/>
        <v>10843117.946581906</v>
      </c>
      <c r="L16" s="2">
        <f>Sheet2!E64</f>
        <v>6985973.9499999993</v>
      </c>
      <c r="M16" s="72">
        <f ca="1">OFFSET('Historic CDM'!$C$136,0,(ROW()-2)/12)/12*1000</f>
        <v>15741.054705273882</v>
      </c>
      <c r="N16" s="72">
        <f t="shared" ca="1" si="4"/>
        <v>7001715.0047052735</v>
      </c>
      <c r="O16" s="2">
        <f>Sheet2!F64</f>
        <v>7147593.46</v>
      </c>
      <c r="P16" s="72">
        <f ca="1">OFFSET('Historic CDM'!$C$150,0,(ROW()-2)/12)/12*1000</f>
        <v>23459.415277826261</v>
      </c>
      <c r="Q16" s="72">
        <f t="shared" ca="1" si="5"/>
        <v>7171052.8752778266</v>
      </c>
      <c r="R16" s="2">
        <f>Sheet2!G64</f>
        <v>347133.92000000004</v>
      </c>
      <c r="S16" s="2">
        <f>Sheet2!H64</f>
        <v>5051.7</v>
      </c>
      <c r="T16" s="2">
        <f>Sheet2!I64</f>
        <v>41387</v>
      </c>
      <c r="U16" s="2">
        <f>Sheet2!J64</f>
        <v>1887019.5999999999</v>
      </c>
      <c r="V16" s="72">
        <v>29403.980000000003</v>
      </c>
      <c r="W16" s="72">
        <v>14248.28</v>
      </c>
      <c r="X16" s="72">
        <v>13038.88</v>
      </c>
      <c r="Y16" s="72">
        <v>877.4</v>
      </c>
      <c r="Z16" s="72"/>
      <c r="AA16" s="72">
        <v>3946.4</v>
      </c>
      <c r="AB16" s="2">
        <v>15794</v>
      </c>
      <c r="AC16" s="2">
        <v>1892</v>
      </c>
      <c r="AD16" s="2">
        <v>186</v>
      </c>
      <c r="AE16" s="2">
        <v>5</v>
      </c>
      <c r="AF16" s="2">
        <v>1</v>
      </c>
      <c r="AG16" s="2">
        <v>119</v>
      </c>
      <c r="AH16" s="2">
        <v>301</v>
      </c>
      <c r="AI16" s="2">
        <v>4283</v>
      </c>
      <c r="AJ16" s="2">
        <v>3</v>
      </c>
      <c r="AK16" s="72">
        <f>Weather!B136</f>
        <v>627.29999999999995</v>
      </c>
      <c r="AL16" s="72">
        <f>Weather!C136</f>
        <v>0</v>
      </c>
      <c r="AM16" s="72">
        <f t="shared" ref="AM16:AM49" si="12">AM4</f>
        <v>31</v>
      </c>
      <c r="AN16" s="2">
        <v>21</v>
      </c>
      <c r="AO16" s="72">
        <f t="shared" si="6"/>
        <v>1</v>
      </c>
      <c r="AP16" s="72">
        <f>Employment!B16</f>
        <v>6505.5</v>
      </c>
      <c r="AQ16" s="72">
        <f>Employment!C16</f>
        <v>244.3</v>
      </c>
      <c r="AR16" s="72">
        <f t="shared" ref="AR16" si="13">AR4</f>
        <v>1</v>
      </c>
      <c r="AS16" s="72">
        <f t="shared" si="8"/>
        <v>0</v>
      </c>
      <c r="AT16" s="5">
        <f t="shared" si="7"/>
        <v>15</v>
      </c>
      <c r="AU16" s="73">
        <f t="shared" ref="AU16:BF16" si="14">AU4</f>
        <v>0</v>
      </c>
      <c r="AV16" s="73">
        <f t="shared" si="14"/>
        <v>0</v>
      </c>
      <c r="AW16" s="73">
        <f t="shared" si="14"/>
        <v>1</v>
      </c>
      <c r="AX16" s="73">
        <f t="shared" si="14"/>
        <v>0</v>
      </c>
      <c r="AY16" s="73">
        <f t="shared" si="14"/>
        <v>0</v>
      </c>
      <c r="AZ16" s="73">
        <f t="shared" si="14"/>
        <v>0</v>
      </c>
      <c r="BA16" s="73">
        <f t="shared" si="14"/>
        <v>0</v>
      </c>
      <c r="BB16" s="73">
        <f t="shared" si="14"/>
        <v>0</v>
      </c>
      <c r="BC16" s="73">
        <f t="shared" si="14"/>
        <v>0</v>
      </c>
      <c r="BD16" s="73">
        <f t="shared" si="14"/>
        <v>0</v>
      </c>
      <c r="BE16" s="73">
        <f t="shared" si="14"/>
        <v>0</v>
      </c>
      <c r="BF16" s="73">
        <f t="shared" si="14"/>
        <v>0</v>
      </c>
    </row>
    <row r="17" spans="1:58" x14ac:dyDescent="0.3">
      <c r="A17" s="1">
        <f>Sheet2!A65</f>
        <v>39539</v>
      </c>
      <c r="B17" s="92">
        <f t="shared" si="0"/>
        <v>2008</v>
      </c>
      <c r="C17" s="2">
        <f>Sheet2!B65</f>
        <v>10178344.4</v>
      </c>
      <c r="D17" s="72">
        <f ca="1">OFFSET('Historic CDM'!$C$94,0,(ROW()-2)/12)/12*1000</f>
        <v>33839.896470912056</v>
      </c>
      <c r="E17" s="72">
        <f t="shared" ca="1" si="1"/>
        <v>10212184.296470912</v>
      </c>
      <c r="F17" s="2">
        <f>Sheet2!C65</f>
        <v>3736819.29</v>
      </c>
      <c r="G17" s="72">
        <f ca="1">OFFSET('Historic CDM'!$C$108,0,(ROW()-2)/12)/12*1000</f>
        <v>11830.21630337546</v>
      </c>
      <c r="H17" s="72">
        <f t="shared" ca="1" si="2"/>
        <v>3748649.5063033756</v>
      </c>
      <c r="I17" s="2">
        <f>Sheet2!D65</f>
        <v>9851810.5599999987</v>
      </c>
      <c r="J17" s="72">
        <f ca="1">OFFSET('Historic CDM'!$C$122,0,(ROW()-2)/12)/12*1000</f>
        <v>28965.036581906286</v>
      </c>
      <c r="K17" s="72">
        <f t="shared" ca="1" si="3"/>
        <v>9880775.5965819042</v>
      </c>
      <c r="L17" s="2">
        <f>Sheet2!E65</f>
        <v>6061720.8799999999</v>
      </c>
      <c r="M17" s="72">
        <f ca="1">OFFSET('Historic CDM'!$C$136,0,(ROW()-2)/12)/12*1000</f>
        <v>15741.054705273882</v>
      </c>
      <c r="N17" s="72">
        <f t="shared" ca="1" si="4"/>
        <v>6077461.9347052742</v>
      </c>
      <c r="O17" s="2">
        <f>Sheet2!F65</f>
        <v>7515953.3300000001</v>
      </c>
      <c r="P17" s="72">
        <f ca="1">OFFSET('Historic CDM'!$C$150,0,(ROW()-2)/12)/12*1000</f>
        <v>23459.415277826261</v>
      </c>
      <c r="Q17" s="72">
        <f t="shared" ca="1" si="5"/>
        <v>7539412.7452778267</v>
      </c>
      <c r="R17" s="2">
        <f>Sheet2!G65</f>
        <v>291704.21000000002</v>
      </c>
      <c r="S17" s="2">
        <f>Sheet2!H65</f>
        <v>4451.1000000000004</v>
      </c>
      <c r="T17" s="2">
        <f>Sheet2!I65</f>
        <v>42669</v>
      </c>
      <c r="U17" s="2">
        <f>Sheet2!J65</f>
        <v>1506449.8</v>
      </c>
      <c r="V17" s="72">
        <v>30334.94</v>
      </c>
      <c r="W17" s="72">
        <v>15292.400000000001</v>
      </c>
      <c r="X17" s="72">
        <v>13044.36</v>
      </c>
      <c r="Y17" s="72">
        <v>962.38</v>
      </c>
      <c r="Z17" s="72"/>
      <c r="AA17" s="72">
        <v>3655</v>
      </c>
      <c r="AB17" s="2">
        <v>15806</v>
      </c>
      <c r="AC17" s="2">
        <v>1889</v>
      </c>
      <c r="AD17" s="2">
        <v>188</v>
      </c>
      <c r="AE17" s="2">
        <v>5</v>
      </c>
      <c r="AF17" s="2">
        <v>1</v>
      </c>
      <c r="AG17" s="2">
        <v>120</v>
      </c>
      <c r="AH17" s="2">
        <v>301</v>
      </c>
      <c r="AI17" s="2">
        <v>4283</v>
      </c>
      <c r="AJ17" s="2">
        <v>3</v>
      </c>
      <c r="AK17" s="72">
        <f>Weather!B137</f>
        <v>265</v>
      </c>
      <c r="AL17" s="72">
        <f>Weather!C137</f>
        <v>0</v>
      </c>
      <c r="AM17" s="72">
        <f t="shared" si="12"/>
        <v>30</v>
      </c>
      <c r="AN17" s="2">
        <v>20</v>
      </c>
      <c r="AO17" s="72">
        <f t="shared" si="6"/>
        <v>1</v>
      </c>
      <c r="AP17" s="72">
        <f>Employment!B17</f>
        <v>6535.8</v>
      </c>
      <c r="AQ17" s="72">
        <f>Employment!C17</f>
        <v>244.1</v>
      </c>
      <c r="AR17" s="72">
        <f t="shared" ref="AR17" si="15">AR5</f>
        <v>1</v>
      </c>
      <c r="AS17" s="72">
        <f t="shared" si="8"/>
        <v>0</v>
      </c>
      <c r="AT17" s="5">
        <f t="shared" si="7"/>
        <v>16</v>
      </c>
      <c r="AU17" s="73">
        <f t="shared" ref="AU17:BF17" si="16">AU5</f>
        <v>0</v>
      </c>
      <c r="AV17" s="73">
        <f t="shared" si="16"/>
        <v>0</v>
      </c>
      <c r="AW17" s="73">
        <f t="shared" si="16"/>
        <v>0</v>
      </c>
      <c r="AX17" s="73">
        <f t="shared" si="16"/>
        <v>1</v>
      </c>
      <c r="AY17" s="73">
        <f t="shared" si="16"/>
        <v>0</v>
      </c>
      <c r="AZ17" s="73">
        <f t="shared" si="16"/>
        <v>0</v>
      </c>
      <c r="BA17" s="73">
        <f t="shared" si="16"/>
        <v>0</v>
      </c>
      <c r="BB17" s="73">
        <f t="shared" si="16"/>
        <v>0</v>
      </c>
      <c r="BC17" s="73">
        <f t="shared" si="16"/>
        <v>0</v>
      </c>
      <c r="BD17" s="73">
        <f t="shared" si="16"/>
        <v>0</v>
      </c>
      <c r="BE17" s="73">
        <f t="shared" si="16"/>
        <v>0</v>
      </c>
      <c r="BF17" s="73">
        <f t="shared" si="16"/>
        <v>0</v>
      </c>
    </row>
    <row r="18" spans="1:58" x14ac:dyDescent="0.3">
      <c r="A18" s="1">
        <f>Sheet2!A66</f>
        <v>39569</v>
      </c>
      <c r="B18" s="92">
        <f t="shared" si="0"/>
        <v>2008</v>
      </c>
      <c r="C18" s="2">
        <f>Sheet2!B66</f>
        <v>10245917.199999999</v>
      </c>
      <c r="D18" s="72">
        <f ca="1">OFFSET('Historic CDM'!$C$94,0,(ROW()-2)/12)/12*1000</f>
        <v>33839.896470912056</v>
      </c>
      <c r="E18" s="72">
        <f t="shared" ca="1" si="1"/>
        <v>10279757.096470911</v>
      </c>
      <c r="F18" s="2">
        <f>Sheet2!C66</f>
        <v>3693141.03</v>
      </c>
      <c r="G18" s="72">
        <f ca="1">OFFSET('Historic CDM'!$C$108,0,(ROW()-2)/12)/12*1000</f>
        <v>11830.21630337546</v>
      </c>
      <c r="H18" s="72">
        <f t="shared" ca="1" si="2"/>
        <v>3704971.2463033753</v>
      </c>
      <c r="I18" s="2">
        <f>Sheet2!D66</f>
        <v>10138237.800000001</v>
      </c>
      <c r="J18" s="72">
        <f ca="1">OFFSET('Historic CDM'!$C$122,0,(ROW()-2)/12)/12*1000</f>
        <v>28965.036581906286</v>
      </c>
      <c r="K18" s="72">
        <f t="shared" ca="1" si="3"/>
        <v>10167202.836581906</v>
      </c>
      <c r="L18" s="2">
        <f>Sheet2!E66</f>
        <v>5574174.3100000005</v>
      </c>
      <c r="M18" s="72">
        <f ca="1">OFFSET('Historic CDM'!$C$136,0,(ROW()-2)/12)/12*1000</f>
        <v>15741.054705273882</v>
      </c>
      <c r="N18" s="72">
        <f t="shared" ca="1" si="4"/>
        <v>5589915.3647052748</v>
      </c>
      <c r="O18" s="2">
        <f>Sheet2!F66</f>
        <v>6769505.1500000004</v>
      </c>
      <c r="P18" s="72">
        <f ca="1">OFFSET('Historic CDM'!$C$150,0,(ROW()-2)/12)/12*1000</f>
        <v>23459.415277826261</v>
      </c>
      <c r="Q18" s="72">
        <f t="shared" ca="1" si="5"/>
        <v>6792964.565277827</v>
      </c>
      <c r="R18" s="2">
        <f>Sheet2!G66</f>
        <v>269263.97000000003</v>
      </c>
      <c r="S18" s="2">
        <f>Sheet2!H66</f>
        <v>4495.5</v>
      </c>
      <c r="T18" s="2">
        <f>Sheet2!I66</f>
        <v>47559</v>
      </c>
      <c r="U18" s="2">
        <f>Sheet2!J66</f>
        <v>1179509.3999999999</v>
      </c>
      <c r="V18" s="72">
        <v>27163.75</v>
      </c>
      <c r="W18" s="72">
        <v>12374.09</v>
      </c>
      <c r="X18" s="72">
        <v>12797.1</v>
      </c>
      <c r="Y18" s="72">
        <v>877.4</v>
      </c>
      <c r="Z18" s="72"/>
      <c r="AA18" s="72">
        <v>3242.7</v>
      </c>
      <c r="AB18" s="2">
        <v>15811</v>
      </c>
      <c r="AC18" s="2">
        <v>1890</v>
      </c>
      <c r="AD18" s="2">
        <v>188</v>
      </c>
      <c r="AE18" s="2">
        <v>5</v>
      </c>
      <c r="AF18" s="2">
        <v>1</v>
      </c>
      <c r="AG18" s="2">
        <v>120</v>
      </c>
      <c r="AH18" s="2">
        <v>301</v>
      </c>
      <c r="AI18" s="2">
        <v>4283</v>
      </c>
      <c r="AJ18" s="2">
        <v>3</v>
      </c>
      <c r="AK18" s="72">
        <f>Weather!B138</f>
        <v>208.8</v>
      </c>
      <c r="AL18" s="72">
        <f>Weather!C138</f>
        <v>2.1</v>
      </c>
      <c r="AM18" s="72">
        <f t="shared" si="12"/>
        <v>31</v>
      </c>
      <c r="AN18" s="2">
        <v>21</v>
      </c>
      <c r="AO18" s="72">
        <f t="shared" si="6"/>
        <v>1</v>
      </c>
      <c r="AP18" s="72">
        <f>Employment!B18</f>
        <v>6590.4</v>
      </c>
      <c r="AQ18" s="72">
        <f>Employment!C18</f>
        <v>245.1</v>
      </c>
      <c r="AR18" s="72">
        <f t="shared" ref="AR18" si="17">AR6</f>
        <v>1</v>
      </c>
      <c r="AS18" s="72">
        <f t="shared" si="8"/>
        <v>0</v>
      </c>
      <c r="AT18" s="5">
        <f t="shared" si="7"/>
        <v>17</v>
      </c>
      <c r="AU18" s="73">
        <f t="shared" ref="AU18:BF18" si="18">AU6</f>
        <v>0</v>
      </c>
      <c r="AV18" s="73">
        <f t="shared" si="18"/>
        <v>0</v>
      </c>
      <c r="AW18" s="73">
        <f t="shared" si="18"/>
        <v>0</v>
      </c>
      <c r="AX18" s="73">
        <f t="shared" si="18"/>
        <v>0</v>
      </c>
      <c r="AY18" s="73">
        <f t="shared" si="18"/>
        <v>1</v>
      </c>
      <c r="AZ18" s="73">
        <f t="shared" si="18"/>
        <v>0</v>
      </c>
      <c r="BA18" s="73">
        <f t="shared" si="18"/>
        <v>0</v>
      </c>
      <c r="BB18" s="73">
        <f t="shared" si="18"/>
        <v>0</v>
      </c>
      <c r="BC18" s="73">
        <f t="shared" si="18"/>
        <v>0</v>
      </c>
      <c r="BD18" s="73">
        <f t="shared" si="18"/>
        <v>0</v>
      </c>
      <c r="BE18" s="73">
        <f t="shared" si="18"/>
        <v>0</v>
      </c>
      <c r="BF18" s="73">
        <f t="shared" si="18"/>
        <v>0</v>
      </c>
    </row>
    <row r="19" spans="1:58" x14ac:dyDescent="0.3">
      <c r="A19" s="1">
        <f>Sheet2!A67</f>
        <v>39600</v>
      </c>
      <c r="B19" s="92">
        <f t="shared" si="0"/>
        <v>2008</v>
      </c>
      <c r="C19" s="2">
        <f>Sheet2!B67</f>
        <v>10837201</v>
      </c>
      <c r="D19" s="72">
        <f ca="1">OFFSET('Historic CDM'!$C$94,0,(ROW()-2)/12)/12*1000</f>
        <v>33839.896470912056</v>
      </c>
      <c r="E19" s="72">
        <f t="shared" ca="1" si="1"/>
        <v>10871040.896470912</v>
      </c>
      <c r="F19" s="2">
        <f>Sheet2!C67</f>
        <v>3797962.59</v>
      </c>
      <c r="G19" s="72">
        <f ca="1">OFFSET('Historic CDM'!$C$108,0,(ROW()-2)/12)/12*1000</f>
        <v>11830.21630337546</v>
      </c>
      <c r="H19" s="72">
        <f t="shared" ca="1" si="2"/>
        <v>3809792.8063033754</v>
      </c>
      <c r="I19" s="2">
        <f>Sheet2!D67</f>
        <v>9819626.4499999993</v>
      </c>
      <c r="J19" s="72">
        <f ca="1">OFFSET('Historic CDM'!$C$122,0,(ROW()-2)/12)/12*1000</f>
        <v>28965.036581906286</v>
      </c>
      <c r="K19" s="72">
        <f t="shared" ca="1" si="3"/>
        <v>9848591.4865819048</v>
      </c>
      <c r="L19" s="2">
        <f>Sheet2!E67</f>
        <v>5149002.87</v>
      </c>
      <c r="M19" s="72">
        <f ca="1">OFFSET('Historic CDM'!$C$136,0,(ROW()-2)/12)/12*1000</f>
        <v>15741.054705273882</v>
      </c>
      <c r="N19" s="72">
        <f t="shared" ca="1" si="4"/>
        <v>5164743.9247052744</v>
      </c>
      <c r="O19" s="2">
        <f>Sheet2!F67</f>
        <v>5177615.3899999997</v>
      </c>
      <c r="P19" s="72">
        <f ca="1">OFFSET('Historic CDM'!$C$150,0,(ROW()-2)/12)/12*1000</f>
        <v>23459.415277826261</v>
      </c>
      <c r="Q19" s="72">
        <f t="shared" ca="1" si="5"/>
        <v>5201074.8052778263</v>
      </c>
      <c r="R19" s="2">
        <f>Sheet2!G67</f>
        <v>231630.37</v>
      </c>
      <c r="S19" s="2">
        <f>Sheet2!H67</f>
        <v>4585.8</v>
      </c>
      <c r="T19" s="2">
        <f>Sheet2!I67</f>
        <v>45093</v>
      </c>
      <c r="U19" s="2">
        <f>Sheet2!J67</f>
        <v>881308.10000000009</v>
      </c>
      <c r="V19" s="72">
        <v>28784.77</v>
      </c>
      <c r="W19" s="72">
        <v>12043.869999999999</v>
      </c>
      <c r="X19" s="72">
        <v>11985.99</v>
      </c>
      <c r="Y19" s="72">
        <v>877.4</v>
      </c>
      <c r="Z19" s="72"/>
      <c r="AA19" s="72">
        <v>2869.1</v>
      </c>
      <c r="AB19" s="2">
        <v>15817</v>
      </c>
      <c r="AC19" s="2">
        <v>1892</v>
      </c>
      <c r="AD19" s="2">
        <v>187</v>
      </c>
      <c r="AE19" s="2">
        <v>5</v>
      </c>
      <c r="AF19" s="2">
        <v>1</v>
      </c>
      <c r="AG19" s="2">
        <v>122</v>
      </c>
      <c r="AH19" s="2">
        <v>301</v>
      </c>
      <c r="AI19" s="2">
        <v>4283</v>
      </c>
      <c r="AJ19" s="2">
        <v>3</v>
      </c>
      <c r="AK19" s="72">
        <f>Weather!B139</f>
        <v>24.1</v>
      </c>
      <c r="AL19" s="72">
        <f>Weather!C139</f>
        <v>66.400000000000006</v>
      </c>
      <c r="AM19" s="72">
        <f t="shared" si="12"/>
        <v>30</v>
      </c>
      <c r="AN19" s="2">
        <v>21</v>
      </c>
      <c r="AO19" s="72">
        <f t="shared" si="6"/>
        <v>0</v>
      </c>
      <c r="AP19" s="72">
        <f>Employment!B19</f>
        <v>6658</v>
      </c>
      <c r="AQ19" s="72">
        <f>Employment!C19</f>
        <v>248</v>
      </c>
      <c r="AR19" s="72">
        <f t="shared" ref="AR19" si="19">AR7</f>
        <v>0</v>
      </c>
      <c r="AS19" s="72">
        <f t="shared" si="8"/>
        <v>0</v>
      </c>
      <c r="AT19" s="5">
        <f t="shared" si="7"/>
        <v>18</v>
      </c>
      <c r="AU19" s="73">
        <f t="shared" ref="AU19:BF19" si="20">AU7</f>
        <v>0</v>
      </c>
      <c r="AV19" s="73">
        <f t="shared" si="20"/>
        <v>0</v>
      </c>
      <c r="AW19" s="73">
        <f t="shared" si="20"/>
        <v>0</v>
      </c>
      <c r="AX19" s="73">
        <f t="shared" si="20"/>
        <v>0</v>
      </c>
      <c r="AY19" s="73">
        <f t="shared" si="20"/>
        <v>0</v>
      </c>
      <c r="AZ19" s="73">
        <f t="shared" si="20"/>
        <v>1</v>
      </c>
      <c r="BA19" s="73">
        <f t="shared" si="20"/>
        <v>0</v>
      </c>
      <c r="BB19" s="73">
        <f t="shared" si="20"/>
        <v>0</v>
      </c>
      <c r="BC19" s="73">
        <f t="shared" si="20"/>
        <v>0</v>
      </c>
      <c r="BD19" s="73">
        <f t="shared" si="20"/>
        <v>0</v>
      </c>
      <c r="BE19" s="73">
        <f t="shared" si="20"/>
        <v>0</v>
      </c>
      <c r="BF19" s="73">
        <f t="shared" si="20"/>
        <v>0</v>
      </c>
    </row>
    <row r="20" spans="1:58" x14ac:dyDescent="0.3">
      <c r="A20" s="1">
        <f>Sheet2!A68</f>
        <v>39630</v>
      </c>
      <c r="B20" s="92">
        <f t="shared" si="0"/>
        <v>2008</v>
      </c>
      <c r="C20" s="2">
        <f>Sheet2!B68</f>
        <v>12386350</v>
      </c>
      <c r="D20" s="72">
        <f ca="1">OFFSET('Historic CDM'!$C$94,0,(ROW()-2)/12)/12*1000</f>
        <v>33839.896470912056</v>
      </c>
      <c r="E20" s="72">
        <f t="shared" ca="1" si="1"/>
        <v>12420189.896470912</v>
      </c>
      <c r="F20" s="2">
        <f>Sheet2!C68</f>
        <v>4260389.2699999996</v>
      </c>
      <c r="G20" s="72">
        <f ca="1">OFFSET('Historic CDM'!$C$108,0,(ROW()-2)/12)/12*1000</f>
        <v>11830.21630337546</v>
      </c>
      <c r="H20" s="72">
        <f t="shared" ca="1" si="2"/>
        <v>4272219.4863033751</v>
      </c>
      <c r="I20" s="2">
        <f>Sheet2!D68</f>
        <v>9570269.2799999993</v>
      </c>
      <c r="J20" s="72">
        <f ca="1">OFFSET('Historic CDM'!$C$122,0,(ROW()-2)/12)/12*1000</f>
        <v>28965.036581906286</v>
      </c>
      <c r="K20" s="72">
        <f t="shared" ca="1" si="3"/>
        <v>9599234.3165819049</v>
      </c>
      <c r="L20" s="2">
        <f>Sheet2!E68</f>
        <v>5567603.9499999993</v>
      </c>
      <c r="M20" s="72">
        <f ca="1">OFFSET('Historic CDM'!$C$136,0,(ROW()-2)/12)/12*1000</f>
        <v>15741.054705273882</v>
      </c>
      <c r="N20" s="72">
        <f t="shared" ca="1" si="4"/>
        <v>5583345.0047052735</v>
      </c>
      <c r="O20" s="2">
        <f>Sheet2!F68</f>
        <v>6850946.6100000003</v>
      </c>
      <c r="P20" s="72">
        <f ca="1">OFFSET('Historic CDM'!$C$150,0,(ROW()-2)/12)/12*1000</f>
        <v>23459.415277826261</v>
      </c>
      <c r="Q20" s="72">
        <f t="shared" ca="1" si="5"/>
        <v>6874406.0252778269</v>
      </c>
      <c r="R20" s="2">
        <f>Sheet2!G68</f>
        <v>255025.9</v>
      </c>
      <c r="S20" s="2">
        <f>Sheet2!H68</f>
        <v>4506.6000000000004</v>
      </c>
      <c r="T20" s="2">
        <f>Sheet2!I68</f>
        <v>45093</v>
      </c>
      <c r="U20" s="2">
        <f>Sheet2!J68</f>
        <v>999418.5</v>
      </c>
      <c r="V20" s="72">
        <v>28808.049999999996</v>
      </c>
      <c r="W20" s="72">
        <v>12600.699999999999</v>
      </c>
      <c r="X20" s="72">
        <v>11715.93</v>
      </c>
      <c r="Y20" s="72">
        <v>877.4</v>
      </c>
      <c r="Z20" s="72"/>
      <c r="AA20" s="72">
        <v>2022.5</v>
      </c>
      <c r="AB20" s="2">
        <v>15828</v>
      </c>
      <c r="AC20" s="2">
        <v>1892</v>
      </c>
      <c r="AD20" s="2">
        <v>187</v>
      </c>
      <c r="AE20" s="2">
        <v>5</v>
      </c>
      <c r="AF20" s="2">
        <v>1</v>
      </c>
      <c r="AG20" s="2">
        <v>122</v>
      </c>
      <c r="AH20" s="2">
        <v>301</v>
      </c>
      <c r="AI20" s="2">
        <v>4283</v>
      </c>
      <c r="AJ20" s="2">
        <v>3</v>
      </c>
      <c r="AK20" s="72">
        <f>Weather!B140</f>
        <v>4</v>
      </c>
      <c r="AL20" s="72">
        <f>Weather!C140</f>
        <v>97</v>
      </c>
      <c r="AM20" s="72">
        <f t="shared" si="12"/>
        <v>31</v>
      </c>
      <c r="AN20" s="2">
        <v>22</v>
      </c>
      <c r="AO20" s="72">
        <f t="shared" si="6"/>
        <v>0</v>
      </c>
      <c r="AP20" s="72">
        <f>Employment!B20</f>
        <v>6696.5</v>
      </c>
      <c r="AQ20" s="72">
        <f>Employment!C20</f>
        <v>251.1</v>
      </c>
      <c r="AR20" s="72">
        <f t="shared" ref="AR20" si="21">AR8</f>
        <v>0</v>
      </c>
      <c r="AS20" s="72">
        <f t="shared" si="8"/>
        <v>0</v>
      </c>
      <c r="AT20" s="5">
        <f t="shared" si="7"/>
        <v>19</v>
      </c>
      <c r="AU20" s="73">
        <f t="shared" ref="AU20:BF20" si="22">AU8</f>
        <v>0</v>
      </c>
      <c r="AV20" s="73">
        <f t="shared" si="22"/>
        <v>0</v>
      </c>
      <c r="AW20" s="73">
        <f t="shared" si="22"/>
        <v>0</v>
      </c>
      <c r="AX20" s="73">
        <f t="shared" si="22"/>
        <v>0</v>
      </c>
      <c r="AY20" s="73">
        <f t="shared" si="22"/>
        <v>0</v>
      </c>
      <c r="AZ20" s="73">
        <f t="shared" si="22"/>
        <v>0</v>
      </c>
      <c r="BA20" s="73">
        <f t="shared" si="22"/>
        <v>1</v>
      </c>
      <c r="BB20" s="73">
        <f t="shared" si="22"/>
        <v>0</v>
      </c>
      <c r="BC20" s="73">
        <f t="shared" si="22"/>
        <v>0</v>
      </c>
      <c r="BD20" s="73">
        <f t="shared" si="22"/>
        <v>0</v>
      </c>
      <c r="BE20" s="73">
        <f t="shared" si="22"/>
        <v>0</v>
      </c>
      <c r="BF20" s="73">
        <f t="shared" si="22"/>
        <v>0</v>
      </c>
    </row>
    <row r="21" spans="1:58" x14ac:dyDescent="0.3">
      <c r="A21" s="1">
        <f>Sheet2!A69</f>
        <v>39661</v>
      </c>
      <c r="B21" s="92">
        <f t="shared" si="0"/>
        <v>2008</v>
      </c>
      <c r="C21" s="2">
        <f>Sheet2!B69</f>
        <v>12035581</v>
      </c>
      <c r="D21" s="72">
        <f ca="1">OFFSET('Historic CDM'!$C$94,0,(ROW()-2)/12)/12*1000</f>
        <v>33839.896470912056</v>
      </c>
      <c r="E21" s="72">
        <f t="shared" ca="1" si="1"/>
        <v>12069420.896470912</v>
      </c>
      <c r="F21" s="2">
        <f>Sheet2!C69</f>
        <v>3994040.9299999997</v>
      </c>
      <c r="G21" s="72">
        <f ca="1">OFFSET('Historic CDM'!$C$108,0,(ROW()-2)/12)/12*1000</f>
        <v>11830.21630337546</v>
      </c>
      <c r="H21" s="72">
        <f t="shared" ca="1" si="2"/>
        <v>4005871.1463033753</v>
      </c>
      <c r="I21" s="2">
        <f>Sheet2!D69</f>
        <v>10241738.41</v>
      </c>
      <c r="J21" s="72">
        <f ca="1">OFFSET('Historic CDM'!$C$122,0,(ROW()-2)/12)/12*1000</f>
        <v>28965.036581906286</v>
      </c>
      <c r="K21" s="72">
        <f t="shared" ca="1" si="3"/>
        <v>10270703.446581906</v>
      </c>
      <c r="L21" s="2">
        <f>Sheet2!E69</f>
        <v>5509839.0199999996</v>
      </c>
      <c r="M21" s="72">
        <f ca="1">OFFSET('Historic CDM'!$C$136,0,(ROW()-2)/12)/12*1000</f>
        <v>15741.054705273882</v>
      </c>
      <c r="N21" s="72">
        <f t="shared" ca="1" si="4"/>
        <v>5525580.0747052738</v>
      </c>
      <c r="O21" s="2">
        <f>Sheet2!F69</f>
        <v>7293198.8099999996</v>
      </c>
      <c r="P21" s="72">
        <f ca="1">OFFSET('Historic CDM'!$C$150,0,(ROW()-2)/12)/12*1000</f>
        <v>23459.415277826261</v>
      </c>
      <c r="Q21" s="72">
        <f t="shared" ca="1" si="5"/>
        <v>7316658.2252778262</v>
      </c>
      <c r="R21" s="2">
        <f>Sheet2!G69</f>
        <v>302811.95</v>
      </c>
      <c r="S21" s="2">
        <f>Sheet2!H69</f>
        <v>4407.8999999999996</v>
      </c>
      <c r="T21" s="2">
        <f>Sheet2!I69</f>
        <v>48367</v>
      </c>
      <c r="U21" s="2">
        <f>Sheet2!J69</f>
        <v>866875.10000000009</v>
      </c>
      <c r="V21" s="72">
        <v>28071.88</v>
      </c>
      <c r="W21" s="72">
        <v>12360.67</v>
      </c>
      <c r="X21" s="72">
        <v>12292.94</v>
      </c>
      <c r="Y21" s="72">
        <v>877.4</v>
      </c>
      <c r="Z21" s="72"/>
      <c r="AA21" s="72">
        <v>2317.5</v>
      </c>
      <c r="AB21" s="2">
        <v>15830</v>
      </c>
      <c r="AC21" s="2">
        <v>1892</v>
      </c>
      <c r="AD21" s="2">
        <v>188</v>
      </c>
      <c r="AE21" s="2">
        <v>5</v>
      </c>
      <c r="AF21" s="2">
        <v>1</v>
      </c>
      <c r="AG21" s="2">
        <v>122</v>
      </c>
      <c r="AH21" s="2">
        <v>301</v>
      </c>
      <c r="AI21" s="2">
        <v>4283</v>
      </c>
      <c r="AJ21" s="2">
        <v>3</v>
      </c>
      <c r="AK21" s="72">
        <f>Weather!B141</f>
        <v>12.4</v>
      </c>
      <c r="AL21" s="72">
        <f>Weather!C141</f>
        <v>53.2</v>
      </c>
      <c r="AM21" s="72">
        <f t="shared" si="12"/>
        <v>31</v>
      </c>
      <c r="AN21" s="2">
        <v>20</v>
      </c>
      <c r="AO21" s="72">
        <f t="shared" si="6"/>
        <v>0</v>
      </c>
      <c r="AP21" s="72">
        <f>Employment!B21</f>
        <v>6700.1</v>
      </c>
      <c r="AQ21" s="72">
        <f>Employment!C21</f>
        <v>253.3</v>
      </c>
      <c r="AR21" s="72">
        <f t="shared" ref="AR21" si="23">AR9</f>
        <v>0</v>
      </c>
      <c r="AS21" s="72">
        <f t="shared" si="8"/>
        <v>0</v>
      </c>
      <c r="AT21" s="5">
        <f t="shared" si="7"/>
        <v>20</v>
      </c>
      <c r="AU21" s="73">
        <f t="shared" ref="AU21:BF21" si="24">AU9</f>
        <v>0</v>
      </c>
      <c r="AV21" s="73">
        <f t="shared" si="24"/>
        <v>0</v>
      </c>
      <c r="AW21" s="73">
        <f t="shared" si="24"/>
        <v>0</v>
      </c>
      <c r="AX21" s="73">
        <f t="shared" si="24"/>
        <v>0</v>
      </c>
      <c r="AY21" s="73">
        <f t="shared" si="24"/>
        <v>0</v>
      </c>
      <c r="AZ21" s="73">
        <f t="shared" si="24"/>
        <v>0</v>
      </c>
      <c r="BA21" s="73">
        <f t="shared" si="24"/>
        <v>0</v>
      </c>
      <c r="BB21" s="73">
        <f t="shared" si="24"/>
        <v>1</v>
      </c>
      <c r="BC21" s="73">
        <f t="shared" si="24"/>
        <v>0</v>
      </c>
      <c r="BD21" s="73">
        <f t="shared" si="24"/>
        <v>0</v>
      </c>
      <c r="BE21" s="73">
        <f t="shared" si="24"/>
        <v>0</v>
      </c>
      <c r="BF21" s="73">
        <f t="shared" si="24"/>
        <v>0</v>
      </c>
    </row>
    <row r="22" spans="1:58" x14ac:dyDescent="0.3">
      <c r="A22" s="1">
        <f>Sheet2!A70</f>
        <v>39692</v>
      </c>
      <c r="B22" s="92">
        <f t="shared" si="0"/>
        <v>2008</v>
      </c>
      <c r="C22" s="2">
        <f>Sheet2!B70</f>
        <v>9788869</v>
      </c>
      <c r="D22" s="72">
        <f ca="1">OFFSET('Historic CDM'!$C$94,0,(ROW()-2)/12)/12*1000</f>
        <v>33839.896470912056</v>
      </c>
      <c r="E22" s="72">
        <f t="shared" ca="1" si="1"/>
        <v>9822708.8964709118</v>
      </c>
      <c r="F22" s="2">
        <f>Sheet2!C70</f>
        <v>3862690.59</v>
      </c>
      <c r="G22" s="72">
        <f ca="1">OFFSET('Historic CDM'!$C$108,0,(ROW()-2)/12)/12*1000</f>
        <v>11830.21630337546</v>
      </c>
      <c r="H22" s="72">
        <f t="shared" ca="1" si="2"/>
        <v>3874520.8063033754</v>
      </c>
      <c r="I22" s="2">
        <f>Sheet2!D70</f>
        <v>9155910.6899999995</v>
      </c>
      <c r="J22" s="72">
        <f ca="1">OFFSET('Historic CDM'!$C$122,0,(ROW()-2)/12)/12*1000</f>
        <v>28965.036581906286</v>
      </c>
      <c r="K22" s="72">
        <f t="shared" ca="1" si="3"/>
        <v>9184875.726581905</v>
      </c>
      <c r="L22" s="2">
        <f>Sheet2!E70</f>
        <v>4935965.4000000004</v>
      </c>
      <c r="M22" s="72">
        <f ca="1">OFFSET('Historic CDM'!$C$136,0,(ROW()-2)/12)/12*1000</f>
        <v>15741.054705273882</v>
      </c>
      <c r="N22" s="72">
        <f t="shared" ca="1" si="4"/>
        <v>4951706.4547052747</v>
      </c>
      <c r="O22" s="2">
        <f>Sheet2!F70</f>
        <v>6618937.8200000003</v>
      </c>
      <c r="P22" s="72">
        <f ca="1">OFFSET('Historic CDM'!$C$150,0,(ROW()-2)/12)/12*1000</f>
        <v>23459.415277826261</v>
      </c>
      <c r="Q22" s="72">
        <f t="shared" ca="1" si="5"/>
        <v>6642397.2352778269</v>
      </c>
      <c r="R22" s="2">
        <f>Sheet2!G70</f>
        <v>322445.44</v>
      </c>
      <c r="S22" s="2">
        <f>Sheet2!H70</f>
        <v>4203</v>
      </c>
      <c r="T22" s="2">
        <f>Sheet2!I70</f>
        <v>47255</v>
      </c>
      <c r="U22" s="2">
        <f>Sheet2!J70</f>
        <v>851311.2</v>
      </c>
      <c r="V22" s="72">
        <v>29567.059999999998</v>
      </c>
      <c r="W22" s="72">
        <v>11315.300000000001</v>
      </c>
      <c r="X22" s="72">
        <v>13774.66</v>
      </c>
      <c r="Y22" s="72">
        <v>877.4</v>
      </c>
      <c r="Z22" s="72"/>
      <c r="AA22" s="72">
        <v>2493.6</v>
      </c>
      <c r="AB22" s="2">
        <v>15835</v>
      </c>
      <c r="AC22" s="2">
        <v>1892</v>
      </c>
      <c r="AD22" s="2">
        <v>189</v>
      </c>
      <c r="AE22" s="2">
        <v>5</v>
      </c>
      <c r="AF22" s="2">
        <v>1</v>
      </c>
      <c r="AG22" s="2">
        <v>128</v>
      </c>
      <c r="AH22" s="2">
        <v>301</v>
      </c>
      <c r="AI22" s="2">
        <v>4283</v>
      </c>
      <c r="AJ22" s="2">
        <v>3</v>
      </c>
      <c r="AK22" s="72">
        <f>Weather!B142</f>
        <v>56.7</v>
      </c>
      <c r="AL22" s="72">
        <f>Weather!C142</f>
        <v>21.4</v>
      </c>
      <c r="AM22" s="72">
        <f t="shared" si="12"/>
        <v>30</v>
      </c>
      <c r="AN22" s="2">
        <v>21</v>
      </c>
      <c r="AO22" s="72">
        <f t="shared" si="6"/>
        <v>1</v>
      </c>
      <c r="AP22" s="72">
        <f>Employment!B22</f>
        <v>6670.4</v>
      </c>
      <c r="AQ22" s="72">
        <f>Employment!C22</f>
        <v>252.7</v>
      </c>
      <c r="AR22" s="72">
        <f t="shared" ref="AR22" si="25">AR10</f>
        <v>0</v>
      </c>
      <c r="AS22" s="72">
        <f t="shared" si="8"/>
        <v>1</v>
      </c>
      <c r="AT22" s="5">
        <f t="shared" si="7"/>
        <v>21</v>
      </c>
      <c r="AU22" s="73">
        <f t="shared" ref="AU22:BF22" si="26">AU10</f>
        <v>0</v>
      </c>
      <c r="AV22" s="73">
        <f t="shared" si="26"/>
        <v>0</v>
      </c>
      <c r="AW22" s="73">
        <f t="shared" si="26"/>
        <v>0</v>
      </c>
      <c r="AX22" s="73">
        <f t="shared" si="26"/>
        <v>0</v>
      </c>
      <c r="AY22" s="73">
        <f t="shared" si="26"/>
        <v>0</v>
      </c>
      <c r="AZ22" s="73">
        <f t="shared" si="26"/>
        <v>0</v>
      </c>
      <c r="BA22" s="73">
        <f t="shared" si="26"/>
        <v>0</v>
      </c>
      <c r="BB22" s="73">
        <f t="shared" si="26"/>
        <v>0</v>
      </c>
      <c r="BC22" s="73">
        <f t="shared" si="26"/>
        <v>1</v>
      </c>
      <c r="BD22" s="73">
        <f t="shared" si="26"/>
        <v>0</v>
      </c>
      <c r="BE22" s="73">
        <f t="shared" si="26"/>
        <v>0</v>
      </c>
      <c r="BF22" s="73">
        <f t="shared" si="26"/>
        <v>0</v>
      </c>
    </row>
    <row r="23" spans="1:58" x14ac:dyDescent="0.3">
      <c r="A23" s="1">
        <f>Sheet2!A71</f>
        <v>39722</v>
      </c>
      <c r="B23" s="92">
        <f t="shared" si="0"/>
        <v>2008</v>
      </c>
      <c r="C23" s="2">
        <f>Sheet2!B71</f>
        <v>10018484</v>
      </c>
      <c r="D23" s="72">
        <f ca="1">OFFSET('Historic CDM'!$C$94,0,(ROW()-2)/12)/12*1000</f>
        <v>33839.896470912056</v>
      </c>
      <c r="E23" s="72">
        <f t="shared" ca="1" si="1"/>
        <v>10052323.896470912</v>
      </c>
      <c r="F23" s="2">
        <f>Sheet2!C71</f>
        <v>3734902.08</v>
      </c>
      <c r="G23" s="72">
        <f ca="1">OFFSET('Historic CDM'!$C$108,0,(ROW()-2)/12)/12*1000</f>
        <v>11830.21630337546</v>
      </c>
      <c r="H23" s="72">
        <f t="shared" ca="1" si="2"/>
        <v>3746732.2963033756</v>
      </c>
      <c r="I23" s="2">
        <f>Sheet2!D71</f>
        <v>10248761.92</v>
      </c>
      <c r="J23" s="72">
        <f ca="1">OFFSET('Historic CDM'!$C$122,0,(ROW()-2)/12)/12*1000</f>
        <v>28965.036581906286</v>
      </c>
      <c r="K23" s="72">
        <f t="shared" ca="1" si="3"/>
        <v>10277726.956581905</v>
      </c>
      <c r="L23" s="2">
        <f>Sheet2!E71</f>
        <v>5055625</v>
      </c>
      <c r="M23" s="72">
        <f ca="1">OFFSET('Historic CDM'!$C$136,0,(ROW()-2)/12)/12*1000</f>
        <v>15741.054705273882</v>
      </c>
      <c r="N23" s="72">
        <f t="shared" ca="1" si="4"/>
        <v>5071366.0547052743</v>
      </c>
      <c r="O23" s="2">
        <f>Sheet2!F71</f>
        <v>6357381.8700000001</v>
      </c>
      <c r="P23" s="72">
        <f ca="1">OFFSET('Historic CDM'!$C$150,0,(ROW()-2)/12)/12*1000</f>
        <v>23459.415277826261</v>
      </c>
      <c r="Q23" s="72">
        <f t="shared" ca="1" si="5"/>
        <v>6380841.2852778267</v>
      </c>
      <c r="R23" s="2">
        <f>Sheet2!G71</f>
        <v>370632.62</v>
      </c>
      <c r="S23" s="2">
        <f>Sheet2!H71-2000</f>
        <v>4979.2000000000007</v>
      </c>
      <c r="T23" s="2">
        <f>Sheet2!I71</f>
        <v>47255</v>
      </c>
      <c r="U23" s="2">
        <f>Sheet2!J71</f>
        <v>914410.6</v>
      </c>
      <c r="V23" s="72">
        <v>26194.21</v>
      </c>
      <c r="W23" s="72">
        <v>10595.88</v>
      </c>
      <c r="X23" s="72">
        <v>15647.23</v>
      </c>
      <c r="Y23" s="72">
        <v>877.4</v>
      </c>
      <c r="Z23" s="72"/>
      <c r="AA23" s="72">
        <v>1970.5</v>
      </c>
      <c r="AB23" s="2">
        <v>15841</v>
      </c>
      <c r="AC23" s="2">
        <v>1894</v>
      </c>
      <c r="AD23" s="2">
        <v>188</v>
      </c>
      <c r="AE23" s="2">
        <v>5</v>
      </c>
      <c r="AF23" s="2">
        <v>1</v>
      </c>
      <c r="AG23" s="2">
        <v>128</v>
      </c>
      <c r="AH23" s="2">
        <v>301</v>
      </c>
      <c r="AI23" s="2">
        <v>4283</v>
      </c>
      <c r="AJ23" s="2">
        <v>3</v>
      </c>
      <c r="AK23" s="72">
        <f>Weather!B143</f>
        <v>286.8</v>
      </c>
      <c r="AL23" s="72">
        <f>Weather!C143</f>
        <v>0</v>
      </c>
      <c r="AM23" s="72">
        <f t="shared" si="12"/>
        <v>31</v>
      </c>
      <c r="AN23" s="2">
        <v>22</v>
      </c>
      <c r="AO23" s="72">
        <f t="shared" si="6"/>
        <v>1</v>
      </c>
      <c r="AP23" s="72">
        <f>Employment!B23</f>
        <v>6670.2</v>
      </c>
      <c r="AQ23" s="72">
        <f>Employment!C23</f>
        <v>252.3</v>
      </c>
      <c r="AR23" s="72">
        <f t="shared" ref="AR23" si="27">AR11</f>
        <v>0</v>
      </c>
      <c r="AS23" s="72">
        <f t="shared" si="8"/>
        <v>1</v>
      </c>
      <c r="AT23" s="5">
        <f t="shared" si="7"/>
        <v>22</v>
      </c>
      <c r="AU23" s="73">
        <f t="shared" ref="AU23:BF23" si="28">AU11</f>
        <v>0</v>
      </c>
      <c r="AV23" s="73">
        <f t="shared" si="28"/>
        <v>0</v>
      </c>
      <c r="AW23" s="73">
        <f t="shared" si="28"/>
        <v>0</v>
      </c>
      <c r="AX23" s="73">
        <f t="shared" si="28"/>
        <v>0</v>
      </c>
      <c r="AY23" s="73">
        <f t="shared" si="28"/>
        <v>0</v>
      </c>
      <c r="AZ23" s="73">
        <f t="shared" si="28"/>
        <v>0</v>
      </c>
      <c r="BA23" s="73">
        <f t="shared" si="28"/>
        <v>0</v>
      </c>
      <c r="BB23" s="73">
        <f t="shared" si="28"/>
        <v>0</v>
      </c>
      <c r="BC23" s="73">
        <f t="shared" si="28"/>
        <v>0</v>
      </c>
      <c r="BD23" s="73">
        <f t="shared" si="28"/>
        <v>1</v>
      </c>
      <c r="BE23" s="73">
        <f t="shared" si="28"/>
        <v>0</v>
      </c>
      <c r="BF23" s="73">
        <f t="shared" si="28"/>
        <v>0</v>
      </c>
    </row>
    <row r="24" spans="1:58" x14ac:dyDescent="0.3">
      <c r="A24" s="1">
        <f>Sheet2!A72</f>
        <v>39753</v>
      </c>
      <c r="B24" s="92">
        <f t="shared" si="0"/>
        <v>2008</v>
      </c>
      <c r="C24" s="2">
        <f>Sheet2!B72</f>
        <v>11069387</v>
      </c>
      <c r="D24" s="72">
        <f ca="1">OFFSET('Historic CDM'!$C$94,0,(ROW()-2)/12)/12*1000</f>
        <v>33839.896470912056</v>
      </c>
      <c r="E24" s="72">
        <f t="shared" ca="1" si="1"/>
        <v>11103226.896470912</v>
      </c>
      <c r="F24" s="2">
        <f>Sheet2!C72</f>
        <v>3837921.6999999997</v>
      </c>
      <c r="G24" s="72">
        <f ca="1">OFFSET('Historic CDM'!$C$108,0,(ROW()-2)/12)/12*1000</f>
        <v>11830.21630337546</v>
      </c>
      <c r="H24" s="72">
        <f t="shared" ca="1" si="2"/>
        <v>3849751.9163033753</v>
      </c>
      <c r="I24" s="2">
        <f>Sheet2!D72</f>
        <v>9417064.8900000006</v>
      </c>
      <c r="J24" s="72">
        <f ca="1">OFFSET('Historic CDM'!$C$122,0,(ROW()-2)/12)/12*1000</f>
        <v>28965.036581906286</v>
      </c>
      <c r="K24" s="72">
        <f t="shared" ca="1" si="3"/>
        <v>9446029.9265819062</v>
      </c>
      <c r="L24" s="2">
        <f>Sheet2!E72</f>
        <v>4344233.5199999996</v>
      </c>
      <c r="M24" s="72">
        <f ca="1">OFFSET('Historic CDM'!$C$136,0,(ROW()-2)/12)/12*1000</f>
        <v>15741.054705273882</v>
      </c>
      <c r="N24" s="72">
        <f t="shared" ca="1" si="4"/>
        <v>4359974.5747052738</v>
      </c>
      <c r="O24" s="2">
        <f>Sheet2!F72</f>
        <v>6845092.6399999997</v>
      </c>
      <c r="P24" s="72">
        <f ca="1">OFFSET('Historic CDM'!$C$150,0,(ROW()-2)/12)/12*1000</f>
        <v>23459.415277826261</v>
      </c>
      <c r="Q24" s="72">
        <f t="shared" ca="1" si="5"/>
        <v>6868552.0552778263</v>
      </c>
      <c r="R24" s="2">
        <f>Sheet2!G72</f>
        <v>376949.12999999995</v>
      </c>
      <c r="S24" s="2">
        <f>Sheet2!H72</f>
        <v>4472.1000000000004</v>
      </c>
      <c r="T24" s="2">
        <f>Sheet2!I72</f>
        <v>42585</v>
      </c>
      <c r="U24" s="2">
        <f>Sheet2!J72</f>
        <v>1488516.8</v>
      </c>
      <c r="V24" s="72">
        <v>28871.329999999998</v>
      </c>
      <c r="W24" s="72">
        <v>10963.33</v>
      </c>
      <c r="X24" s="72">
        <v>15244.63</v>
      </c>
      <c r="Y24" s="72">
        <v>877.4</v>
      </c>
      <c r="Z24" s="72"/>
      <c r="AA24" s="72">
        <v>2274.5</v>
      </c>
      <c r="AB24" s="2">
        <v>15845</v>
      </c>
      <c r="AC24" s="2">
        <v>1892</v>
      </c>
      <c r="AD24" s="2">
        <v>189</v>
      </c>
      <c r="AE24" s="2">
        <v>5</v>
      </c>
      <c r="AF24" s="2">
        <v>1</v>
      </c>
      <c r="AG24" s="2">
        <v>128</v>
      </c>
      <c r="AH24" s="2">
        <v>301</v>
      </c>
      <c r="AI24" s="2">
        <v>4283</v>
      </c>
      <c r="AJ24" s="2">
        <v>3</v>
      </c>
      <c r="AK24" s="72">
        <f>Weather!B144</f>
        <v>468.3</v>
      </c>
      <c r="AL24" s="72">
        <f>Weather!C144</f>
        <v>0</v>
      </c>
      <c r="AM24" s="72">
        <f t="shared" si="12"/>
        <v>30</v>
      </c>
      <c r="AN24" s="2">
        <v>20</v>
      </c>
      <c r="AO24" s="72">
        <f t="shared" si="6"/>
        <v>1</v>
      </c>
      <c r="AP24" s="72">
        <f>Employment!B24</f>
        <v>6627.6</v>
      </c>
      <c r="AQ24" s="72">
        <f>Employment!C24</f>
        <v>250.5</v>
      </c>
      <c r="AR24" s="72">
        <f t="shared" ref="AR24" si="29">AR12</f>
        <v>0</v>
      </c>
      <c r="AS24" s="72">
        <f t="shared" si="8"/>
        <v>1</v>
      </c>
      <c r="AT24" s="5">
        <f t="shared" si="7"/>
        <v>23</v>
      </c>
      <c r="AU24" s="73">
        <f t="shared" ref="AU24:BF24" si="30">AU12</f>
        <v>0</v>
      </c>
      <c r="AV24" s="73">
        <f t="shared" si="30"/>
        <v>0</v>
      </c>
      <c r="AW24" s="73">
        <f t="shared" si="30"/>
        <v>0</v>
      </c>
      <c r="AX24" s="73">
        <f t="shared" si="30"/>
        <v>0</v>
      </c>
      <c r="AY24" s="73">
        <f t="shared" si="30"/>
        <v>0</v>
      </c>
      <c r="AZ24" s="73">
        <f t="shared" si="30"/>
        <v>0</v>
      </c>
      <c r="BA24" s="73">
        <f t="shared" si="30"/>
        <v>0</v>
      </c>
      <c r="BB24" s="73">
        <f t="shared" si="30"/>
        <v>0</v>
      </c>
      <c r="BC24" s="73">
        <f t="shared" si="30"/>
        <v>0</v>
      </c>
      <c r="BD24" s="73">
        <f t="shared" si="30"/>
        <v>0</v>
      </c>
      <c r="BE24" s="73">
        <f t="shared" si="30"/>
        <v>1</v>
      </c>
      <c r="BF24" s="73">
        <f t="shared" si="30"/>
        <v>0</v>
      </c>
    </row>
    <row r="25" spans="1:58" x14ac:dyDescent="0.3">
      <c r="A25" s="1">
        <f>Sheet2!A73</f>
        <v>39783</v>
      </c>
      <c r="B25" s="92">
        <f t="shared" si="0"/>
        <v>2008</v>
      </c>
      <c r="C25" s="2">
        <f>Sheet2!B73</f>
        <v>14717497</v>
      </c>
      <c r="D25" s="72">
        <f ca="1">OFFSET('Historic CDM'!$C$94,0,(ROW()-2)/12)/12*1000</f>
        <v>33839.896470912056</v>
      </c>
      <c r="E25" s="72">
        <f t="shared" ca="1" si="1"/>
        <v>14751336.896470912</v>
      </c>
      <c r="F25" s="2">
        <f>Sheet2!C73</f>
        <v>4501129.0999999996</v>
      </c>
      <c r="G25" s="72">
        <f ca="1">OFFSET('Historic CDM'!$C$108,0,(ROW()-2)/12)/12*1000</f>
        <v>11830.21630337546</v>
      </c>
      <c r="H25" s="72">
        <f t="shared" ca="1" si="2"/>
        <v>4512959.3163033752</v>
      </c>
      <c r="I25" s="2">
        <f>Sheet2!D73</f>
        <v>9177579.2200000007</v>
      </c>
      <c r="J25" s="72">
        <f ca="1">OFFSET('Historic CDM'!$C$122,0,(ROW()-2)/12)/12*1000</f>
        <v>28965.036581906286</v>
      </c>
      <c r="K25" s="72">
        <f t="shared" ca="1" si="3"/>
        <v>9206544.2565819062</v>
      </c>
      <c r="L25" s="60">
        <v>4151938</v>
      </c>
      <c r="M25" s="72">
        <f ca="1">OFFSET('Historic CDM'!$C$136,0,(ROW()-2)/12)/12*1000</f>
        <v>15741.054705273882</v>
      </c>
      <c r="N25" s="72">
        <f t="shared" ca="1" si="4"/>
        <v>4167679.0547052738</v>
      </c>
      <c r="O25" s="2">
        <f>Sheet2!F73</f>
        <v>5859572.5999999996</v>
      </c>
      <c r="P25" s="72">
        <f ca="1">OFFSET('Historic CDM'!$C$150,0,(ROW()-2)/12)/12*1000</f>
        <v>23459.415277826261</v>
      </c>
      <c r="Q25" s="72">
        <f t="shared" ca="1" si="5"/>
        <v>5883032.0152778262</v>
      </c>
      <c r="R25" s="2">
        <f>Sheet2!G73</f>
        <v>190864.89</v>
      </c>
      <c r="S25" s="2">
        <f>Sheet2!H73</f>
        <v>4538.1000000000004</v>
      </c>
      <c r="T25" s="2">
        <f>Sheet2!I73</f>
        <v>51925</v>
      </c>
      <c r="U25" s="2">
        <f>Sheet2!J73</f>
        <v>1749111.0999999999</v>
      </c>
      <c r="V25" s="72">
        <v>27433.299999999996</v>
      </c>
      <c r="W25" s="72">
        <v>10222.61</v>
      </c>
      <c r="X25" s="72">
        <v>15298.14</v>
      </c>
      <c r="Y25" s="72">
        <v>877.4</v>
      </c>
      <c r="Z25" s="72"/>
      <c r="AA25" s="72">
        <v>3151.3</v>
      </c>
      <c r="AB25" s="2">
        <v>15858</v>
      </c>
      <c r="AC25" s="2">
        <v>1892</v>
      </c>
      <c r="AD25" s="2">
        <v>188</v>
      </c>
      <c r="AE25" s="2">
        <v>5</v>
      </c>
      <c r="AF25" s="2">
        <v>1</v>
      </c>
      <c r="AG25" s="2">
        <v>128</v>
      </c>
      <c r="AH25" s="2">
        <v>301</v>
      </c>
      <c r="AI25" s="2">
        <v>4283</v>
      </c>
      <c r="AJ25" s="2">
        <v>3</v>
      </c>
      <c r="AK25" s="72">
        <f>Weather!B145</f>
        <v>671</v>
      </c>
      <c r="AL25" s="72">
        <f>Weather!C145</f>
        <v>0</v>
      </c>
      <c r="AM25" s="72">
        <f t="shared" si="12"/>
        <v>31</v>
      </c>
      <c r="AN25" s="2">
        <v>21</v>
      </c>
      <c r="AO25" s="72">
        <f t="shared" si="6"/>
        <v>0</v>
      </c>
      <c r="AP25" s="72">
        <f>Employment!B25</f>
        <v>6607.1</v>
      </c>
      <c r="AQ25" s="72">
        <f>Employment!C25</f>
        <v>248.2</v>
      </c>
      <c r="AR25" s="72">
        <f t="shared" ref="AR25" si="31">AR13</f>
        <v>0</v>
      </c>
      <c r="AS25" s="72">
        <f t="shared" si="8"/>
        <v>0</v>
      </c>
      <c r="AT25" s="5">
        <f t="shared" si="7"/>
        <v>24</v>
      </c>
      <c r="AU25" s="73">
        <f t="shared" ref="AU25:BF25" si="32">AU13</f>
        <v>0</v>
      </c>
      <c r="AV25" s="73">
        <f t="shared" si="32"/>
        <v>0</v>
      </c>
      <c r="AW25" s="73">
        <f t="shared" si="32"/>
        <v>0</v>
      </c>
      <c r="AX25" s="73">
        <f t="shared" si="32"/>
        <v>0</v>
      </c>
      <c r="AY25" s="73">
        <f t="shared" si="32"/>
        <v>0</v>
      </c>
      <c r="AZ25" s="73">
        <f t="shared" si="32"/>
        <v>0</v>
      </c>
      <c r="BA25" s="73">
        <f t="shared" si="32"/>
        <v>0</v>
      </c>
      <c r="BB25" s="73">
        <f t="shared" si="32"/>
        <v>0</v>
      </c>
      <c r="BC25" s="73">
        <f t="shared" si="32"/>
        <v>0</v>
      </c>
      <c r="BD25" s="73">
        <f t="shared" si="32"/>
        <v>0</v>
      </c>
      <c r="BE25" s="73">
        <f t="shared" si="32"/>
        <v>0</v>
      </c>
      <c r="BF25" s="73">
        <f t="shared" si="32"/>
        <v>1</v>
      </c>
    </row>
    <row r="26" spans="1:58" x14ac:dyDescent="0.3">
      <c r="A26" s="1">
        <f>Sheet2!A74</f>
        <v>39814</v>
      </c>
      <c r="B26" s="92">
        <f t="shared" si="0"/>
        <v>2009</v>
      </c>
      <c r="C26" s="2">
        <f>Sheet2!B74</f>
        <v>14920261</v>
      </c>
      <c r="D26" s="72">
        <f ca="1">OFFSET('Historic CDM'!$C$94,0,(ROW()-2)/12)/12*1000</f>
        <v>73788.254319351079</v>
      </c>
      <c r="E26" s="72">
        <f t="shared" ca="1" si="1"/>
        <v>14994049.254319351</v>
      </c>
      <c r="F26" s="2">
        <f>Sheet2!C74</f>
        <v>5238899.08</v>
      </c>
      <c r="G26" s="72">
        <f ca="1">OFFSET('Historic CDM'!$C$108,0,(ROW()-2)/12)/12*1000</f>
        <v>25795.912525818519</v>
      </c>
      <c r="H26" s="72">
        <f t="shared" ca="1" si="2"/>
        <v>5264694.9925258188</v>
      </c>
      <c r="I26" s="2">
        <f>Sheet2!D74</f>
        <v>10051855.389999999</v>
      </c>
      <c r="J26" s="72">
        <f ca="1">OFFSET('Historic CDM'!$C$122,0,(ROW()-2)/12)/12*1000</f>
        <v>63158.570461708186</v>
      </c>
      <c r="K26" s="72">
        <f t="shared" ca="1" si="3"/>
        <v>10115013.960461708</v>
      </c>
      <c r="L26" s="60">
        <v>4203461</v>
      </c>
      <c r="M26" s="72">
        <f ca="1">OFFSET('Historic CDM'!$C$136,0,(ROW()-2)/12)/12*1000</f>
        <v>34323.537273406517</v>
      </c>
      <c r="N26" s="72">
        <f t="shared" ca="1" si="4"/>
        <v>4237784.537273407</v>
      </c>
      <c r="O26" s="2">
        <f>Sheet2!F74</f>
        <v>11338835.469999999</v>
      </c>
      <c r="P26" s="72">
        <f ca="1">OFFSET('Historic CDM'!$C$150,0,(ROW()-2)/12)/12*1000</f>
        <v>51153.504627044756</v>
      </c>
      <c r="Q26" s="72">
        <f t="shared" ca="1" si="5"/>
        <v>11389988.974627044</v>
      </c>
      <c r="R26" s="2">
        <f>Sheet2!G74</f>
        <v>402652.34000000008</v>
      </c>
      <c r="S26" s="2">
        <f>Sheet2!H74</f>
        <v>4614.8999999999996</v>
      </c>
      <c r="T26" s="2">
        <f>Sheet2!I74</f>
        <v>67159</v>
      </c>
      <c r="U26" s="2">
        <f>Sheet2!J74</f>
        <v>1853565.9</v>
      </c>
      <c r="V26" s="72">
        <v>26883.600000000002</v>
      </c>
      <c r="W26" s="72">
        <v>7528.1399999999994</v>
      </c>
      <c r="X26" s="72">
        <v>15321.18</v>
      </c>
      <c r="Y26" s="72">
        <v>404.02</v>
      </c>
      <c r="Z26" s="72"/>
      <c r="AA26" s="72">
        <v>3572.2999999999997</v>
      </c>
      <c r="AB26" s="2">
        <v>15860</v>
      </c>
      <c r="AC26" s="2">
        <v>1895</v>
      </c>
      <c r="AD26" s="2">
        <v>188</v>
      </c>
      <c r="AE26" s="2">
        <v>5</v>
      </c>
      <c r="AF26" s="2">
        <v>1</v>
      </c>
      <c r="AG26" s="2">
        <v>128</v>
      </c>
      <c r="AH26" s="2">
        <v>301</v>
      </c>
      <c r="AI26" s="2">
        <v>4283</v>
      </c>
      <c r="AJ26" s="2">
        <v>3</v>
      </c>
      <c r="AK26" s="72">
        <f>Weather!B146</f>
        <v>849.6</v>
      </c>
      <c r="AL26" s="72">
        <f>Weather!C146</f>
        <v>0</v>
      </c>
      <c r="AM26" s="72">
        <f t="shared" si="12"/>
        <v>31</v>
      </c>
      <c r="AN26" s="5">
        <v>21</v>
      </c>
      <c r="AO26" s="72">
        <f t="shared" si="6"/>
        <v>0</v>
      </c>
      <c r="AP26" s="72">
        <f>Employment!B26</f>
        <v>6506.5</v>
      </c>
      <c r="AQ26" s="72">
        <f>Employment!C26</f>
        <v>245.8</v>
      </c>
      <c r="AR26" s="72">
        <f t="shared" ref="AR26" si="33">AR14</f>
        <v>0</v>
      </c>
      <c r="AS26" s="72">
        <f t="shared" si="8"/>
        <v>0</v>
      </c>
      <c r="AT26" s="5">
        <f t="shared" si="7"/>
        <v>25</v>
      </c>
      <c r="AU26" s="73">
        <f t="shared" ref="AU26:BF26" si="34">AU14</f>
        <v>1</v>
      </c>
      <c r="AV26" s="73">
        <f t="shared" si="34"/>
        <v>0</v>
      </c>
      <c r="AW26" s="73">
        <f t="shared" si="34"/>
        <v>0</v>
      </c>
      <c r="AX26" s="73">
        <f t="shared" si="34"/>
        <v>0</v>
      </c>
      <c r="AY26" s="73">
        <f t="shared" si="34"/>
        <v>0</v>
      </c>
      <c r="AZ26" s="73">
        <f t="shared" si="34"/>
        <v>0</v>
      </c>
      <c r="BA26" s="73">
        <f t="shared" si="34"/>
        <v>0</v>
      </c>
      <c r="BB26" s="73">
        <f t="shared" si="34"/>
        <v>0</v>
      </c>
      <c r="BC26" s="73">
        <f t="shared" si="34"/>
        <v>0</v>
      </c>
      <c r="BD26" s="73">
        <f t="shared" si="34"/>
        <v>0</v>
      </c>
      <c r="BE26" s="73">
        <f t="shared" si="34"/>
        <v>0</v>
      </c>
      <c r="BF26" s="73">
        <f t="shared" si="34"/>
        <v>0</v>
      </c>
    </row>
    <row r="27" spans="1:58" x14ac:dyDescent="0.3">
      <c r="A27" s="1">
        <f>Sheet2!A75</f>
        <v>39845</v>
      </c>
      <c r="B27" s="92">
        <f t="shared" si="0"/>
        <v>2009</v>
      </c>
      <c r="C27" s="2">
        <f>Sheet2!B75</f>
        <v>13800243</v>
      </c>
      <c r="D27" s="72">
        <f ca="1">OFFSET('Historic CDM'!$C$94,0,(ROW()-2)/12)/12*1000</f>
        <v>73788.254319351079</v>
      </c>
      <c r="E27" s="72">
        <f t="shared" ca="1" si="1"/>
        <v>13874031.254319351</v>
      </c>
      <c r="F27" s="2">
        <f>Sheet2!C75</f>
        <v>4400973.78</v>
      </c>
      <c r="G27" s="72">
        <f ca="1">OFFSET('Historic CDM'!$C$108,0,(ROW()-2)/12)/12*1000</f>
        <v>25795.912525818519</v>
      </c>
      <c r="H27" s="72">
        <f t="shared" ca="1" si="2"/>
        <v>4426769.6925258189</v>
      </c>
      <c r="I27" s="2">
        <f>Sheet2!D75</f>
        <v>9462428.6400000006</v>
      </c>
      <c r="J27" s="72">
        <f ca="1">OFFSET('Historic CDM'!$C$122,0,(ROW()-2)/12)/12*1000</f>
        <v>63158.570461708186</v>
      </c>
      <c r="K27" s="72">
        <f t="shared" ca="1" si="3"/>
        <v>9525587.2104617096</v>
      </c>
      <c r="L27" s="60">
        <v>4074325</v>
      </c>
      <c r="M27" s="72">
        <f ca="1">OFFSET('Historic CDM'!$C$136,0,(ROW()-2)/12)/12*1000</f>
        <v>34323.537273406517</v>
      </c>
      <c r="N27" s="72">
        <f t="shared" ca="1" si="4"/>
        <v>4108648.5372734065</v>
      </c>
      <c r="O27" s="2">
        <f>Sheet2!F75</f>
        <v>7401739.6100000003</v>
      </c>
      <c r="P27" s="72">
        <f ca="1">OFFSET('Historic CDM'!$C$150,0,(ROW()-2)/12)/12*1000</f>
        <v>51153.504627044756</v>
      </c>
      <c r="Q27" s="72">
        <f t="shared" ca="1" si="5"/>
        <v>7452893.1146270446</v>
      </c>
      <c r="R27" s="60">
        <f>Sheet2!G75</f>
        <v>351224.01999999996</v>
      </c>
      <c r="S27" s="60">
        <f>Sheet2!H75</f>
        <v>3444.92</v>
      </c>
      <c r="T27" s="2">
        <f>Sheet2!I75</f>
        <v>48720</v>
      </c>
      <c r="U27" s="2">
        <f>Sheet2!J75</f>
        <v>1539591.0999999996</v>
      </c>
      <c r="V27" s="72">
        <v>29136.489999999998</v>
      </c>
      <c r="W27" s="72">
        <v>-1868.2700000000004</v>
      </c>
      <c r="X27" s="72">
        <v>9985.44</v>
      </c>
      <c r="Y27" s="72">
        <v>883.48000000000013</v>
      </c>
      <c r="Z27" s="72"/>
      <c r="AA27" s="72">
        <v>3510.1000000000004</v>
      </c>
      <c r="AB27" s="2">
        <v>15864</v>
      </c>
      <c r="AC27" s="2">
        <v>1895</v>
      </c>
      <c r="AD27" s="2">
        <v>189</v>
      </c>
      <c r="AE27" s="2">
        <v>5</v>
      </c>
      <c r="AF27" s="2">
        <v>1</v>
      </c>
      <c r="AG27" s="2">
        <v>128</v>
      </c>
      <c r="AH27" s="2">
        <v>301</v>
      </c>
      <c r="AI27" s="2">
        <v>4283</v>
      </c>
      <c r="AJ27" s="2">
        <v>3</v>
      </c>
      <c r="AK27" s="72">
        <f>Weather!B147</f>
        <v>612.70000000000005</v>
      </c>
      <c r="AL27" s="72">
        <f>Weather!C147</f>
        <v>0</v>
      </c>
      <c r="AM27" s="72">
        <v>28</v>
      </c>
      <c r="AN27" s="5">
        <v>19</v>
      </c>
      <c r="AO27" s="72">
        <f t="shared" si="6"/>
        <v>0</v>
      </c>
      <c r="AP27" s="72">
        <f>Employment!B27</f>
        <v>6436.2</v>
      </c>
      <c r="AQ27" s="72">
        <f>Employment!C27</f>
        <v>242.2</v>
      </c>
      <c r="AR27" s="72">
        <f t="shared" ref="AR27" si="35">AR15</f>
        <v>0</v>
      </c>
      <c r="AS27" s="72">
        <f t="shared" si="8"/>
        <v>0</v>
      </c>
      <c r="AT27" s="5">
        <f t="shared" si="7"/>
        <v>26</v>
      </c>
      <c r="AU27" s="73">
        <f t="shared" ref="AU27:BF27" si="36">AU15</f>
        <v>0</v>
      </c>
      <c r="AV27" s="73">
        <f t="shared" si="36"/>
        <v>1</v>
      </c>
      <c r="AW27" s="73">
        <f t="shared" si="36"/>
        <v>0</v>
      </c>
      <c r="AX27" s="73">
        <f t="shared" si="36"/>
        <v>0</v>
      </c>
      <c r="AY27" s="73">
        <f t="shared" si="36"/>
        <v>0</v>
      </c>
      <c r="AZ27" s="73">
        <f t="shared" si="36"/>
        <v>0</v>
      </c>
      <c r="BA27" s="73">
        <f t="shared" si="36"/>
        <v>0</v>
      </c>
      <c r="BB27" s="73">
        <f t="shared" si="36"/>
        <v>0</v>
      </c>
      <c r="BC27" s="73">
        <f t="shared" si="36"/>
        <v>0</v>
      </c>
      <c r="BD27" s="73">
        <f t="shared" si="36"/>
        <v>0</v>
      </c>
      <c r="BE27" s="73">
        <f t="shared" si="36"/>
        <v>0</v>
      </c>
      <c r="BF27" s="73">
        <f t="shared" si="36"/>
        <v>0</v>
      </c>
    </row>
    <row r="28" spans="1:58" x14ac:dyDescent="0.3">
      <c r="A28" s="1">
        <f>Sheet2!A76</f>
        <v>39873</v>
      </c>
      <c r="B28" s="92">
        <f t="shared" si="0"/>
        <v>2009</v>
      </c>
      <c r="C28" s="2">
        <f>Sheet2!B76</f>
        <v>11761386</v>
      </c>
      <c r="D28" s="72">
        <f ca="1">OFFSET('Historic CDM'!$C$94,0,(ROW()-2)/12)/12*1000</f>
        <v>73788.254319351079</v>
      </c>
      <c r="E28" s="72">
        <f t="shared" ca="1" si="1"/>
        <v>11835174.254319351</v>
      </c>
      <c r="F28" s="2">
        <f>Sheet2!C76</f>
        <v>4182026.88</v>
      </c>
      <c r="G28" s="72">
        <f ca="1">OFFSET('Historic CDM'!$C$108,0,(ROW()-2)/12)/12*1000</f>
        <v>25795.912525818519</v>
      </c>
      <c r="H28" s="72">
        <f t="shared" ca="1" si="2"/>
        <v>4207822.7925258186</v>
      </c>
      <c r="I28" s="2">
        <f>Sheet2!D76</f>
        <v>10161836.199999999</v>
      </c>
      <c r="J28" s="72">
        <f ca="1">OFFSET('Historic CDM'!$C$122,0,(ROW()-2)/12)/12*1000</f>
        <v>63158.570461708186</v>
      </c>
      <c r="K28" s="72">
        <f t="shared" ca="1" si="3"/>
        <v>10224994.770461708</v>
      </c>
      <c r="L28" s="60">
        <v>4178027</v>
      </c>
      <c r="M28" s="72">
        <f ca="1">OFFSET('Historic CDM'!$C$136,0,(ROW()-2)/12)/12*1000</f>
        <v>34323.537273406517</v>
      </c>
      <c r="N28" s="72">
        <f t="shared" ca="1" si="4"/>
        <v>4212350.537273407</v>
      </c>
      <c r="O28" s="2">
        <f>Sheet2!F76</f>
        <v>8135046.0300000003</v>
      </c>
      <c r="P28" s="72">
        <f ca="1">OFFSET('Historic CDM'!$C$150,0,(ROW()-2)/12)/12*1000</f>
        <v>51153.504627044756</v>
      </c>
      <c r="Q28" s="72">
        <f t="shared" ca="1" si="5"/>
        <v>8186199.5346270446</v>
      </c>
      <c r="R28" s="60">
        <f>Sheet2!G76</f>
        <v>502673.67</v>
      </c>
      <c r="S28" s="60">
        <f>Sheet2!H76+5000</f>
        <v>3662.4</v>
      </c>
      <c r="T28" s="2">
        <f>Sheet2!I76</f>
        <v>45790</v>
      </c>
      <c r="U28" s="2">
        <f>Sheet2!J76</f>
        <v>1569951</v>
      </c>
      <c r="V28" s="72">
        <v>28608.880000000001</v>
      </c>
      <c r="W28" s="72">
        <v>21644.12</v>
      </c>
      <c r="X28" s="72">
        <v>14625.46</v>
      </c>
      <c r="Y28" s="72">
        <v>883.4799999999999</v>
      </c>
      <c r="Z28" s="72"/>
      <c r="AA28" s="72">
        <v>3369.400000000001</v>
      </c>
      <c r="AB28" s="2">
        <v>15865</v>
      </c>
      <c r="AC28" s="2">
        <v>1896</v>
      </c>
      <c r="AD28" s="2">
        <v>189</v>
      </c>
      <c r="AE28" s="2">
        <v>5</v>
      </c>
      <c r="AF28" s="2">
        <v>1</v>
      </c>
      <c r="AG28" s="2">
        <v>128</v>
      </c>
      <c r="AH28" s="2">
        <v>301</v>
      </c>
      <c r="AI28" s="2">
        <v>4283</v>
      </c>
      <c r="AJ28" s="2">
        <v>3</v>
      </c>
      <c r="AK28" s="72">
        <f>Weather!B148</f>
        <v>533.29999999999995</v>
      </c>
      <c r="AL28" s="72">
        <f>Weather!C148</f>
        <v>0</v>
      </c>
      <c r="AM28" s="72">
        <f t="shared" si="12"/>
        <v>31</v>
      </c>
      <c r="AN28" s="5">
        <v>22</v>
      </c>
      <c r="AO28" s="72">
        <f t="shared" si="6"/>
        <v>1</v>
      </c>
      <c r="AP28" s="72">
        <f>Employment!B28</f>
        <v>6363.8</v>
      </c>
      <c r="AQ28" s="72">
        <f>Employment!C28</f>
        <v>238.1</v>
      </c>
      <c r="AR28" s="72">
        <f t="shared" ref="AR28" si="37">AR16</f>
        <v>1</v>
      </c>
      <c r="AS28" s="72">
        <f t="shared" si="8"/>
        <v>0</v>
      </c>
      <c r="AT28" s="5">
        <f t="shared" si="7"/>
        <v>27</v>
      </c>
      <c r="AU28" s="73">
        <f t="shared" ref="AU28:BF28" si="38">AU16</f>
        <v>0</v>
      </c>
      <c r="AV28" s="73">
        <f t="shared" si="38"/>
        <v>0</v>
      </c>
      <c r="AW28" s="73">
        <f t="shared" si="38"/>
        <v>1</v>
      </c>
      <c r="AX28" s="73">
        <f t="shared" si="38"/>
        <v>0</v>
      </c>
      <c r="AY28" s="73">
        <f t="shared" si="38"/>
        <v>0</v>
      </c>
      <c r="AZ28" s="73">
        <f t="shared" si="38"/>
        <v>0</v>
      </c>
      <c r="BA28" s="73">
        <f t="shared" si="38"/>
        <v>0</v>
      </c>
      <c r="BB28" s="73">
        <f t="shared" si="38"/>
        <v>0</v>
      </c>
      <c r="BC28" s="73">
        <f t="shared" si="38"/>
        <v>0</v>
      </c>
      <c r="BD28" s="73">
        <f t="shared" si="38"/>
        <v>0</v>
      </c>
      <c r="BE28" s="73">
        <f t="shared" si="38"/>
        <v>0</v>
      </c>
      <c r="BF28" s="73">
        <f t="shared" si="38"/>
        <v>0</v>
      </c>
    </row>
    <row r="29" spans="1:58" x14ac:dyDescent="0.3">
      <c r="A29" s="1">
        <f>Sheet2!A77</f>
        <v>39904</v>
      </c>
      <c r="B29" s="92">
        <f t="shared" si="0"/>
        <v>2009</v>
      </c>
      <c r="C29" s="2">
        <f>Sheet2!B77</f>
        <v>11296306</v>
      </c>
      <c r="D29" s="72">
        <f ca="1">OFFSET('Historic CDM'!$C$94,0,(ROW()-2)/12)/12*1000</f>
        <v>73788.254319351079</v>
      </c>
      <c r="E29" s="72">
        <f t="shared" ca="1" si="1"/>
        <v>11370094.254319351</v>
      </c>
      <c r="F29" s="2">
        <f>Sheet2!C77</f>
        <v>3890106.5700000003</v>
      </c>
      <c r="G29" s="72">
        <f ca="1">OFFSET('Historic CDM'!$C$108,0,(ROW()-2)/12)/12*1000</f>
        <v>25795.912525818519</v>
      </c>
      <c r="H29" s="72">
        <f t="shared" ca="1" si="2"/>
        <v>3915902.482525819</v>
      </c>
      <c r="I29" s="2">
        <f>Sheet2!D77</f>
        <v>9143833.6099999994</v>
      </c>
      <c r="J29" s="72">
        <f ca="1">OFFSET('Historic CDM'!$C$122,0,(ROW()-2)/12)/12*1000</f>
        <v>63158.570461708186</v>
      </c>
      <c r="K29" s="72">
        <f t="shared" ca="1" si="3"/>
        <v>9206992.1804617085</v>
      </c>
      <c r="L29" s="60">
        <f>Sheet2!E77</f>
        <v>4419702.63</v>
      </c>
      <c r="M29" s="72">
        <f ca="1">OFFSET('Historic CDM'!$C$136,0,(ROW()-2)/12)/12*1000</f>
        <v>34323.537273406517</v>
      </c>
      <c r="N29" s="72">
        <f t="shared" ca="1" si="4"/>
        <v>4454026.1672734059</v>
      </c>
      <c r="O29" s="2">
        <f>Sheet2!F77</f>
        <v>7557916.0099999998</v>
      </c>
      <c r="P29" s="72">
        <f ca="1">OFFSET('Historic CDM'!$C$150,0,(ROW()-2)/12)/12*1000</f>
        <v>51153.504627044756</v>
      </c>
      <c r="Q29" s="72">
        <f t="shared" ca="1" si="5"/>
        <v>7609069.5146270441</v>
      </c>
      <c r="R29" s="60">
        <f>Sheet2!G77</f>
        <v>287156.21999999997</v>
      </c>
      <c r="S29" s="60">
        <f>Sheet2!H77</f>
        <v>3806.3</v>
      </c>
      <c r="T29" s="2">
        <f>Sheet2!I77</f>
        <v>47255</v>
      </c>
      <c r="U29" s="2">
        <f>Sheet2!J77</f>
        <v>1325732.8999999999</v>
      </c>
      <c r="V29" s="72">
        <v>29738.139999999996</v>
      </c>
      <c r="W29" s="72">
        <v>11995.34</v>
      </c>
      <c r="X29" s="72">
        <v>14724.36</v>
      </c>
      <c r="Y29" s="72">
        <v>1366.38</v>
      </c>
      <c r="Z29" s="72"/>
      <c r="AA29" s="72">
        <v>3440.3999999999996</v>
      </c>
      <c r="AB29" s="2">
        <v>15868</v>
      </c>
      <c r="AC29" s="2">
        <v>1897</v>
      </c>
      <c r="AD29" s="2">
        <v>189</v>
      </c>
      <c r="AE29" s="2">
        <v>5</v>
      </c>
      <c r="AF29" s="2">
        <v>1</v>
      </c>
      <c r="AG29" s="2">
        <v>128</v>
      </c>
      <c r="AH29" s="2">
        <v>301</v>
      </c>
      <c r="AI29" s="2">
        <v>4283</v>
      </c>
      <c r="AJ29" s="2">
        <v>3</v>
      </c>
      <c r="AK29" s="72">
        <f>Weather!B149</f>
        <v>307</v>
      </c>
      <c r="AL29" s="72">
        <f>Weather!C149</f>
        <v>3.2</v>
      </c>
      <c r="AM29" s="72">
        <f t="shared" si="12"/>
        <v>30</v>
      </c>
      <c r="AN29" s="5">
        <v>20</v>
      </c>
      <c r="AO29" s="72">
        <f t="shared" si="6"/>
        <v>1</v>
      </c>
      <c r="AP29" s="72">
        <f>Employment!B29</f>
        <v>6359.6</v>
      </c>
      <c r="AQ29" s="72">
        <f>Employment!C29</f>
        <v>234.6</v>
      </c>
      <c r="AR29" s="72">
        <f t="shared" ref="AR29" si="39">AR17</f>
        <v>1</v>
      </c>
      <c r="AS29" s="72">
        <f t="shared" si="8"/>
        <v>0</v>
      </c>
      <c r="AT29" s="5">
        <f t="shared" si="7"/>
        <v>28</v>
      </c>
      <c r="AU29" s="73">
        <f t="shared" ref="AU29:BF29" si="40">AU17</f>
        <v>0</v>
      </c>
      <c r="AV29" s="73">
        <f t="shared" si="40"/>
        <v>0</v>
      </c>
      <c r="AW29" s="73">
        <f t="shared" si="40"/>
        <v>0</v>
      </c>
      <c r="AX29" s="73">
        <f t="shared" si="40"/>
        <v>1</v>
      </c>
      <c r="AY29" s="73">
        <f t="shared" si="40"/>
        <v>0</v>
      </c>
      <c r="AZ29" s="73">
        <f t="shared" si="40"/>
        <v>0</v>
      </c>
      <c r="BA29" s="73">
        <f t="shared" si="40"/>
        <v>0</v>
      </c>
      <c r="BB29" s="73">
        <f t="shared" si="40"/>
        <v>0</v>
      </c>
      <c r="BC29" s="73">
        <f t="shared" si="40"/>
        <v>0</v>
      </c>
      <c r="BD29" s="73">
        <f t="shared" si="40"/>
        <v>0</v>
      </c>
      <c r="BE29" s="73">
        <f t="shared" si="40"/>
        <v>0</v>
      </c>
      <c r="BF29" s="73">
        <f t="shared" si="40"/>
        <v>0</v>
      </c>
    </row>
    <row r="30" spans="1:58" x14ac:dyDescent="0.3">
      <c r="A30" s="1">
        <f>Sheet2!A78</f>
        <v>39934</v>
      </c>
      <c r="B30" s="92">
        <f t="shared" si="0"/>
        <v>2009</v>
      </c>
      <c r="C30" s="2">
        <f>Sheet2!B78</f>
        <v>9038913.8000000007</v>
      </c>
      <c r="D30" s="72">
        <f ca="1">OFFSET('Historic CDM'!$C$94,0,(ROW()-2)/12)/12*1000</f>
        <v>73788.254319351079</v>
      </c>
      <c r="E30" s="72">
        <f t="shared" ca="1" si="1"/>
        <v>9112702.0543193519</v>
      </c>
      <c r="F30" s="2">
        <f>Sheet2!C78</f>
        <v>3316250.84</v>
      </c>
      <c r="G30" s="72">
        <f ca="1">OFFSET('Historic CDM'!$C$108,0,(ROW()-2)/12)/12*1000</f>
        <v>25795.912525818519</v>
      </c>
      <c r="H30" s="72">
        <f t="shared" ca="1" si="2"/>
        <v>3342046.7525258185</v>
      </c>
      <c r="I30" s="2">
        <f>Sheet2!D78</f>
        <v>8756900.0899999999</v>
      </c>
      <c r="J30" s="72">
        <f ca="1">OFFSET('Historic CDM'!$C$122,0,(ROW()-2)/12)/12*1000</f>
        <v>63158.570461708186</v>
      </c>
      <c r="K30" s="72">
        <f t="shared" ca="1" si="3"/>
        <v>8820058.6604617089</v>
      </c>
      <c r="L30" s="2">
        <f>Sheet2!E78</f>
        <v>4827752.5999999996</v>
      </c>
      <c r="M30" s="72">
        <f ca="1">OFFSET('Historic CDM'!$C$136,0,(ROW()-2)/12)/12*1000</f>
        <v>34323.537273406517</v>
      </c>
      <c r="N30" s="72">
        <f t="shared" ca="1" si="4"/>
        <v>4862076.1372734066</v>
      </c>
      <c r="O30" s="2">
        <f>Sheet2!F78</f>
        <v>8326649.0599999996</v>
      </c>
      <c r="P30" s="72">
        <f ca="1">OFFSET('Historic CDM'!$C$150,0,(ROW()-2)/12)/12*1000</f>
        <v>51153.504627044756</v>
      </c>
      <c r="Q30" s="72">
        <f t="shared" ca="1" si="5"/>
        <v>8377802.5646270439</v>
      </c>
      <c r="R30" s="60">
        <f>Sheet2!G78</f>
        <v>271788.79000000004</v>
      </c>
      <c r="S30" s="60">
        <f>Sheet2!H78</f>
        <v>3993.3</v>
      </c>
      <c r="T30" s="2">
        <f>Sheet2!I78</f>
        <v>47255</v>
      </c>
      <c r="U30" s="2">
        <f>Sheet2!J78</f>
        <v>1225176.2</v>
      </c>
      <c r="V30" s="72">
        <v>26750.87</v>
      </c>
      <c r="W30" s="72">
        <v>9999.0400000000009</v>
      </c>
      <c r="X30" s="72">
        <v>14908.23</v>
      </c>
      <c r="Y30" s="72">
        <v>883.4799999999999</v>
      </c>
      <c r="Z30" s="72"/>
      <c r="AA30" s="72">
        <v>2846.6000000000004</v>
      </c>
      <c r="AB30" s="2">
        <v>15874</v>
      </c>
      <c r="AC30" s="2">
        <v>1896</v>
      </c>
      <c r="AD30" s="2">
        <v>189</v>
      </c>
      <c r="AE30" s="2">
        <v>5</v>
      </c>
      <c r="AF30" s="2">
        <v>1</v>
      </c>
      <c r="AG30" s="2">
        <v>128</v>
      </c>
      <c r="AH30" s="2">
        <v>301</v>
      </c>
      <c r="AI30" s="2">
        <v>4283</v>
      </c>
      <c r="AJ30" s="2">
        <v>3</v>
      </c>
      <c r="AK30" s="72">
        <f>Weather!B150</f>
        <v>156.9</v>
      </c>
      <c r="AL30" s="72">
        <f>Weather!C150</f>
        <v>3.1</v>
      </c>
      <c r="AM30" s="72">
        <f t="shared" si="12"/>
        <v>31</v>
      </c>
      <c r="AN30" s="5">
        <v>20</v>
      </c>
      <c r="AO30" s="72">
        <f t="shared" si="6"/>
        <v>1</v>
      </c>
      <c r="AP30" s="72">
        <f>Employment!B30</f>
        <v>6382.1</v>
      </c>
      <c r="AQ30" s="72">
        <f>Employment!C30</f>
        <v>235</v>
      </c>
      <c r="AR30" s="72">
        <f t="shared" ref="AR30" si="41">AR18</f>
        <v>1</v>
      </c>
      <c r="AS30" s="72">
        <f t="shared" si="8"/>
        <v>0</v>
      </c>
      <c r="AT30" s="5">
        <f t="shared" si="7"/>
        <v>29</v>
      </c>
      <c r="AU30" s="73">
        <f t="shared" ref="AU30:BF30" si="42">AU18</f>
        <v>0</v>
      </c>
      <c r="AV30" s="73">
        <f t="shared" si="42"/>
        <v>0</v>
      </c>
      <c r="AW30" s="73">
        <f t="shared" si="42"/>
        <v>0</v>
      </c>
      <c r="AX30" s="73">
        <f t="shared" si="42"/>
        <v>0</v>
      </c>
      <c r="AY30" s="73">
        <f t="shared" si="42"/>
        <v>1</v>
      </c>
      <c r="AZ30" s="73">
        <f t="shared" si="42"/>
        <v>0</v>
      </c>
      <c r="BA30" s="73">
        <f t="shared" si="42"/>
        <v>0</v>
      </c>
      <c r="BB30" s="73">
        <f t="shared" si="42"/>
        <v>0</v>
      </c>
      <c r="BC30" s="73">
        <f t="shared" si="42"/>
        <v>0</v>
      </c>
      <c r="BD30" s="73">
        <f t="shared" si="42"/>
        <v>0</v>
      </c>
      <c r="BE30" s="73">
        <f t="shared" si="42"/>
        <v>0</v>
      </c>
      <c r="BF30" s="73">
        <f t="shared" si="42"/>
        <v>0</v>
      </c>
    </row>
    <row r="31" spans="1:58" x14ac:dyDescent="0.3">
      <c r="A31" s="1">
        <f>Sheet2!A79</f>
        <v>39965</v>
      </c>
      <c r="B31" s="92">
        <f t="shared" si="0"/>
        <v>2009</v>
      </c>
      <c r="C31" s="2">
        <f>Sheet2!B79</f>
        <v>9952825.1999999993</v>
      </c>
      <c r="D31" s="72">
        <f ca="1">OFFSET('Historic CDM'!$C$94,0,(ROW()-2)/12)/12*1000</f>
        <v>73788.254319351079</v>
      </c>
      <c r="E31" s="72">
        <f t="shared" ca="1" si="1"/>
        <v>10026613.45431935</v>
      </c>
      <c r="F31" s="2">
        <f>Sheet2!C79</f>
        <v>3634312.5</v>
      </c>
      <c r="G31" s="72">
        <f ca="1">OFFSET('Historic CDM'!$C$108,0,(ROW()-2)/12)/12*1000</f>
        <v>25795.912525818519</v>
      </c>
      <c r="H31" s="72">
        <f t="shared" ca="1" si="2"/>
        <v>3660108.4125258187</v>
      </c>
      <c r="I31" s="2">
        <f>Sheet2!D79</f>
        <v>8257084.7700000005</v>
      </c>
      <c r="J31" s="72">
        <f ca="1">OFFSET('Historic CDM'!$C$122,0,(ROW()-2)/12)/12*1000</f>
        <v>63158.570461708186</v>
      </c>
      <c r="K31" s="72">
        <f t="shared" ca="1" si="3"/>
        <v>8320243.3404617086</v>
      </c>
      <c r="L31" s="2">
        <f>Sheet2!E79</f>
        <v>3733755.7199999997</v>
      </c>
      <c r="M31" s="72">
        <f ca="1">OFFSET('Historic CDM'!$C$136,0,(ROW()-2)/12)/12*1000</f>
        <v>34323.537273406517</v>
      </c>
      <c r="N31" s="72">
        <f t="shared" ca="1" si="4"/>
        <v>3768079.2572734063</v>
      </c>
      <c r="O31" s="2">
        <f>Sheet2!F79</f>
        <v>7696425.7199999997</v>
      </c>
      <c r="P31" s="72">
        <f ca="1">OFFSET('Historic CDM'!$C$150,0,(ROW()-2)/12)/12*1000</f>
        <v>51153.504627044756</v>
      </c>
      <c r="Q31" s="72">
        <f t="shared" ca="1" si="5"/>
        <v>7747579.2246270441</v>
      </c>
      <c r="R31" s="2">
        <f>Sheet2!G79</f>
        <v>247175.73</v>
      </c>
      <c r="S31" s="2">
        <f>Sheet2!H79</f>
        <v>4909.7999999999993</v>
      </c>
      <c r="T31" s="2">
        <f>Sheet2!I79</f>
        <v>47255</v>
      </c>
      <c r="U31" s="2">
        <f>Sheet2!J79</f>
        <v>1229186.1000000001</v>
      </c>
      <c r="V31" s="72">
        <v>27161.279999999995</v>
      </c>
      <c r="W31" s="72">
        <v>10210.049999999999</v>
      </c>
      <c r="X31" s="72">
        <v>14588.75</v>
      </c>
      <c r="Y31" s="72">
        <v>887.51</v>
      </c>
      <c r="Z31" s="72"/>
      <c r="AA31" s="72">
        <v>2453.5</v>
      </c>
      <c r="AB31" s="2">
        <v>15886</v>
      </c>
      <c r="AC31" s="2">
        <v>1896</v>
      </c>
      <c r="AD31" s="2">
        <v>189</v>
      </c>
      <c r="AE31" s="2">
        <v>5</v>
      </c>
      <c r="AF31" s="2">
        <v>1</v>
      </c>
      <c r="AG31" s="2">
        <v>128</v>
      </c>
      <c r="AH31" s="2">
        <v>301</v>
      </c>
      <c r="AI31" s="2">
        <v>4283</v>
      </c>
      <c r="AJ31" s="2">
        <v>3</v>
      </c>
      <c r="AK31" s="72">
        <f>Weather!B151</f>
        <v>49.7</v>
      </c>
      <c r="AL31" s="72">
        <f>Weather!C151</f>
        <v>35.5</v>
      </c>
      <c r="AM31" s="72">
        <f t="shared" si="12"/>
        <v>30</v>
      </c>
      <c r="AN31" s="5">
        <v>22</v>
      </c>
      <c r="AO31" s="72">
        <f t="shared" si="6"/>
        <v>0</v>
      </c>
      <c r="AP31" s="72">
        <f>Employment!B31</f>
        <v>6429.4</v>
      </c>
      <c r="AQ31" s="72">
        <f>Employment!C31</f>
        <v>237.3</v>
      </c>
      <c r="AR31" s="72">
        <f t="shared" ref="AR31" si="43">AR19</f>
        <v>0</v>
      </c>
      <c r="AS31" s="72">
        <f t="shared" si="8"/>
        <v>0</v>
      </c>
      <c r="AT31" s="5">
        <f t="shared" si="7"/>
        <v>30</v>
      </c>
      <c r="AU31" s="73">
        <f t="shared" ref="AU31:BF31" si="44">AU19</f>
        <v>0</v>
      </c>
      <c r="AV31" s="73">
        <f t="shared" si="44"/>
        <v>0</v>
      </c>
      <c r="AW31" s="73">
        <f t="shared" si="44"/>
        <v>0</v>
      </c>
      <c r="AX31" s="73">
        <f t="shared" si="44"/>
        <v>0</v>
      </c>
      <c r="AY31" s="73">
        <f t="shared" si="44"/>
        <v>0</v>
      </c>
      <c r="AZ31" s="73">
        <f t="shared" si="44"/>
        <v>1</v>
      </c>
      <c r="BA31" s="73">
        <f t="shared" si="44"/>
        <v>0</v>
      </c>
      <c r="BB31" s="73">
        <f t="shared" si="44"/>
        <v>0</v>
      </c>
      <c r="BC31" s="73">
        <f t="shared" si="44"/>
        <v>0</v>
      </c>
      <c r="BD31" s="73">
        <f t="shared" si="44"/>
        <v>0</v>
      </c>
      <c r="BE31" s="73">
        <f t="shared" si="44"/>
        <v>0</v>
      </c>
      <c r="BF31" s="73">
        <f t="shared" si="44"/>
        <v>0</v>
      </c>
    </row>
    <row r="32" spans="1:58" x14ac:dyDescent="0.3">
      <c r="A32" s="1">
        <f>Sheet2!A80</f>
        <v>39995</v>
      </c>
      <c r="B32" s="92">
        <f t="shared" si="0"/>
        <v>2009</v>
      </c>
      <c r="C32" s="2">
        <f>Sheet2!B80</f>
        <v>11096498</v>
      </c>
      <c r="D32" s="72">
        <f ca="1">OFFSET('Historic CDM'!$C$94,0,(ROW()-2)/12)/12*1000</f>
        <v>73788.254319351079</v>
      </c>
      <c r="E32" s="72">
        <f t="shared" ca="1" si="1"/>
        <v>11170286.254319351</v>
      </c>
      <c r="F32" s="2">
        <f>Sheet2!C80</f>
        <v>3944998.11</v>
      </c>
      <c r="G32" s="72">
        <f ca="1">OFFSET('Historic CDM'!$C$108,0,(ROW()-2)/12)/12*1000</f>
        <v>25795.912525818519</v>
      </c>
      <c r="H32" s="72">
        <f t="shared" ca="1" si="2"/>
        <v>3970794.0225258186</v>
      </c>
      <c r="I32" s="2">
        <f>Sheet2!D80</f>
        <v>9338664.8699999992</v>
      </c>
      <c r="J32" s="72">
        <f ca="1">OFFSET('Historic CDM'!$C$122,0,(ROW()-2)/12)/12*1000</f>
        <v>63158.570461708186</v>
      </c>
      <c r="K32" s="72">
        <f t="shared" ca="1" si="3"/>
        <v>9401823.4404617082</v>
      </c>
      <c r="L32" s="2">
        <f>Sheet2!E80</f>
        <v>5691131.2800000003</v>
      </c>
      <c r="M32" s="72">
        <f ca="1">OFFSET('Historic CDM'!$C$136,0,(ROW()-2)/12)/12*1000</f>
        <v>34323.537273406517</v>
      </c>
      <c r="N32" s="72">
        <f t="shared" ca="1" si="4"/>
        <v>5725454.8172734063</v>
      </c>
      <c r="O32" s="2">
        <f>Sheet2!F80</f>
        <v>8558274.1999999993</v>
      </c>
      <c r="P32" s="72">
        <f ca="1">OFFSET('Historic CDM'!$C$150,0,(ROW()-2)/12)/12*1000</f>
        <v>51153.504627044756</v>
      </c>
      <c r="Q32" s="72">
        <f t="shared" ca="1" si="5"/>
        <v>8609427.7046270445</v>
      </c>
      <c r="R32" s="2">
        <f>Sheet2!G80</f>
        <v>164829.65</v>
      </c>
      <c r="S32" s="2">
        <f>Sheet2!H80</f>
        <v>4505.1000000000004</v>
      </c>
      <c r="T32" s="2">
        <f>Sheet2!I80</f>
        <v>47255</v>
      </c>
      <c r="U32" s="2">
        <f>Sheet2!J80</f>
        <v>1287926.1000000001</v>
      </c>
      <c r="V32" s="72">
        <v>25795.279999999999</v>
      </c>
      <c r="W32" s="72">
        <v>8434.43</v>
      </c>
      <c r="X32" s="72">
        <v>15750.24</v>
      </c>
      <c r="Y32" s="72">
        <v>887.51</v>
      </c>
      <c r="Z32" s="72"/>
      <c r="AA32" s="72">
        <v>2839.5</v>
      </c>
      <c r="AB32" s="2">
        <v>15895</v>
      </c>
      <c r="AC32" s="2">
        <v>1895</v>
      </c>
      <c r="AD32" s="2">
        <v>189</v>
      </c>
      <c r="AE32" s="2">
        <v>5</v>
      </c>
      <c r="AF32" s="2">
        <v>1</v>
      </c>
      <c r="AG32" s="2">
        <v>128</v>
      </c>
      <c r="AH32" s="2">
        <v>301</v>
      </c>
      <c r="AI32" s="2">
        <v>4283</v>
      </c>
      <c r="AJ32" s="2">
        <v>3</v>
      </c>
      <c r="AK32" s="72">
        <f>Weather!B152</f>
        <v>20.2</v>
      </c>
      <c r="AL32" s="72">
        <f>Weather!C152</f>
        <v>29.4</v>
      </c>
      <c r="AM32" s="72">
        <f t="shared" si="12"/>
        <v>31</v>
      </c>
      <c r="AN32" s="5">
        <v>22</v>
      </c>
      <c r="AO32" s="72">
        <f t="shared" si="6"/>
        <v>0</v>
      </c>
      <c r="AP32" s="72">
        <f>Employment!B32</f>
        <v>6467</v>
      </c>
      <c r="AQ32" s="72">
        <f>Employment!C32</f>
        <v>238.3</v>
      </c>
      <c r="AR32" s="72">
        <f t="shared" ref="AR32" si="45">AR20</f>
        <v>0</v>
      </c>
      <c r="AS32" s="72">
        <f t="shared" si="8"/>
        <v>0</v>
      </c>
      <c r="AT32" s="5">
        <f t="shared" si="7"/>
        <v>31</v>
      </c>
      <c r="AU32" s="73">
        <f t="shared" ref="AU32:BF32" si="46">AU20</f>
        <v>0</v>
      </c>
      <c r="AV32" s="73">
        <f t="shared" si="46"/>
        <v>0</v>
      </c>
      <c r="AW32" s="73">
        <f t="shared" si="46"/>
        <v>0</v>
      </c>
      <c r="AX32" s="73">
        <f t="shared" si="46"/>
        <v>0</v>
      </c>
      <c r="AY32" s="73">
        <f t="shared" si="46"/>
        <v>0</v>
      </c>
      <c r="AZ32" s="73">
        <f t="shared" si="46"/>
        <v>0</v>
      </c>
      <c r="BA32" s="73">
        <f t="shared" si="46"/>
        <v>1</v>
      </c>
      <c r="BB32" s="73">
        <f t="shared" si="46"/>
        <v>0</v>
      </c>
      <c r="BC32" s="73">
        <f t="shared" si="46"/>
        <v>0</v>
      </c>
      <c r="BD32" s="73">
        <f t="shared" si="46"/>
        <v>0</v>
      </c>
      <c r="BE32" s="73">
        <f t="shared" si="46"/>
        <v>0</v>
      </c>
      <c r="BF32" s="73">
        <f t="shared" si="46"/>
        <v>0</v>
      </c>
    </row>
    <row r="33" spans="1:58" x14ac:dyDescent="0.3">
      <c r="A33" s="1">
        <f>Sheet2!A81</f>
        <v>40026</v>
      </c>
      <c r="B33" s="92">
        <f t="shared" si="0"/>
        <v>2009</v>
      </c>
      <c r="C33" s="2">
        <f>Sheet2!B81</f>
        <v>11691672</v>
      </c>
      <c r="D33" s="72">
        <f ca="1">OFFSET('Historic CDM'!$C$94,0,(ROW()-2)/12)/12*1000</f>
        <v>73788.254319351079</v>
      </c>
      <c r="E33" s="72">
        <f t="shared" ca="1" si="1"/>
        <v>11765460.254319351</v>
      </c>
      <c r="F33" s="2">
        <f>Sheet2!C81</f>
        <v>3906352.95</v>
      </c>
      <c r="G33" s="72">
        <f ca="1">OFFSET('Historic CDM'!$C$108,0,(ROW()-2)/12)/12*1000</f>
        <v>25795.912525818519</v>
      </c>
      <c r="H33" s="72">
        <f t="shared" ca="1" si="2"/>
        <v>3932148.8625258189</v>
      </c>
      <c r="I33" s="2">
        <f>Sheet2!D81</f>
        <v>8758140.8800000008</v>
      </c>
      <c r="J33" s="72">
        <f ca="1">OFFSET('Historic CDM'!$C$122,0,(ROW()-2)/12)/12*1000</f>
        <v>63158.570461708186</v>
      </c>
      <c r="K33" s="72">
        <f t="shared" ca="1" si="3"/>
        <v>8821299.4504617099</v>
      </c>
      <c r="L33" s="2">
        <f>Sheet2!E81</f>
        <v>3440451.8000000003</v>
      </c>
      <c r="M33" s="72">
        <f ca="1">OFFSET('Historic CDM'!$C$136,0,(ROW()-2)/12)/12*1000</f>
        <v>34323.537273406517</v>
      </c>
      <c r="N33" s="72">
        <f t="shared" ca="1" si="4"/>
        <v>3474775.3372734068</v>
      </c>
      <c r="O33" s="2">
        <f>Sheet2!F81</f>
        <v>9131741.2300000004</v>
      </c>
      <c r="P33" s="72">
        <f ca="1">OFFSET('Historic CDM'!$C$150,0,(ROW()-2)/12)/12*1000</f>
        <v>51153.504627044756</v>
      </c>
      <c r="Q33" s="72">
        <f t="shared" ca="1" si="5"/>
        <v>9182894.7346270457</v>
      </c>
      <c r="R33" s="2">
        <f>Sheet2!G81</f>
        <v>220919.61</v>
      </c>
      <c r="S33" s="2">
        <f>Sheet2!H81</f>
        <v>5307</v>
      </c>
      <c r="T33" s="2">
        <f>Sheet2!I81</f>
        <v>47255</v>
      </c>
      <c r="U33" s="2">
        <f>Sheet2!J81</f>
        <v>1345225.4</v>
      </c>
      <c r="V33" s="72">
        <v>27889.190000000002</v>
      </c>
      <c r="W33" s="72">
        <v>13086.970000000001</v>
      </c>
      <c r="X33" s="72">
        <v>15868.42</v>
      </c>
      <c r="Y33" s="72">
        <v>583.79</v>
      </c>
      <c r="Z33" s="72"/>
      <c r="AA33" s="72">
        <v>2622.3</v>
      </c>
      <c r="AB33" s="2">
        <v>15895</v>
      </c>
      <c r="AC33" s="2">
        <v>1895</v>
      </c>
      <c r="AD33" s="2">
        <v>189</v>
      </c>
      <c r="AE33" s="2">
        <v>5</v>
      </c>
      <c r="AF33" s="2">
        <v>1</v>
      </c>
      <c r="AG33" s="2">
        <v>128</v>
      </c>
      <c r="AH33" s="2">
        <v>301</v>
      </c>
      <c r="AI33" s="2">
        <v>4283</v>
      </c>
      <c r="AJ33" s="2">
        <v>3</v>
      </c>
      <c r="AK33" s="72">
        <f>Weather!B153</f>
        <v>17.899999999999999</v>
      </c>
      <c r="AL33" s="72">
        <f>Weather!C153</f>
        <v>71.900000000000006</v>
      </c>
      <c r="AM33" s="72">
        <f t="shared" si="12"/>
        <v>31</v>
      </c>
      <c r="AN33" s="5">
        <v>20</v>
      </c>
      <c r="AO33" s="72">
        <f t="shared" si="6"/>
        <v>0</v>
      </c>
      <c r="AP33" s="72">
        <f>Employment!B33</f>
        <v>6487.6</v>
      </c>
      <c r="AQ33" s="72">
        <f>Employment!C33</f>
        <v>236.8</v>
      </c>
      <c r="AR33" s="72">
        <f t="shared" ref="AR33" si="47">AR21</f>
        <v>0</v>
      </c>
      <c r="AS33" s="72">
        <f t="shared" si="8"/>
        <v>0</v>
      </c>
      <c r="AT33" s="5">
        <f t="shared" si="7"/>
        <v>32</v>
      </c>
      <c r="AU33" s="73">
        <f t="shared" ref="AU33:BF33" si="48">AU21</f>
        <v>0</v>
      </c>
      <c r="AV33" s="73">
        <f t="shared" si="48"/>
        <v>0</v>
      </c>
      <c r="AW33" s="73">
        <f t="shared" si="48"/>
        <v>0</v>
      </c>
      <c r="AX33" s="73">
        <f t="shared" si="48"/>
        <v>0</v>
      </c>
      <c r="AY33" s="73">
        <f t="shared" si="48"/>
        <v>0</v>
      </c>
      <c r="AZ33" s="73">
        <f t="shared" si="48"/>
        <v>0</v>
      </c>
      <c r="BA33" s="73">
        <f t="shared" si="48"/>
        <v>0</v>
      </c>
      <c r="BB33" s="73">
        <f t="shared" si="48"/>
        <v>1</v>
      </c>
      <c r="BC33" s="73">
        <f t="shared" si="48"/>
        <v>0</v>
      </c>
      <c r="BD33" s="73">
        <f t="shared" si="48"/>
        <v>0</v>
      </c>
      <c r="BE33" s="73">
        <f t="shared" si="48"/>
        <v>0</v>
      </c>
      <c r="BF33" s="73">
        <f t="shared" si="48"/>
        <v>0</v>
      </c>
    </row>
    <row r="34" spans="1:58" x14ac:dyDescent="0.3">
      <c r="A34" s="1">
        <f>Sheet2!A82</f>
        <v>40057</v>
      </c>
      <c r="B34" s="92">
        <f t="shared" si="0"/>
        <v>2009</v>
      </c>
      <c r="C34" s="2">
        <f>Sheet2!B82</f>
        <v>10398945</v>
      </c>
      <c r="D34" s="72">
        <f ca="1">OFFSET('Historic CDM'!$C$94,0,(ROW()-2)/12)/12*1000</f>
        <v>73788.254319351079</v>
      </c>
      <c r="E34" s="72">
        <f t="shared" ca="1" si="1"/>
        <v>10472733.254319351</v>
      </c>
      <c r="F34" s="2">
        <f>Sheet2!C82</f>
        <v>3489287.5300000003</v>
      </c>
      <c r="G34" s="72">
        <f ca="1">OFFSET('Historic CDM'!$C$108,0,(ROW()-2)/12)/12*1000</f>
        <v>25795.912525818519</v>
      </c>
      <c r="H34" s="72">
        <f t="shared" ca="1" si="2"/>
        <v>3515083.4425258189</v>
      </c>
      <c r="I34" s="2">
        <f>Sheet2!D82</f>
        <v>9509597.6500000004</v>
      </c>
      <c r="J34" s="72">
        <f ca="1">OFFSET('Historic CDM'!$C$122,0,(ROW()-2)/12)/12*1000</f>
        <v>63158.570461708186</v>
      </c>
      <c r="K34" s="72">
        <f t="shared" ca="1" si="3"/>
        <v>9572756.2204617094</v>
      </c>
      <c r="L34" s="2">
        <f>Sheet2!E82</f>
        <v>4499909.47</v>
      </c>
      <c r="M34" s="72">
        <f ca="1">OFFSET('Historic CDM'!$C$136,0,(ROW()-2)/12)/12*1000</f>
        <v>34323.537273406517</v>
      </c>
      <c r="N34" s="72">
        <f t="shared" ca="1" si="4"/>
        <v>4534233.0072734058</v>
      </c>
      <c r="O34" s="2">
        <f>Sheet2!F82</f>
        <v>8946185.5299999993</v>
      </c>
      <c r="P34" s="72">
        <f ca="1">OFFSET('Historic CDM'!$C$150,0,(ROW()-2)/12)/12*1000</f>
        <v>51153.504627044756</v>
      </c>
      <c r="Q34" s="72">
        <f t="shared" ca="1" si="5"/>
        <v>8997339.0346270446</v>
      </c>
      <c r="R34" s="2">
        <f>Sheet2!G82</f>
        <v>211675.31</v>
      </c>
      <c r="S34" s="2">
        <f>Sheet2!H82</f>
        <v>4234.8</v>
      </c>
      <c r="T34" s="2">
        <f>Sheet2!I82</f>
        <v>45790</v>
      </c>
      <c r="U34" s="60">
        <f>Sheet2!J82</f>
        <v>1288906.5</v>
      </c>
      <c r="V34" s="60">
        <v>25945.16</v>
      </c>
      <c r="W34" s="60">
        <v>8004.2699999999995</v>
      </c>
      <c r="X34" s="60">
        <v>15872.91</v>
      </c>
      <c r="Y34" s="60">
        <v>704.3</v>
      </c>
      <c r="Z34" s="60"/>
      <c r="AA34" s="60">
        <v>2903</v>
      </c>
      <c r="AB34" s="2">
        <v>15895</v>
      </c>
      <c r="AC34" s="2">
        <v>1895</v>
      </c>
      <c r="AD34" s="2">
        <v>189</v>
      </c>
      <c r="AE34" s="2">
        <v>5</v>
      </c>
      <c r="AF34" s="2">
        <v>1</v>
      </c>
      <c r="AG34" s="2">
        <v>128</v>
      </c>
      <c r="AH34" s="2">
        <v>301</v>
      </c>
      <c r="AI34" s="2">
        <v>4283</v>
      </c>
      <c r="AJ34" s="2">
        <v>3</v>
      </c>
      <c r="AK34" s="72">
        <f>Weather!B154</f>
        <v>71.2</v>
      </c>
      <c r="AL34" s="72">
        <f>Weather!C154</f>
        <v>15.9</v>
      </c>
      <c r="AM34" s="72">
        <f t="shared" si="12"/>
        <v>30</v>
      </c>
      <c r="AN34" s="5">
        <v>21</v>
      </c>
      <c r="AO34" s="72">
        <f t="shared" si="6"/>
        <v>1</v>
      </c>
      <c r="AP34" s="72">
        <f>Employment!B34</f>
        <v>6470.2</v>
      </c>
      <c r="AQ34" s="72">
        <f>Employment!C34</f>
        <v>235.2</v>
      </c>
      <c r="AR34" s="72">
        <f t="shared" ref="AR34" si="49">AR22</f>
        <v>0</v>
      </c>
      <c r="AS34" s="72">
        <f t="shared" si="8"/>
        <v>1</v>
      </c>
      <c r="AT34" s="5">
        <f t="shared" si="7"/>
        <v>33</v>
      </c>
      <c r="AU34" s="73">
        <f t="shared" ref="AU34:BF34" si="50">AU22</f>
        <v>0</v>
      </c>
      <c r="AV34" s="73">
        <f t="shared" si="50"/>
        <v>0</v>
      </c>
      <c r="AW34" s="73">
        <f t="shared" si="50"/>
        <v>0</v>
      </c>
      <c r="AX34" s="73">
        <f t="shared" si="50"/>
        <v>0</v>
      </c>
      <c r="AY34" s="73">
        <f t="shared" si="50"/>
        <v>0</v>
      </c>
      <c r="AZ34" s="73">
        <f t="shared" si="50"/>
        <v>0</v>
      </c>
      <c r="BA34" s="73">
        <f t="shared" si="50"/>
        <v>0</v>
      </c>
      <c r="BB34" s="73">
        <f t="shared" si="50"/>
        <v>0</v>
      </c>
      <c r="BC34" s="73">
        <f t="shared" si="50"/>
        <v>1</v>
      </c>
      <c r="BD34" s="73">
        <f t="shared" si="50"/>
        <v>0</v>
      </c>
      <c r="BE34" s="73">
        <f t="shared" si="50"/>
        <v>0</v>
      </c>
      <c r="BF34" s="73">
        <f t="shared" si="50"/>
        <v>0</v>
      </c>
    </row>
    <row r="35" spans="1:58" x14ac:dyDescent="0.3">
      <c r="A35" s="1">
        <f>Sheet2!A83</f>
        <v>40087</v>
      </c>
      <c r="B35" s="92">
        <f t="shared" si="0"/>
        <v>2009</v>
      </c>
      <c r="C35" s="2">
        <f>Sheet2!B83</f>
        <v>10628111</v>
      </c>
      <c r="D35" s="72">
        <f ca="1">OFFSET('Historic CDM'!$C$94,0,(ROW()-2)/12)/12*1000</f>
        <v>73788.254319351079</v>
      </c>
      <c r="E35" s="72">
        <f t="shared" ca="1" si="1"/>
        <v>10701899.254319351</v>
      </c>
      <c r="F35" s="2">
        <f>Sheet2!C83</f>
        <v>3446029.4000000004</v>
      </c>
      <c r="G35" s="72">
        <f ca="1">OFFSET('Historic CDM'!$C$108,0,(ROW()-2)/12)/12*1000</f>
        <v>25795.912525818519</v>
      </c>
      <c r="H35" s="72">
        <f t="shared" ca="1" si="2"/>
        <v>3471825.3125258191</v>
      </c>
      <c r="I35" s="2">
        <f>Sheet2!D83</f>
        <v>10340361.159999998</v>
      </c>
      <c r="J35" s="72">
        <f ca="1">OFFSET('Historic CDM'!$C$122,0,(ROW()-2)/12)/12*1000</f>
        <v>63158.570461708186</v>
      </c>
      <c r="K35" s="72">
        <f t="shared" ca="1" si="3"/>
        <v>10403519.730461707</v>
      </c>
      <c r="L35" s="2">
        <f>Sheet2!E83</f>
        <v>5020154.1100000003</v>
      </c>
      <c r="M35" s="72">
        <f ca="1">OFFSET('Historic CDM'!$C$136,0,(ROW()-2)/12)/12*1000</f>
        <v>34323.537273406517</v>
      </c>
      <c r="N35" s="72">
        <f t="shared" ca="1" si="4"/>
        <v>5054477.6472734064</v>
      </c>
      <c r="O35" s="2">
        <f>Sheet2!F83</f>
        <v>8777689.7799999993</v>
      </c>
      <c r="P35" s="72">
        <f ca="1">OFFSET('Historic CDM'!$C$150,0,(ROW()-2)/12)/12*1000</f>
        <v>51153.504627044756</v>
      </c>
      <c r="Q35" s="72">
        <f t="shared" ca="1" si="5"/>
        <v>8828843.2846270446</v>
      </c>
      <c r="R35" s="2">
        <f>Sheet2!G83</f>
        <v>299388.34999999998</v>
      </c>
      <c r="S35" s="2">
        <f>Sheet2!H83</f>
        <v>3571.2</v>
      </c>
      <c r="T35" s="2">
        <f>Sheet2!I83</f>
        <v>48720</v>
      </c>
      <c r="U35" s="60">
        <f>Sheet2!J83</f>
        <v>1367776.7</v>
      </c>
      <c r="V35" s="60">
        <v>28093.15</v>
      </c>
      <c r="W35" s="60">
        <v>9824.7800000000007</v>
      </c>
      <c r="X35" s="60">
        <v>15394.65</v>
      </c>
      <c r="Y35" s="60">
        <v>583.79</v>
      </c>
      <c r="Z35" s="60"/>
      <c r="AA35" s="60">
        <v>2525.6999999999998</v>
      </c>
      <c r="AB35" s="2">
        <v>15904</v>
      </c>
      <c r="AC35" s="2">
        <v>1894</v>
      </c>
      <c r="AD35" s="2">
        <v>189</v>
      </c>
      <c r="AE35" s="2">
        <v>5</v>
      </c>
      <c r="AF35" s="2">
        <v>1</v>
      </c>
      <c r="AG35" s="2">
        <v>128</v>
      </c>
      <c r="AH35" s="2">
        <v>301</v>
      </c>
      <c r="AI35" s="2">
        <v>4283</v>
      </c>
      <c r="AJ35" s="2">
        <v>3</v>
      </c>
      <c r="AK35" s="72">
        <f>Weather!B155</f>
        <v>301.2</v>
      </c>
      <c r="AL35" s="72">
        <f>Weather!C155</f>
        <v>0</v>
      </c>
      <c r="AM35" s="72">
        <f t="shared" si="12"/>
        <v>31</v>
      </c>
      <c r="AN35" s="5">
        <v>21</v>
      </c>
      <c r="AO35" s="72">
        <f t="shared" si="6"/>
        <v>1</v>
      </c>
      <c r="AP35" s="72">
        <f>Employment!B35</f>
        <v>6472.1</v>
      </c>
      <c r="AQ35" s="72">
        <f>Employment!C35</f>
        <v>237.4</v>
      </c>
      <c r="AR35" s="72">
        <f t="shared" ref="AR35" si="51">AR23</f>
        <v>0</v>
      </c>
      <c r="AS35" s="72">
        <f t="shared" si="8"/>
        <v>1</v>
      </c>
      <c r="AT35" s="5">
        <f t="shared" si="7"/>
        <v>34</v>
      </c>
      <c r="AU35" s="73">
        <f t="shared" ref="AU35:BF35" si="52">AU23</f>
        <v>0</v>
      </c>
      <c r="AV35" s="73">
        <f t="shared" si="52"/>
        <v>0</v>
      </c>
      <c r="AW35" s="73">
        <f t="shared" si="52"/>
        <v>0</v>
      </c>
      <c r="AX35" s="73">
        <f t="shared" si="52"/>
        <v>0</v>
      </c>
      <c r="AY35" s="73">
        <f t="shared" si="52"/>
        <v>0</v>
      </c>
      <c r="AZ35" s="73">
        <f t="shared" si="52"/>
        <v>0</v>
      </c>
      <c r="BA35" s="73">
        <f t="shared" si="52"/>
        <v>0</v>
      </c>
      <c r="BB35" s="73">
        <f t="shared" si="52"/>
        <v>0</v>
      </c>
      <c r="BC35" s="73">
        <f t="shared" si="52"/>
        <v>0</v>
      </c>
      <c r="BD35" s="73">
        <f t="shared" si="52"/>
        <v>1</v>
      </c>
      <c r="BE35" s="73">
        <f t="shared" si="52"/>
        <v>0</v>
      </c>
      <c r="BF35" s="73">
        <f t="shared" si="52"/>
        <v>0</v>
      </c>
    </row>
    <row r="36" spans="1:58" x14ac:dyDescent="0.3">
      <c r="A36" s="1">
        <f>Sheet2!A84</f>
        <v>40118</v>
      </c>
      <c r="B36" s="92">
        <f t="shared" si="0"/>
        <v>2009</v>
      </c>
      <c r="C36" s="2">
        <f>Sheet2!B84</f>
        <v>10870503</v>
      </c>
      <c r="D36" s="72">
        <f ca="1">OFFSET('Historic CDM'!$C$94,0,(ROW()-2)/12)/12*1000</f>
        <v>73788.254319351079</v>
      </c>
      <c r="E36" s="72">
        <f t="shared" ca="1" si="1"/>
        <v>10944291.254319351</v>
      </c>
      <c r="F36" s="2">
        <f>Sheet2!C84</f>
        <v>3848688.12</v>
      </c>
      <c r="G36" s="72">
        <f ca="1">OFFSET('Historic CDM'!$C$108,0,(ROW()-2)/12)/12*1000</f>
        <v>25795.912525818519</v>
      </c>
      <c r="H36" s="72">
        <f t="shared" ca="1" si="2"/>
        <v>3874484.0325258188</v>
      </c>
      <c r="I36" s="2">
        <f>Sheet2!D84</f>
        <v>10357485.379999999</v>
      </c>
      <c r="J36" s="72">
        <f ca="1">OFFSET('Historic CDM'!$C$122,0,(ROW()-2)/12)/12*1000</f>
        <v>63158.570461708186</v>
      </c>
      <c r="K36" s="72">
        <f t="shared" ca="1" si="3"/>
        <v>10420643.950461708</v>
      </c>
      <c r="L36" s="2">
        <f>Sheet2!E84</f>
        <v>4073053.4099999997</v>
      </c>
      <c r="M36" s="72">
        <f ca="1">OFFSET('Historic CDM'!$C$136,0,(ROW()-2)/12)/12*1000</f>
        <v>34323.537273406517</v>
      </c>
      <c r="N36" s="72">
        <f t="shared" ca="1" si="4"/>
        <v>4107376.9472734062</v>
      </c>
      <c r="O36" s="2">
        <f>Sheet2!F84</f>
        <v>9501660.2100000009</v>
      </c>
      <c r="P36" s="72">
        <f ca="1">OFFSET('Historic CDM'!$C$150,0,(ROW()-2)/12)/12*1000</f>
        <v>51153.504627044756</v>
      </c>
      <c r="Q36" s="72">
        <f t="shared" ca="1" si="5"/>
        <v>9552813.7146270461</v>
      </c>
      <c r="R36" s="2">
        <f>Sheet2!G84</f>
        <v>255870.15</v>
      </c>
      <c r="S36" s="2">
        <f>Sheet2!H84</f>
        <v>3551.4</v>
      </c>
      <c r="T36" s="2">
        <f>Sheet2!I84</f>
        <v>47255</v>
      </c>
      <c r="U36" s="60">
        <f>Sheet2!J84-400000</f>
        <v>1641943.1</v>
      </c>
      <c r="V36" s="60">
        <v>29513.879999999997</v>
      </c>
      <c r="W36" s="60">
        <v>11994.17</v>
      </c>
      <c r="X36" s="60">
        <v>14765.33</v>
      </c>
      <c r="Y36" s="60">
        <v>767</v>
      </c>
      <c r="Z36" s="60"/>
      <c r="AA36" s="60">
        <v>2867.6</v>
      </c>
      <c r="AB36" s="2">
        <v>15920</v>
      </c>
      <c r="AC36" s="2">
        <v>1894</v>
      </c>
      <c r="AD36" s="2">
        <v>190</v>
      </c>
      <c r="AE36" s="2">
        <v>5</v>
      </c>
      <c r="AF36" s="2">
        <v>1</v>
      </c>
      <c r="AG36" s="2">
        <v>128</v>
      </c>
      <c r="AH36" s="2">
        <v>301</v>
      </c>
      <c r="AI36" s="2">
        <v>4283</v>
      </c>
      <c r="AJ36" s="2">
        <v>3</v>
      </c>
      <c r="AK36" s="72">
        <f>Weather!B156</f>
        <v>356.7</v>
      </c>
      <c r="AL36" s="72">
        <f>Weather!C156</f>
        <v>0</v>
      </c>
      <c r="AM36" s="72">
        <f t="shared" si="12"/>
        <v>30</v>
      </c>
      <c r="AN36" s="5">
        <v>21</v>
      </c>
      <c r="AO36" s="72">
        <f t="shared" si="6"/>
        <v>1</v>
      </c>
      <c r="AP36" s="72">
        <f>Employment!B36</f>
        <v>6465.6</v>
      </c>
      <c r="AQ36" s="72">
        <f>Employment!C36</f>
        <v>241.3</v>
      </c>
      <c r="AR36" s="72">
        <f t="shared" ref="AR36" si="53">AR24</f>
        <v>0</v>
      </c>
      <c r="AS36" s="72">
        <f t="shared" si="8"/>
        <v>1</v>
      </c>
      <c r="AT36" s="5">
        <f t="shared" si="7"/>
        <v>35</v>
      </c>
      <c r="AU36" s="73">
        <f t="shared" ref="AU36:BF36" si="54">AU24</f>
        <v>0</v>
      </c>
      <c r="AV36" s="73">
        <f t="shared" si="54"/>
        <v>0</v>
      </c>
      <c r="AW36" s="73">
        <f t="shared" si="54"/>
        <v>0</v>
      </c>
      <c r="AX36" s="73">
        <f t="shared" si="54"/>
        <v>0</v>
      </c>
      <c r="AY36" s="73">
        <f t="shared" si="54"/>
        <v>0</v>
      </c>
      <c r="AZ36" s="73">
        <f t="shared" si="54"/>
        <v>0</v>
      </c>
      <c r="BA36" s="73">
        <f t="shared" si="54"/>
        <v>0</v>
      </c>
      <c r="BB36" s="73">
        <f t="shared" si="54"/>
        <v>0</v>
      </c>
      <c r="BC36" s="73">
        <f t="shared" si="54"/>
        <v>0</v>
      </c>
      <c r="BD36" s="73">
        <f t="shared" si="54"/>
        <v>0</v>
      </c>
      <c r="BE36" s="73">
        <f t="shared" si="54"/>
        <v>1</v>
      </c>
      <c r="BF36" s="73">
        <f t="shared" si="54"/>
        <v>0</v>
      </c>
    </row>
    <row r="37" spans="1:58" x14ac:dyDescent="0.3">
      <c r="A37" s="1">
        <f>Sheet2!A85</f>
        <v>40148</v>
      </c>
      <c r="B37" s="92">
        <f t="shared" si="0"/>
        <v>2009</v>
      </c>
      <c r="C37" s="2">
        <f>Sheet2!B85</f>
        <v>13830231.199999999</v>
      </c>
      <c r="D37" s="72">
        <f ca="1">OFFSET('Historic CDM'!$C$94,0,(ROW()-2)/12)/12*1000</f>
        <v>73788.254319351079</v>
      </c>
      <c r="E37" s="72">
        <f t="shared" ca="1" si="1"/>
        <v>13904019.45431935</v>
      </c>
      <c r="F37" s="2">
        <f>Sheet2!C85</f>
        <v>4432506.74</v>
      </c>
      <c r="G37" s="72">
        <f ca="1">OFFSET('Historic CDM'!$C$108,0,(ROW()-2)/12)/12*1000</f>
        <v>25795.912525818519</v>
      </c>
      <c r="H37" s="72">
        <f t="shared" ca="1" si="2"/>
        <v>4458302.6525258189</v>
      </c>
      <c r="I37" s="2">
        <f>Sheet2!D85</f>
        <v>10296962.220000001</v>
      </c>
      <c r="J37" s="72">
        <f ca="1">OFFSET('Historic CDM'!$C$122,0,(ROW()-2)/12)/12*1000</f>
        <v>63158.570461708186</v>
      </c>
      <c r="K37" s="72">
        <f t="shared" ca="1" si="3"/>
        <v>10360120.79046171</v>
      </c>
      <c r="L37" s="2">
        <f>Sheet2!E85-300000</f>
        <v>3474513.06</v>
      </c>
      <c r="M37" s="72">
        <f ca="1">OFFSET('Historic CDM'!$C$136,0,(ROW()-2)/12)/12*1000</f>
        <v>34323.537273406517</v>
      </c>
      <c r="N37" s="72">
        <f t="shared" ca="1" si="4"/>
        <v>3508836.5972734066</v>
      </c>
      <c r="O37" s="2">
        <f>Sheet2!F85</f>
        <v>12097956.289999999</v>
      </c>
      <c r="P37" s="72">
        <f ca="1">OFFSET('Historic CDM'!$C$150,0,(ROW()-2)/12)/12*1000</f>
        <v>51153.504627044756</v>
      </c>
      <c r="Q37" s="72">
        <f t="shared" ca="1" si="5"/>
        <v>12149109.794627044</v>
      </c>
      <c r="R37" s="2">
        <f>Sheet2!G85</f>
        <v>274268.68</v>
      </c>
      <c r="S37" s="60">
        <f>Sheet2!H85</f>
        <v>4527</v>
      </c>
      <c r="T37" s="2">
        <f>Sheet2!I85</f>
        <v>65657</v>
      </c>
      <c r="U37" s="60">
        <f>Sheet2!J85+400000</f>
        <v>1606100</v>
      </c>
      <c r="V37" s="60">
        <v>29565.09</v>
      </c>
      <c r="W37" s="60">
        <v>9145.1500000000015</v>
      </c>
      <c r="X37" s="60">
        <v>15043.33</v>
      </c>
      <c r="Y37" s="60">
        <v>583.79</v>
      </c>
      <c r="Z37" s="60"/>
      <c r="AA37" s="60">
        <v>5873.1</v>
      </c>
      <c r="AB37" s="2">
        <v>15930</v>
      </c>
      <c r="AC37" s="2">
        <v>1895</v>
      </c>
      <c r="AD37" s="2">
        <v>190</v>
      </c>
      <c r="AE37" s="2">
        <v>5</v>
      </c>
      <c r="AF37" s="2">
        <v>1</v>
      </c>
      <c r="AG37" s="2">
        <v>128</v>
      </c>
      <c r="AH37" s="2">
        <v>301</v>
      </c>
      <c r="AI37" s="2">
        <v>4283</v>
      </c>
      <c r="AJ37" s="2">
        <v>3</v>
      </c>
      <c r="AK37" s="72">
        <f>Weather!B157</f>
        <v>637.29999999999995</v>
      </c>
      <c r="AL37" s="72">
        <f>Weather!C157</f>
        <v>0</v>
      </c>
      <c r="AM37" s="72">
        <f t="shared" si="12"/>
        <v>31</v>
      </c>
      <c r="AN37" s="5">
        <v>21</v>
      </c>
      <c r="AO37" s="72">
        <f t="shared" si="6"/>
        <v>0</v>
      </c>
      <c r="AP37" s="72">
        <f>Employment!B37</f>
        <v>6467.5</v>
      </c>
      <c r="AQ37" s="72">
        <f>Employment!C37</f>
        <v>244.6</v>
      </c>
      <c r="AR37" s="72">
        <f t="shared" ref="AR37" si="55">AR25</f>
        <v>0</v>
      </c>
      <c r="AS37" s="72">
        <f t="shared" si="8"/>
        <v>0</v>
      </c>
      <c r="AT37" s="5">
        <f t="shared" si="7"/>
        <v>36</v>
      </c>
      <c r="AU37" s="73">
        <f t="shared" ref="AU37:BF37" si="56">AU25</f>
        <v>0</v>
      </c>
      <c r="AV37" s="73">
        <f t="shared" si="56"/>
        <v>0</v>
      </c>
      <c r="AW37" s="73">
        <f t="shared" si="56"/>
        <v>0</v>
      </c>
      <c r="AX37" s="73">
        <f t="shared" si="56"/>
        <v>0</v>
      </c>
      <c r="AY37" s="73">
        <f t="shared" si="56"/>
        <v>0</v>
      </c>
      <c r="AZ37" s="73">
        <f t="shared" si="56"/>
        <v>0</v>
      </c>
      <c r="BA37" s="73">
        <f t="shared" si="56"/>
        <v>0</v>
      </c>
      <c r="BB37" s="73">
        <f t="shared" si="56"/>
        <v>0</v>
      </c>
      <c r="BC37" s="73">
        <f t="shared" si="56"/>
        <v>0</v>
      </c>
      <c r="BD37" s="73">
        <f t="shared" si="56"/>
        <v>0</v>
      </c>
      <c r="BE37" s="73">
        <f t="shared" si="56"/>
        <v>0</v>
      </c>
      <c r="BF37" s="73">
        <f t="shared" si="56"/>
        <v>1</v>
      </c>
    </row>
    <row r="38" spans="1:58" x14ac:dyDescent="0.3">
      <c r="A38" s="1">
        <f>Sheet2!A86</f>
        <v>40179</v>
      </c>
      <c r="B38" s="92">
        <f t="shared" si="0"/>
        <v>2010</v>
      </c>
      <c r="C38" s="2">
        <f>Sheet2!B86</f>
        <v>14604688</v>
      </c>
      <c r="D38" s="72">
        <f ca="1">OFFSET('Historic CDM'!$C$94,0,(ROW()-2)/12)/12*1000</f>
        <v>112364.80793880745</v>
      </c>
      <c r="E38" s="72">
        <f t="shared" ca="1" si="1"/>
        <v>14717052.807938807</v>
      </c>
      <c r="F38" s="2">
        <f>Sheet2!C86</f>
        <v>4656687.08</v>
      </c>
      <c r="G38" s="72">
        <f ca="1">OFFSET('Historic CDM'!$C$108,0,(ROW()-2)/12)/12*1000</f>
        <v>40730.706354195565</v>
      </c>
      <c r="H38" s="72">
        <f t="shared" ca="1" si="2"/>
        <v>4697417.7863541953</v>
      </c>
      <c r="I38" s="2">
        <f>Sheet2!D86</f>
        <v>8889983.0300000012</v>
      </c>
      <c r="J38" s="72">
        <f ca="1">OFFSET('Historic CDM'!$C$122,0,(ROW()-2)/12)/12*1000</f>
        <v>99724.837594012584</v>
      </c>
      <c r="K38" s="72">
        <f t="shared" ca="1" si="3"/>
        <v>8989707.867594013</v>
      </c>
      <c r="L38" s="60">
        <f>Sheet2!E86+300000+300000</f>
        <v>3280469.63</v>
      </c>
      <c r="M38" s="72">
        <f ca="1">OFFSET('Historic CDM'!$C$136,0,(ROW()-2)/12)/12*1000</f>
        <v>54195.482184286382</v>
      </c>
      <c r="N38" s="72">
        <f t="shared" ca="1" si="4"/>
        <v>3334665.1121842861</v>
      </c>
      <c r="O38" s="2">
        <f>Sheet2!F86</f>
        <v>9253883.1199999992</v>
      </c>
      <c r="P38" s="72">
        <f ca="1">OFFSET('Historic CDM'!$C$150,0,(ROW()-2)/12)/12*1000</f>
        <v>80769.322421403005</v>
      </c>
      <c r="Q38" s="72">
        <f t="shared" ca="1" si="5"/>
        <v>9334652.4424214028</v>
      </c>
      <c r="R38" s="2">
        <f>Sheet2!G86</f>
        <v>523295.18000000005</v>
      </c>
      <c r="S38" s="60">
        <f>Sheet2!H86</f>
        <v>4527</v>
      </c>
      <c r="T38" s="2">
        <f>Sheet2!I86</f>
        <v>47255</v>
      </c>
      <c r="U38" s="60">
        <f>Sheet2!J86</f>
        <v>1744187.4000000001</v>
      </c>
      <c r="V38" s="60">
        <v>29815.410000000003</v>
      </c>
      <c r="W38" s="60">
        <v>8797.9599999999991</v>
      </c>
      <c r="X38" s="60">
        <v>21768.99</v>
      </c>
      <c r="Y38" s="60">
        <v>590.67999999999995</v>
      </c>
      <c r="Z38" s="60"/>
      <c r="AA38" s="60">
        <v>717.2</v>
      </c>
      <c r="AB38" s="2">
        <v>15936</v>
      </c>
      <c r="AC38" s="2">
        <v>1895</v>
      </c>
      <c r="AD38" s="2">
        <v>191</v>
      </c>
      <c r="AE38" s="2">
        <v>5</v>
      </c>
      <c r="AF38" s="2">
        <v>1</v>
      </c>
      <c r="AG38" s="2">
        <v>128</v>
      </c>
      <c r="AH38" s="2">
        <v>301</v>
      </c>
      <c r="AI38" s="2">
        <v>4283</v>
      </c>
      <c r="AJ38" s="2">
        <v>3</v>
      </c>
      <c r="AK38" s="72">
        <f>Weather!B158</f>
        <v>733.1</v>
      </c>
      <c r="AL38" s="72">
        <f>Weather!C158</f>
        <v>0</v>
      </c>
      <c r="AM38" s="72">
        <f t="shared" si="12"/>
        <v>31</v>
      </c>
      <c r="AN38" s="5">
        <v>20</v>
      </c>
      <c r="AO38" s="72">
        <f t="shared" si="6"/>
        <v>0</v>
      </c>
      <c r="AP38" s="72">
        <f>Employment!B38</f>
        <v>6434.5</v>
      </c>
      <c r="AQ38" s="72">
        <f>Employment!C38</f>
        <v>243.1</v>
      </c>
      <c r="AR38" s="72">
        <f t="shared" ref="AR38" si="57">AR26</f>
        <v>0</v>
      </c>
      <c r="AS38" s="72">
        <f t="shared" si="8"/>
        <v>0</v>
      </c>
      <c r="AT38" s="5">
        <f t="shared" si="7"/>
        <v>37</v>
      </c>
      <c r="AU38" s="73">
        <f t="shared" ref="AU38:BF38" si="58">AU26</f>
        <v>1</v>
      </c>
      <c r="AV38" s="73">
        <f t="shared" si="58"/>
        <v>0</v>
      </c>
      <c r="AW38" s="73">
        <f t="shared" si="58"/>
        <v>0</v>
      </c>
      <c r="AX38" s="73">
        <f t="shared" si="58"/>
        <v>0</v>
      </c>
      <c r="AY38" s="73">
        <f t="shared" si="58"/>
        <v>0</v>
      </c>
      <c r="AZ38" s="73">
        <f t="shared" si="58"/>
        <v>0</v>
      </c>
      <c r="BA38" s="73">
        <f t="shared" si="58"/>
        <v>0</v>
      </c>
      <c r="BB38" s="73">
        <f t="shared" si="58"/>
        <v>0</v>
      </c>
      <c r="BC38" s="73">
        <f t="shared" si="58"/>
        <v>0</v>
      </c>
      <c r="BD38" s="73">
        <f t="shared" si="58"/>
        <v>0</v>
      </c>
      <c r="BE38" s="73">
        <f t="shared" si="58"/>
        <v>0</v>
      </c>
      <c r="BF38" s="73">
        <f t="shared" si="58"/>
        <v>0</v>
      </c>
    </row>
    <row r="39" spans="1:58" x14ac:dyDescent="0.3">
      <c r="A39" s="1">
        <f>Sheet2!A87</f>
        <v>40210</v>
      </c>
      <c r="B39" s="92">
        <f t="shared" si="0"/>
        <v>2010</v>
      </c>
      <c r="C39" s="2">
        <f>Sheet2!B87</f>
        <v>14262717</v>
      </c>
      <c r="D39" s="72">
        <f ca="1">OFFSET('Historic CDM'!$C$94,0,(ROW()-2)/12)/12*1000</f>
        <v>112364.80793880745</v>
      </c>
      <c r="E39" s="72">
        <f t="shared" ca="1" si="1"/>
        <v>14375081.807938807</v>
      </c>
      <c r="F39" s="2">
        <f>Sheet2!C87</f>
        <v>4967804.55</v>
      </c>
      <c r="G39" s="72">
        <f ca="1">OFFSET('Historic CDM'!$C$108,0,(ROW()-2)/12)/12*1000</f>
        <v>40730.706354195565</v>
      </c>
      <c r="H39" s="72">
        <f t="shared" ca="1" si="2"/>
        <v>5008535.2563541951</v>
      </c>
      <c r="I39" s="2">
        <f>Sheet2!D87</f>
        <v>11138859.5</v>
      </c>
      <c r="J39" s="72">
        <f ca="1">OFFSET('Historic CDM'!$C$122,0,(ROW()-2)/12)/12*1000</f>
        <v>99724.837594012584</v>
      </c>
      <c r="K39" s="72">
        <f t="shared" ca="1" si="3"/>
        <v>11238584.337594012</v>
      </c>
      <c r="L39" s="2">
        <f>Sheet2!E87-300000</f>
        <v>4585436.54</v>
      </c>
      <c r="M39" s="72">
        <f ca="1">OFFSET('Historic CDM'!$C$136,0,(ROW()-2)/12)/12*1000</f>
        <v>54195.482184286382</v>
      </c>
      <c r="N39" s="72">
        <f t="shared" ca="1" si="4"/>
        <v>4639632.0221842863</v>
      </c>
      <c r="O39" s="2">
        <f>Sheet2!F87</f>
        <v>11763503.26</v>
      </c>
      <c r="P39" s="72">
        <f ca="1">OFFSET('Historic CDM'!$C$150,0,(ROW()-2)/12)/12*1000</f>
        <v>80769.322421403005</v>
      </c>
      <c r="Q39" s="72">
        <f t="shared" ca="1" si="5"/>
        <v>11844272.582421403</v>
      </c>
      <c r="R39" s="2">
        <f>Sheet2!G87</f>
        <v>849428</v>
      </c>
      <c r="S39" s="2">
        <f>Sheet2!H87</f>
        <v>5478.2999999999993</v>
      </c>
      <c r="T39" s="2">
        <f>Sheet2!I87</f>
        <v>48444</v>
      </c>
      <c r="U39" s="60">
        <f>Sheet2!J87</f>
        <v>1524585.2999999998</v>
      </c>
      <c r="V39" s="60">
        <v>25899.489999999998</v>
      </c>
      <c r="W39" s="60">
        <v>6495.5399999999991</v>
      </c>
      <c r="X39" s="60">
        <v>15143.35</v>
      </c>
      <c r="Y39" s="60">
        <v>1316.25</v>
      </c>
      <c r="Z39" s="60"/>
      <c r="AA39" s="60">
        <v>3521.4</v>
      </c>
      <c r="AB39" s="2">
        <v>15942</v>
      </c>
      <c r="AC39" s="2">
        <v>1895</v>
      </c>
      <c r="AD39" s="2">
        <v>191</v>
      </c>
      <c r="AE39" s="2">
        <v>5</v>
      </c>
      <c r="AF39" s="2">
        <v>1</v>
      </c>
      <c r="AG39" s="2">
        <v>127</v>
      </c>
      <c r="AH39" s="2">
        <v>301</v>
      </c>
      <c r="AI39" s="2">
        <v>4283</v>
      </c>
      <c r="AJ39" s="2">
        <v>3</v>
      </c>
      <c r="AK39" s="72">
        <f>Weather!B159</f>
        <v>633.4</v>
      </c>
      <c r="AL39" s="72">
        <f>Weather!C159</f>
        <v>0</v>
      </c>
      <c r="AM39" s="72">
        <v>28</v>
      </c>
      <c r="AN39" s="5">
        <v>19</v>
      </c>
      <c r="AO39" s="72">
        <f t="shared" si="6"/>
        <v>0</v>
      </c>
      <c r="AP39" s="72">
        <f>Employment!B39</f>
        <v>6404.1</v>
      </c>
      <c r="AQ39" s="72">
        <f>Employment!C39</f>
        <v>240.7</v>
      </c>
      <c r="AR39" s="72">
        <f t="shared" ref="AR39" si="59">AR27</f>
        <v>0</v>
      </c>
      <c r="AS39" s="72">
        <f t="shared" si="8"/>
        <v>0</v>
      </c>
      <c r="AT39" s="5">
        <f t="shared" si="7"/>
        <v>38</v>
      </c>
      <c r="AU39" s="73">
        <f t="shared" ref="AU39:BF39" si="60">AU27</f>
        <v>0</v>
      </c>
      <c r="AV39" s="73">
        <f t="shared" si="60"/>
        <v>1</v>
      </c>
      <c r="AW39" s="73">
        <f t="shared" si="60"/>
        <v>0</v>
      </c>
      <c r="AX39" s="73">
        <f t="shared" si="60"/>
        <v>0</v>
      </c>
      <c r="AY39" s="73">
        <f t="shared" si="60"/>
        <v>0</v>
      </c>
      <c r="AZ39" s="73">
        <f t="shared" si="60"/>
        <v>0</v>
      </c>
      <c r="BA39" s="73">
        <f t="shared" si="60"/>
        <v>0</v>
      </c>
      <c r="BB39" s="73">
        <f t="shared" si="60"/>
        <v>0</v>
      </c>
      <c r="BC39" s="73">
        <f t="shared" si="60"/>
        <v>0</v>
      </c>
      <c r="BD39" s="73">
        <f t="shared" si="60"/>
        <v>0</v>
      </c>
      <c r="BE39" s="73">
        <f t="shared" si="60"/>
        <v>0</v>
      </c>
      <c r="BF39" s="73">
        <f t="shared" si="60"/>
        <v>0</v>
      </c>
    </row>
    <row r="40" spans="1:58" x14ac:dyDescent="0.3">
      <c r="A40" s="1">
        <f>Sheet2!A88</f>
        <v>40238</v>
      </c>
      <c r="B40" s="92">
        <f t="shared" si="0"/>
        <v>2010</v>
      </c>
      <c r="C40" s="2">
        <f>Sheet2!B88</f>
        <v>10600890</v>
      </c>
      <c r="D40" s="72">
        <f ca="1">OFFSET('Historic CDM'!$C$94,0,(ROW()-2)/12)/12*1000</f>
        <v>112364.80793880745</v>
      </c>
      <c r="E40" s="72">
        <f t="shared" ca="1" si="1"/>
        <v>10713254.807938807</v>
      </c>
      <c r="F40" s="2">
        <f>Sheet2!C88</f>
        <v>3532953.6100000003</v>
      </c>
      <c r="G40" s="72">
        <f ca="1">OFFSET('Historic CDM'!$C$108,0,(ROW()-2)/12)/12*1000</f>
        <v>40730.706354195565</v>
      </c>
      <c r="H40" s="72">
        <f t="shared" ca="1" si="2"/>
        <v>3573684.3163541961</v>
      </c>
      <c r="I40" s="2">
        <f>Sheet2!D88</f>
        <v>9547870.5300000012</v>
      </c>
      <c r="J40" s="72">
        <f ca="1">OFFSET('Historic CDM'!$C$122,0,(ROW()-2)/12)/12*1000</f>
        <v>99724.837594012584</v>
      </c>
      <c r="K40" s="72">
        <f t="shared" ca="1" si="3"/>
        <v>9647595.367594013</v>
      </c>
      <c r="L40" s="2">
        <f>Sheet2!E88</f>
        <v>5703948.8200000003</v>
      </c>
      <c r="M40" s="72">
        <f ca="1">OFFSET('Historic CDM'!$C$136,0,(ROW()-2)/12)/12*1000</f>
        <v>54195.482184286382</v>
      </c>
      <c r="N40" s="72">
        <f t="shared" ca="1" si="4"/>
        <v>5758144.3021842865</v>
      </c>
      <c r="O40" s="2">
        <f>Sheet2!F88</f>
        <v>7145379.0099999998</v>
      </c>
      <c r="P40" s="72">
        <f ca="1">OFFSET('Historic CDM'!$C$150,0,(ROW()-2)/12)/12*1000</f>
        <v>80769.322421403005</v>
      </c>
      <c r="Q40" s="72">
        <f t="shared" ca="1" si="5"/>
        <v>7226148.3324214024</v>
      </c>
      <c r="R40" s="2">
        <f>Sheet2!G88</f>
        <v>321792.84999999998</v>
      </c>
      <c r="S40" s="2">
        <f>Sheet2!H88</f>
        <v>3623.1</v>
      </c>
      <c r="T40" s="2">
        <f>Sheet2!I88</f>
        <v>45716</v>
      </c>
      <c r="U40" s="60">
        <f>Sheet2!J88</f>
        <v>1454039.1</v>
      </c>
      <c r="V40" s="60">
        <v>31894.379999999997</v>
      </c>
      <c r="W40" s="60">
        <v>10724.029999999999</v>
      </c>
      <c r="X40" s="60">
        <v>15001.21</v>
      </c>
      <c r="Y40" s="60">
        <v>1991.15</v>
      </c>
      <c r="Z40" s="60"/>
      <c r="AA40" s="60">
        <v>3317.8</v>
      </c>
      <c r="AB40" s="2">
        <v>15950</v>
      </c>
      <c r="AC40" s="2">
        <v>1897</v>
      </c>
      <c r="AD40" s="2">
        <v>192</v>
      </c>
      <c r="AE40" s="2">
        <v>5</v>
      </c>
      <c r="AF40" s="2">
        <v>1</v>
      </c>
      <c r="AG40" s="2">
        <v>127</v>
      </c>
      <c r="AH40" s="2">
        <v>301</v>
      </c>
      <c r="AI40" s="2">
        <v>4283</v>
      </c>
      <c r="AJ40" s="2">
        <v>3</v>
      </c>
      <c r="AK40" s="72">
        <f>Weather!B160</f>
        <v>450.2</v>
      </c>
      <c r="AL40" s="72">
        <f>Weather!C160</f>
        <v>0</v>
      </c>
      <c r="AM40" s="72">
        <f t="shared" si="12"/>
        <v>31</v>
      </c>
      <c r="AN40" s="5">
        <v>23</v>
      </c>
      <c r="AO40" s="72">
        <f t="shared" si="6"/>
        <v>1</v>
      </c>
      <c r="AP40" s="72">
        <f>Employment!B40</f>
        <v>6377.2</v>
      </c>
      <c r="AQ40" s="72">
        <f>Employment!C40</f>
        <v>238.3</v>
      </c>
      <c r="AR40" s="72">
        <f t="shared" ref="AR40" si="61">AR28</f>
        <v>1</v>
      </c>
      <c r="AS40" s="72">
        <f t="shared" si="8"/>
        <v>0</v>
      </c>
      <c r="AT40" s="5">
        <f t="shared" si="7"/>
        <v>39</v>
      </c>
      <c r="AU40" s="73">
        <f t="shared" ref="AU40:BF40" si="62">AU28</f>
        <v>0</v>
      </c>
      <c r="AV40" s="73">
        <f t="shared" si="62"/>
        <v>0</v>
      </c>
      <c r="AW40" s="73">
        <f t="shared" si="62"/>
        <v>1</v>
      </c>
      <c r="AX40" s="73">
        <f t="shared" si="62"/>
        <v>0</v>
      </c>
      <c r="AY40" s="73">
        <f t="shared" si="62"/>
        <v>0</v>
      </c>
      <c r="AZ40" s="73">
        <f t="shared" si="62"/>
        <v>0</v>
      </c>
      <c r="BA40" s="73">
        <f t="shared" si="62"/>
        <v>0</v>
      </c>
      <c r="BB40" s="73">
        <f t="shared" si="62"/>
        <v>0</v>
      </c>
      <c r="BC40" s="73">
        <f t="shared" si="62"/>
        <v>0</v>
      </c>
      <c r="BD40" s="73">
        <f t="shared" si="62"/>
        <v>0</v>
      </c>
      <c r="BE40" s="73">
        <f t="shared" si="62"/>
        <v>0</v>
      </c>
      <c r="BF40" s="73">
        <f t="shared" si="62"/>
        <v>0</v>
      </c>
    </row>
    <row r="41" spans="1:58" x14ac:dyDescent="0.3">
      <c r="A41" s="1">
        <f>Sheet2!A89</f>
        <v>40269</v>
      </c>
      <c r="B41" s="92">
        <f t="shared" si="0"/>
        <v>2010</v>
      </c>
      <c r="C41" s="2">
        <f>Sheet2!B89</f>
        <v>10078900</v>
      </c>
      <c r="D41" s="72">
        <f ca="1">OFFSET('Historic CDM'!$C$94,0,(ROW()-2)/12)/12*1000</f>
        <v>112364.80793880745</v>
      </c>
      <c r="E41" s="72">
        <f t="shared" ca="1" si="1"/>
        <v>10191264.807938807</v>
      </c>
      <c r="F41" s="2">
        <f>Sheet2!C89</f>
        <v>3549477.45</v>
      </c>
      <c r="G41" s="72">
        <f ca="1">OFFSET('Historic CDM'!$C$108,0,(ROW()-2)/12)/12*1000</f>
        <v>40730.706354195565</v>
      </c>
      <c r="H41" s="72">
        <f t="shared" ca="1" si="2"/>
        <v>3590208.1563541959</v>
      </c>
      <c r="I41" s="2">
        <f>Sheet2!D89</f>
        <v>8839561.5500000007</v>
      </c>
      <c r="J41" s="72">
        <f ca="1">OFFSET('Historic CDM'!$C$122,0,(ROW()-2)/12)/12*1000</f>
        <v>99724.837594012584</v>
      </c>
      <c r="K41" s="72">
        <f t="shared" ca="1" si="3"/>
        <v>8939286.3875940125</v>
      </c>
      <c r="L41" s="2">
        <f>Sheet2!E89+2080000</f>
        <v>6586823.4400000004</v>
      </c>
      <c r="M41" s="72">
        <f ca="1">OFFSET('Historic CDM'!$C$136,0,(ROW()-2)/12)/12*1000</f>
        <v>54195.482184286382</v>
      </c>
      <c r="N41" s="72">
        <f t="shared" ca="1" si="4"/>
        <v>6641018.9221842866</v>
      </c>
      <c r="O41" s="2">
        <f>Sheet2!F89</f>
        <v>7884834.3200000003</v>
      </c>
      <c r="P41" s="72">
        <f ca="1">OFFSET('Historic CDM'!$C$150,0,(ROW()-2)/12)/12*1000</f>
        <v>80769.322421403005</v>
      </c>
      <c r="Q41" s="72">
        <f t="shared" ca="1" si="5"/>
        <v>7965603.642421403</v>
      </c>
      <c r="R41" s="2">
        <f>Sheet2!G89</f>
        <v>130634.41</v>
      </c>
      <c r="S41" s="2">
        <f>Sheet2!H89</f>
        <v>4247.7</v>
      </c>
      <c r="T41" s="2">
        <f>Sheet2!I89</f>
        <v>47080</v>
      </c>
      <c r="U41" s="60">
        <f>Sheet2!J89</f>
        <v>1224093.1000000001</v>
      </c>
      <c r="V41" s="60">
        <v>26109.61</v>
      </c>
      <c r="W41" s="60">
        <v>11944.77</v>
      </c>
      <c r="X41" s="60">
        <v>11926.37</v>
      </c>
      <c r="Y41" s="60">
        <v>894.4</v>
      </c>
      <c r="Z41" s="60"/>
      <c r="AA41" s="60">
        <v>3002.3</v>
      </c>
      <c r="AB41" s="2">
        <v>15957</v>
      </c>
      <c r="AC41" s="2">
        <v>1908</v>
      </c>
      <c r="AD41" s="2">
        <v>185</v>
      </c>
      <c r="AE41" s="2">
        <v>5</v>
      </c>
      <c r="AF41" s="2">
        <v>1</v>
      </c>
      <c r="AG41" s="2">
        <v>127</v>
      </c>
      <c r="AH41" s="2">
        <v>301</v>
      </c>
      <c r="AI41" s="2">
        <v>4283</v>
      </c>
      <c r="AJ41" s="2">
        <v>3</v>
      </c>
      <c r="AK41" s="72">
        <f>Weather!B161</f>
        <v>236.4</v>
      </c>
      <c r="AL41" s="72">
        <f>Weather!C161</f>
        <v>0</v>
      </c>
      <c r="AM41" s="72">
        <f t="shared" si="12"/>
        <v>30</v>
      </c>
      <c r="AN41" s="5">
        <v>20</v>
      </c>
      <c r="AO41" s="72">
        <f t="shared" si="6"/>
        <v>1</v>
      </c>
      <c r="AP41" s="72">
        <f>Employment!B41</f>
        <v>6401.7</v>
      </c>
      <c r="AQ41" s="72">
        <f>Employment!C41</f>
        <v>240.4</v>
      </c>
      <c r="AR41" s="72">
        <f t="shared" ref="AR41" si="63">AR29</f>
        <v>1</v>
      </c>
      <c r="AS41" s="72">
        <f t="shared" si="8"/>
        <v>0</v>
      </c>
      <c r="AT41" s="5">
        <f t="shared" si="7"/>
        <v>40</v>
      </c>
      <c r="AU41" s="73">
        <f t="shared" ref="AU41:BF41" si="64">AU29</f>
        <v>0</v>
      </c>
      <c r="AV41" s="73">
        <f t="shared" si="64"/>
        <v>0</v>
      </c>
      <c r="AW41" s="73">
        <f t="shared" si="64"/>
        <v>0</v>
      </c>
      <c r="AX41" s="73">
        <f t="shared" si="64"/>
        <v>1</v>
      </c>
      <c r="AY41" s="73">
        <f t="shared" si="64"/>
        <v>0</v>
      </c>
      <c r="AZ41" s="73">
        <f t="shared" si="64"/>
        <v>0</v>
      </c>
      <c r="BA41" s="73">
        <f t="shared" si="64"/>
        <v>0</v>
      </c>
      <c r="BB41" s="73">
        <f t="shared" si="64"/>
        <v>0</v>
      </c>
      <c r="BC41" s="73">
        <f t="shared" si="64"/>
        <v>0</v>
      </c>
      <c r="BD41" s="73">
        <f t="shared" si="64"/>
        <v>0</v>
      </c>
      <c r="BE41" s="73">
        <f t="shared" si="64"/>
        <v>0</v>
      </c>
      <c r="BF41" s="73">
        <f t="shared" si="64"/>
        <v>0</v>
      </c>
    </row>
    <row r="42" spans="1:58" x14ac:dyDescent="0.3">
      <c r="A42" s="1">
        <f>Sheet2!A90</f>
        <v>40299</v>
      </c>
      <c r="B42" s="92">
        <f t="shared" si="0"/>
        <v>2010</v>
      </c>
      <c r="C42" s="2">
        <f>Sheet2!B90</f>
        <v>10065783</v>
      </c>
      <c r="D42" s="72">
        <f ca="1">OFFSET('Historic CDM'!$C$94,0,(ROW()-2)/12)/12*1000</f>
        <v>112364.80793880745</v>
      </c>
      <c r="E42" s="72">
        <f t="shared" ca="1" si="1"/>
        <v>10178147.807938807</v>
      </c>
      <c r="F42" s="2">
        <f>Sheet2!C90</f>
        <v>3717991.33</v>
      </c>
      <c r="G42" s="72">
        <f ca="1">OFFSET('Historic CDM'!$C$108,0,(ROW()-2)/12)/12*1000</f>
        <v>40730.706354195565</v>
      </c>
      <c r="H42" s="72">
        <f t="shared" ca="1" si="2"/>
        <v>3758722.0363541958</v>
      </c>
      <c r="I42" s="2">
        <f>Sheet2!D90</f>
        <v>10253777.959999999</v>
      </c>
      <c r="J42" s="72">
        <f ca="1">OFFSET('Historic CDM'!$C$122,0,(ROW()-2)/12)/12*1000</f>
        <v>99724.837594012584</v>
      </c>
      <c r="K42" s="72">
        <f t="shared" ca="1" si="3"/>
        <v>10353502.797594011</v>
      </c>
      <c r="L42" s="2">
        <f>Sheet2!E90-2080000</f>
        <v>6028002.4500000002</v>
      </c>
      <c r="M42" s="72">
        <f ca="1">OFFSET('Historic CDM'!$C$136,0,(ROW()-2)/12)/12*1000</f>
        <v>54195.482184286382</v>
      </c>
      <c r="N42" s="72">
        <f t="shared" ca="1" si="4"/>
        <v>6082197.9321842864</v>
      </c>
      <c r="O42" s="2">
        <f>Sheet2!F90</f>
        <v>7948455.4400000004</v>
      </c>
      <c r="P42" s="72">
        <f ca="1">OFFSET('Historic CDM'!$C$150,0,(ROW()-2)/12)/12*1000</f>
        <v>80769.322421403005</v>
      </c>
      <c r="Q42" s="72">
        <f t="shared" ca="1" si="5"/>
        <v>8029224.7624214031</v>
      </c>
      <c r="R42" s="2">
        <f>Sheet2!G90</f>
        <v>421669.67000000004</v>
      </c>
      <c r="S42" s="2">
        <f>Sheet2!H90</f>
        <v>4059</v>
      </c>
      <c r="T42" s="2">
        <f>Sheet2!I90</f>
        <v>45615</v>
      </c>
      <c r="U42" s="60">
        <f>Sheet2!J90</f>
        <v>1286981.1000000001</v>
      </c>
      <c r="V42" s="60">
        <v>25563.119999999999</v>
      </c>
      <c r="W42" s="60">
        <v>8567.48</v>
      </c>
      <c r="X42" s="60">
        <v>11756.61</v>
      </c>
      <c r="Y42" s="60">
        <v>405.09000000000003</v>
      </c>
      <c r="Z42" s="60"/>
      <c r="AA42" s="60">
        <v>2669.3</v>
      </c>
      <c r="AB42" s="2">
        <v>15967</v>
      </c>
      <c r="AC42" s="2">
        <v>1908</v>
      </c>
      <c r="AD42" s="2">
        <v>185</v>
      </c>
      <c r="AE42" s="2">
        <v>5</v>
      </c>
      <c r="AF42" s="2">
        <v>1</v>
      </c>
      <c r="AG42" s="2">
        <v>127</v>
      </c>
      <c r="AH42" s="2">
        <v>301</v>
      </c>
      <c r="AI42" s="2">
        <v>4283</v>
      </c>
      <c r="AJ42" s="2">
        <v>3</v>
      </c>
      <c r="AK42" s="72">
        <f>Weather!B162</f>
        <v>121.1</v>
      </c>
      <c r="AL42" s="72">
        <f>Weather!C162</f>
        <v>34.9</v>
      </c>
      <c r="AM42" s="72">
        <f t="shared" si="12"/>
        <v>31</v>
      </c>
      <c r="AN42" s="5">
        <v>20</v>
      </c>
      <c r="AO42" s="72">
        <f t="shared" si="6"/>
        <v>1</v>
      </c>
      <c r="AP42" s="72">
        <f>Employment!B42</f>
        <v>6468.9</v>
      </c>
      <c r="AQ42" s="72">
        <f>Employment!C42</f>
        <v>242</v>
      </c>
      <c r="AR42" s="72">
        <f t="shared" ref="AR42" si="65">AR30</f>
        <v>1</v>
      </c>
      <c r="AS42" s="72">
        <f t="shared" si="8"/>
        <v>0</v>
      </c>
      <c r="AT42" s="5">
        <f t="shared" si="7"/>
        <v>41</v>
      </c>
      <c r="AU42" s="73">
        <f t="shared" ref="AU42:BF42" si="66">AU30</f>
        <v>0</v>
      </c>
      <c r="AV42" s="73">
        <f t="shared" si="66"/>
        <v>0</v>
      </c>
      <c r="AW42" s="73">
        <f t="shared" si="66"/>
        <v>0</v>
      </c>
      <c r="AX42" s="73">
        <f t="shared" si="66"/>
        <v>0</v>
      </c>
      <c r="AY42" s="73">
        <f t="shared" si="66"/>
        <v>1</v>
      </c>
      <c r="AZ42" s="73">
        <f t="shared" si="66"/>
        <v>0</v>
      </c>
      <c r="BA42" s="73">
        <f t="shared" si="66"/>
        <v>0</v>
      </c>
      <c r="BB42" s="73">
        <f t="shared" si="66"/>
        <v>0</v>
      </c>
      <c r="BC42" s="73">
        <f t="shared" si="66"/>
        <v>0</v>
      </c>
      <c r="BD42" s="73">
        <f t="shared" si="66"/>
        <v>0</v>
      </c>
      <c r="BE42" s="73">
        <f t="shared" si="66"/>
        <v>0</v>
      </c>
      <c r="BF42" s="73">
        <f t="shared" si="66"/>
        <v>0</v>
      </c>
    </row>
    <row r="43" spans="1:58" x14ac:dyDescent="0.3">
      <c r="A43" s="1">
        <f>Sheet2!A91</f>
        <v>40330</v>
      </c>
      <c r="B43" s="92">
        <f t="shared" si="0"/>
        <v>2010</v>
      </c>
      <c r="C43" s="2">
        <f>Sheet2!B91</f>
        <v>12037293</v>
      </c>
      <c r="D43" s="72">
        <f ca="1">OFFSET('Historic CDM'!$C$94,0,(ROW()-2)/12)/12*1000</f>
        <v>112364.80793880745</v>
      </c>
      <c r="E43" s="72">
        <f t="shared" ca="1" si="1"/>
        <v>12149657.807938807</v>
      </c>
      <c r="F43" s="2">
        <f>Sheet2!C91</f>
        <v>4248521.58</v>
      </c>
      <c r="G43" s="72">
        <f ca="1">OFFSET('Historic CDM'!$C$108,0,(ROW()-2)/12)/12*1000</f>
        <v>40730.706354195565</v>
      </c>
      <c r="H43" s="72">
        <f t="shared" ca="1" si="2"/>
        <v>4289252.2863541953</v>
      </c>
      <c r="I43" s="2">
        <f>Sheet2!D91</f>
        <v>9644090.0299999993</v>
      </c>
      <c r="J43" s="72">
        <f ca="1">OFFSET('Historic CDM'!$C$122,0,(ROW()-2)/12)/12*1000</f>
        <v>99724.837594012584</v>
      </c>
      <c r="K43" s="72">
        <f t="shared" ca="1" si="3"/>
        <v>9743814.8675940111</v>
      </c>
      <c r="L43" s="2">
        <f>Sheet2!E91</f>
        <v>6632444.040000001</v>
      </c>
      <c r="M43" s="72">
        <f ca="1">OFFSET('Historic CDM'!$C$136,0,(ROW()-2)/12)/12*1000</f>
        <v>54195.482184286382</v>
      </c>
      <c r="N43" s="72">
        <f t="shared" ca="1" si="4"/>
        <v>6686639.5221842872</v>
      </c>
      <c r="O43" s="2">
        <f>Sheet2!F91</f>
        <v>6771554.7699999996</v>
      </c>
      <c r="P43" s="72">
        <f ca="1">OFFSET('Historic CDM'!$C$150,0,(ROW()-2)/12)/12*1000</f>
        <v>80769.322421403005</v>
      </c>
      <c r="Q43" s="72">
        <f t="shared" ca="1" si="5"/>
        <v>6852324.0924214022</v>
      </c>
      <c r="R43" s="2">
        <f>Sheet2!G91</f>
        <v>242566.30000000002</v>
      </c>
      <c r="S43" s="2">
        <f>Sheet2!H91</f>
        <v>5630.4000000000005</v>
      </c>
      <c r="T43" s="2">
        <f>Sheet2!I91</f>
        <v>47537</v>
      </c>
      <c r="U43" s="2">
        <f>Sheet2!J91</f>
        <v>1312244.1000000001</v>
      </c>
      <c r="V43" s="72">
        <v>31147.09</v>
      </c>
      <c r="W43" s="72">
        <v>16888.5</v>
      </c>
      <c r="X43" s="72">
        <v>12452.09</v>
      </c>
      <c r="Y43" s="72">
        <v>1383.71</v>
      </c>
      <c r="Z43" s="72"/>
      <c r="AA43" s="72">
        <v>2788.8</v>
      </c>
      <c r="AB43" s="2">
        <v>15976</v>
      </c>
      <c r="AC43" s="2">
        <v>1908</v>
      </c>
      <c r="AD43" s="2">
        <v>185</v>
      </c>
      <c r="AE43" s="2">
        <v>5</v>
      </c>
      <c r="AF43" s="2">
        <v>1</v>
      </c>
      <c r="AG43" s="2">
        <v>127</v>
      </c>
      <c r="AH43" s="2">
        <v>301</v>
      </c>
      <c r="AI43" s="2">
        <v>4283</v>
      </c>
      <c r="AJ43" s="2">
        <v>3</v>
      </c>
      <c r="AK43" s="72">
        <f>Weather!B163</f>
        <v>23.6</v>
      </c>
      <c r="AL43" s="72">
        <f>Weather!C163</f>
        <v>57.5</v>
      </c>
      <c r="AM43" s="72">
        <f t="shared" si="12"/>
        <v>30</v>
      </c>
      <c r="AN43" s="5">
        <v>22</v>
      </c>
      <c r="AO43" s="72">
        <f t="shared" si="6"/>
        <v>0</v>
      </c>
      <c r="AP43" s="72">
        <f>Employment!B43</f>
        <v>6578.9</v>
      </c>
      <c r="AQ43" s="72">
        <f>Employment!C43</f>
        <v>245</v>
      </c>
      <c r="AR43" s="72">
        <f t="shared" ref="AR43" si="67">AR31</f>
        <v>0</v>
      </c>
      <c r="AS43" s="72">
        <f t="shared" si="8"/>
        <v>0</v>
      </c>
      <c r="AT43" s="5">
        <f t="shared" si="7"/>
        <v>42</v>
      </c>
      <c r="AU43" s="73">
        <f t="shared" ref="AU43:BF43" si="68">AU31</f>
        <v>0</v>
      </c>
      <c r="AV43" s="73">
        <f t="shared" si="68"/>
        <v>0</v>
      </c>
      <c r="AW43" s="73">
        <f t="shared" si="68"/>
        <v>0</v>
      </c>
      <c r="AX43" s="73">
        <f t="shared" si="68"/>
        <v>0</v>
      </c>
      <c r="AY43" s="73">
        <f t="shared" si="68"/>
        <v>0</v>
      </c>
      <c r="AZ43" s="73">
        <f t="shared" si="68"/>
        <v>1</v>
      </c>
      <c r="BA43" s="73">
        <f t="shared" si="68"/>
        <v>0</v>
      </c>
      <c r="BB43" s="73">
        <f t="shared" si="68"/>
        <v>0</v>
      </c>
      <c r="BC43" s="73">
        <f t="shared" si="68"/>
        <v>0</v>
      </c>
      <c r="BD43" s="73">
        <f t="shared" si="68"/>
        <v>0</v>
      </c>
      <c r="BE43" s="73">
        <f t="shared" si="68"/>
        <v>0</v>
      </c>
      <c r="BF43" s="73">
        <f t="shared" si="68"/>
        <v>0</v>
      </c>
    </row>
    <row r="44" spans="1:58" x14ac:dyDescent="0.3">
      <c r="A44" s="1">
        <f>Sheet2!A92</f>
        <v>40360</v>
      </c>
      <c r="B44" s="92">
        <f t="shared" si="0"/>
        <v>2010</v>
      </c>
      <c r="C44" s="2">
        <f>Sheet2!B92</f>
        <v>13106361</v>
      </c>
      <c r="D44" s="72">
        <f ca="1">OFFSET('Historic CDM'!$C$94,0,(ROW()-2)/12)/12*1000</f>
        <v>112364.80793880745</v>
      </c>
      <c r="E44" s="72">
        <f t="shared" ca="1" si="1"/>
        <v>13218725.807938807</v>
      </c>
      <c r="F44" s="2">
        <f>Sheet2!C92</f>
        <v>4278117</v>
      </c>
      <c r="G44" s="72">
        <f ca="1">OFFSET('Historic CDM'!$C$108,0,(ROW()-2)/12)/12*1000</f>
        <v>40730.706354195565</v>
      </c>
      <c r="H44" s="72">
        <f t="shared" ca="1" si="2"/>
        <v>4318847.7063541953</v>
      </c>
      <c r="I44" s="2">
        <f>Sheet2!D92</f>
        <v>9803256.379999999</v>
      </c>
      <c r="J44" s="72">
        <f ca="1">OFFSET('Historic CDM'!$C$122,0,(ROW()-2)/12)/12*1000</f>
        <v>99724.837594012584</v>
      </c>
      <c r="K44" s="72">
        <f t="shared" ca="1" si="3"/>
        <v>9902981.2175940108</v>
      </c>
      <c r="L44" s="2">
        <f>Sheet2!E92</f>
        <v>7132432.5499999989</v>
      </c>
      <c r="M44" s="72">
        <f ca="1">OFFSET('Historic CDM'!$C$136,0,(ROW()-2)/12)/12*1000</f>
        <v>54195.482184286382</v>
      </c>
      <c r="N44" s="72">
        <f t="shared" ca="1" si="4"/>
        <v>7186628.0321842851</v>
      </c>
      <c r="O44" s="2">
        <f>Sheet2!F92</f>
        <v>8656995.2800000012</v>
      </c>
      <c r="P44" s="72">
        <f ca="1">OFFSET('Historic CDM'!$C$150,0,(ROW()-2)/12)/12*1000</f>
        <v>80769.322421403005</v>
      </c>
      <c r="Q44" s="72">
        <f t="shared" ca="1" si="5"/>
        <v>8737764.6024214048</v>
      </c>
      <c r="R44" s="2">
        <f>Sheet2!G92</f>
        <v>259919.28</v>
      </c>
      <c r="S44" s="2">
        <f>Sheet2!H92</f>
        <v>3958.2000000000003</v>
      </c>
      <c r="T44" s="2">
        <f>Sheet2!I92</f>
        <v>46623</v>
      </c>
      <c r="U44" s="2">
        <f>Sheet2!J92</f>
        <v>1546767.7</v>
      </c>
      <c r="V44" s="72">
        <v>29511.809999999994</v>
      </c>
      <c r="W44" s="72">
        <v>14518.649999999998</v>
      </c>
      <c r="X44" s="72">
        <v>12524.25</v>
      </c>
      <c r="Y44" s="72">
        <v>894.39999999999986</v>
      </c>
      <c r="Z44" s="72"/>
      <c r="AA44" s="72">
        <v>2807.4</v>
      </c>
      <c r="AB44" s="2">
        <v>15997</v>
      </c>
      <c r="AC44" s="2">
        <v>1908</v>
      </c>
      <c r="AD44" s="2">
        <v>185</v>
      </c>
      <c r="AE44" s="2">
        <v>5</v>
      </c>
      <c r="AF44" s="2">
        <v>1</v>
      </c>
      <c r="AG44" s="2">
        <v>127</v>
      </c>
      <c r="AH44" s="2">
        <v>301</v>
      </c>
      <c r="AI44" s="2">
        <v>4283</v>
      </c>
      <c r="AJ44" s="2">
        <v>3</v>
      </c>
      <c r="AK44" s="72">
        <f>Weather!B164</f>
        <v>5.6</v>
      </c>
      <c r="AL44" s="72">
        <f>Weather!C164</f>
        <v>129.69999999999999</v>
      </c>
      <c r="AM44" s="72">
        <f t="shared" si="12"/>
        <v>31</v>
      </c>
      <c r="AN44" s="5">
        <v>21</v>
      </c>
      <c r="AO44" s="72">
        <f t="shared" si="6"/>
        <v>0</v>
      </c>
      <c r="AP44" s="72">
        <f>Employment!B44</f>
        <v>6640.9</v>
      </c>
      <c r="AQ44" s="72">
        <f>Employment!C44</f>
        <v>243.3</v>
      </c>
      <c r="AR44" s="72">
        <f t="shared" ref="AR44" si="69">AR32</f>
        <v>0</v>
      </c>
      <c r="AS44" s="72">
        <f t="shared" si="8"/>
        <v>0</v>
      </c>
      <c r="AT44" s="5">
        <f t="shared" si="7"/>
        <v>43</v>
      </c>
      <c r="AU44" s="73">
        <f t="shared" ref="AU44:BF44" si="70">AU32</f>
        <v>0</v>
      </c>
      <c r="AV44" s="73">
        <f t="shared" si="70"/>
        <v>0</v>
      </c>
      <c r="AW44" s="73">
        <f t="shared" si="70"/>
        <v>0</v>
      </c>
      <c r="AX44" s="73">
        <f t="shared" si="70"/>
        <v>0</v>
      </c>
      <c r="AY44" s="73">
        <f t="shared" si="70"/>
        <v>0</v>
      </c>
      <c r="AZ44" s="73">
        <f t="shared" si="70"/>
        <v>0</v>
      </c>
      <c r="BA44" s="73">
        <f t="shared" si="70"/>
        <v>1</v>
      </c>
      <c r="BB44" s="73">
        <f t="shared" si="70"/>
        <v>0</v>
      </c>
      <c r="BC44" s="73">
        <f t="shared" si="70"/>
        <v>0</v>
      </c>
      <c r="BD44" s="73">
        <f t="shared" si="70"/>
        <v>0</v>
      </c>
      <c r="BE44" s="73">
        <f t="shared" si="70"/>
        <v>0</v>
      </c>
      <c r="BF44" s="73">
        <f t="shared" si="70"/>
        <v>0</v>
      </c>
    </row>
    <row r="45" spans="1:58" x14ac:dyDescent="0.3">
      <c r="A45" s="1">
        <f>Sheet2!A93</f>
        <v>40391</v>
      </c>
      <c r="B45" s="92">
        <f t="shared" si="0"/>
        <v>2010</v>
      </c>
      <c r="C45" s="2">
        <f>Sheet2!B93</f>
        <v>12999826</v>
      </c>
      <c r="D45" s="72">
        <f ca="1">OFFSET('Historic CDM'!$C$94,0,(ROW()-2)/12)/12*1000</f>
        <v>112364.80793880745</v>
      </c>
      <c r="E45" s="72">
        <f t="shared" ca="1" si="1"/>
        <v>13112190.807938807</v>
      </c>
      <c r="F45" s="2">
        <f>Sheet2!C93</f>
        <v>4250032.07</v>
      </c>
      <c r="G45" s="72">
        <f ca="1">OFFSET('Historic CDM'!$C$108,0,(ROW()-2)/12)/12*1000</f>
        <v>40730.706354195565</v>
      </c>
      <c r="H45" s="72">
        <f t="shared" ca="1" si="2"/>
        <v>4290762.7763541956</v>
      </c>
      <c r="I45" s="2">
        <f>Sheet2!D93</f>
        <v>9891903.6799999997</v>
      </c>
      <c r="J45" s="72">
        <f ca="1">OFFSET('Historic CDM'!$C$122,0,(ROW()-2)/12)/12*1000</f>
        <v>99724.837594012584</v>
      </c>
      <c r="K45" s="72">
        <f t="shared" ca="1" si="3"/>
        <v>9991628.5175940115</v>
      </c>
      <c r="L45" s="2">
        <f>Sheet2!E93</f>
        <v>7064086.9800000004</v>
      </c>
      <c r="M45" s="72">
        <f ca="1">OFFSET('Historic CDM'!$C$136,0,(ROW()-2)/12)/12*1000</f>
        <v>54195.482184286382</v>
      </c>
      <c r="N45" s="72">
        <f t="shared" ca="1" si="4"/>
        <v>7118282.4621842867</v>
      </c>
      <c r="O45" s="2">
        <f>Sheet2!F93</f>
        <v>8110245.0899999999</v>
      </c>
      <c r="P45" s="72">
        <f ca="1">OFFSET('Historic CDM'!$C$150,0,(ROW()-2)/12)/12*1000</f>
        <v>80769.322421403005</v>
      </c>
      <c r="Q45" s="72">
        <f t="shared" ca="1" si="5"/>
        <v>8191014.4124214025</v>
      </c>
      <c r="R45" s="2">
        <f>Sheet2!G93</f>
        <v>133420.9</v>
      </c>
      <c r="S45" s="2">
        <f>Sheet2!H93</f>
        <v>5013.8999999999996</v>
      </c>
      <c r="T45" s="2">
        <f>Sheet2!I93</f>
        <v>48545</v>
      </c>
      <c r="U45" s="2">
        <f>Sheet2!J93</f>
        <v>1496775.8</v>
      </c>
      <c r="V45" s="72">
        <v>28496.079999999998</v>
      </c>
      <c r="W45" s="72">
        <v>14836.69</v>
      </c>
      <c r="X45" s="72">
        <v>13457.13</v>
      </c>
      <c r="Y45" s="72">
        <v>894.4</v>
      </c>
      <c r="Z45" s="72"/>
      <c r="AA45" s="72">
        <v>3347</v>
      </c>
      <c r="AB45" s="2">
        <v>16009</v>
      </c>
      <c r="AC45" s="2">
        <v>1907</v>
      </c>
      <c r="AD45" s="2">
        <v>185</v>
      </c>
      <c r="AE45" s="2">
        <v>5</v>
      </c>
      <c r="AF45" s="2">
        <v>1</v>
      </c>
      <c r="AG45" s="2">
        <v>127</v>
      </c>
      <c r="AH45" s="2">
        <v>301</v>
      </c>
      <c r="AI45" s="2">
        <v>4283</v>
      </c>
      <c r="AJ45" s="2">
        <v>3</v>
      </c>
      <c r="AK45" s="72">
        <f>Weather!B165</f>
        <v>6</v>
      </c>
      <c r="AL45" s="72">
        <f>Weather!C165</f>
        <v>121.7</v>
      </c>
      <c r="AM45" s="72">
        <f t="shared" si="12"/>
        <v>31</v>
      </c>
      <c r="AN45" s="5">
        <v>21</v>
      </c>
      <c r="AO45" s="72">
        <f t="shared" si="6"/>
        <v>0</v>
      </c>
      <c r="AP45" s="72">
        <f>Employment!B45</f>
        <v>6662.6</v>
      </c>
      <c r="AQ45" s="72">
        <f>Employment!C45</f>
        <v>241.9</v>
      </c>
      <c r="AR45" s="72">
        <f t="shared" ref="AR45" si="71">AR33</f>
        <v>0</v>
      </c>
      <c r="AS45" s="72">
        <f t="shared" si="8"/>
        <v>0</v>
      </c>
      <c r="AT45" s="5">
        <f t="shared" si="7"/>
        <v>44</v>
      </c>
      <c r="AU45" s="73">
        <f t="shared" ref="AU45:BF45" si="72">AU33</f>
        <v>0</v>
      </c>
      <c r="AV45" s="73">
        <f t="shared" si="72"/>
        <v>0</v>
      </c>
      <c r="AW45" s="73">
        <f t="shared" si="72"/>
        <v>0</v>
      </c>
      <c r="AX45" s="73">
        <f t="shared" si="72"/>
        <v>0</v>
      </c>
      <c r="AY45" s="73">
        <f t="shared" si="72"/>
        <v>0</v>
      </c>
      <c r="AZ45" s="73">
        <f t="shared" si="72"/>
        <v>0</v>
      </c>
      <c r="BA45" s="73">
        <f t="shared" si="72"/>
        <v>0</v>
      </c>
      <c r="BB45" s="73">
        <f t="shared" si="72"/>
        <v>1</v>
      </c>
      <c r="BC45" s="73">
        <f t="shared" si="72"/>
        <v>0</v>
      </c>
      <c r="BD45" s="73">
        <f t="shared" si="72"/>
        <v>0</v>
      </c>
      <c r="BE45" s="73">
        <f t="shared" si="72"/>
        <v>0</v>
      </c>
      <c r="BF45" s="73">
        <f t="shared" si="72"/>
        <v>0</v>
      </c>
    </row>
    <row r="46" spans="1:58" x14ac:dyDescent="0.3">
      <c r="A46" s="1">
        <f>Sheet2!A94</f>
        <v>40422</v>
      </c>
      <c r="B46" s="92">
        <f t="shared" si="0"/>
        <v>2010</v>
      </c>
      <c r="C46" s="2">
        <f>Sheet2!B94</f>
        <v>10483298</v>
      </c>
      <c r="D46" s="72">
        <f ca="1">OFFSET('Historic CDM'!$C$94,0,(ROW()-2)/12)/12*1000</f>
        <v>112364.80793880745</v>
      </c>
      <c r="E46" s="72">
        <f t="shared" ca="1" si="1"/>
        <v>10595662.807938807</v>
      </c>
      <c r="F46" s="2">
        <f>Sheet2!C94</f>
        <v>3706394.13</v>
      </c>
      <c r="G46" s="72">
        <f ca="1">OFFSET('Historic CDM'!$C$108,0,(ROW()-2)/12)/12*1000</f>
        <v>40730.706354195565</v>
      </c>
      <c r="H46" s="72">
        <f t="shared" ca="1" si="2"/>
        <v>3747124.8363541956</v>
      </c>
      <c r="I46" s="2">
        <f>Sheet2!D94</f>
        <v>10968219.35</v>
      </c>
      <c r="J46" s="72">
        <f ca="1">OFFSET('Historic CDM'!$C$122,0,(ROW()-2)/12)/12*1000</f>
        <v>99724.837594012584</v>
      </c>
      <c r="K46" s="72">
        <f t="shared" ca="1" si="3"/>
        <v>11067944.187594011</v>
      </c>
      <c r="L46" s="2">
        <f>Sheet2!E94</f>
        <v>6026915.8700000001</v>
      </c>
      <c r="M46" s="72">
        <f ca="1">OFFSET('Historic CDM'!$C$136,0,(ROW()-2)/12)/12*1000</f>
        <v>54195.482184286382</v>
      </c>
      <c r="N46" s="72">
        <f t="shared" ca="1" si="4"/>
        <v>6081111.3521842863</v>
      </c>
      <c r="O46" s="2">
        <f>Sheet2!F94</f>
        <v>7775055.25</v>
      </c>
      <c r="P46" s="72">
        <f ca="1">OFFSET('Historic CDM'!$C$150,0,(ROW()-2)/12)/12*1000</f>
        <v>80769.322421403005</v>
      </c>
      <c r="Q46" s="72">
        <f t="shared" ca="1" si="5"/>
        <v>7855824.5724214027</v>
      </c>
      <c r="R46" s="2">
        <f>Sheet2!G94</f>
        <v>495047.14999999997</v>
      </c>
      <c r="S46" s="2">
        <f>Sheet2!H94</f>
        <v>4452.3</v>
      </c>
      <c r="T46" s="2">
        <f>Sheet2!I94</f>
        <v>47080</v>
      </c>
      <c r="U46" s="2">
        <f>Sheet2!J94</f>
        <v>1261330.8999999999</v>
      </c>
      <c r="V46" s="72">
        <v>29123.49</v>
      </c>
      <c r="W46" s="72">
        <v>14414.9</v>
      </c>
      <c r="X46" s="72">
        <v>13538.05</v>
      </c>
      <c r="Y46" s="72">
        <v>405.09000000000003</v>
      </c>
      <c r="Z46" s="72"/>
      <c r="AA46" s="72">
        <v>3310.7</v>
      </c>
      <c r="AB46" s="2">
        <v>16024</v>
      </c>
      <c r="AC46" s="2">
        <v>1909</v>
      </c>
      <c r="AD46" s="2">
        <v>185</v>
      </c>
      <c r="AE46" s="2">
        <v>5</v>
      </c>
      <c r="AF46" s="2">
        <v>1</v>
      </c>
      <c r="AG46" s="2">
        <v>127</v>
      </c>
      <c r="AH46" s="2">
        <v>301</v>
      </c>
      <c r="AI46" s="2">
        <v>4283</v>
      </c>
      <c r="AJ46" s="2">
        <v>3</v>
      </c>
      <c r="AK46" s="72">
        <f>Weather!B166</f>
        <v>87.9</v>
      </c>
      <c r="AL46" s="72">
        <f>Weather!C166</f>
        <v>24.1</v>
      </c>
      <c r="AM46" s="72">
        <f t="shared" si="12"/>
        <v>30</v>
      </c>
      <c r="AN46" s="5">
        <v>21</v>
      </c>
      <c r="AO46" s="72">
        <f t="shared" si="6"/>
        <v>1</v>
      </c>
      <c r="AP46" s="72">
        <f>Employment!B46</f>
        <v>6611.2</v>
      </c>
      <c r="AQ46" s="72">
        <f>Employment!C46</f>
        <v>237.4</v>
      </c>
      <c r="AR46" s="72">
        <f t="shared" ref="AR46" si="73">AR34</f>
        <v>0</v>
      </c>
      <c r="AS46" s="72">
        <f t="shared" si="8"/>
        <v>1</v>
      </c>
      <c r="AT46" s="5">
        <f t="shared" si="7"/>
        <v>45</v>
      </c>
      <c r="AU46" s="73">
        <f t="shared" ref="AU46:BF46" si="74">AU34</f>
        <v>0</v>
      </c>
      <c r="AV46" s="73">
        <f t="shared" si="74"/>
        <v>0</v>
      </c>
      <c r="AW46" s="73">
        <f t="shared" si="74"/>
        <v>0</v>
      </c>
      <c r="AX46" s="73">
        <f t="shared" si="74"/>
        <v>0</v>
      </c>
      <c r="AY46" s="73">
        <f t="shared" si="74"/>
        <v>0</v>
      </c>
      <c r="AZ46" s="73">
        <f t="shared" si="74"/>
        <v>0</v>
      </c>
      <c r="BA46" s="73">
        <f t="shared" si="74"/>
        <v>0</v>
      </c>
      <c r="BB46" s="73">
        <f t="shared" si="74"/>
        <v>0</v>
      </c>
      <c r="BC46" s="73">
        <f t="shared" si="74"/>
        <v>1</v>
      </c>
      <c r="BD46" s="73">
        <f t="shared" si="74"/>
        <v>0</v>
      </c>
      <c r="BE46" s="73">
        <f t="shared" si="74"/>
        <v>0</v>
      </c>
      <c r="BF46" s="73">
        <f t="shared" si="74"/>
        <v>0</v>
      </c>
    </row>
    <row r="47" spans="1:58" x14ac:dyDescent="0.3">
      <c r="A47" s="1">
        <f>Sheet2!A95</f>
        <v>40452</v>
      </c>
      <c r="B47" s="92">
        <f t="shared" si="0"/>
        <v>2010</v>
      </c>
      <c r="C47" s="2">
        <f>Sheet2!B95</f>
        <v>9828580.1999999993</v>
      </c>
      <c r="D47" s="72">
        <f ca="1">OFFSET('Historic CDM'!$C$94,0,(ROW()-2)/12)/12*1000</f>
        <v>112364.80793880745</v>
      </c>
      <c r="E47" s="72">
        <f t="shared" ca="1" si="1"/>
        <v>9940945.007938806</v>
      </c>
      <c r="F47" s="2">
        <f>Sheet2!C95</f>
        <v>3599656.7199999997</v>
      </c>
      <c r="G47" s="72">
        <f ca="1">OFFSET('Historic CDM'!$C$108,0,(ROW()-2)/12)/12*1000</f>
        <v>40730.706354195565</v>
      </c>
      <c r="H47" s="72">
        <f t="shared" ca="1" si="2"/>
        <v>3640387.4263541955</v>
      </c>
      <c r="I47" s="2">
        <f>Sheet2!D95</f>
        <v>10425749.689999999</v>
      </c>
      <c r="J47" s="72">
        <f ca="1">OFFSET('Historic CDM'!$C$122,0,(ROW()-2)/12)/12*1000</f>
        <v>99724.837594012584</v>
      </c>
      <c r="K47" s="72">
        <f t="shared" ca="1" si="3"/>
        <v>10525474.527594011</v>
      </c>
      <c r="L47" s="2">
        <f>Sheet2!E95</f>
        <v>6413714.9100000001</v>
      </c>
      <c r="M47" s="72">
        <f ca="1">OFFSET('Historic CDM'!$C$136,0,(ROW()-2)/12)/12*1000</f>
        <v>54195.482184286382</v>
      </c>
      <c r="N47" s="72">
        <f t="shared" ca="1" si="4"/>
        <v>6467910.3921842864</v>
      </c>
      <c r="O47" s="2">
        <f>Sheet2!F95</f>
        <v>8732267.8599999994</v>
      </c>
      <c r="P47" s="72">
        <f ca="1">OFFSET('Historic CDM'!$C$150,0,(ROW()-2)/12)/12*1000</f>
        <v>80769.322421403005</v>
      </c>
      <c r="Q47" s="72">
        <f t="shared" ca="1" si="5"/>
        <v>8813037.182421403</v>
      </c>
      <c r="R47" s="2">
        <f>Sheet2!G95</f>
        <v>388279.37</v>
      </c>
      <c r="S47" s="2">
        <f>Sheet2!H95</f>
        <v>4021.2000000000003</v>
      </c>
      <c r="T47" s="2">
        <f>Sheet2!I95</f>
        <v>47080</v>
      </c>
      <c r="U47" s="2">
        <f>Sheet2!J95</f>
        <v>1396956.8</v>
      </c>
      <c r="V47" s="72">
        <v>33290.699999999997</v>
      </c>
      <c r="W47" s="72">
        <v>13581.99</v>
      </c>
      <c r="X47" s="72">
        <v>13391.09</v>
      </c>
      <c r="Y47" s="72">
        <v>1383.73</v>
      </c>
      <c r="Z47" s="72"/>
      <c r="AA47" s="72">
        <v>3016.3</v>
      </c>
      <c r="AB47" s="2">
        <v>16037</v>
      </c>
      <c r="AC47" s="2">
        <v>1909</v>
      </c>
      <c r="AD47" s="2">
        <v>185</v>
      </c>
      <c r="AE47" s="2">
        <v>5</v>
      </c>
      <c r="AF47" s="2">
        <v>1</v>
      </c>
      <c r="AG47" s="2">
        <v>127</v>
      </c>
      <c r="AH47" s="2">
        <v>301</v>
      </c>
      <c r="AI47" s="2">
        <v>4283</v>
      </c>
      <c r="AJ47" s="2">
        <v>3</v>
      </c>
      <c r="AK47" s="72">
        <f>Weather!B167</f>
        <v>239.5</v>
      </c>
      <c r="AL47" s="72">
        <f>Weather!C167</f>
        <v>0</v>
      </c>
      <c r="AM47" s="72">
        <f t="shared" si="12"/>
        <v>31</v>
      </c>
      <c r="AN47" s="5">
        <v>20</v>
      </c>
      <c r="AO47" s="72">
        <f t="shared" si="6"/>
        <v>1</v>
      </c>
      <c r="AP47" s="72">
        <f>Employment!B47</f>
        <v>6587.1</v>
      </c>
      <c r="AQ47" s="72">
        <f>Employment!C47</f>
        <v>236.2</v>
      </c>
      <c r="AR47" s="72">
        <f t="shared" ref="AR47" si="75">AR35</f>
        <v>0</v>
      </c>
      <c r="AS47" s="72">
        <f t="shared" si="8"/>
        <v>1</v>
      </c>
      <c r="AT47" s="5">
        <f t="shared" si="7"/>
        <v>46</v>
      </c>
      <c r="AU47" s="73">
        <f t="shared" ref="AU47:BF47" si="76">AU35</f>
        <v>0</v>
      </c>
      <c r="AV47" s="73">
        <f t="shared" si="76"/>
        <v>0</v>
      </c>
      <c r="AW47" s="73">
        <f t="shared" si="76"/>
        <v>0</v>
      </c>
      <c r="AX47" s="73">
        <f t="shared" si="76"/>
        <v>0</v>
      </c>
      <c r="AY47" s="73">
        <f t="shared" si="76"/>
        <v>0</v>
      </c>
      <c r="AZ47" s="73">
        <f t="shared" si="76"/>
        <v>0</v>
      </c>
      <c r="BA47" s="73">
        <f t="shared" si="76"/>
        <v>0</v>
      </c>
      <c r="BB47" s="73">
        <f t="shared" si="76"/>
        <v>0</v>
      </c>
      <c r="BC47" s="73">
        <f t="shared" si="76"/>
        <v>0</v>
      </c>
      <c r="BD47" s="73">
        <f t="shared" si="76"/>
        <v>1</v>
      </c>
      <c r="BE47" s="73">
        <f t="shared" si="76"/>
        <v>0</v>
      </c>
      <c r="BF47" s="73">
        <f t="shared" si="76"/>
        <v>0</v>
      </c>
    </row>
    <row r="48" spans="1:58" x14ac:dyDescent="0.3">
      <c r="A48" s="1">
        <f>Sheet2!A96</f>
        <v>40483</v>
      </c>
      <c r="B48" s="92">
        <f t="shared" si="0"/>
        <v>2010</v>
      </c>
      <c r="C48" s="2">
        <f>Sheet2!B96</f>
        <v>11291499.800000001</v>
      </c>
      <c r="D48" s="72">
        <f ca="1">OFFSET('Historic CDM'!$C$94,0,(ROW()-2)/12)/12*1000</f>
        <v>112364.80793880745</v>
      </c>
      <c r="E48" s="72">
        <f t="shared" ca="1" si="1"/>
        <v>11403864.607938807</v>
      </c>
      <c r="F48" s="2">
        <f>Sheet2!C96</f>
        <v>3990579.01</v>
      </c>
      <c r="G48" s="72">
        <f ca="1">OFFSET('Historic CDM'!$C$108,0,(ROW()-2)/12)/12*1000</f>
        <v>40730.706354195565</v>
      </c>
      <c r="H48" s="72">
        <f t="shared" ca="1" si="2"/>
        <v>4031309.7163541955</v>
      </c>
      <c r="I48" s="2">
        <f>Sheet2!D96</f>
        <v>10179593.299999999</v>
      </c>
      <c r="J48" s="72">
        <f ca="1">OFFSET('Historic CDM'!$C$122,0,(ROW()-2)/12)/12*1000</f>
        <v>99724.837594012584</v>
      </c>
      <c r="K48" s="72">
        <f t="shared" ca="1" si="3"/>
        <v>10279318.137594011</v>
      </c>
      <c r="L48" s="2">
        <f>Sheet2!E96</f>
        <v>6067975.9800000004</v>
      </c>
      <c r="M48" s="72">
        <f ca="1">OFFSET('Historic CDM'!$C$136,0,(ROW()-2)/12)/12*1000</f>
        <v>54195.482184286382</v>
      </c>
      <c r="N48" s="72">
        <f t="shared" ca="1" si="4"/>
        <v>6122171.4621842867</v>
      </c>
      <c r="O48" s="2">
        <f>Sheet2!F96</f>
        <v>8312015.1699999999</v>
      </c>
      <c r="P48" s="72">
        <f ca="1">OFFSET('Historic CDM'!$C$150,0,(ROW()-2)/12)/12*1000</f>
        <v>80769.322421403005</v>
      </c>
      <c r="Q48" s="72">
        <f t="shared" ca="1" si="5"/>
        <v>8392784.4924214035</v>
      </c>
      <c r="R48" s="2">
        <f>Sheet2!G96</f>
        <v>396929.52999999997</v>
      </c>
      <c r="S48" s="2">
        <f>Sheet2!H96</f>
        <v>4774.5</v>
      </c>
      <c r="T48" s="2">
        <f>Sheet2!I96</f>
        <v>47031</v>
      </c>
      <c r="U48" s="2">
        <f>Sheet2!J96</f>
        <v>1414703.9</v>
      </c>
      <c r="V48" s="72">
        <v>30277.33</v>
      </c>
      <c r="W48" s="72">
        <v>12768.73</v>
      </c>
      <c r="X48" s="72">
        <v>13231.81</v>
      </c>
      <c r="Y48" s="72">
        <v>898.81</v>
      </c>
      <c r="Z48" s="72"/>
      <c r="AA48" s="72">
        <v>2927.7</v>
      </c>
      <c r="AB48" s="2">
        <v>16037</v>
      </c>
      <c r="AC48" s="2">
        <v>1909</v>
      </c>
      <c r="AD48" s="2">
        <v>185</v>
      </c>
      <c r="AE48" s="2">
        <v>5</v>
      </c>
      <c r="AF48" s="2">
        <v>1</v>
      </c>
      <c r="AG48" s="2">
        <v>127</v>
      </c>
      <c r="AH48" s="2">
        <v>301</v>
      </c>
      <c r="AI48" s="2">
        <v>4283</v>
      </c>
      <c r="AJ48" s="2">
        <v>3</v>
      </c>
      <c r="AK48" s="72">
        <f>Weather!B168</f>
        <v>413.6</v>
      </c>
      <c r="AL48" s="72">
        <f>Weather!C168</f>
        <v>0</v>
      </c>
      <c r="AM48" s="72">
        <f t="shared" si="12"/>
        <v>30</v>
      </c>
      <c r="AN48" s="5">
        <v>22</v>
      </c>
      <c r="AO48" s="72">
        <f t="shared" si="6"/>
        <v>1</v>
      </c>
      <c r="AP48" s="72">
        <f>Employment!B48</f>
        <v>6566.6</v>
      </c>
      <c r="AQ48" s="72">
        <f>Employment!C48</f>
        <v>237.2</v>
      </c>
      <c r="AR48" s="72">
        <f t="shared" ref="AR48" si="77">AR36</f>
        <v>0</v>
      </c>
      <c r="AS48" s="72">
        <f t="shared" si="8"/>
        <v>1</v>
      </c>
      <c r="AT48" s="5">
        <f t="shared" si="7"/>
        <v>47</v>
      </c>
      <c r="AU48" s="73">
        <f t="shared" ref="AU48:BF48" si="78">AU36</f>
        <v>0</v>
      </c>
      <c r="AV48" s="73">
        <f t="shared" si="78"/>
        <v>0</v>
      </c>
      <c r="AW48" s="73">
        <f t="shared" si="78"/>
        <v>0</v>
      </c>
      <c r="AX48" s="73">
        <f t="shared" si="78"/>
        <v>0</v>
      </c>
      <c r="AY48" s="73">
        <f t="shared" si="78"/>
        <v>0</v>
      </c>
      <c r="AZ48" s="73">
        <f t="shared" si="78"/>
        <v>0</v>
      </c>
      <c r="BA48" s="73">
        <f t="shared" si="78"/>
        <v>0</v>
      </c>
      <c r="BB48" s="73">
        <f t="shared" si="78"/>
        <v>0</v>
      </c>
      <c r="BC48" s="73">
        <f t="shared" si="78"/>
        <v>0</v>
      </c>
      <c r="BD48" s="73">
        <f t="shared" si="78"/>
        <v>0</v>
      </c>
      <c r="BE48" s="73">
        <f t="shared" si="78"/>
        <v>1</v>
      </c>
      <c r="BF48" s="73">
        <f t="shared" si="78"/>
        <v>0</v>
      </c>
    </row>
    <row r="49" spans="1:58" x14ac:dyDescent="0.3">
      <c r="A49" s="1">
        <f>Sheet2!A97</f>
        <v>40513</v>
      </c>
      <c r="B49" s="92">
        <f t="shared" si="0"/>
        <v>2010</v>
      </c>
      <c r="C49" s="2">
        <f>Sheet2!B97</f>
        <v>14370356</v>
      </c>
      <c r="D49" s="72">
        <f ca="1">OFFSET('Historic CDM'!$C$94,0,(ROW()-2)/12)/12*1000</f>
        <v>112364.80793880745</v>
      </c>
      <c r="E49" s="72">
        <f t="shared" ca="1" si="1"/>
        <v>14482720.807938807</v>
      </c>
      <c r="F49" s="2">
        <f>Sheet2!C97</f>
        <v>4629210.9499999993</v>
      </c>
      <c r="G49" s="72">
        <f ca="1">OFFSET('Historic CDM'!$C$108,0,(ROW()-2)/12)/12*1000</f>
        <v>40730.706354195565</v>
      </c>
      <c r="H49" s="72">
        <f t="shared" ca="1" si="2"/>
        <v>4669941.6563541945</v>
      </c>
      <c r="I49" s="2">
        <f>Sheet2!D97</f>
        <v>9572313.120000001</v>
      </c>
      <c r="J49" s="72">
        <f ca="1">OFFSET('Historic CDM'!$C$122,0,(ROW()-2)/12)/12*1000</f>
        <v>99724.837594012584</v>
      </c>
      <c r="K49" s="72">
        <f t="shared" ca="1" si="3"/>
        <v>9672037.9575940128</v>
      </c>
      <c r="L49" s="2">
        <f>Sheet2!E97</f>
        <v>5854203.75</v>
      </c>
      <c r="M49" s="72">
        <f ca="1">OFFSET('Historic CDM'!$C$136,0,(ROW()-2)/12)/12*1000</f>
        <v>54195.482184286382</v>
      </c>
      <c r="N49" s="72">
        <f t="shared" ca="1" si="4"/>
        <v>5908399.2321842862</v>
      </c>
      <c r="O49" s="2">
        <f>Sheet2!F97</f>
        <v>3416578.39</v>
      </c>
      <c r="P49" s="72">
        <f ca="1">OFFSET('Historic CDM'!$C$150,0,(ROW()-2)/12)/12*1000</f>
        <v>80769.322421403005</v>
      </c>
      <c r="Q49" s="72">
        <f t="shared" ca="1" si="5"/>
        <v>3497347.7124214033</v>
      </c>
      <c r="R49" s="2">
        <f>Sheet2!G97</f>
        <v>420515.56</v>
      </c>
      <c r="S49" s="2">
        <f>Sheet2!H97</f>
        <v>3488.7</v>
      </c>
      <c r="T49" s="2">
        <f>Sheet2!I97</f>
        <v>47190</v>
      </c>
      <c r="U49" s="2">
        <f>Sheet2!J97</f>
        <v>1692543.8</v>
      </c>
      <c r="V49" s="72">
        <v>29597.07</v>
      </c>
      <c r="W49" s="72">
        <v>12565.23</v>
      </c>
      <c r="X49" s="72">
        <v>13267.29</v>
      </c>
      <c r="Y49" s="72">
        <v>898.69999999999993</v>
      </c>
      <c r="Z49" s="72"/>
      <c r="AA49" s="72">
        <v>3130.7</v>
      </c>
      <c r="AB49" s="2">
        <v>16067</v>
      </c>
      <c r="AC49" s="2">
        <v>1918</v>
      </c>
      <c r="AD49" s="2">
        <v>185</v>
      </c>
      <c r="AE49" s="2">
        <v>5</v>
      </c>
      <c r="AF49" s="2">
        <v>1</v>
      </c>
      <c r="AG49" s="2">
        <v>128</v>
      </c>
      <c r="AH49" s="2">
        <v>301</v>
      </c>
      <c r="AI49" s="2">
        <v>4283</v>
      </c>
      <c r="AJ49" s="2">
        <v>3</v>
      </c>
      <c r="AK49" s="72">
        <f>Weather!B169</f>
        <v>713.5</v>
      </c>
      <c r="AL49" s="72">
        <f>Weather!C169</f>
        <v>0</v>
      </c>
      <c r="AM49" s="72">
        <f t="shared" si="12"/>
        <v>31</v>
      </c>
      <c r="AN49" s="5">
        <v>21</v>
      </c>
      <c r="AO49" s="72">
        <f t="shared" si="6"/>
        <v>0</v>
      </c>
      <c r="AP49" s="72">
        <f>Employment!B49</f>
        <v>6584.1</v>
      </c>
      <c r="AQ49" s="72">
        <f>Employment!C49</f>
        <v>237.7</v>
      </c>
      <c r="AR49" s="72">
        <f t="shared" ref="AR49" si="79">AR37</f>
        <v>0</v>
      </c>
      <c r="AS49" s="72">
        <f t="shared" si="8"/>
        <v>0</v>
      </c>
      <c r="AT49" s="5">
        <f t="shared" si="7"/>
        <v>48</v>
      </c>
      <c r="AU49" s="73">
        <f t="shared" ref="AU49:BF49" si="80">AU37</f>
        <v>0</v>
      </c>
      <c r="AV49" s="73">
        <f t="shared" si="80"/>
        <v>0</v>
      </c>
      <c r="AW49" s="73">
        <f t="shared" si="80"/>
        <v>0</v>
      </c>
      <c r="AX49" s="73">
        <f t="shared" si="80"/>
        <v>0</v>
      </c>
      <c r="AY49" s="73">
        <f t="shared" si="80"/>
        <v>0</v>
      </c>
      <c r="AZ49" s="73">
        <f t="shared" si="80"/>
        <v>0</v>
      </c>
      <c r="BA49" s="73">
        <f t="shared" si="80"/>
        <v>0</v>
      </c>
      <c r="BB49" s="73">
        <f t="shared" si="80"/>
        <v>0</v>
      </c>
      <c r="BC49" s="73">
        <f t="shared" si="80"/>
        <v>0</v>
      </c>
      <c r="BD49" s="73">
        <f t="shared" si="80"/>
        <v>0</v>
      </c>
      <c r="BE49" s="73">
        <f t="shared" si="80"/>
        <v>0</v>
      </c>
      <c r="BF49" s="73">
        <f t="shared" si="80"/>
        <v>1</v>
      </c>
    </row>
    <row r="50" spans="1:58" x14ac:dyDescent="0.3">
      <c r="A50" s="1">
        <f>Sheet2!A98</f>
        <v>40544</v>
      </c>
      <c r="B50" s="92">
        <f t="shared" si="0"/>
        <v>2011</v>
      </c>
      <c r="C50" s="2">
        <f>Sheet2!B98</f>
        <v>14582863</v>
      </c>
      <c r="D50" s="72">
        <f ca="1">OFFSET('Historic CDM'!$C$94,0,(ROW()-2)/12)/12*1000</f>
        <v>147955.4680517535</v>
      </c>
      <c r="E50" s="72">
        <f t="shared" ca="1" si="1"/>
        <v>14730818.468051754</v>
      </c>
      <c r="F50" s="2">
        <f>Sheet2!C98</f>
        <v>4755713.12</v>
      </c>
      <c r="G50" s="72">
        <f ca="1">OFFSET('Historic CDM'!$C$108,0,(ROW()-2)/12)/12*1000</f>
        <v>53317.102627353757</v>
      </c>
      <c r="H50" s="72">
        <f t="shared" ca="1" si="2"/>
        <v>4809030.2226273539</v>
      </c>
      <c r="I50" s="2">
        <f>Sheet2!D98</f>
        <v>9844753.4000000004</v>
      </c>
      <c r="J50" s="72">
        <f ca="1">OFFSET('Historic CDM'!$C$122,0,(ROW()-2)/12)/12*1000</f>
        <v>130541.30105819929</v>
      </c>
      <c r="K50" s="72">
        <f t="shared" ca="1" si="3"/>
        <v>9975294.7010581996</v>
      </c>
      <c r="L50" s="2">
        <f>Sheet2!E98</f>
        <v>5566323.1699999999</v>
      </c>
      <c r="M50" s="72">
        <f ca="1">OFFSET('Historic CDM'!$C$136,0,(ROW()-2)/12)/12*1000</f>
        <v>70942.695185075601</v>
      </c>
      <c r="N50" s="72">
        <f t="shared" ca="1" si="4"/>
        <v>5637265.8651850754</v>
      </c>
      <c r="O50" s="2">
        <f>Sheet2!F98</f>
        <v>12540819.02</v>
      </c>
      <c r="P50" s="72">
        <f ca="1">OFFSET('Historic CDM'!$C$150,0,(ROW()-2)/12)/12*1000</f>
        <v>105728.24873782673</v>
      </c>
      <c r="Q50" s="72">
        <f t="shared" ca="1" si="5"/>
        <v>12646547.268737826</v>
      </c>
      <c r="R50" s="2">
        <f>Sheet2!G98</f>
        <v>383588.51</v>
      </c>
      <c r="S50" s="2">
        <f>Sheet2!H98</f>
        <v>4878.9000000000005</v>
      </c>
      <c r="T50" s="2">
        <f>Sheet2!I98</f>
        <v>47190</v>
      </c>
      <c r="U50" s="2">
        <f>Sheet2!J98</f>
        <v>1698684.1</v>
      </c>
      <c r="V50" s="72">
        <v>28305.190000000002</v>
      </c>
      <c r="W50" s="72">
        <v>12227.070000000002</v>
      </c>
      <c r="X50" s="72">
        <v>13185.7</v>
      </c>
      <c r="Y50" s="72">
        <v>898.69999999999993</v>
      </c>
      <c r="Z50" s="72"/>
      <c r="AA50" s="72">
        <v>3442.6000000000004</v>
      </c>
      <c r="AB50" s="2">
        <v>16079</v>
      </c>
      <c r="AC50" s="2">
        <v>1920</v>
      </c>
      <c r="AD50" s="2">
        <v>185</v>
      </c>
      <c r="AE50" s="2">
        <v>5</v>
      </c>
      <c r="AF50" s="2">
        <v>1</v>
      </c>
      <c r="AG50" s="2">
        <v>129</v>
      </c>
      <c r="AH50" s="2">
        <v>301</v>
      </c>
      <c r="AI50" s="2">
        <v>4283</v>
      </c>
      <c r="AJ50" s="2">
        <v>3</v>
      </c>
      <c r="AK50" s="72">
        <f>Weather!B170</f>
        <v>798.8</v>
      </c>
      <c r="AL50" s="72">
        <f>Weather!C170</f>
        <v>0</v>
      </c>
      <c r="AM50" s="2">
        <f>AM2</f>
        <v>31</v>
      </c>
      <c r="AN50" s="5">
        <v>20</v>
      </c>
      <c r="AO50" s="72">
        <f t="shared" si="6"/>
        <v>0</v>
      </c>
      <c r="AP50" s="72">
        <f>Employment!B50</f>
        <v>6571.2</v>
      </c>
      <c r="AQ50" s="72">
        <f>Employment!C50</f>
        <v>236.6</v>
      </c>
      <c r="AR50" s="72">
        <f t="shared" ref="AR50" si="81">AR38</f>
        <v>0</v>
      </c>
      <c r="AS50" s="72">
        <f t="shared" si="8"/>
        <v>0</v>
      </c>
      <c r="AT50" s="5">
        <f t="shared" si="7"/>
        <v>49</v>
      </c>
      <c r="AU50" s="73">
        <f t="shared" ref="AU50:BF50" si="82">AU38</f>
        <v>1</v>
      </c>
      <c r="AV50" s="73">
        <f t="shared" si="82"/>
        <v>0</v>
      </c>
      <c r="AW50" s="73">
        <f t="shared" si="82"/>
        <v>0</v>
      </c>
      <c r="AX50" s="73">
        <f t="shared" si="82"/>
        <v>0</v>
      </c>
      <c r="AY50" s="73">
        <f t="shared" si="82"/>
        <v>0</v>
      </c>
      <c r="AZ50" s="73">
        <f t="shared" si="82"/>
        <v>0</v>
      </c>
      <c r="BA50" s="73">
        <f t="shared" si="82"/>
        <v>0</v>
      </c>
      <c r="BB50" s="73">
        <f t="shared" si="82"/>
        <v>0</v>
      </c>
      <c r="BC50" s="73">
        <f t="shared" si="82"/>
        <v>0</v>
      </c>
      <c r="BD50" s="73">
        <f t="shared" si="82"/>
        <v>0</v>
      </c>
      <c r="BE50" s="73">
        <f t="shared" si="82"/>
        <v>0</v>
      </c>
      <c r="BF50" s="73">
        <f t="shared" si="82"/>
        <v>0</v>
      </c>
    </row>
    <row r="51" spans="1:58" x14ac:dyDescent="0.3">
      <c r="A51" s="1">
        <f>Sheet2!A99</f>
        <v>40575</v>
      </c>
      <c r="B51" s="92">
        <f t="shared" si="0"/>
        <v>2011</v>
      </c>
      <c r="C51" s="2">
        <f>Sheet2!B99</f>
        <v>12326902</v>
      </c>
      <c r="D51" s="72">
        <f ca="1">OFFSET('Historic CDM'!$C$94,0,(ROW()-2)/12)/12*1000</f>
        <v>147955.4680517535</v>
      </c>
      <c r="E51" s="72">
        <f t="shared" ca="1" si="1"/>
        <v>12474857.468051754</v>
      </c>
      <c r="F51" s="2">
        <f>Sheet2!C99</f>
        <v>4181355.75</v>
      </c>
      <c r="G51" s="72">
        <f ca="1">OFFSET('Historic CDM'!$C$108,0,(ROW()-2)/12)/12*1000</f>
        <v>53317.102627353757</v>
      </c>
      <c r="H51" s="72">
        <f t="shared" ca="1" si="2"/>
        <v>4234672.8526273537</v>
      </c>
      <c r="I51" s="2">
        <f>Sheet2!D99</f>
        <v>9870370.25</v>
      </c>
      <c r="J51" s="72">
        <f ca="1">OFFSET('Historic CDM'!$C$122,0,(ROW()-2)/12)/12*1000</f>
        <v>130541.30105819929</v>
      </c>
      <c r="K51" s="72">
        <f t="shared" ca="1" si="3"/>
        <v>10000911.551058199</v>
      </c>
      <c r="L51" s="60">
        <v>5637446</v>
      </c>
      <c r="M51" s="72">
        <f ca="1">OFFSET('Historic CDM'!$C$136,0,(ROW()-2)/12)/12*1000</f>
        <v>70942.695185075601</v>
      </c>
      <c r="N51" s="72">
        <f t="shared" ca="1" si="4"/>
        <v>5708388.6951850755</v>
      </c>
      <c r="O51" s="2">
        <f>Sheet2!F99</f>
        <v>7692439.5599999996</v>
      </c>
      <c r="P51" s="72">
        <f ca="1">OFFSET('Historic CDM'!$C$150,0,(ROW()-2)/12)/12*1000</f>
        <v>105728.24873782673</v>
      </c>
      <c r="Q51" s="72">
        <f t="shared" ca="1" si="5"/>
        <v>7798167.8087378265</v>
      </c>
      <c r="R51" s="2">
        <f>Sheet2!G99</f>
        <v>342602.51</v>
      </c>
      <c r="S51" s="2">
        <f>Sheet2!H99</f>
        <v>4392.6000000000004</v>
      </c>
      <c r="T51" s="2">
        <f>Sheet2!I99</f>
        <v>51802</v>
      </c>
      <c r="U51" s="2">
        <f>Sheet2!J99</f>
        <v>1527152</v>
      </c>
      <c r="V51" s="72">
        <v>28456.190000000006</v>
      </c>
      <c r="W51" s="72">
        <v>11921.21</v>
      </c>
      <c r="X51" s="72">
        <v>13459.59</v>
      </c>
      <c r="Y51" s="72">
        <v>898.69999999999993</v>
      </c>
      <c r="Z51" s="72"/>
      <c r="AA51" s="72">
        <v>3191.1</v>
      </c>
      <c r="AB51" s="2">
        <v>16086</v>
      </c>
      <c r="AC51" s="2">
        <v>1919</v>
      </c>
      <c r="AD51" s="2">
        <v>186</v>
      </c>
      <c r="AE51" s="2">
        <v>5</v>
      </c>
      <c r="AF51" s="2">
        <v>1</v>
      </c>
      <c r="AG51" s="2">
        <v>129</v>
      </c>
      <c r="AH51" s="2">
        <v>301</v>
      </c>
      <c r="AI51" s="2">
        <v>4283</v>
      </c>
      <c r="AJ51" s="2">
        <v>3</v>
      </c>
      <c r="AK51" s="72">
        <f>Weather!B171</f>
        <v>677.8</v>
      </c>
      <c r="AL51" s="72">
        <f>Weather!C171</f>
        <v>0</v>
      </c>
      <c r="AM51" s="72">
        <f t="shared" ref="AM51:AM114" si="83">AM3</f>
        <v>28</v>
      </c>
      <c r="AN51" s="5">
        <v>19</v>
      </c>
      <c r="AO51" s="72">
        <f t="shared" si="6"/>
        <v>0</v>
      </c>
      <c r="AP51" s="72">
        <f>Employment!B51</f>
        <v>6548.1</v>
      </c>
      <c r="AQ51" s="72">
        <f>Employment!C51</f>
        <v>235</v>
      </c>
      <c r="AR51" s="72">
        <f t="shared" ref="AR51" si="84">AR39</f>
        <v>0</v>
      </c>
      <c r="AS51" s="72">
        <f t="shared" si="8"/>
        <v>0</v>
      </c>
      <c r="AT51" s="5">
        <f t="shared" si="7"/>
        <v>50</v>
      </c>
      <c r="AU51" s="73">
        <f t="shared" ref="AU51:BF51" si="85">AU39</f>
        <v>0</v>
      </c>
      <c r="AV51" s="73">
        <f t="shared" si="85"/>
        <v>1</v>
      </c>
      <c r="AW51" s="73">
        <f t="shared" si="85"/>
        <v>0</v>
      </c>
      <c r="AX51" s="73">
        <f t="shared" si="85"/>
        <v>0</v>
      </c>
      <c r="AY51" s="73">
        <f t="shared" si="85"/>
        <v>0</v>
      </c>
      <c r="AZ51" s="73">
        <f t="shared" si="85"/>
        <v>0</v>
      </c>
      <c r="BA51" s="73">
        <f t="shared" si="85"/>
        <v>0</v>
      </c>
      <c r="BB51" s="73">
        <f t="shared" si="85"/>
        <v>0</v>
      </c>
      <c r="BC51" s="73">
        <f t="shared" si="85"/>
        <v>0</v>
      </c>
      <c r="BD51" s="73">
        <f t="shared" si="85"/>
        <v>0</v>
      </c>
      <c r="BE51" s="73">
        <f t="shared" si="85"/>
        <v>0</v>
      </c>
      <c r="BF51" s="73">
        <f t="shared" si="85"/>
        <v>0</v>
      </c>
    </row>
    <row r="52" spans="1:58" x14ac:dyDescent="0.3">
      <c r="A52" s="1">
        <f>Sheet2!A100</f>
        <v>40603</v>
      </c>
      <c r="B52" s="92">
        <f t="shared" si="0"/>
        <v>2011</v>
      </c>
      <c r="C52" s="2">
        <f>Sheet2!B100</f>
        <v>11136342</v>
      </c>
      <c r="D52" s="72">
        <f ca="1">OFFSET('Historic CDM'!$C$94,0,(ROW()-2)/12)/12*1000</f>
        <v>147955.4680517535</v>
      </c>
      <c r="E52" s="72">
        <f t="shared" ca="1" si="1"/>
        <v>11284297.468051754</v>
      </c>
      <c r="F52" s="2">
        <f>Sheet2!C100</f>
        <v>3711566.64</v>
      </c>
      <c r="G52" s="72">
        <f ca="1">OFFSET('Historic CDM'!$C$108,0,(ROW()-2)/12)/12*1000</f>
        <v>53317.102627353757</v>
      </c>
      <c r="H52" s="72">
        <f t="shared" ca="1" si="2"/>
        <v>3764883.7426273539</v>
      </c>
      <c r="I52" s="2">
        <f>Sheet2!D100</f>
        <v>9100459.0399999991</v>
      </c>
      <c r="J52" s="72">
        <f ca="1">OFFSET('Historic CDM'!$C$122,0,(ROW()-2)/12)/12*1000</f>
        <v>130541.30105819929</v>
      </c>
      <c r="K52" s="72">
        <f t="shared" ca="1" si="3"/>
        <v>9231000.3410581984</v>
      </c>
      <c r="L52" s="60">
        <v>5547963</v>
      </c>
      <c r="M52" s="72">
        <f ca="1">OFFSET('Historic CDM'!$C$136,0,(ROW()-2)/12)/12*1000</f>
        <v>70942.695185075601</v>
      </c>
      <c r="N52" s="72">
        <f t="shared" ca="1" si="4"/>
        <v>5618905.6951850755</v>
      </c>
      <c r="O52" s="2">
        <f>Sheet2!F100</f>
        <v>8547243.9199999999</v>
      </c>
      <c r="P52" s="72">
        <f ca="1">OFFSET('Historic CDM'!$C$150,0,(ROW()-2)/12)/12*1000</f>
        <v>105728.24873782673</v>
      </c>
      <c r="Q52" s="72">
        <f t="shared" ca="1" si="5"/>
        <v>8652972.1687378269</v>
      </c>
      <c r="R52" s="2">
        <f>Sheet2!G100</f>
        <v>290090.53000000003</v>
      </c>
      <c r="S52" s="2">
        <f>Sheet2!H100</f>
        <v>1458</v>
      </c>
      <c r="T52" s="2">
        <f>Sheet2!I100</f>
        <v>41753</v>
      </c>
      <c r="U52" s="2">
        <f>Sheet2!J100</f>
        <v>1550976.2</v>
      </c>
      <c r="V52" s="72">
        <v>28867.020000000004</v>
      </c>
      <c r="W52" s="72">
        <v>8031.7299999999987</v>
      </c>
      <c r="X52" s="72">
        <v>13501.72</v>
      </c>
      <c r="Y52" s="72">
        <v>898.69999999999993</v>
      </c>
      <c r="Z52" s="72"/>
      <c r="AA52" s="72">
        <v>3279.2</v>
      </c>
      <c r="AB52" s="2">
        <v>16095</v>
      </c>
      <c r="AC52" s="2">
        <v>1919</v>
      </c>
      <c r="AD52" s="2">
        <v>186</v>
      </c>
      <c r="AE52" s="2">
        <v>5</v>
      </c>
      <c r="AF52" s="2">
        <v>1</v>
      </c>
      <c r="AG52" s="2">
        <v>129</v>
      </c>
      <c r="AH52" s="2">
        <v>301</v>
      </c>
      <c r="AI52" s="2">
        <v>4283</v>
      </c>
      <c r="AJ52" s="2">
        <v>3</v>
      </c>
      <c r="AK52" s="72">
        <f>Weather!B172</f>
        <v>599.6</v>
      </c>
      <c r="AL52" s="72">
        <f>Weather!C172</f>
        <v>0</v>
      </c>
      <c r="AM52" s="72">
        <f t="shared" si="83"/>
        <v>31</v>
      </c>
      <c r="AN52" s="5">
        <v>23</v>
      </c>
      <c r="AO52" s="72">
        <f t="shared" si="6"/>
        <v>1</v>
      </c>
      <c r="AP52" s="72">
        <f>Employment!B52</f>
        <v>6523.7</v>
      </c>
      <c r="AQ52" s="72">
        <f>Employment!C52</f>
        <v>235.9</v>
      </c>
      <c r="AR52" s="72">
        <f t="shared" ref="AR52" si="86">AR40</f>
        <v>1</v>
      </c>
      <c r="AS52" s="72">
        <f t="shared" si="8"/>
        <v>0</v>
      </c>
      <c r="AT52" s="5">
        <f t="shared" si="7"/>
        <v>51</v>
      </c>
      <c r="AU52" s="73">
        <f t="shared" ref="AU52:BF52" si="87">AU40</f>
        <v>0</v>
      </c>
      <c r="AV52" s="73">
        <f t="shared" si="87"/>
        <v>0</v>
      </c>
      <c r="AW52" s="73">
        <f t="shared" si="87"/>
        <v>1</v>
      </c>
      <c r="AX52" s="73">
        <f t="shared" si="87"/>
        <v>0</v>
      </c>
      <c r="AY52" s="73">
        <f t="shared" si="87"/>
        <v>0</v>
      </c>
      <c r="AZ52" s="73">
        <f t="shared" si="87"/>
        <v>0</v>
      </c>
      <c r="BA52" s="73">
        <f t="shared" si="87"/>
        <v>0</v>
      </c>
      <c r="BB52" s="73">
        <f t="shared" si="87"/>
        <v>0</v>
      </c>
      <c r="BC52" s="73">
        <f t="shared" si="87"/>
        <v>0</v>
      </c>
      <c r="BD52" s="73">
        <f t="shared" si="87"/>
        <v>0</v>
      </c>
      <c r="BE52" s="73">
        <f t="shared" si="87"/>
        <v>0</v>
      </c>
      <c r="BF52" s="73">
        <f t="shared" si="87"/>
        <v>0</v>
      </c>
    </row>
    <row r="53" spans="1:58" x14ac:dyDescent="0.3">
      <c r="A53" s="1">
        <f>Sheet2!A101</f>
        <v>40634</v>
      </c>
      <c r="B53" s="92">
        <f t="shared" si="0"/>
        <v>2011</v>
      </c>
      <c r="C53" s="2">
        <f>Sheet2!B101</f>
        <v>10986163</v>
      </c>
      <c r="D53" s="72">
        <f ca="1">OFFSET('Historic CDM'!$C$94,0,(ROW()-2)/12)/12*1000</f>
        <v>147955.4680517535</v>
      </c>
      <c r="E53" s="72">
        <f t="shared" ca="1" si="1"/>
        <v>11134118.468051754</v>
      </c>
      <c r="F53" s="2">
        <f>Sheet2!C101</f>
        <v>3813670.7199999997</v>
      </c>
      <c r="G53" s="72">
        <f ca="1">OFFSET('Historic CDM'!$C$108,0,(ROW()-2)/12)/12*1000</f>
        <v>53317.102627353757</v>
      </c>
      <c r="H53" s="72">
        <f t="shared" ca="1" si="2"/>
        <v>3866987.8226273535</v>
      </c>
      <c r="I53" s="2">
        <f>Sheet2!D101</f>
        <v>9770105.9700000007</v>
      </c>
      <c r="J53" s="72">
        <f ca="1">OFFSET('Historic CDM'!$C$122,0,(ROW()-2)/12)/12*1000</f>
        <v>130541.30105819929</v>
      </c>
      <c r="K53" s="72">
        <f t="shared" ca="1" si="3"/>
        <v>9900647.2710581999</v>
      </c>
      <c r="L53" s="60">
        <f>Sheet2!E101</f>
        <v>5291176.8999999994</v>
      </c>
      <c r="M53" s="72">
        <f ca="1">OFFSET('Historic CDM'!$C$136,0,(ROW()-2)/12)/12*1000</f>
        <v>70942.695185075601</v>
      </c>
      <c r="N53" s="72">
        <f t="shared" ca="1" si="4"/>
        <v>5362119.595185075</v>
      </c>
      <c r="O53" s="2">
        <f>Sheet2!F101</f>
        <v>7301956.9500000002</v>
      </c>
      <c r="P53" s="72">
        <f ca="1">OFFSET('Historic CDM'!$C$150,0,(ROW()-2)/12)/12*1000</f>
        <v>105728.24873782673</v>
      </c>
      <c r="Q53" s="72">
        <f t="shared" ca="1" si="5"/>
        <v>7407685.1987378271</v>
      </c>
      <c r="R53" s="2">
        <f>Sheet2!G101</f>
        <v>276677.10000000003</v>
      </c>
      <c r="S53" s="2">
        <f>Sheet2!H101</f>
        <v>5352.9</v>
      </c>
      <c r="T53" s="2">
        <f>Sheet2!I101</f>
        <v>47190</v>
      </c>
      <c r="U53" s="2">
        <f>Sheet2!J101</f>
        <v>1309979.6000000001</v>
      </c>
      <c r="V53" s="72">
        <v>26129.619999999995</v>
      </c>
      <c r="W53" s="72">
        <v>10434.789999999999</v>
      </c>
      <c r="X53" s="72">
        <v>13362.4</v>
      </c>
      <c r="Y53" s="72">
        <v>898.69999999999993</v>
      </c>
      <c r="Z53" s="72"/>
      <c r="AA53" s="72">
        <v>3142.7</v>
      </c>
      <c r="AB53" s="2">
        <v>16101</v>
      </c>
      <c r="AC53" s="2">
        <v>1918</v>
      </c>
      <c r="AD53" s="2">
        <v>186</v>
      </c>
      <c r="AE53" s="2">
        <v>5</v>
      </c>
      <c r="AF53" s="2">
        <v>1</v>
      </c>
      <c r="AG53" s="2">
        <v>129</v>
      </c>
      <c r="AH53" s="2">
        <v>301</v>
      </c>
      <c r="AI53" s="2">
        <v>4283</v>
      </c>
      <c r="AJ53" s="2">
        <v>3</v>
      </c>
      <c r="AK53" s="72">
        <f>Weather!B173</f>
        <v>330.4</v>
      </c>
      <c r="AL53" s="72">
        <f>Weather!C173</f>
        <v>0</v>
      </c>
      <c r="AM53" s="72">
        <f t="shared" si="83"/>
        <v>30</v>
      </c>
      <c r="AN53" s="5">
        <v>19</v>
      </c>
      <c r="AO53" s="72">
        <f t="shared" si="6"/>
        <v>1</v>
      </c>
      <c r="AP53" s="72">
        <f>Employment!B53</f>
        <v>6550</v>
      </c>
      <c r="AQ53" s="72">
        <f>Employment!C53</f>
        <v>237.5</v>
      </c>
      <c r="AR53" s="72">
        <f t="shared" ref="AR53" si="88">AR41</f>
        <v>1</v>
      </c>
      <c r="AS53" s="72">
        <f t="shared" si="8"/>
        <v>0</v>
      </c>
      <c r="AT53" s="5">
        <f t="shared" si="7"/>
        <v>52</v>
      </c>
      <c r="AU53" s="73">
        <f t="shared" ref="AU53:BF53" si="89">AU41</f>
        <v>0</v>
      </c>
      <c r="AV53" s="73">
        <f t="shared" si="89"/>
        <v>0</v>
      </c>
      <c r="AW53" s="73">
        <f t="shared" si="89"/>
        <v>0</v>
      </c>
      <c r="AX53" s="73">
        <f t="shared" si="89"/>
        <v>1</v>
      </c>
      <c r="AY53" s="73">
        <f t="shared" si="89"/>
        <v>0</v>
      </c>
      <c r="AZ53" s="73">
        <f t="shared" si="89"/>
        <v>0</v>
      </c>
      <c r="BA53" s="73">
        <f t="shared" si="89"/>
        <v>0</v>
      </c>
      <c r="BB53" s="73">
        <f t="shared" si="89"/>
        <v>0</v>
      </c>
      <c r="BC53" s="73">
        <f t="shared" si="89"/>
        <v>0</v>
      </c>
      <c r="BD53" s="73">
        <f t="shared" si="89"/>
        <v>0</v>
      </c>
      <c r="BE53" s="73">
        <f t="shared" si="89"/>
        <v>0</v>
      </c>
      <c r="BF53" s="73">
        <f t="shared" si="89"/>
        <v>0</v>
      </c>
    </row>
    <row r="54" spans="1:58" x14ac:dyDescent="0.3">
      <c r="A54" s="1">
        <f>Sheet2!A102</f>
        <v>40664</v>
      </c>
      <c r="B54" s="92">
        <f t="shared" si="0"/>
        <v>2011</v>
      </c>
      <c r="C54" s="2">
        <f>Sheet2!B102</f>
        <v>10161582.18</v>
      </c>
      <c r="D54" s="72">
        <f ca="1">OFFSET('Historic CDM'!$C$94,0,(ROW()-2)/12)/12*1000</f>
        <v>147955.4680517535</v>
      </c>
      <c r="E54" s="72">
        <f t="shared" ca="1" si="1"/>
        <v>10309537.648051754</v>
      </c>
      <c r="F54" s="2">
        <f>Sheet2!C102</f>
        <v>3653710.19</v>
      </c>
      <c r="G54" s="72">
        <f ca="1">OFFSET('Historic CDM'!$C$108,0,(ROW()-2)/12)/12*1000</f>
        <v>53317.102627353757</v>
      </c>
      <c r="H54" s="72">
        <f t="shared" ca="1" si="2"/>
        <v>3707027.2926273537</v>
      </c>
      <c r="I54" s="2">
        <f>Sheet2!D102</f>
        <v>8888510.8000000007</v>
      </c>
      <c r="J54" s="72">
        <f ca="1">OFFSET('Historic CDM'!$C$122,0,(ROW()-2)/12)/12*1000</f>
        <v>130541.30105819929</v>
      </c>
      <c r="K54" s="72">
        <f t="shared" ca="1" si="3"/>
        <v>9019052.1010582</v>
      </c>
      <c r="L54" s="2">
        <f>Sheet2!E102</f>
        <v>5550303.7199999997</v>
      </c>
      <c r="M54" s="72">
        <f ca="1">OFFSET('Historic CDM'!$C$136,0,(ROW()-2)/12)/12*1000</f>
        <v>70942.695185075601</v>
      </c>
      <c r="N54" s="72">
        <f t="shared" ca="1" si="4"/>
        <v>5621246.4151850753</v>
      </c>
      <c r="O54" s="2">
        <f>Sheet2!F102</f>
        <v>7855765.7800000003</v>
      </c>
      <c r="P54" s="72">
        <f ca="1">OFFSET('Historic CDM'!$C$150,0,(ROW()-2)/12)/12*1000</f>
        <v>105728.24873782673</v>
      </c>
      <c r="Q54" s="72">
        <f t="shared" ca="1" si="5"/>
        <v>7961494.0287378272</v>
      </c>
      <c r="R54" s="2">
        <f>Sheet2!G102</f>
        <v>234534.91999999998</v>
      </c>
      <c r="S54" s="60">
        <f>Sheet2!H102</f>
        <v>1379.7</v>
      </c>
      <c r="T54" s="2">
        <f>Sheet2!I102</f>
        <v>45725</v>
      </c>
      <c r="U54" s="2">
        <f>Sheet2!J102</f>
        <v>1252672.8</v>
      </c>
      <c r="V54" s="72">
        <v>29698.099999999995</v>
      </c>
      <c r="W54" s="72">
        <v>11293.12</v>
      </c>
      <c r="X54" s="72">
        <v>12989.51</v>
      </c>
      <c r="Y54" s="72">
        <v>898.69999999999993</v>
      </c>
      <c r="Z54" s="72"/>
      <c r="AA54" s="72">
        <v>2712</v>
      </c>
      <c r="AB54" s="2">
        <v>16104</v>
      </c>
      <c r="AC54" s="2">
        <v>1923</v>
      </c>
      <c r="AD54" s="2">
        <v>186</v>
      </c>
      <c r="AE54" s="2">
        <v>5</v>
      </c>
      <c r="AF54" s="2">
        <v>1</v>
      </c>
      <c r="AG54" s="2">
        <v>129</v>
      </c>
      <c r="AH54" s="2">
        <v>301</v>
      </c>
      <c r="AI54" s="2">
        <v>4283</v>
      </c>
      <c r="AJ54" s="2">
        <v>3</v>
      </c>
      <c r="AK54" s="72">
        <f>Weather!B174</f>
        <v>126.4</v>
      </c>
      <c r="AL54" s="72">
        <f>Weather!C174</f>
        <v>17.399999999999999</v>
      </c>
      <c r="AM54" s="72">
        <f t="shared" si="83"/>
        <v>31</v>
      </c>
      <c r="AN54" s="5">
        <v>21</v>
      </c>
      <c r="AO54" s="72">
        <f t="shared" si="6"/>
        <v>1</v>
      </c>
      <c r="AP54" s="72">
        <f>Employment!B54</f>
        <v>6612</v>
      </c>
      <c r="AQ54" s="72">
        <f>Employment!C54</f>
        <v>237.5</v>
      </c>
      <c r="AR54" s="72">
        <f t="shared" ref="AR54" si="90">AR42</f>
        <v>1</v>
      </c>
      <c r="AS54" s="72">
        <f t="shared" si="8"/>
        <v>0</v>
      </c>
      <c r="AT54" s="5">
        <f t="shared" si="7"/>
        <v>53</v>
      </c>
      <c r="AU54" s="73">
        <f t="shared" ref="AU54:BF54" si="91">AU42</f>
        <v>0</v>
      </c>
      <c r="AV54" s="73">
        <f t="shared" si="91"/>
        <v>0</v>
      </c>
      <c r="AW54" s="73">
        <f t="shared" si="91"/>
        <v>0</v>
      </c>
      <c r="AX54" s="73">
        <f t="shared" si="91"/>
        <v>0</v>
      </c>
      <c r="AY54" s="73">
        <f t="shared" si="91"/>
        <v>1</v>
      </c>
      <c r="AZ54" s="73">
        <f t="shared" si="91"/>
        <v>0</v>
      </c>
      <c r="BA54" s="73">
        <f t="shared" si="91"/>
        <v>0</v>
      </c>
      <c r="BB54" s="73">
        <f t="shared" si="91"/>
        <v>0</v>
      </c>
      <c r="BC54" s="73">
        <f t="shared" si="91"/>
        <v>0</v>
      </c>
      <c r="BD54" s="73">
        <f t="shared" si="91"/>
        <v>0</v>
      </c>
      <c r="BE54" s="73">
        <f t="shared" si="91"/>
        <v>0</v>
      </c>
      <c r="BF54" s="73">
        <f t="shared" si="91"/>
        <v>0</v>
      </c>
    </row>
    <row r="55" spans="1:58" x14ac:dyDescent="0.3">
      <c r="A55" s="1">
        <f>Sheet2!A103</f>
        <v>40695</v>
      </c>
      <c r="B55" s="92">
        <f t="shared" si="0"/>
        <v>2011</v>
      </c>
      <c r="C55" s="2">
        <f>Sheet2!B103</f>
        <v>10775162.879999999</v>
      </c>
      <c r="D55" s="72">
        <f ca="1">OFFSET('Historic CDM'!$C$94,0,(ROW()-2)/12)/12*1000</f>
        <v>147955.4680517535</v>
      </c>
      <c r="E55" s="72">
        <f t="shared" ca="1" si="1"/>
        <v>10923118.348051753</v>
      </c>
      <c r="F55" s="2">
        <f>Sheet2!C103</f>
        <v>3918751.72</v>
      </c>
      <c r="G55" s="72">
        <f ca="1">OFFSET('Historic CDM'!$C$108,0,(ROW()-2)/12)/12*1000</f>
        <v>53317.102627353757</v>
      </c>
      <c r="H55" s="72">
        <f t="shared" ca="1" si="2"/>
        <v>3972068.8226273539</v>
      </c>
      <c r="I55" s="2">
        <f>Sheet2!D103</f>
        <v>10479964.779999999</v>
      </c>
      <c r="J55" s="72">
        <f ca="1">OFFSET('Historic CDM'!$C$122,0,(ROW()-2)/12)/12*1000</f>
        <v>130541.30105819929</v>
      </c>
      <c r="K55" s="72">
        <f t="shared" ca="1" si="3"/>
        <v>10610506.081058199</v>
      </c>
      <c r="L55" s="2">
        <f>Sheet2!E103</f>
        <v>5965763.3600000003</v>
      </c>
      <c r="M55" s="72">
        <f ca="1">OFFSET('Historic CDM'!$C$136,0,(ROW()-2)/12)/12*1000</f>
        <v>70942.695185075601</v>
      </c>
      <c r="N55" s="72">
        <f t="shared" ca="1" si="4"/>
        <v>6036706.0551850758</v>
      </c>
      <c r="O55" s="2">
        <f>Sheet2!F103</f>
        <v>7978853.2199999997</v>
      </c>
      <c r="P55" s="72">
        <f ca="1">OFFSET('Historic CDM'!$C$150,0,(ROW()-2)/12)/12*1000</f>
        <v>105728.24873782673</v>
      </c>
      <c r="Q55" s="72">
        <f t="shared" ca="1" si="5"/>
        <v>8084581.4687378267</v>
      </c>
      <c r="R55" s="2">
        <f>Sheet2!G103</f>
        <v>273249.55</v>
      </c>
      <c r="S55" s="60">
        <f>Sheet2!H103</f>
        <v>1245.3</v>
      </c>
      <c r="T55" s="2">
        <f>Sheet2!I103</f>
        <v>47190</v>
      </c>
      <c r="U55" s="2">
        <f>Sheet2!J103</f>
        <v>1277140.1000000001</v>
      </c>
      <c r="V55" s="72">
        <v>27370.020000000008</v>
      </c>
      <c r="W55" s="72">
        <v>11176.17</v>
      </c>
      <c r="X55" s="72">
        <v>13677.79</v>
      </c>
      <c r="Y55" s="72">
        <v>799.04</v>
      </c>
      <c r="Z55" s="72"/>
      <c r="AA55" s="72">
        <v>2795.2</v>
      </c>
      <c r="AB55" s="2">
        <v>16108</v>
      </c>
      <c r="AC55" s="2">
        <v>1930</v>
      </c>
      <c r="AD55" s="2">
        <v>187</v>
      </c>
      <c r="AE55" s="2">
        <v>5</v>
      </c>
      <c r="AF55" s="2">
        <v>1</v>
      </c>
      <c r="AG55" s="2">
        <v>128</v>
      </c>
      <c r="AH55" s="2">
        <v>301</v>
      </c>
      <c r="AI55" s="2">
        <v>4283</v>
      </c>
      <c r="AJ55" s="2">
        <v>3</v>
      </c>
      <c r="AK55" s="72">
        <f>Weather!B175</f>
        <v>27</v>
      </c>
      <c r="AL55" s="72">
        <f>Weather!C175</f>
        <v>39.6</v>
      </c>
      <c r="AM55" s="72">
        <f t="shared" si="83"/>
        <v>30</v>
      </c>
      <c r="AN55" s="5">
        <v>22</v>
      </c>
      <c r="AO55" s="72">
        <f t="shared" si="6"/>
        <v>0</v>
      </c>
      <c r="AP55" s="72">
        <f>Employment!B55</f>
        <v>6706.8</v>
      </c>
      <c r="AQ55" s="72">
        <f>Employment!C55</f>
        <v>237.1</v>
      </c>
      <c r="AR55" s="72">
        <f t="shared" ref="AR55" si="92">AR43</f>
        <v>0</v>
      </c>
      <c r="AS55" s="72">
        <f t="shared" si="8"/>
        <v>0</v>
      </c>
      <c r="AT55" s="5">
        <f t="shared" si="7"/>
        <v>54</v>
      </c>
      <c r="AU55" s="73">
        <f t="shared" ref="AU55:BF55" si="93">AU43</f>
        <v>0</v>
      </c>
      <c r="AV55" s="73">
        <f t="shared" si="93"/>
        <v>0</v>
      </c>
      <c r="AW55" s="73">
        <f t="shared" si="93"/>
        <v>0</v>
      </c>
      <c r="AX55" s="73">
        <f t="shared" si="93"/>
        <v>0</v>
      </c>
      <c r="AY55" s="73">
        <f t="shared" si="93"/>
        <v>0</v>
      </c>
      <c r="AZ55" s="73">
        <f t="shared" si="93"/>
        <v>1</v>
      </c>
      <c r="BA55" s="73">
        <f t="shared" si="93"/>
        <v>0</v>
      </c>
      <c r="BB55" s="73">
        <f t="shared" si="93"/>
        <v>0</v>
      </c>
      <c r="BC55" s="73">
        <f t="shared" si="93"/>
        <v>0</v>
      </c>
      <c r="BD55" s="73">
        <f t="shared" si="93"/>
        <v>0</v>
      </c>
      <c r="BE55" s="73">
        <f t="shared" si="93"/>
        <v>0</v>
      </c>
      <c r="BF55" s="73">
        <f t="shared" si="93"/>
        <v>0</v>
      </c>
    </row>
    <row r="56" spans="1:58" x14ac:dyDescent="0.3">
      <c r="A56" s="1">
        <f>Sheet2!A104</f>
        <v>40725</v>
      </c>
      <c r="B56" s="92">
        <f t="shared" si="0"/>
        <v>2011</v>
      </c>
      <c r="C56" s="2">
        <f>Sheet2!B104</f>
        <v>13826041.280000001</v>
      </c>
      <c r="D56" s="72">
        <f ca="1">OFFSET('Historic CDM'!$C$94,0,(ROW()-2)/12)/12*1000</f>
        <v>147955.4680517535</v>
      </c>
      <c r="E56" s="72">
        <f t="shared" ca="1" si="1"/>
        <v>13973996.748051755</v>
      </c>
      <c r="F56" s="2">
        <f>Sheet2!C104</f>
        <v>4756237.09</v>
      </c>
      <c r="G56" s="72">
        <f ca="1">OFFSET('Historic CDM'!$C$108,0,(ROW()-2)/12)/12*1000</f>
        <v>53317.102627353757</v>
      </c>
      <c r="H56" s="72">
        <f t="shared" ca="1" si="2"/>
        <v>4809554.1926273536</v>
      </c>
      <c r="I56" s="2">
        <f>Sheet2!D104</f>
        <v>11491102.66</v>
      </c>
      <c r="J56" s="72">
        <f ca="1">OFFSET('Historic CDM'!$C$122,0,(ROW()-2)/12)/12*1000</f>
        <v>130541.30105819929</v>
      </c>
      <c r="K56" s="72">
        <f t="shared" ca="1" si="3"/>
        <v>11621643.961058199</v>
      </c>
      <c r="L56" s="2">
        <f>Sheet2!E104</f>
        <v>5847403.8300000001</v>
      </c>
      <c r="M56" s="72">
        <f ca="1">OFFSET('Historic CDM'!$C$136,0,(ROW()-2)/12)/12*1000</f>
        <v>70942.695185075601</v>
      </c>
      <c r="N56" s="72">
        <f t="shared" ca="1" si="4"/>
        <v>5918346.5251850756</v>
      </c>
      <c r="O56" s="2">
        <f>Sheet2!F104</f>
        <v>6043394.8300000001</v>
      </c>
      <c r="P56" s="72">
        <f ca="1">OFFSET('Historic CDM'!$C$150,0,(ROW()-2)/12)/12*1000</f>
        <v>105728.24873782673</v>
      </c>
      <c r="Q56" s="72">
        <f t="shared" ca="1" si="5"/>
        <v>6149123.078737827</v>
      </c>
      <c r="R56" s="2">
        <f>Sheet2!G104</f>
        <v>280998.51</v>
      </c>
      <c r="S56" s="60">
        <f>Sheet2!H104+608</f>
        <v>1373</v>
      </c>
      <c r="T56" s="2">
        <f>Sheet2!I104</f>
        <v>47190</v>
      </c>
      <c r="U56" s="2">
        <f>Sheet2!J104</f>
        <v>1556603.3</v>
      </c>
      <c r="V56" s="72">
        <v>30882.700000000004</v>
      </c>
      <c r="W56" s="72">
        <v>12421.62</v>
      </c>
      <c r="X56" s="72">
        <v>13714.14</v>
      </c>
      <c r="Y56" s="72">
        <v>998.3599999999999</v>
      </c>
      <c r="Z56" s="72"/>
      <c r="AA56" s="72">
        <v>2822.6</v>
      </c>
      <c r="AB56" s="2">
        <v>16124</v>
      </c>
      <c r="AC56" s="2">
        <v>1930</v>
      </c>
      <c r="AD56" s="2">
        <v>187</v>
      </c>
      <c r="AE56" s="2">
        <v>5</v>
      </c>
      <c r="AF56" s="2">
        <v>1</v>
      </c>
      <c r="AG56" s="2">
        <v>121</v>
      </c>
      <c r="AH56" s="2">
        <v>301</v>
      </c>
      <c r="AI56" s="2">
        <v>4283</v>
      </c>
      <c r="AJ56" s="2">
        <v>3</v>
      </c>
      <c r="AK56" s="72">
        <f>Weather!B176</f>
        <v>0</v>
      </c>
      <c r="AL56" s="72">
        <f>Weather!C176</f>
        <v>160.9</v>
      </c>
      <c r="AM56" s="72">
        <f t="shared" si="83"/>
        <v>31</v>
      </c>
      <c r="AN56" s="5">
        <v>20</v>
      </c>
      <c r="AO56" s="72">
        <f t="shared" si="6"/>
        <v>0</v>
      </c>
      <c r="AP56" s="72">
        <f>Employment!B56</f>
        <v>6755.3</v>
      </c>
      <c r="AQ56" s="72">
        <f>Employment!C56</f>
        <v>237.9</v>
      </c>
      <c r="AR56" s="72">
        <f t="shared" ref="AR56" si="94">AR44</f>
        <v>0</v>
      </c>
      <c r="AS56" s="72">
        <f t="shared" si="8"/>
        <v>0</v>
      </c>
      <c r="AT56" s="5">
        <f t="shared" si="7"/>
        <v>55</v>
      </c>
      <c r="AU56" s="73">
        <f t="shared" ref="AU56:BF56" si="95">AU44</f>
        <v>0</v>
      </c>
      <c r="AV56" s="73">
        <f t="shared" si="95"/>
        <v>0</v>
      </c>
      <c r="AW56" s="73">
        <f t="shared" si="95"/>
        <v>0</v>
      </c>
      <c r="AX56" s="73">
        <f t="shared" si="95"/>
        <v>0</v>
      </c>
      <c r="AY56" s="73">
        <f t="shared" si="95"/>
        <v>0</v>
      </c>
      <c r="AZ56" s="73">
        <f t="shared" si="95"/>
        <v>0</v>
      </c>
      <c r="BA56" s="73">
        <f t="shared" si="95"/>
        <v>1</v>
      </c>
      <c r="BB56" s="73">
        <f t="shared" si="95"/>
        <v>0</v>
      </c>
      <c r="BC56" s="73">
        <f t="shared" si="95"/>
        <v>0</v>
      </c>
      <c r="BD56" s="73">
        <f t="shared" si="95"/>
        <v>0</v>
      </c>
      <c r="BE56" s="73">
        <f t="shared" si="95"/>
        <v>0</v>
      </c>
      <c r="BF56" s="73">
        <f t="shared" si="95"/>
        <v>0</v>
      </c>
    </row>
    <row r="57" spans="1:58" x14ac:dyDescent="0.3">
      <c r="A57" s="1">
        <f>Sheet2!A105</f>
        <v>40756</v>
      </c>
      <c r="B57" s="92">
        <f t="shared" si="0"/>
        <v>2011</v>
      </c>
      <c r="C57" s="2">
        <f>Sheet2!B105</f>
        <v>12940303.960000001</v>
      </c>
      <c r="D57" s="72">
        <f ca="1">OFFSET('Historic CDM'!$C$94,0,(ROW()-2)/12)/12*1000</f>
        <v>147955.4680517535</v>
      </c>
      <c r="E57" s="72">
        <f t="shared" ca="1" si="1"/>
        <v>13088259.428051755</v>
      </c>
      <c r="F57" s="2">
        <f>Sheet2!C105</f>
        <v>4391649.17</v>
      </c>
      <c r="G57" s="72">
        <f ca="1">OFFSET('Historic CDM'!$C$108,0,(ROW()-2)/12)/12*1000</f>
        <v>53317.102627353757</v>
      </c>
      <c r="H57" s="72">
        <f t="shared" ca="1" si="2"/>
        <v>4444966.2726273537</v>
      </c>
      <c r="I57" s="2">
        <f>Sheet2!D105</f>
        <v>10594531.029999999</v>
      </c>
      <c r="J57" s="72">
        <f ca="1">OFFSET('Historic CDM'!$C$122,0,(ROW()-2)/12)/12*1000</f>
        <v>130541.30105819929</v>
      </c>
      <c r="K57" s="72">
        <f t="shared" ca="1" si="3"/>
        <v>10725072.331058199</v>
      </c>
      <c r="L57" s="2">
        <f>Sheet2!E105</f>
        <v>6555194.7400000002</v>
      </c>
      <c r="M57" s="72">
        <f ca="1">OFFSET('Historic CDM'!$C$136,0,(ROW()-2)/12)/12*1000</f>
        <v>70942.695185075601</v>
      </c>
      <c r="N57" s="72">
        <f t="shared" ca="1" si="4"/>
        <v>6626137.4351850757</v>
      </c>
      <c r="O57" s="2">
        <f>Sheet2!F105</f>
        <v>8876659.6600000001</v>
      </c>
      <c r="P57" s="72">
        <f ca="1">OFFSET('Historic CDM'!$C$150,0,(ROW()-2)/12)/12*1000</f>
        <v>105728.24873782673</v>
      </c>
      <c r="Q57" s="72">
        <f t="shared" ca="1" si="5"/>
        <v>8982387.9087378271</v>
      </c>
      <c r="R57" s="2">
        <f>Sheet2!G105</f>
        <v>310532.78000000003</v>
      </c>
      <c r="S57" s="60">
        <f>Sheet2!H105+319</f>
        <v>1360.6</v>
      </c>
      <c r="T57" s="2">
        <f>Sheet2!I105</f>
        <v>46762</v>
      </c>
      <c r="U57" s="2">
        <f>Sheet2!J105</f>
        <v>1416913.6</v>
      </c>
      <c r="V57" s="72">
        <v>33454.15</v>
      </c>
      <c r="W57" s="72">
        <v>10733.85</v>
      </c>
      <c r="X57" s="72">
        <v>13956.3</v>
      </c>
      <c r="Y57" s="72">
        <v>898.69999999999993</v>
      </c>
      <c r="Z57" s="72"/>
      <c r="AA57" s="72">
        <v>3373.5</v>
      </c>
      <c r="AB57" s="2">
        <v>16134</v>
      </c>
      <c r="AC57" s="2">
        <v>1939</v>
      </c>
      <c r="AD57" s="2">
        <v>188</v>
      </c>
      <c r="AE57" s="2">
        <v>5</v>
      </c>
      <c r="AF57" s="2">
        <v>1</v>
      </c>
      <c r="AG57" s="2">
        <v>121</v>
      </c>
      <c r="AH57" s="2">
        <v>301</v>
      </c>
      <c r="AI57" s="2">
        <v>4283</v>
      </c>
      <c r="AJ57" s="2">
        <v>3</v>
      </c>
      <c r="AK57" s="72">
        <f>Weather!B177</f>
        <v>1.5</v>
      </c>
      <c r="AL57" s="72">
        <f>Weather!C177</f>
        <v>82.9</v>
      </c>
      <c r="AM57" s="72">
        <f t="shared" si="83"/>
        <v>31</v>
      </c>
      <c r="AN57" s="5">
        <v>22</v>
      </c>
      <c r="AO57" s="72">
        <f t="shared" si="6"/>
        <v>0</v>
      </c>
      <c r="AP57" s="72">
        <f>Employment!B57</f>
        <v>6778</v>
      </c>
      <c r="AQ57" s="72">
        <f>Employment!C57</f>
        <v>240.8</v>
      </c>
      <c r="AR57" s="72">
        <f t="shared" ref="AR57" si="96">AR45</f>
        <v>0</v>
      </c>
      <c r="AS57" s="72">
        <f t="shared" si="8"/>
        <v>0</v>
      </c>
      <c r="AT57" s="5">
        <f t="shared" si="7"/>
        <v>56</v>
      </c>
      <c r="AU57" s="73">
        <f t="shared" ref="AU57:BF57" si="97">AU45</f>
        <v>0</v>
      </c>
      <c r="AV57" s="73">
        <f t="shared" si="97"/>
        <v>0</v>
      </c>
      <c r="AW57" s="73">
        <f t="shared" si="97"/>
        <v>0</v>
      </c>
      <c r="AX57" s="73">
        <f t="shared" si="97"/>
        <v>0</v>
      </c>
      <c r="AY57" s="73">
        <f t="shared" si="97"/>
        <v>0</v>
      </c>
      <c r="AZ57" s="73">
        <f t="shared" si="97"/>
        <v>0</v>
      </c>
      <c r="BA57" s="73">
        <f t="shared" si="97"/>
        <v>0</v>
      </c>
      <c r="BB57" s="73">
        <f t="shared" si="97"/>
        <v>1</v>
      </c>
      <c r="BC57" s="73">
        <f t="shared" si="97"/>
        <v>0</v>
      </c>
      <c r="BD57" s="73">
        <f t="shared" si="97"/>
        <v>0</v>
      </c>
      <c r="BE57" s="73">
        <f t="shared" si="97"/>
        <v>0</v>
      </c>
      <c r="BF57" s="73">
        <f t="shared" si="97"/>
        <v>0</v>
      </c>
    </row>
    <row r="58" spans="1:58" x14ac:dyDescent="0.3">
      <c r="A58" s="1">
        <f>Sheet2!A106</f>
        <v>40787</v>
      </c>
      <c r="B58" s="92">
        <f t="shared" si="0"/>
        <v>2011</v>
      </c>
      <c r="C58" s="2">
        <f>Sheet2!B106</f>
        <v>10280081.829999998</v>
      </c>
      <c r="D58" s="72">
        <f ca="1">OFFSET('Historic CDM'!$C$94,0,(ROW()-2)/12)/12*1000</f>
        <v>147955.4680517535</v>
      </c>
      <c r="E58" s="72">
        <f t="shared" ca="1" si="1"/>
        <v>10428037.298051752</v>
      </c>
      <c r="F58" s="2">
        <f>Sheet2!C106</f>
        <v>3557729.38</v>
      </c>
      <c r="G58" s="72">
        <f ca="1">OFFSET('Historic CDM'!$C$108,0,(ROW()-2)/12)/12*1000</f>
        <v>53317.102627353757</v>
      </c>
      <c r="H58" s="72">
        <f t="shared" ca="1" si="2"/>
        <v>3611046.4826273536</v>
      </c>
      <c r="I58" s="2">
        <f>Sheet2!D106</f>
        <v>9897238.1600000001</v>
      </c>
      <c r="J58" s="72">
        <f ca="1">OFFSET('Historic CDM'!$C$122,0,(ROW()-2)/12)/12*1000</f>
        <v>130541.30105819929</v>
      </c>
      <c r="K58" s="72">
        <f t="shared" ca="1" si="3"/>
        <v>10027779.461058199</v>
      </c>
      <c r="L58" s="2">
        <f>Sheet2!E106</f>
        <v>5979811.1399999997</v>
      </c>
      <c r="M58" s="72">
        <f ca="1">OFFSET('Historic CDM'!$C$136,0,(ROW()-2)/12)/12*1000</f>
        <v>70942.695185075601</v>
      </c>
      <c r="N58" s="72">
        <f t="shared" ca="1" si="4"/>
        <v>6050753.8351850752</v>
      </c>
      <c r="O58" s="2">
        <f>Sheet2!F106</f>
        <v>7648627.0300000003</v>
      </c>
      <c r="P58" s="72">
        <f ca="1">OFFSET('Historic CDM'!$C$150,0,(ROW()-2)/12)/12*1000</f>
        <v>105728.24873782673</v>
      </c>
      <c r="Q58" s="72">
        <f t="shared" ca="1" si="5"/>
        <v>7754355.2787378272</v>
      </c>
      <c r="R58" s="2">
        <f>Sheet2!G106</f>
        <v>330568.31999999995</v>
      </c>
      <c r="S58" s="60">
        <f>Sheet2!H106</f>
        <v>1323</v>
      </c>
      <c r="T58" s="2">
        <f>Sheet2!I106</f>
        <v>44932</v>
      </c>
      <c r="U58" s="2">
        <f>Sheet2!J106</f>
        <v>1277474.1000000001</v>
      </c>
      <c r="V58" s="72">
        <v>32633.809999999998</v>
      </c>
      <c r="W58" s="72">
        <v>12556.5</v>
      </c>
      <c r="X58" s="72">
        <v>12784.800000000001</v>
      </c>
      <c r="Y58" s="72">
        <v>898.69999999999993</v>
      </c>
      <c r="Z58" s="72"/>
      <c r="AA58" s="72">
        <v>2828.2</v>
      </c>
      <c r="AB58" s="2">
        <v>16141</v>
      </c>
      <c r="AC58" s="2">
        <v>1937</v>
      </c>
      <c r="AD58" s="2">
        <v>190</v>
      </c>
      <c r="AE58" s="2">
        <v>5</v>
      </c>
      <c r="AF58" s="2">
        <v>1</v>
      </c>
      <c r="AG58" s="2">
        <v>119</v>
      </c>
      <c r="AH58" s="2">
        <v>301</v>
      </c>
      <c r="AI58" s="2">
        <v>4283</v>
      </c>
      <c r="AJ58" s="2">
        <v>3</v>
      </c>
      <c r="AK58" s="72">
        <f>Weather!B178</f>
        <v>71.900000000000006</v>
      </c>
      <c r="AL58" s="72">
        <f>Weather!C178</f>
        <v>29</v>
      </c>
      <c r="AM58" s="72">
        <f t="shared" si="83"/>
        <v>30</v>
      </c>
      <c r="AN58" s="5">
        <v>21</v>
      </c>
      <c r="AO58" s="72">
        <f t="shared" si="6"/>
        <v>1</v>
      </c>
      <c r="AP58" s="72">
        <f>Employment!B58</f>
        <v>6734.6</v>
      </c>
      <c r="AQ58" s="72">
        <f>Employment!C58</f>
        <v>240.7</v>
      </c>
      <c r="AR58" s="72">
        <f t="shared" ref="AR58" si="98">AR46</f>
        <v>0</v>
      </c>
      <c r="AS58" s="72">
        <f t="shared" si="8"/>
        <v>1</v>
      </c>
      <c r="AT58" s="5">
        <f t="shared" si="7"/>
        <v>57</v>
      </c>
      <c r="AU58" s="73">
        <f t="shared" ref="AU58:BF58" si="99">AU46</f>
        <v>0</v>
      </c>
      <c r="AV58" s="73">
        <f t="shared" si="99"/>
        <v>0</v>
      </c>
      <c r="AW58" s="73">
        <f t="shared" si="99"/>
        <v>0</v>
      </c>
      <c r="AX58" s="73">
        <f t="shared" si="99"/>
        <v>0</v>
      </c>
      <c r="AY58" s="73">
        <f t="shared" si="99"/>
        <v>0</v>
      </c>
      <c r="AZ58" s="73">
        <f t="shared" si="99"/>
        <v>0</v>
      </c>
      <c r="BA58" s="73">
        <f t="shared" si="99"/>
        <v>0</v>
      </c>
      <c r="BB58" s="73">
        <f t="shared" si="99"/>
        <v>0</v>
      </c>
      <c r="BC58" s="73">
        <f t="shared" si="99"/>
        <v>1</v>
      </c>
      <c r="BD58" s="73">
        <f t="shared" si="99"/>
        <v>0</v>
      </c>
      <c r="BE58" s="73">
        <f t="shared" si="99"/>
        <v>0</v>
      </c>
      <c r="BF58" s="73">
        <f t="shared" si="99"/>
        <v>0</v>
      </c>
    </row>
    <row r="59" spans="1:58" x14ac:dyDescent="0.3">
      <c r="A59" s="1">
        <f>Sheet2!A107</f>
        <v>40817</v>
      </c>
      <c r="B59" s="92">
        <f t="shared" si="0"/>
        <v>2011</v>
      </c>
      <c r="C59" s="2">
        <f>Sheet2!B107</f>
        <v>9813927.6999999993</v>
      </c>
      <c r="D59" s="72">
        <f ca="1">OFFSET('Historic CDM'!$C$94,0,(ROW()-2)/12)/12*1000</f>
        <v>147955.4680517535</v>
      </c>
      <c r="E59" s="72">
        <f t="shared" ca="1" si="1"/>
        <v>9961883.1680517532</v>
      </c>
      <c r="F59" s="2">
        <f>Sheet2!C107</f>
        <v>3763625.1299999994</v>
      </c>
      <c r="G59" s="72">
        <f ca="1">OFFSET('Historic CDM'!$C$108,0,(ROW()-2)/12)/12*1000</f>
        <v>53317.102627353757</v>
      </c>
      <c r="H59" s="72">
        <f t="shared" ca="1" si="2"/>
        <v>3816942.2326273532</v>
      </c>
      <c r="I59" s="2">
        <f>Sheet2!D107</f>
        <v>10588531.52</v>
      </c>
      <c r="J59" s="72">
        <f ca="1">OFFSET('Historic CDM'!$C$122,0,(ROW()-2)/12)/12*1000</f>
        <v>130541.30105819929</v>
      </c>
      <c r="K59" s="72">
        <f t="shared" ca="1" si="3"/>
        <v>10719072.821058199</v>
      </c>
      <c r="L59" s="2">
        <f>Sheet2!E107</f>
        <v>5634181.7199999997</v>
      </c>
      <c r="M59" s="72">
        <f ca="1">OFFSET('Historic CDM'!$C$136,0,(ROW()-2)/12)/12*1000</f>
        <v>70942.695185075601</v>
      </c>
      <c r="N59" s="72">
        <f t="shared" ca="1" si="4"/>
        <v>5705124.4151850753</v>
      </c>
      <c r="O59" s="2">
        <f>Sheet2!F107</f>
        <v>7882424.1500000004</v>
      </c>
      <c r="P59" s="72">
        <f ca="1">OFFSET('Historic CDM'!$C$150,0,(ROW()-2)/12)/12*1000</f>
        <v>105728.24873782673</v>
      </c>
      <c r="Q59" s="72">
        <f t="shared" ca="1" si="5"/>
        <v>7988152.3987378273</v>
      </c>
      <c r="R59" s="2">
        <f>Sheet2!G107</f>
        <v>369723.35</v>
      </c>
      <c r="S59" s="60">
        <f>Sheet2!H107</f>
        <v>1367.1</v>
      </c>
      <c r="T59" s="2">
        <f>Sheet2!I107</f>
        <v>46120</v>
      </c>
      <c r="U59" s="2">
        <f>Sheet2!J107</f>
        <v>1378750.8</v>
      </c>
      <c r="V59" s="72">
        <v>30383.460000000003</v>
      </c>
      <c r="W59" s="72">
        <v>11865.15</v>
      </c>
      <c r="X59" s="72">
        <v>13228.61</v>
      </c>
      <c r="Y59" s="72">
        <v>898.69999999999993</v>
      </c>
      <c r="Z59" s="72"/>
      <c r="AA59" s="72">
        <v>2852.1000000000004</v>
      </c>
      <c r="AB59" s="2">
        <v>16152</v>
      </c>
      <c r="AC59" s="2">
        <v>1941</v>
      </c>
      <c r="AD59" s="2">
        <v>191</v>
      </c>
      <c r="AE59" s="2">
        <v>5</v>
      </c>
      <c r="AF59" s="2">
        <v>1</v>
      </c>
      <c r="AG59" s="2">
        <v>119</v>
      </c>
      <c r="AH59" s="2">
        <v>301</v>
      </c>
      <c r="AI59" s="2">
        <v>4283</v>
      </c>
      <c r="AJ59" s="2">
        <v>3</v>
      </c>
      <c r="AK59" s="72">
        <f>Weather!B179</f>
        <v>234.6</v>
      </c>
      <c r="AL59" s="72">
        <f>Weather!C179</f>
        <v>0</v>
      </c>
      <c r="AM59" s="72">
        <f t="shared" si="83"/>
        <v>31</v>
      </c>
      <c r="AN59" s="5">
        <v>20</v>
      </c>
      <c r="AO59" s="72">
        <f t="shared" si="6"/>
        <v>1</v>
      </c>
      <c r="AP59" s="72">
        <f>Employment!B59</f>
        <v>6702.2</v>
      </c>
      <c r="AQ59" s="72">
        <f>Employment!C59</f>
        <v>239.8</v>
      </c>
      <c r="AR59" s="72">
        <f t="shared" ref="AR59" si="100">AR47</f>
        <v>0</v>
      </c>
      <c r="AS59" s="72">
        <f t="shared" si="8"/>
        <v>1</v>
      </c>
      <c r="AT59" s="5">
        <f t="shared" si="7"/>
        <v>58</v>
      </c>
      <c r="AU59" s="73">
        <f t="shared" ref="AU59:BF59" si="101">AU47</f>
        <v>0</v>
      </c>
      <c r="AV59" s="73">
        <f t="shared" si="101"/>
        <v>0</v>
      </c>
      <c r="AW59" s="73">
        <f t="shared" si="101"/>
        <v>0</v>
      </c>
      <c r="AX59" s="73">
        <f t="shared" si="101"/>
        <v>0</v>
      </c>
      <c r="AY59" s="73">
        <f t="shared" si="101"/>
        <v>0</v>
      </c>
      <c r="AZ59" s="73">
        <f t="shared" si="101"/>
        <v>0</v>
      </c>
      <c r="BA59" s="73">
        <f t="shared" si="101"/>
        <v>0</v>
      </c>
      <c r="BB59" s="73">
        <f t="shared" si="101"/>
        <v>0</v>
      </c>
      <c r="BC59" s="73">
        <f t="shared" si="101"/>
        <v>0</v>
      </c>
      <c r="BD59" s="73">
        <f t="shared" si="101"/>
        <v>1</v>
      </c>
      <c r="BE59" s="73">
        <f t="shared" si="101"/>
        <v>0</v>
      </c>
      <c r="BF59" s="73">
        <f t="shared" si="101"/>
        <v>0</v>
      </c>
    </row>
    <row r="60" spans="1:58" x14ac:dyDescent="0.3">
      <c r="A60" s="1">
        <f>Sheet2!A108</f>
        <v>40848</v>
      </c>
      <c r="B60" s="92">
        <f t="shared" si="0"/>
        <v>2011</v>
      </c>
      <c r="C60" s="2">
        <f>Sheet2!B108</f>
        <v>10410868.779999999</v>
      </c>
      <c r="D60" s="72">
        <f ca="1">OFFSET('Historic CDM'!$C$94,0,(ROW()-2)/12)/12*1000</f>
        <v>147955.4680517535</v>
      </c>
      <c r="E60" s="72">
        <f t="shared" ca="1" si="1"/>
        <v>10558824.248051753</v>
      </c>
      <c r="F60" s="2">
        <f>Sheet2!C108</f>
        <v>3830336.4499999983</v>
      </c>
      <c r="G60" s="72">
        <f ca="1">OFFSET('Historic CDM'!$C$108,0,(ROW()-2)/12)/12*1000</f>
        <v>53317.102627353757</v>
      </c>
      <c r="H60" s="72">
        <f t="shared" ca="1" si="2"/>
        <v>3883653.5526273521</v>
      </c>
      <c r="I60" s="2">
        <f>Sheet2!D108</f>
        <v>11409828.139999999</v>
      </c>
      <c r="J60" s="72">
        <f ca="1">OFFSET('Historic CDM'!$C$122,0,(ROW()-2)/12)/12*1000</f>
        <v>130541.30105819929</v>
      </c>
      <c r="K60" s="72">
        <f t="shared" ca="1" si="3"/>
        <v>11540369.441058198</v>
      </c>
      <c r="L60" s="2">
        <f>Sheet2!E108</f>
        <v>5322018.9399999995</v>
      </c>
      <c r="M60" s="72">
        <f ca="1">OFFSET('Historic CDM'!$C$136,0,(ROW()-2)/12)/12*1000</f>
        <v>70942.695185075601</v>
      </c>
      <c r="N60" s="72">
        <f t="shared" ca="1" si="4"/>
        <v>5392961.635185075</v>
      </c>
      <c r="O60" s="2">
        <f>Sheet2!F108</f>
        <v>8172284.3200000003</v>
      </c>
      <c r="P60" s="72">
        <f ca="1">OFFSET('Historic CDM'!$C$150,0,(ROW()-2)/12)/12*1000</f>
        <v>105728.24873782673</v>
      </c>
      <c r="Q60" s="72">
        <f t="shared" ca="1" si="5"/>
        <v>8278012.5687378272</v>
      </c>
      <c r="R60" s="2">
        <f>Sheet2!G108</f>
        <v>385525.43</v>
      </c>
      <c r="S60" s="2">
        <f>Sheet2!H108</f>
        <v>1316.7</v>
      </c>
      <c r="T60" s="2">
        <f>Sheet2!I108</f>
        <v>45526</v>
      </c>
      <c r="U60" s="2">
        <f>Sheet2!J108</f>
        <v>1526433.6</v>
      </c>
      <c r="V60" s="72">
        <v>32604.289999999997</v>
      </c>
      <c r="W60" s="72">
        <v>11353.86</v>
      </c>
      <c r="X60" s="72">
        <v>12935.46</v>
      </c>
      <c r="Y60" s="72">
        <v>898.69999999999993</v>
      </c>
      <c r="Z60" s="72"/>
      <c r="AA60" s="72">
        <v>2800.3</v>
      </c>
      <c r="AB60" s="2">
        <v>16176</v>
      </c>
      <c r="AC60" s="2">
        <v>1944</v>
      </c>
      <c r="AD60" s="2">
        <v>191</v>
      </c>
      <c r="AE60" s="2">
        <v>5</v>
      </c>
      <c r="AF60" s="2">
        <v>1</v>
      </c>
      <c r="AG60" s="2">
        <v>119</v>
      </c>
      <c r="AH60" s="2">
        <v>301</v>
      </c>
      <c r="AI60" s="2">
        <v>4283</v>
      </c>
      <c r="AJ60" s="2">
        <v>3</v>
      </c>
      <c r="AK60" s="72">
        <f>Weather!B180</f>
        <v>347.9</v>
      </c>
      <c r="AL60" s="72">
        <f>Weather!C180</f>
        <v>0</v>
      </c>
      <c r="AM60" s="72">
        <f t="shared" si="83"/>
        <v>30</v>
      </c>
      <c r="AN60" s="5">
        <v>22</v>
      </c>
      <c r="AO60" s="72">
        <f t="shared" si="6"/>
        <v>1</v>
      </c>
      <c r="AP60" s="72">
        <f>Employment!B60</f>
        <v>6669.4</v>
      </c>
      <c r="AQ60" s="72">
        <f>Employment!C60</f>
        <v>236.7</v>
      </c>
      <c r="AR60" s="72">
        <f t="shared" ref="AR60" si="102">AR48</f>
        <v>0</v>
      </c>
      <c r="AS60" s="72">
        <f t="shared" si="8"/>
        <v>1</v>
      </c>
      <c r="AT60" s="5">
        <f t="shared" si="7"/>
        <v>59</v>
      </c>
      <c r="AU60" s="73">
        <f t="shared" ref="AU60:BF60" si="103">AU48</f>
        <v>0</v>
      </c>
      <c r="AV60" s="73">
        <f t="shared" si="103"/>
        <v>0</v>
      </c>
      <c r="AW60" s="73">
        <f t="shared" si="103"/>
        <v>0</v>
      </c>
      <c r="AX60" s="73">
        <f t="shared" si="103"/>
        <v>0</v>
      </c>
      <c r="AY60" s="73">
        <f t="shared" si="103"/>
        <v>0</v>
      </c>
      <c r="AZ60" s="73">
        <f t="shared" si="103"/>
        <v>0</v>
      </c>
      <c r="BA60" s="73">
        <f t="shared" si="103"/>
        <v>0</v>
      </c>
      <c r="BB60" s="73">
        <f t="shared" si="103"/>
        <v>0</v>
      </c>
      <c r="BC60" s="73">
        <f t="shared" si="103"/>
        <v>0</v>
      </c>
      <c r="BD60" s="73">
        <f t="shared" si="103"/>
        <v>0</v>
      </c>
      <c r="BE60" s="73">
        <f t="shared" si="103"/>
        <v>1</v>
      </c>
      <c r="BF60" s="73">
        <f t="shared" si="103"/>
        <v>0</v>
      </c>
    </row>
    <row r="61" spans="1:58" x14ac:dyDescent="0.3">
      <c r="A61" s="1">
        <f>Sheet2!A109</f>
        <v>40878</v>
      </c>
      <c r="B61" s="92">
        <f t="shared" si="0"/>
        <v>2011</v>
      </c>
      <c r="C61" s="2">
        <f>Sheet2!B109</f>
        <v>12608833.140000001</v>
      </c>
      <c r="D61" s="72">
        <f ca="1">OFFSET('Historic CDM'!$C$94,0,(ROW()-2)/12)/12*1000</f>
        <v>147955.4680517535</v>
      </c>
      <c r="E61" s="72">
        <f t="shared" ca="1" si="1"/>
        <v>12756788.608051755</v>
      </c>
      <c r="F61" s="2">
        <f>Sheet2!C109</f>
        <v>4299766.45</v>
      </c>
      <c r="G61" s="72">
        <f ca="1">OFFSET('Historic CDM'!$C$108,0,(ROW()-2)/12)/12*1000</f>
        <v>53317.102627353757</v>
      </c>
      <c r="H61" s="72">
        <f t="shared" ca="1" si="2"/>
        <v>4353083.5526273539</v>
      </c>
      <c r="I61" s="2">
        <f>Sheet2!D109</f>
        <v>10004753.73</v>
      </c>
      <c r="J61" s="72">
        <f ca="1">OFFSET('Historic CDM'!$C$122,0,(ROW()-2)/12)/12*1000</f>
        <v>130541.30105819929</v>
      </c>
      <c r="K61" s="72">
        <f t="shared" ca="1" si="3"/>
        <v>10135295.0310582</v>
      </c>
      <c r="L61" s="2">
        <f>Sheet2!E109</f>
        <v>5428041.5599999996</v>
      </c>
      <c r="M61" s="72">
        <f ca="1">OFFSET('Historic CDM'!$C$136,0,(ROW()-2)/12)/12*1000</f>
        <v>70942.695185075601</v>
      </c>
      <c r="N61" s="72">
        <f t="shared" ca="1" si="4"/>
        <v>5498984.2551850751</v>
      </c>
      <c r="O61" s="2">
        <f>Sheet2!F109</f>
        <v>7367450.2000000002</v>
      </c>
      <c r="P61" s="72">
        <f ca="1">OFFSET('Historic CDM'!$C$150,0,(ROW()-2)/12)/12*1000</f>
        <v>105728.24873782673</v>
      </c>
      <c r="Q61" s="72">
        <f t="shared" ca="1" si="5"/>
        <v>7473178.4487378271</v>
      </c>
      <c r="R61" s="2">
        <f>Sheet2!G109</f>
        <v>421276.71</v>
      </c>
      <c r="S61" s="2">
        <f>Sheet2!H109</f>
        <v>1367.1</v>
      </c>
      <c r="T61" s="2">
        <f>Sheet2!I109</f>
        <v>45526</v>
      </c>
      <c r="U61" s="2">
        <f>Sheet2!J109</f>
        <v>1560746.7999999998</v>
      </c>
      <c r="V61" s="72">
        <v>32907.03</v>
      </c>
      <c r="W61" s="72">
        <v>10878.35</v>
      </c>
      <c r="X61" s="72">
        <v>12779.73</v>
      </c>
      <c r="Y61" s="72">
        <v>898.69999999999993</v>
      </c>
      <c r="Z61" s="72"/>
      <c r="AA61" s="72">
        <v>3296.5</v>
      </c>
      <c r="AB61" s="2">
        <v>16180</v>
      </c>
      <c r="AC61" s="2">
        <v>1946</v>
      </c>
      <c r="AD61" s="2">
        <v>192</v>
      </c>
      <c r="AE61" s="2">
        <v>5</v>
      </c>
      <c r="AF61" s="2">
        <v>1</v>
      </c>
      <c r="AG61" s="2">
        <v>119</v>
      </c>
      <c r="AH61" s="2">
        <v>301</v>
      </c>
      <c r="AI61" s="2">
        <v>4283</v>
      </c>
      <c r="AJ61" s="2">
        <v>3</v>
      </c>
      <c r="AK61" s="72">
        <f>Weather!B181</f>
        <v>548.4</v>
      </c>
      <c r="AL61" s="72">
        <f>Weather!C181</f>
        <v>0</v>
      </c>
      <c r="AM61" s="72">
        <f t="shared" si="83"/>
        <v>31</v>
      </c>
      <c r="AN61" s="5">
        <v>20</v>
      </c>
      <c r="AO61" s="72">
        <f t="shared" si="6"/>
        <v>0</v>
      </c>
      <c r="AP61" s="72">
        <f>Employment!B61</f>
        <v>6668.3</v>
      </c>
      <c r="AQ61" s="72">
        <f>Employment!C61</f>
        <v>237</v>
      </c>
      <c r="AR61" s="72">
        <f t="shared" ref="AR61" si="104">AR49</f>
        <v>0</v>
      </c>
      <c r="AS61" s="72">
        <f t="shared" si="8"/>
        <v>0</v>
      </c>
      <c r="AT61" s="5">
        <f t="shared" si="7"/>
        <v>60</v>
      </c>
      <c r="AU61" s="73">
        <f t="shared" ref="AU61:BF61" si="105">AU49</f>
        <v>0</v>
      </c>
      <c r="AV61" s="73">
        <f t="shared" si="105"/>
        <v>0</v>
      </c>
      <c r="AW61" s="73">
        <f t="shared" si="105"/>
        <v>0</v>
      </c>
      <c r="AX61" s="73">
        <f t="shared" si="105"/>
        <v>0</v>
      </c>
      <c r="AY61" s="73">
        <f t="shared" si="105"/>
        <v>0</v>
      </c>
      <c r="AZ61" s="73">
        <f t="shared" si="105"/>
        <v>0</v>
      </c>
      <c r="BA61" s="73">
        <f t="shared" si="105"/>
        <v>0</v>
      </c>
      <c r="BB61" s="73">
        <f t="shared" si="105"/>
        <v>0</v>
      </c>
      <c r="BC61" s="73">
        <f t="shared" si="105"/>
        <v>0</v>
      </c>
      <c r="BD61" s="73">
        <f t="shared" si="105"/>
        <v>0</v>
      </c>
      <c r="BE61" s="73">
        <f t="shared" si="105"/>
        <v>0</v>
      </c>
      <c r="BF61" s="73">
        <f t="shared" si="105"/>
        <v>1</v>
      </c>
    </row>
    <row r="62" spans="1:58" x14ac:dyDescent="0.3">
      <c r="A62" s="1">
        <f>Sheet2!A110</f>
        <v>40909</v>
      </c>
      <c r="B62" s="92">
        <f t="shared" si="0"/>
        <v>2012</v>
      </c>
      <c r="C62" s="2">
        <f>Sheet2!B110</f>
        <v>13520022.879999997</v>
      </c>
      <c r="D62" s="72">
        <f ca="1">OFFSET('Historic CDM'!$C$94,0,(ROW()-2)/12)/12*1000</f>
        <v>181967.45878493268</v>
      </c>
      <c r="E62" s="72">
        <f t="shared" ca="1" si="1"/>
        <v>13701990.338784929</v>
      </c>
      <c r="F62" s="2">
        <f>Sheet2!C110</f>
        <v>4552860.5699999994</v>
      </c>
      <c r="G62" s="72">
        <f ca="1">OFFSET('Historic CDM'!$C$108,0,(ROW()-2)/12)/12*1000</f>
        <v>85534.429678665212</v>
      </c>
      <c r="H62" s="72">
        <f t="shared" ca="1" si="2"/>
        <v>4638394.9996786648</v>
      </c>
      <c r="I62" s="2">
        <f>Sheet2!D110</f>
        <v>11968080.65</v>
      </c>
      <c r="J62" s="72">
        <f ca="1">OFFSET('Historic CDM'!$C$122,0,(ROW()-2)/12)/12*1000</f>
        <v>209422.02755397919</v>
      </c>
      <c r="K62" s="72">
        <f t="shared" ca="1" si="3"/>
        <v>12177502.67755398</v>
      </c>
      <c r="L62" s="2">
        <f>Sheet2!E110</f>
        <v>5434640.4999999991</v>
      </c>
      <c r="M62" s="72">
        <f ca="1">OFFSET('Historic CDM'!$C$136,0,(ROW()-2)/12)/12*1000</f>
        <v>113810.44118120718</v>
      </c>
      <c r="N62" s="72">
        <f t="shared" ca="1" si="4"/>
        <v>5548450.9411812061</v>
      </c>
      <c r="O62" s="2">
        <f>Sheet2!F110</f>
        <v>8175903.6600000001</v>
      </c>
      <c r="P62" s="72">
        <f ca="1">OFFSET('Historic CDM'!$C$150,0,(ROW()-2)/12)/12*1000</f>
        <v>169615.4706665258</v>
      </c>
      <c r="Q62" s="72">
        <f t="shared" ca="1" si="5"/>
        <v>8345519.130666526</v>
      </c>
      <c r="R62" s="2">
        <f>Sheet2!G110</f>
        <v>405143.39</v>
      </c>
      <c r="S62" s="2">
        <f>Sheet2!H110</f>
        <v>1367.1</v>
      </c>
      <c r="T62" s="2">
        <f>Sheet2!I110</f>
        <v>40599</v>
      </c>
      <c r="U62" s="2">
        <f>Sheet2!J110</f>
        <v>1634265.4</v>
      </c>
      <c r="V62" s="72">
        <v>29746.060000000009</v>
      </c>
      <c r="W62" s="72">
        <v>10663.27</v>
      </c>
      <c r="X62" s="72">
        <v>12831.08</v>
      </c>
      <c r="Y62" s="72">
        <v>898.79</v>
      </c>
      <c r="Z62" s="72">
        <v>53</v>
      </c>
      <c r="AA62" s="72">
        <v>3102.6</v>
      </c>
      <c r="AB62" s="2">
        <v>16190</v>
      </c>
      <c r="AC62" s="2">
        <v>1946</v>
      </c>
      <c r="AD62" s="2">
        <v>192</v>
      </c>
      <c r="AE62" s="2">
        <v>5</v>
      </c>
      <c r="AF62" s="2">
        <v>1</v>
      </c>
      <c r="AG62" s="2">
        <v>119</v>
      </c>
      <c r="AH62" s="2">
        <v>301</v>
      </c>
      <c r="AI62" s="2">
        <v>4283</v>
      </c>
      <c r="AJ62" s="2">
        <v>3</v>
      </c>
      <c r="AK62" s="72">
        <f>Weather!B182</f>
        <v>644.79999999999995</v>
      </c>
      <c r="AL62" s="72">
        <f>Weather!C182</f>
        <v>0</v>
      </c>
      <c r="AM62" s="72">
        <f t="shared" si="83"/>
        <v>31</v>
      </c>
      <c r="AN62" s="59">
        <v>21</v>
      </c>
      <c r="AO62" s="72">
        <f t="shared" si="6"/>
        <v>0</v>
      </c>
      <c r="AP62" s="72">
        <f>Employment!B62</f>
        <v>6635.9</v>
      </c>
      <c r="AQ62" s="72">
        <f>Employment!C62</f>
        <v>235.8</v>
      </c>
      <c r="AR62" s="72">
        <f t="shared" ref="AR62" si="106">AR50</f>
        <v>0</v>
      </c>
      <c r="AS62" s="72">
        <f t="shared" si="8"/>
        <v>0</v>
      </c>
      <c r="AT62" s="5">
        <f t="shared" si="7"/>
        <v>61</v>
      </c>
      <c r="AU62" s="73">
        <f t="shared" ref="AU62:BF62" si="107">AU50</f>
        <v>1</v>
      </c>
      <c r="AV62" s="73">
        <f t="shared" si="107"/>
        <v>0</v>
      </c>
      <c r="AW62" s="73">
        <f t="shared" si="107"/>
        <v>0</v>
      </c>
      <c r="AX62" s="73">
        <f t="shared" si="107"/>
        <v>0</v>
      </c>
      <c r="AY62" s="73">
        <f t="shared" si="107"/>
        <v>0</v>
      </c>
      <c r="AZ62" s="73">
        <f t="shared" si="107"/>
        <v>0</v>
      </c>
      <c r="BA62" s="73">
        <f t="shared" si="107"/>
        <v>0</v>
      </c>
      <c r="BB62" s="73">
        <f t="shared" si="107"/>
        <v>0</v>
      </c>
      <c r="BC62" s="73">
        <f t="shared" si="107"/>
        <v>0</v>
      </c>
      <c r="BD62" s="73">
        <f t="shared" si="107"/>
        <v>0</v>
      </c>
      <c r="BE62" s="73">
        <f t="shared" si="107"/>
        <v>0</v>
      </c>
      <c r="BF62" s="73">
        <f t="shared" si="107"/>
        <v>0</v>
      </c>
    </row>
    <row r="63" spans="1:58" x14ac:dyDescent="0.3">
      <c r="A63" s="1">
        <f>Sheet2!A111</f>
        <v>40940</v>
      </c>
      <c r="B63" s="92">
        <f t="shared" si="0"/>
        <v>2012</v>
      </c>
      <c r="C63" s="2">
        <f>Sheet2!B111</f>
        <v>12237281.460000001</v>
      </c>
      <c r="D63" s="72">
        <f ca="1">OFFSET('Historic CDM'!$C$94,0,(ROW()-2)/12)/12*1000</f>
        <v>181967.45878493268</v>
      </c>
      <c r="E63" s="72">
        <f t="shared" ca="1" si="1"/>
        <v>12419248.918784933</v>
      </c>
      <c r="F63" s="2">
        <f>Sheet2!C111</f>
        <v>4266872.8200000012</v>
      </c>
      <c r="G63" s="72">
        <f ca="1">OFFSET('Historic CDM'!$C$108,0,(ROW()-2)/12)/12*1000</f>
        <v>85534.429678665212</v>
      </c>
      <c r="H63" s="72">
        <f t="shared" ca="1" si="2"/>
        <v>4352407.2496786667</v>
      </c>
      <c r="I63" s="2">
        <f>Sheet2!D111</f>
        <v>11463954.640000001</v>
      </c>
      <c r="J63" s="72">
        <f ca="1">OFFSET('Historic CDM'!$C$122,0,(ROW()-2)/12)/12*1000</f>
        <v>209422.02755397919</v>
      </c>
      <c r="K63" s="72">
        <f t="shared" ca="1" si="3"/>
        <v>11673376.66755398</v>
      </c>
      <c r="L63" s="2">
        <f>Sheet2!E111</f>
        <v>5489182.3700000001</v>
      </c>
      <c r="M63" s="72">
        <f ca="1">OFFSET('Historic CDM'!$C$136,0,(ROW()-2)/12)/12*1000</f>
        <v>113810.44118120718</v>
      </c>
      <c r="N63" s="72">
        <f t="shared" ca="1" si="4"/>
        <v>5602992.8111812072</v>
      </c>
      <c r="O63" s="2">
        <f>Sheet2!F111</f>
        <v>7918535.6299999999</v>
      </c>
      <c r="P63" s="72">
        <f ca="1">OFFSET('Historic CDM'!$C$150,0,(ROW()-2)/12)/12*1000</f>
        <v>169615.4706665258</v>
      </c>
      <c r="Q63" s="72">
        <f t="shared" ca="1" si="5"/>
        <v>8088151.1006665258</v>
      </c>
      <c r="R63" s="2">
        <f>Sheet2!G111</f>
        <v>363742.78</v>
      </c>
      <c r="S63" s="2">
        <f>Sheet2!H111</f>
        <v>1278.9000000000001</v>
      </c>
      <c r="T63" s="2">
        <f>Sheet2!I111</f>
        <v>44625</v>
      </c>
      <c r="U63" s="60">
        <f>Sheet2!J111</f>
        <v>1462068.7</v>
      </c>
      <c r="V63" s="60">
        <v>35306.120000000003</v>
      </c>
      <c r="W63" s="60">
        <v>10451.120000000001</v>
      </c>
      <c r="X63" s="60">
        <v>13068.49</v>
      </c>
      <c r="Y63" s="60">
        <v>898.79</v>
      </c>
      <c r="Z63" s="60">
        <v>53</v>
      </c>
      <c r="AA63" s="60">
        <v>3311</v>
      </c>
      <c r="AB63" s="2">
        <v>16193</v>
      </c>
      <c r="AC63" s="2">
        <v>1951</v>
      </c>
      <c r="AD63" s="2">
        <v>192</v>
      </c>
      <c r="AE63" s="2">
        <v>5</v>
      </c>
      <c r="AF63" s="2">
        <v>1</v>
      </c>
      <c r="AG63" s="2">
        <v>118</v>
      </c>
      <c r="AH63" s="2">
        <v>301</v>
      </c>
      <c r="AI63" s="2">
        <v>4283</v>
      </c>
      <c r="AJ63" s="2">
        <v>3</v>
      </c>
      <c r="AK63" s="72">
        <f>Weather!B183</f>
        <v>553</v>
      </c>
      <c r="AL63" s="72">
        <f>Weather!C183</f>
        <v>0</v>
      </c>
      <c r="AM63" s="72">
        <f t="shared" si="83"/>
        <v>29</v>
      </c>
      <c r="AN63" s="59">
        <v>20</v>
      </c>
      <c r="AO63" s="72">
        <f t="shared" si="6"/>
        <v>0</v>
      </c>
      <c r="AP63" s="72">
        <f>Employment!B63</f>
        <v>6598</v>
      </c>
      <c r="AQ63" s="72">
        <f>Employment!C63</f>
        <v>234</v>
      </c>
      <c r="AR63" s="72">
        <f t="shared" ref="AR63" si="108">AR51</f>
        <v>0</v>
      </c>
      <c r="AS63" s="72">
        <f t="shared" si="8"/>
        <v>0</v>
      </c>
      <c r="AT63" s="5">
        <f t="shared" si="7"/>
        <v>62</v>
      </c>
      <c r="AU63" s="73">
        <f t="shared" ref="AU63:BF63" si="109">AU51</f>
        <v>0</v>
      </c>
      <c r="AV63" s="73">
        <f t="shared" si="109"/>
        <v>1</v>
      </c>
      <c r="AW63" s="73">
        <f t="shared" si="109"/>
        <v>0</v>
      </c>
      <c r="AX63" s="73">
        <f t="shared" si="109"/>
        <v>0</v>
      </c>
      <c r="AY63" s="73">
        <f t="shared" si="109"/>
        <v>0</v>
      </c>
      <c r="AZ63" s="73">
        <f t="shared" si="109"/>
        <v>0</v>
      </c>
      <c r="BA63" s="73">
        <f t="shared" si="109"/>
        <v>0</v>
      </c>
      <c r="BB63" s="73">
        <f t="shared" si="109"/>
        <v>0</v>
      </c>
      <c r="BC63" s="73">
        <f t="shared" si="109"/>
        <v>0</v>
      </c>
      <c r="BD63" s="73">
        <f t="shared" si="109"/>
        <v>0</v>
      </c>
      <c r="BE63" s="73">
        <f t="shared" si="109"/>
        <v>0</v>
      </c>
      <c r="BF63" s="73">
        <f t="shared" si="109"/>
        <v>0</v>
      </c>
    </row>
    <row r="64" spans="1:58" x14ac:dyDescent="0.3">
      <c r="A64" s="1">
        <f>Sheet2!A112</f>
        <v>40969</v>
      </c>
      <c r="B64" s="92">
        <f t="shared" si="0"/>
        <v>2012</v>
      </c>
      <c r="C64" s="2">
        <f>Sheet2!B112</f>
        <v>10443817.059999999</v>
      </c>
      <c r="D64" s="72">
        <f ca="1">OFFSET('Historic CDM'!$C$94,0,(ROW()-2)/12)/12*1000</f>
        <v>181967.45878493268</v>
      </c>
      <c r="E64" s="72">
        <f t="shared" ca="1" si="1"/>
        <v>10625784.518784931</v>
      </c>
      <c r="F64" s="2">
        <f>Sheet2!C112</f>
        <v>3656146.8399999994</v>
      </c>
      <c r="G64" s="72">
        <f ca="1">OFFSET('Historic CDM'!$C$108,0,(ROW()-2)/12)/12*1000</f>
        <v>85534.429678665212</v>
      </c>
      <c r="H64" s="72">
        <f t="shared" ca="1" si="2"/>
        <v>3741681.2696786644</v>
      </c>
      <c r="I64" s="2">
        <f>Sheet2!D112</f>
        <v>9631196.4199999981</v>
      </c>
      <c r="J64" s="72">
        <f ca="1">OFFSET('Historic CDM'!$C$122,0,(ROW()-2)/12)/12*1000</f>
        <v>209422.02755397919</v>
      </c>
      <c r="K64" s="72">
        <f t="shared" ca="1" si="3"/>
        <v>9840618.4475539774</v>
      </c>
      <c r="L64" s="2">
        <f>Sheet2!E112</f>
        <v>5483941.1600000001</v>
      </c>
      <c r="M64" s="72">
        <f ca="1">OFFSET('Historic CDM'!$C$136,0,(ROW()-2)/12)/12*1000</f>
        <v>113810.44118120718</v>
      </c>
      <c r="N64" s="72">
        <f t="shared" ca="1" si="4"/>
        <v>5597751.6011812072</v>
      </c>
      <c r="O64" s="66">
        <f>Sheet2!F112</f>
        <v>8341084.71</v>
      </c>
      <c r="P64" s="72">
        <f ca="1">OFFSET('Historic CDM'!$C$150,0,(ROW()-2)/12)/12*1000</f>
        <v>169615.4706665258</v>
      </c>
      <c r="Q64" s="72">
        <f t="shared" ca="1" si="5"/>
        <v>8510700.1806665249</v>
      </c>
      <c r="R64" s="2">
        <f>Sheet2!G112</f>
        <v>331134.07</v>
      </c>
      <c r="S64" s="2">
        <f>Sheet2!H112</f>
        <v>1367.1</v>
      </c>
      <c r="T64" s="2">
        <f>Sheet2!I112</f>
        <v>44625</v>
      </c>
      <c r="U64" s="60">
        <f>Sheet2!J112</f>
        <v>1328531.3999999999</v>
      </c>
      <c r="V64" s="60">
        <v>32727.42</v>
      </c>
      <c r="W64" s="60">
        <v>10881.75</v>
      </c>
      <c r="X64" s="60">
        <v>12919.68</v>
      </c>
      <c r="Y64" s="60">
        <v>898.06999999999994</v>
      </c>
      <c r="Z64" s="60">
        <v>54</v>
      </c>
      <c r="AA64" s="60">
        <v>3035.9</v>
      </c>
      <c r="AB64" s="2">
        <v>16198</v>
      </c>
      <c r="AC64" s="2">
        <v>1912</v>
      </c>
      <c r="AD64" s="2">
        <v>192</v>
      </c>
      <c r="AE64" s="2">
        <v>5</v>
      </c>
      <c r="AF64" s="2">
        <v>1</v>
      </c>
      <c r="AG64" s="2">
        <v>118</v>
      </c>
      <c r="AH64" s="2">
        <v>301</v>
      </c>
      <c r="AI64" s="2">
        <v>4283</v>
      </c>
      <c r="AJ64" s="2">
        <v>3</v>
      </c>
      <c r="AK64" s="72">
        <f>Weather!B184</f>
        <v>331.1</v>
      </c>
      <c r="AL64" s="72">
        <f>Weather!C184</f>
        <v>2.2000000000000002</v>
      </c>
      <c r="AM64" s="72">
        <f t="shared" si="83"/>
        <v>31</v>
      </c>
      <c r="AN64" s="59">
        <v>22</v>
      </c>
      <c r="AO64" s="72">
        <f t="shared" si="6"/>
        <v>1</v>
      </c>
      <c r="AP64" s="72">
        <f>Employment!B64</f>
        <v>6569.8</v>
      </c>
      <c r="AQ64" s="72">
        <f>Employment!C64</f>
        <v>232.9</v>
      </c>
      <c r="AR64" s="72">
        <f t="shared" ref="AR64" si="110">AR52</f>
        <v>1</v>
      </c>
      <c r="AS64" s="72">
        <f t="shared" si="8"/>
        <v>0</v>
      </c>
      <c r="AT64" s="5">
        <f t="shared" si="7"/>
        <v>63</v>
      </c>
      <c r="AU64" s="73">
        <f t="shared" ref="AU64:BF64" si="111">AU52</f>
        <v>0</v>
      </c>
      <c r="AV64" s="73">
        <f t="shared" si="111"/>
        <v>0</v>
      </c>
      <c r="AW64" s="73">
        <f t="shared" si="111"/>
        <v>1</v>
      </c>
      <c r="AX64" s="73">
        <f t="shared" si="111"/>
        <v>0</v>
      </c>
      <c r="AY64" s="73">
        <f t="shared" si="111"/>
        <v>0</v>
      </c>
      <c r="AZ64" s="73">
        <f t="shared" si="111"/>
        <v>0</v>
      </c>
      <c r="BA64" s="73">
        <f t="shared" si="111"/>
        <v>0</v>
      </c>
      <c r="BB64" s="73">
        <f t="shared" si="111"/>
        <v>0</v>
      </c>
      <c r="BC64" s="73">
        <f t="shared" si="111"/>
        <v>0</v>
      </c>
      <c r="BD64" s="73">
        <f t="shared" si="111"/>
        <v>0</v>
      </c>
      <c r="BE64" s="73">
        <f t="shared" si="111"/>
        <v>0</v>
      </c>
      <c r="BF64" s="73">
        <f t="shared" si="111"/>
        <v>0</v>
      </c>
    </row>
    <row r="65" spans="1:58" x14ac:dyDescent="0.3">
      <c r="A65" s="1">
        <f>Sheet2!A113</f>
        <v>41000</v>
      </c>
      <c r="B65" s="92">
        <f t="shared" si="0"/>
        <v>2012</v>
      </c>
      <c r="C65" s="2">
        <f>Sheet2!B113-2000000</f>
        <v>9126361.9700000044</v>
      </c>
      <c r="D65" s="72">
        <f ca="1">OFFSET('Historic CDM'!$C$94,0,(ROW()-2)/12)/12*1000</f>
        <v>181967.45878493268</v>
      </c>
      <c r="E65" s="72">
        <f t="shared" ca="1" si="1"/>
        <v>9308329.4287849367</v>
      </c>
      <c r="F65" s="2">
        <f>Sheet2!C113</f>
        <v>3491519.7700000005</v>
      </c>
      <c r="G65" s="72">
        <f ca="1">OFFSET('Historic CDM'!$C$108,0,(ROW()-2)/12)/12*1000</f>
        <v>85534.429678665212</v>
      </c>
      <c r="H65" s="72">
        <f t="shared" ca="1" si="2"/>
        <v>3577054.1996786655</v>
      </c>
      <c r="I65" s="2">
        <f>Sheet2!D113</f>
        <v>8723593.8499999996</v>
      </c>
      <c r="J65" s="72">
        <f ca="1">OFFSET('Historic CDM'!$C$122,0,(ROW()-2)/12)/12*1000</f>
        <v>209422.02755397919</v>
      </c>
      <c r="K65" s="72">
        <f t="shared" ca="1" si="3"/>
        <v>8933015.8775539789</v>
      </c>
      <c r="L65" s="60">
        <f>Sheet2!E113</f>
        <v>5441945.1600000001</v>
      </c>
      <c r="M65" s="72">
        <f ca="1">OFFSET('Historic CDM'!$C$136,0,(ROW()-2)/12)/12*1000</f>
        <v>113810.44118120718</v>
      </c>
      <c r="N65" s="72">
        <f t="shared" ca="1" si="4"/>
        <v>5555755.6011812072</v>
      </c>
      <c r="O65" s="66">
        <f>Sheet2!F113</f>
        <v>7696170.0199999996</v>
      </c>
      <c r="P65" s="72">
        <f ca="1">OFFSET('Historic CDM'!$C$150,0,(ROW()-2)/12)/12*1000</f>
        <v>169615.4706665258</v>
      </c>
      <c r="Q65" s="72">
        <f t="shared" ca="1" si="5"/>
        <v>7865785.4906665254</v>
      </c>
      <c r="R65" s="2">
        <f>Sheet2!G113</f>
        <v>282105.13999999996</v>
      </c>
      <c r="S65" s="2">
        <f>Sheet2!H113</f>
        <v>1329.3</v>
      </c>
      <c r="T65" s="2">
        <f>Sheet2!I113</f>
        <v>49416</v>
      </c>
      <c r="U65" s="60">
        <f>Sheet2!J113-1100000</f>
        <v>78517.5</v>
      </c>
      <c r="V65" s="60">
        <v>35169.379999999997</v>
      </c>
      <c r="W65" s="60">
        <v>11049.24</v>
      </c>
      <c r="X65" s="60">
        <v>13330.72</v>
      </c>
      <c r="Y65" s="60">
        <v>898.06999999999994</v>
      </c>
      <c r="Z65" s="60">
        <v>54</v>
      </c>
      <c r="AA65" s="60">
        <v>3031</v>
      </c>
      <c r="AB65" s="2">
        <v>16211</v>
      </c>
      <c r="AC65" s="2">
        <v>1909</v>
      </c>
      <c r="AD65" s="2">
        <v>192</v>
      </c>
      <c r="AE65" s="2">
        <v>5</v>
      </c>
      <c r="AF65" s="2">
        <v>1</v>
      </c>
      <c r="AG65" s="2">
        <v>118</v>
      </c>
      <c r="AH65" s="2">
        <v>301</v>
      </c>
      <c r="AI65" s="2">
        <v>4283</v>
      </c>
      <c r="AJ65" s="2">
        <v>3</v>
      </c>
      <c r="AK65" s="72">
        <f>Weather!B185</f>
        <v>334.6</v>
      </c>
      <c r="AL65" s="72">
        <f>Weather!C185</f>
        <v>0</v>
      </c>
      <c r="AM65" s="72">
        <f t="shared" si="83"/>
        <v>30</v>
      </c>
      <c r="AN65" s="59">
        <v>19</v>
      </c>
      <c r="AO65" s="72">
        <f t="shared" si="6"/>
        <v>1</v>
      </c>
      <c r="AP65" s="72">
        <f>Employment!B65</f>
        <v>6603.3</v>
      </c>
      <c r="AQ65" s="72">
        <f>Employment!C65</f>
        <v>238</v>
      </c>
      <c r="AR65" s="72">
        <f t="shared" ref="AR65" si="112">AR53</f>
        <v>1</v>
      </c>
      <c r="AS65" s="72">
        <f t="shared" si="8"/>
        <v>0</v>
      </c>
      <c r="AT65" s="5">
        <f t="shared" si="7"/>
        <v>64</v>
      </c>
      <c r="AU65" s="73">
        <f t="shared" ref="AU65:BF65" si="113">AU53</f>
        <v>0</v>
      </c>
      <c r="AV65" s="73">
        <f t="shared" si="113"/>
        <v>0</v>
      </c>
      <c r="AW65" s="73">
        <f t="shared" si="113"/>
        <v>0</v>
      </c>
      <c r="AX65" s="73">
        <f t="shared" si="113"/>
        <v>1</v>
      </c>
      <c r="AY65" s="73">
        <f t="shared" si="113"/>
        <v>0</v>
      </c>
      <c r="AZ65" s="73">
        <f t="shared" si="113"/>
        <v>0</v>
      </c>
      <c r="BA65" s="73">
        <f t="shared" si="113"/>
        <v>0</v>
      </c>
      <c r="BB65" s="73">
        <f t="shared" si="113"/>
        <v>0</v>
      </c>
      <c r="BC65" s="73">
        <f t="shared" si="113"/>
        <v>0</v>
      </c>
      <c r="BD65" s="73">
        <f t="shared" si="113"/>
        <v>0</v>
      </c>
      <c r="BE65" s="73">
        <f t="shared" si="113"/>
        <v>0</v>
      </c>
      <c r="BF65" s="73">
        <f t="shared" si="113"/>
        <v>0</v>
      </c>
    </row>
    <row r="66" spans="1:58" x14ac:dyDescent="0.3">
      <c r="A66" s="1">
        <f>Sheet2!A114</f>
        <v>41030</v>
      </c>
      <c r="B66" s="92">
        <f t="shared" si="0"/>
        <v>2012</v>
      </c>
      <c r="C66" s="60">
        <f>Sheet2!B114+2000000</f>
        <v>9978739.2099999972</v>
      </c>
      <c r="D66" s="72">
        <f ca="1">OFFSET('Historic CDM'!$C$94,0,(ROW()-2)/12)/12*1000</f>
        <v>181967.45878493268</v>
      </c>
      <c r="E66" s="72">
        <f t="shared" ca="1" si="1"/>
        <v>10160706.668784929</v>
      </c>
      <c r="F66" s="2">
        <f>Sheet2!C114</f>
        <v>3168502.2599999993</v>
      </c>
      <c r="G66" s="72">
        <f ca="1">OFFSET('Historic CDM'!$C$108,0,(ROW()-2)/12)/12*1000</f>
        <v>85534.429678665212</v>
      </c>
      <c r="H66" s="72">
        <f t="shared" ca="1" si="2"/>
        <v>3254036.6896786643</v>
      </c>
      <c r="I66" s="2">
        <f>Sheet2!D114</f>
        <v>9134509.8499999996</v>
      </c>
      <c r="J66" s="72">
        <f ca="1">OFFSET('Historic CDM'!$C$122,0,(ROW()-2)/12)/12*1000</f>
        <v>209422.02755397919</v>
      </c>
      <c r="K66" s="72">
        <f t="shared" ca="1" si="3"/>
        <v>9343931.8775539789</v>
      </c>
      <c r="L66" s="60">
        <f>Sheet2!E114</f>
        <v>4827574.96</v>
      </c>
      <c r="M66" s="72">
        <f ca="1">OFFSET('Historic CDM'!$C$136,0,(ROW()-2)/12)/12*1000</f>
        <v>113810.44118120718</v>
      </c>
      <c r="N66" s="72">
        <f t="shared" ca="1" si="4"/>
        <v>4941385.401181207</v>
      </c>
      <c r="O66" s="66">
        <f>Sheet2!F114</f>
        <v>7958998.5599999996</v>
      </c>
      <c r="P66" s="72">
        <f ca="1">OFFSET('Historic CDM'!$C$150,0,(ROW()-2)/12)/12*1000</f>
        <v>169615.4706665258</v>
      </c>
      <c r="Q66" s="72">
        <f t="shared" ca="1" si="5"/>
        <v>8128614.0306665255</v>
      </c>
      <c r="R66" s="2">
        <f>Sheet2!G114</f>
        <v>262216.72000000003</v>
      </c>
      <c r="S66" s="2">
        <f>Sheet2!H114</f>
        <v>1360.8</v>
      </c>
      <c r="T66" s="2">
        <f>Sheet2!I114</f>
        <v>11607</v>
      </c>
      <c r="U66" s="60">
        <v>1234098</v>
      </c>
      <c r="V66" s="60">
        <v>26912.34</v>
      </c>
      <c r="W66" s="60">
        <v>11742.84</v>
      </c>
      <c r="X66" s="60">
        <v>13350</v>
      </c>
      <c r="Y66" s="60">
        <v>898.06999999999994</v>
      </c>
      <c r="Z66" s="60">
        <v>55</v>
      </c>
      <c r="AA66" s="60">
        <v>2799.5999999999995</v>
      </c>
      <c r="AB66" s="2">
        <v>16216</v>
      </c>
      <c r="AC66" s="2">
        <v>1910</v>
      </c>
      <c r="AD66" s="2">
        <v>192</v>
      </c>
      <c r="AE66" s="2">
        <v>5</v>
      </c>
      <c r="AF66" s="2">
        <v>1</v>
      </c>
      <c r="AG66" s="2">
        <v>118</v>
      </c>
      <c r="AH66" s="2">
        <v>301</v>
      </c>
      <c r="AI66" s="2">
        <v>4283</v>
      </c>
      <c r="AJ66" s="2">
        <v>3</v>
      </c>
      <c r="AK66" s="72">
        <f>Weather!B186</f>
        <v>87.2</v>
      </c>
      <c r="AL66" s="72">
        <f>Weather!C186</f>
        <v>28.5</v>
      </c>
      <c r="AM66" s="72">
        <f t="shared" si="83"/>
        <v>31</v>
      </c>
      <c r="AN66" s="59">
        <v>22</v>
      </c>
      <c r="AO66" s="72">
        <f t="shared" si="6"/>
        <v>1</v>
      </c>
      <c r="AP66" s="72">
        <f>Employment!B66</f>
        <v>6658.1</v>
      </c>
      <c r="AQ66" s="72">
        <f>Employment!C66</f>
        <v>243.3</v>
      </c>
      <c r="AR66" s="72">
        <f t="shared" ref="AR66" si="114">AR54</f>
        <v>1</v>
      </c>
      <c r="AS66" s="72">
        <f t="shared" si="8"/>
        <v>0</v>
      </c>
      <c r="AT66" s="5">
        <f t="shared" si="7"/>
        <v>65</v>
      </c>
      <c r="AU66" s="73">
        <f t="shared" ref="AU66:BF66" si="115">AU54</f>
        <v>0</v>
      </c>
      <c r="AV66" s="73">
        <f t="shared" si="115"/>
        <v>0</v>
      </c>
      <c r="AW66" s="73">
        <f t="shared" si="115"/>
        <v>0</v>
      </c>
      <c r="AX66" s="73">
        <f t="shared" si="115"/>
        <v>0</v>
      </c>
      <c r="AY66" s="73">
        <f t="shared" si="115"/>
        <v>1</v>
      </c>
      <c r="AZ66" s="73">
        <f t="shared" si="115"/>
        <v>0</v>
      </c>
      <c r="BA66" s="73">
        <f t="shared" si="115"/>
        <v>0</v>
      </c>
      <c r="BB66" s="73">
        <f t="shared" si="115"/>
        <v>0</v>
      </c>
      <c r="BC66" s="73">
        <f t="shared" si="115"/>
        <v>0</v>
      </c>
      <c r="BD66" s="73">
        <f t="shared" si="115"/>
        <v>0</v>
      </c>
      <c r="BE66" s="73">
        <f t="shared" si="115"/>
        <v>0</v>
      </c>
      <c r="BF66" s="73">
        <f t="shared" si="115"/>
        <v>0</v>
      </c>
    </row>
    <row r="67" spans="1:58" x14ac:dyDescent="0.3">
      <c r="A67" s="1">
        <f>Sheet2!A115</f>
        <v>41061</v>
      </c>
      <c r="B67" s="92">
        <f t="shared" ref="B67:B121" si="116">YEAR(A67)</f>
        <v>2012</v>
      </c>
      <c r="C67" s="2">
        <f>Sheet2!B115</f>
        <v>11044654.119999997</v>
      </c>
      <c r="D67" s="72">
        <f ca="1">OFFSET('Historic CDM'!$C$94,0,(ROW()-2)/12)/12*1000</f>
        <v>181967.45878493268</v>
      </c>
      <c r="E67" s="72">
        <f t="shared" ref="E67:E121" ca="1" si="117">C67+D67</f>
        <v>11226621.57878493</v>
      </c>
      <c r="F67" s="2">
        <f>Sheet2!C115</f>
        <v>3744232.07</v>
      </c>
      <c r="G67" s="72">
        <f ca="1">OFFSET('Historic CDM'!$C$108,0,(ROW()-2)/12)/12*1000</f>
        <v>85534.429678665212</v>
      </c>
      <c r="H67" s="72">
        <f t="shared" ref="H67:H121" ca="1" si="118">F67+G67</f>
        <v>3829766.4996786648</v>
      </c>
      <c r="I67" s="2">
        <f>Sheet2!D115</f>
        <v>9881085.3800000008</v>
      </c>
      <c r="J67" s="72">
        <f ca="1">OFFSET('Historic CDM'!$C$122,0,(ROW()-2)/12)/12*1000</f>
        <v>209422.02755397919</v>
      </c>
      <c r="K67" s="72">
        <f t="shared" ref="K67:K121" ca="1" si="119">I67+J67</f>
        <v>10090507.40755398</v>
      </c>
      <c r="L67" s="60">
        <f>Sheet2!E115+2500000</f>
        <v>6271532.1600000001</v>
      </c>
      <c r="M67" s="72">
        <f ca="1">OFFSET('Historic CDM'!$C$136,0,(ROW()-2)/12)/12*1000</f>
        <v>113810.44118120718</v>
      </c>
      <c r="N67" s="72">
        <f t="shared" ref="N67:N121" ca="1" si="120">L67+M67</f>
        <v>6385342.6011812072</v>
      </c>
      <c r="O67" s="66">
        <f>Sheet2!F115</f>
        <v>8056332.1399999997</v>
      </c>
      <c r="P67" s="72">
        <f ca="1">OFFSET('Historic CDM'!$C$150,0,(ROW()-2)/12)/12*1000</f>
        <v>169615.4706665258</v>
      </c>
      <c r="Q67" s="72">
        <f t="shared" ref="Q67:Q121" ca="1" si="121">O67+P67</f>
        <v>8225947.6106665256</v>
      </c>
      <c r="R67" s="2">
        <f>Sheet2!G115</f>
        <v>212978.05000000002</v>
      </c>
      <c r="S67" s="2">
        <f>Sheet2!H115</f>
        <v>1323</v>
      </c>
      <c r="T67" s="2">
        <f>Sheet2!I115</f>
        <v>44100</v>
      </c>
      <c r="U67" s="60">
        <f>Sheet2!J115</f>
        <v>1275269.2</v>
      </c>
      <c r="V67" s="60">
        <v>26867.620000000003</v>
      </c>
      <c r="W67" s="60">
        <v>9647.48</v>
      </c>
      <c r="X67" s="60">
        <v>13349</v>
      </c>
      <c r="Y67" s="60">
        <v>898.06999999999994</v>
      </c>
      <c r="Z67" s="60">
        <v>54</v>
      </c>
      <c r="AA67" s="60">
        <v>2554</v>
      </c>
      <c r="AB67" s="2">
        <v>16227</v>
      </c>
      <c r="AC67" s="2">
        <v>1913</v>
      </c>
      <c r="AD67" s="2">
        <v>188</v>
      </c>
      <c r="AE67" s="2">
        <v>5</v>
      </c>
      <c r="AF67" s="2">
        <v>1</v>
      </c>
      <c r="AG67" s="2">
        <v>119</v>
      </c>
      <c r="AH67" s="2">
        <v>301</v>
      </c>
      <c r="AI67" s="2">
        <v>4283</v>
      </c>
      <c r="AJ67" s="2">
        <v>3</v>
      </c>
      <c r="AK67" s="72">
        <f>Weather!B187</f>
        <v>28.2</v>
      </c>
      <c r="AL67" s="72">
        <f>Weather!C187</f>
        <v>81.7</v>
      </c>
      <c r="AM67" s="72">
        <f t="shared" si="83"/>
        <v>30</v>
      </c>
      <c r="AN67" s="59">
        <v>21</v>
      </c>
      <c r="AO67" s="72">
        <f t="shared" ref="AO67:AO121" si="122">AR67+AS67</f>
        <v>0</v>
      </c>
      <c r="AP67" s="72">
        <f>Employment!B67</f>
        <v>6737.2</v>
      </c>
      <c r="AQ67" s="72">
        <f>Employment!C67</f>
        <v>247.1</v>
      </c>
      <c r="AR67" s="72">
        <f t="shared" ref="AR67" si="123">AR55</f>
        <v>0</v>
      </c>
      <c r="AS67" s="72">
        <f t="shared" si="8"/>
        <v>0</v>
      </c>
      <c r="AT67" s="5">
        <f t="shared" si="7"/>
        <v>66</v>
      </c>
      <c r="AU67" s="73">
        <f t="shared" ref="AU67:BF67" si="124">AU55</f>
        <v>0</v>
      </c>
      <c r="AV67" s="73">
        <f t="shared" si="124"/>
        <v>0</v>
      </c>
      <c r="AW67" s="73">
        <f t="shared" si="124"/>
        <v>0</v>
      </c>
      <c r="AX67" s="73">
        <f t="shared" si="124"/>
        <v>0</v>
      </c>
      <c r="AY67" s="73">
        <f t="shared" si="124"/>
        <v>0</v>
      </c>
      <c r="AZ67" s="73">
        <f t="shared" si="124"/>
        <v>1</v>
      </c>
      <c r="BA67" s="73">
        <f t="shared" si="124"/>
        <v>0</v>
      </c>
      <c r="BB67" s="73">
        <f t="shared" si="124"/>
        <v>0</v>
      </c>
      <c r="BC67" s="73">
        <f t="shared" si="124"/>
        <v>0</v>
      </c>
      <c r="BD67" s="73">
        <f t="shared" si="124"/>
        <v>0</v>
      </c>
      <c r="BE67" s="73">
        <f t="shared" si="124"/>
        <v>0</v>
      </c>
      <c r="BF67" s="73">
        <f t="shared" si="124"/>
        <v>0</v>
      </c>
    </row>
    <row r="68" spans="1:58" x14ac:dyDescent="0.3">
      <c r="A68" s="1">
        <f>Sheet2!A116</f>
        <v>41091</v>
      </c>
      <c r="B68" s="92">
        <f t="shared" si="116"/>
        <v>2012</v>
      </c>
      <c r="C68" s="2">
        <f>Sheet2!B116</f>
        <v>14339102.759999996</v>
      </c>
      <c r="D68" s="72">
        <f ca="1">OFFSET('Historic CDM'!$C$94,0,(ROW()-2)/12)/12*1000</f>
        <v>181967.45878493268</v>
      </c>
      <c r="E68" s="72">
        <f t="shared" ca="1" si="117"/>
        <v>14521070.218784928</v>
      </c>
      <c r="F68" s="2">
        <f>Sheet2!C116</f>
        <v>4437187.2299999995</v>
      </c>
      <c r="G68" s="72">
        <f ca="1">OFFSET('Historic CDM'!$C$108,0,(ROW()-2)/12)/12*1000</f>
        <v>85534.429678665212</v>
      </c>
      <c r="H68" s="72">
        <f t="shared" ca="1" si="118"/>
        <v>4522721.659678665</v>
      </c>
      <c r="I68" s="2">
        <f>Sheet2!D116</f>
        <v>9609680.4200000018</v>
      </c>
      <c r="J68" s="72">
        <f ca="1">OFFSET('Historic CDM'!$C$122,0,(ROW()-2)/12)/12*1000</f>
        <v>209422.02755397919</v>
      </c>
      <c r="K68" s="72">
        <f t="shared" ca="1" si="119"/>
        <v>9819102.4475539811</v>
      </c>
      <c r="L68" s="60">
        <f>Sheet2!E116-1883000</f>
        <v>6284717.1699999999</v>
      </c>
      <c r="M68" s="72">
        <f ca="1">OFFSET('Historic CDM'!$C$136,0,(ROW()-2)/12)/12*1000</f>
        <v>113810.44118120718</v>
      </c>
      <c r="N68" s="72">
        <f t="shared" ca="1" si="120"/>
        <v>6398527.611181207</v>
      </c>
      <c r="O68" s="66">
        <f>Sheet2!F116</f>
        <v>6464347.4800000004</v>
      </c>
      <c r="P68" s="72">
        <f ca="1">OFFSET('Historic CDM'!$C$150,0,(ROW()-2)/12)/12*1000</f>
        <v>169615.4706665258</v>
      </c>
      <c r="Q68" s="72">
        <f t="shared" ca="1" si="121"/>
        <v>6633962.9506665263</v>
      </c>
      <c r="R68" s="2">
        <f>Sheet2!G116</f>
        <v>196361.29</v>
      </c>
      <c r="S68" s="2">
        <f>Sheet2!H116</f>
        <v>1367.1</v>
      </c>
      <c r="T68" s="2">
        <f>Sheet2!I116</f>
        <v>44026</v>
      </c>
      <c r="U68" s="60">
        <f>Sheet2!J116</f>
        <v>1466744.6</v>
      </c>
      <c r="V68" s="60">
        <v>31722.989999999998</v>
      </c>
      <c r="W68" s="60">
        <v>7528.66</v>
      </c>
      <c r="X68" s="60">
        <v>13815.64</v>
      </c>
      <c r="Y68" s="60">
        <v>787.12</v>
      </c>
      <c r="Z68" s="60">
        <v>53</v>
      </c>
      <c r="AA68" s="60">
        <v>3070.6000000000004</v>
      </c>
      <c r="AB68" s="2">
        <v>16226</v>
      </c>
      <c r="AC68" s="2">
        <v>1911</v>
      </c>
      <c r="AD68" s="2">
        <v>188</v>
      </c>
      <c r="AE68" s="2">
        <v>5</v>
      </c>
      <c r="AF68" s="2">
        <v>1</v>
      </c>
      <c r="AG68" s="2">
        <v>119</v>
      </c>
      <c r="AH68" s="2">
        <v>301</v>
      </c>
      <c r="AI68" s="2">
        <v>4283</v>
      </c>
      <c r="AJ68" s="2">
        <v>3</v>
      </c>
      <c r="AK68" s="72">
        <f>Weather!B188</f>
        <v>0</v>
      </c>
      <c r="AL68" s="72">
        <f>Weather!C188</f>
        <v>161</v>
      </c>
      <c r="AM68" s="72">
        <f t="shared" si="83"/>
        <v>31</v>
      </c>
      <c r="AN68" s="59">
        <v>21</v>
      </c>
      <c r="AO68" s="72">
        <f t="shared" si="122"/>
        <v>0</v>
      </c>
      <c r="AP68" s="72">
        <f>Employment!B68</f>
        <v>6778.6</v>
      </c>
      <c r="AQ68" s="72">
        <f>Employment!C68</f>
        <v>248.4</v>
      </c>
      <c r="AR68" s="72">
        <f t="shared" ref="AR68" si="125">AR56</f>
        <v>0</v>
      </c>
      <c r="AS68" s="72">
        <f t="shared" si="8"/>
        <v>0</v>
      </c>
      <c r="AT68" s="5">
        <f t="shared" si="7"/>
        <v>67</v>
      </c>
      <c r="AU68" s="73">
        <f t="shared" ref="AU68:BF68" si="126">AU56</f>
        <v>0</v>
      </c>
      <c r="AV68" s="73">
        <f t="shared" si="126"/>
        <v>0</v>
      </c>
      <c r="AW68" s="73">
        <f t="shared" si="126"/>
        <v>0</v>
      </c>
      <c r="AX68" s="73">
        <f t="shared" si="126"/>
        <v>0</v>
      </c>
      <c r="AY68" s="73">
        <f t="shared" si="126"/>
        <v>0</v>
      </c>
      <c r="AZ68" s="73">
        <f t="shared" si="126"/>
        <v>0</v>
      </c>
      <c r="BA68" s="73">
        <f t="shared" si="126"/>
        <v>1</v>
      </c>
      <c r="BB68" s="73">
        <f t="shared" si="126"/>
        <v>0</v>
      </c>
      <c r="BC68" s="73">
        <f t="shared" si="126"/>
        <v>0</v>
      </c>
      <c r="BD68" s="73">
        <f t="shared" si="126"/>
        <v>0</v>
      </c>
      <c r="BE68" s="73">
        <f t="shared" si="126"/>
        <v>0</v>
      </c>
      <c r="BF68" s="73">
        <f t="shared" si="126"/>
        <v>0</v>
      </c>
    </row>
    <row r="69" spans="1:58" x14ac:dyDescent="0.3">
      <c r="A69" s="1">
        <f>Sheet2!A117</f>
        <v>41122</v>
      </c>
      <c r="B69" s="92">
        <f t="shared" si="116"/>
        <v>2012</v>
      </c>
      <c r="C69" s="2">
        <f>Sheet2!B117</f>
        <v>12464033.600000001</v>
      </c>
      <c r="D69" s="72">
        <f ca="1">OFFSET('Historic CDM'!$C$94,0,(ROW()-2)/12)/12*1000</f>
        <v>181967.45878493268</v>
      </c>
      <c r="E69" s="72">
        <f t="shared" ca="1" si="117"/>
        <v>12646001.058784934</v>
      </c>
      <c r="F69" s="2">
        <f>Sheet2!C117</f>
        <v>4839416.8899999987</v>
      </c>
      <c r="G69" s="72">
        <f ca="1">OFFSET('Historic CDM'!$C$108,0,(ROW()-2)/12)/12*1000</f>
        <v>85534.429678665212</v>
      </c>
      <c r="H69" s="72">
        <f t="shared" ca="1" si="118"/>
        <v>4924951.3196786642</v>
      </c>
      <c r="I69" s="2">
        <f>Sheet2!D117</f>
        <v>10349196.060000001</v>
      </c>
      <c r="J69" s="72">
        <f ca="1">OFFSET('Historic CDM'!$C$122,0,(ROW()-2)/12)/12*1000</f>
        <v>209422.02755397919</v>
      </c>
      <c r="K69" s="72">
        <f t="shared" ca="1" si="119"/>
        <v>10558618.08755398</v>
      </c>
      <c r="L69" s="60">
        <f>Sheet2!E117+1280000</f>
        <v>6281169.8799999999</v>
      </c>
      <c r="M69" s="72">
        <f ca="1">OFFSET('Historic CDM'!$C$136,0,(ROW()-2)/12)/12*1000</f>
        <v>113810.44118120718</v>
      </c>
      <c r="N69" s="72">
        <f t="shared" ca="1" si="120"/>
        <v>6394980.321181207</v>
      </c>
      <c r="O69" s="66">
        <f>Sheet2!F117</f>
        <v>8651732.9700000007</v>
      </c>
      <c r="P69" s="72">
        <f ca="1">OFFSET('Historic CDM'!$C$150,0,(ROW()-2)/12)/12*1000</f>
        <v>169615.4706665258</v>
      </c>
      <c r="Q69" s="72">
        <f t="shared" ca="1" si="121"/>
        <v>8821348.4406665266</v>
      </c>
      <c r="R69" s="2">
        <f>Sheet2!G117</f>
        <v>297647.37</v>
      </c>
      <c r="S69" s="2">
        <f>Sheet2!H117</f>
        <v>1367.1</v>
      </c>
      <c r="T69" s="2">
        <f>Sheet2!I117</f>
        <v>43190</v>
      </c>
      <c r="U69" s="60">
        <f>Sheet2!J117</f>
        <v>1343653.4</v>
      </c>
      <c r="V69" s="60">
        <v>29390.829999999994</v>
      </c>
      <c r="W69" s="60">
        <v>17575.98</v>
      </c>
      <c r="X69" s="60">
        <v>14051.58</v>
      </c>
      <c r="Y69" s="60">
        <v>719.32999999999993</v>
      </c>
      <c r="Z69" s="60">
        <v>53</v>
      </c>
      <c r="AA69" s="60">
        <v>3121.1</v>
      </c>
      <c r="AB69" s="2">
        <v>16239</v>
      </c>
      <c r="AC69" s="2">
        <v>1916</v>
      </c>
      <c r="AD69" s="2">
        <v>186</v>
      </c>
      <c r="AE69" s="2">
        <v>5</v>
      </c>
      <c r="AF69" s="2">
        <v>1</v>
      </c>
      <c r="AG69" s="2">
        <v>119</v>
      </c>
      <c r="AH69" s="2">
        <v>301</v>
      </c>
      <c r="AI69" s="2">
        <v>4283</v>
      </c>
      <c r="AJ69" s="2">
        <v>3</v>
      </c>
      <c r="AK69" s="72">
        <f>Weather!B189</f>
        <v>7.8</v>
      </c>
      <c r="AL69" s="72">
        <f>Weather!C189</f>
        <v>79.599999999999994</v>
      </c>
      <c r="AM69" s="72">
        <f t="shared" si="83"/>
        <v>31</v>
      </c>
      <c r="AN69" s="59">
        <v>22</v>
      </c>
      <c r="AO69" s="72">
        <f t="shared" si="122"/>
        <v>0</v>
      </c>
      <c r="AP69" s="72">
        <f>Employment!B69</f>
        <v>6797.9</v>
      </c>
      <c r="AQ69" s="72">
        <f>Employment!C69</f>
        <v>249.7</v>
      </c>
      <c r="AR69" s="72">
        <f t="shared" ref="AR69" si="127">AR57</f>
        <v>0</v>
      </c>
      <c r="AS69" s="72">
        <f t="shared" si="8"/>
        <v>0</v>
      </c>
      <c r="AT69" s="5">
        <f t="shared" ref="AT69:AT121" si="128">AT68+1</f>
        <v>68</v>
      </c>
      <c r="AU69" s="73">
        <f t="shared" ref="AU69:BF69" si="129">AU57</f>
        <v>0</v>
      </c>
      <c r="AV69" s="73">
        <f t="shared" si="129"/>
        <v>0</v>
      </c>
      <c r="AW69" s="73">
        <f t="shared" si="129"/>
        <v>0</v>
      </c>
      <c r="AX69" s="73">
        <f t="shared" si="129"/>
        <v>0</v>
      </c>
      <c r="AY69" s="73">
        <f t="shared" si="129"/>
        <v>0</v>
      </c>
      <c r="AZ69" s="73">
        <f t="shared" si="129"/>
        <v>0</v>
      </c>
      <c r="BA69" s="73">
        <f t="shared" si="129"/>
        <v>0</v>
      </c>
      <c r="BB69" s="73">
        <f t="shared" si="129"/>
        <v>1</v>
      </c>
      <c r="BC69" s="73">
        <f t="shared" si="129"/>
        <v>0</v>
      </c>
      <c r="BD69" s="73">
        <f t="shared" si="129"/>
        <v>0</v>
      </c>
      <c r="BE69" s="73">
        <f t="shared" si="129"/>
        <v>0</v>
      </c>
      <c r="BF69" s="73">
        <f t="shared" si="129"/>
        <v>0</v>
      </c>
    </row>
    <row r="70" spans="1:58" x14ac:dyDescent="0.3">
      <c r="A70" s="1">
        <f>Sheet2!A118</f>
        <v>41153</v>
      </c>
      <c r="B70" s="92">
        <f t="shared" si="116"/>
        <v>2012</v>
      </c>
      <c r="C70" s="2">
        <f>Sheet2!B118</f>
        <v>10532449.570000002</v>
      </c>
      <c r="D70" s="72">
        <f ca="1">OFFSET('Historic CDM'!$C$94,0,(ROW()-2)/12)/12*1000</f>
        <v>181967.45878493268</v>
      </c>
      <c r="E70" s="72">
        <f t="shared" ca="1" si="117"/>
        <v>10714417.028784934</v>
      </c>
      <c r="F70" s="2">
        <f>Sheet2!C118</f>
        <v>3842719.9699999993</v>
      </c>
      <c r="G70" s="72">
        <f ca="1">OFFSET('Historic CDM'!$C$108,0,(ROW()-2)/12)/12*1000</f>
        <v>85534.429678665212</v>
      </c>
      <c r="H70" s="72">
        <f t="shared" ca="1" si="118"/>
        <v>3928254.3996786643</v>
      </c>
      <c r="I70" s="2">
        <f>Sheet2!D118</f>
        <v>10210698.77</v>
      </c>
      <c r="J70" s="72">
        <f ca="1">OFFSET('Historic CDM'!$C$122,0,(ROW()-2)/12)/12*1000</f>
        <v>209422.02755397919</v>
      </c>
      <c r="K70" s="72">
        <f t="shared" ca="1" si="119"/>
        <v>10420120.797553979</v>
      </c>
      <c r="L70" s="60">
        <f>Sheet2!E118-1900000</f>
        <v>6297935.419999999</v>
      </c>
      <c r="M70" s="72">
        <f ca="1">OFFSET('Historic CDM'!$C$136,0,(ROW()-2)/12)/12*1000</f>
        <v>113810.44118120718</v>
      </c>
      <c r="N70" s="72">
        <f t="shared" ca="1" si="120"/>
        <v>6411745.8611812061</v>
      </c>
      <c r="O70" s="2">
        <f>Sheet2!F118</f>
        <v>8128100.3099999996</v>
      </c>
      <c r="P70" s="72">
        <f ca="1">OFFSET('Historic CDM'!$C$150,0,(ROW()-2)/12)/12*1000</f>
        <v>169615.4706665258</v>
      </c>
      <c r="Q70" s="72">
        <f t="shared" ca="1" si="121"/>
        <v>8297715.7806665255</v>
      </c>
      <c r="R70" s="2">
        <f>Sheet2!G118</f>
        <v>263599.52</v>
      </c>
      <c r="S70" s="2">
        <f>Sheet2!H118</f>
        <v>1323</v>
      </c>
      <c r="T70" s="2">
        <f>Sheet2!I118</f>
        <v>43190</v>
      </c>
      <c r="U70" s="2">
        <f>Sheet2!J118</f>
        <v>1199016.2</v>
      </c>
      <c r="V70" s="72">
        <v>29895.219999999998</v>
      </c>
      <c r="W70" s="72">
        <v>11503.16</v>
      </c>
      <c r="X70" s="72">
        <v>13865.51</v>
      </c>
      <c r="Y70" s="72">
        <v>971.25</v>
      </c>
      <c r="Z70" s="72">
        <v>53</v>
      </c>
      <c r="AA70" s="72">
        <v>2959.2</v>
      </c>
      <c r="AB70" s="2">
        <v>16253</v>
      </c>
      <c r="AC70" s="2">
        <v>1916</v>
      </c>
      <c r="AD70" s="2">
        <v>188</v>
      </c>
      <c r="AE70" s="2">
        <v>5</v>
      </c>
      <c r="AF70" s="2">
        <v>1</v>
      </c>
      <c r="AG70" s="2">
        <v>120</v>
      </c>
      <c r="AH70" s="2">
        <v>301</v>
      </c>
      <c r="AI70" s="2">
        <v>4283</v>
      </c>
      <c r="AJ70" s="2">
        <v>3</v>
      </c>
      <c r="AK70" s="72">
        <f>Weather!B190</f>
        <v>103.4</v>
      </c>
      <c r="AL70" s="72">
        <f>Weather!C190</f>
        <v>27.7</v>
      </c>
      <c r="AM70" s="72">
        <f t="shared" si="83"/>
        <v>30</v>
      </c>
      <c r="AN70" s="59">
        <v>19</v>
      </c>
      <c r="AO70" s="72">
        <f t="shared" si="122"/>
        <v>1</v>
      </c>
      <c r="AP70" s="72">
        <f>Employment!B70</f>
        <v>6763.1</v>
      </c>
      <c r="AQ70" s="72">
        <f>Employment!C70</f>
        <v>248.8</v>
      </c>
      <c r="AR70" s="72">
        <f t="shared" ref="AR70" si="130">AR58</f>
        <v>0</v>
      </c>
      <c r="AS70" s="72">
        <f t="shared" si="8"/>
        <v>1</v>
      </c>
      <c r="AT70" s="5">
        <f t="shared" si="128"/>
        <v>69</v>
      </c>
      <c r="AU70" s="73">
        <f t="shared" ref="AU70:BF70" si="131">AU58</f>
        <v>0</v>
      </c>
      <c r="AV70" s="73">
        <f t="shared" si="131"/>
        <v>0</v>
      </c>
      <c r="AW70" s="73">
        <f t="shared" si="131"/>
        <v>0</v>
      </c>
      <c r="AX70" s="73">
        <f t="shared" si="131"/>
        <v>0</v>
      </c>
      <c r="AY70" s="73">
        <f t="shared" si="131"/>
        <v>0</v>
      </c>
      <c r="AZ70" s="73">
        <f t="shared" si="131"/>
        <v>0</v>
      </c>
      <c r="BA70" s="73">
        <f t="shared" si="131"/>
        <v>0</v>
      </c>
      <c r="BB70" s="73">
        <f t="shared" si="131"/>
        <v>0</v>
      </c>
      <c r="BC70" s="73">
        <f t="shared" si="131"/>
        <v>1</v>
      </c>
      <c r="BD70" s="73">
        <f t="shared" si="131"/>
        <v>0</v>
      </c>
      <c r="BE70" s="73">
        <f t="shared" si="131"/>
        <v>0</v>
      </c>
      <c r="BF70" s="73">
        <f t="shared" si="131"/>
        <v>0</v>
      </c>
    </row>
    <row r="71" spans="1:58" x14ac:dyDescent="0.3">
      <c r="A71" s="1">
        <f>Sheet2!A119</f>
        <v>41183</v>
      </c>
      <c r="B71" s="92">
        <f t="shared" si="116"/>
        <v>2012</v>
      </c>
      <c r="C71" s="2">
        <f>Sheet2!B119</f>
        <v>9751465.7700000014</v>
      </c>
      <c r="D71" s="72">
        <f ca="1">OFFSET('Historic CDM'!$C$94,0,(ROW()-2)/12)/12*1000</f>
        <v>181967.45878493268</v>
      </c>
      <c r="E71" s="72">
        <f t="shared" ca="1" si="117"/>
        <v>9933433.2287849337</v>
      </c>
      <c r="F71" s="2">
        <f>Sheet2!C119</f>
        <v>3807893.4499999993</v>
      </c>
      <c r="G71" s="72">
        <f ca="1">OFFSET('Historic CDM'!$C$108,0,(ROW()-2)/12)/12*1000</f>
        <v>85534.429678665212</v>
      </c>
      <c r="H71" s="72">
        <f t="shared" ca="1" si="118"/>
        <v>3893427.8796786643</v>
      </c>
      <c r="I71" s="2">
        <f>Sheet2!D119</f>
        <v>11943025.460000001</v>
      </c>
      <c r="J71" s="72">
        <f ca="1">OFFSET('Historic CDM'!$C$122,0,(ROW()-2)/12)/12*1000</f>
        <v>209422.02755397919</v>
      </c>
      <c r="K71" s="72">
        <f t="shared" ca="1" si="119"/>
        <v>12152447.48755398</v>
      </c>
      <c r="L71" s="60">
        <f>Sheet2!E119</f>
        <v>5831387.2000000002</v>
      </c>
      <c r="M71" s="72">
        <f ca="1">OFFSET('Historic CDM'!$C$136,0,(ROW()-2)/12)/12*1000</f>
        <v>113810.44118120718</v>
      </c>
      <c r="N71" s="72">
        <f t="shared" ca="1" si="120"/>
        <v>5945197.6411812073</v>
      </c>
      <c r="O71" s="2">
        <f>Sheet2!F119</f>
        <v>8001224.9199999999</v>
      </c>
      <c r="P71" s="72">
        <f ca="1">OFFSET('Historic CDM'!$C$150,0,(ROW()-2)/12)/12*1000</f>
        <v>169615.4706665258</v>
      </c>
      <c r="Q71" s="72">
        <f t="shared" ca="1" si="121"/>
        <v>8170840.3906665258</v>
      </c>
      <c r="R71" s="2">
        <f>Sheet2!G119</f>
        <v>313698.61</v>
      </c>
      <c r="S71" s="2">
        <f>Sheet2!H119</f>
        <v>1367.1</v>
      </c>
      <c r="T71" s="2">
        <f>Sheet2!I119</f>
        <v>43793</v>
      </c>
      <c r="U71" s="2">
        <f>Sheet2!J119</f>
        <v>1384937.8</v>
      </c>
      <c r="V71" s="72">
        <v>28564.86</v>
      </c>
      <c r="W71" s="72">
        <v>15811.84</v>
      </c>
      <c r="X71" s="72">
        <v>13660.62</v>
      </c>
      <c r="Y71" s="72">
        <v>688.18999999999994</v>
      </c>
      <c r="Z71" s="72">
        <v>52</v>
      </c>
      <c r="AA71" s="72">
        <v>2863.1</v>
      </c>
      <c r="AB71" s="2">
        <v>16277</v>
      </c>
      <c r="AC71" s="2">
        <v>1919</v>
      </c>
      <c r="AD71" s="2">
        <v>187</v>
      </c>
      <c r="AE71" s="2">
        <v>5</v>
      </c>
      <c r="AF71" s="2">
        <v>1</v>
      </c>
      <c r="AG71" s="2">
        <v>122</v>
      </c>
      <c r="AH71" s="2">
        <v>301</v>
      </c>
      <c r="AI71" s="2">
        <v>4283</v>
      </c>
      <c r="AJ71" s="2">
        <v>3</v>
      </c>
      <c r="AK71" s="72">
        <f>Weather!B191</f>
        <v>250.5</v>
      </c>
      <c r="AL71" s="72">
        <f>Weather!C191</f>
        <v>0.7</v>
      </c>
      <c r="AM71" s="72">
        <f t="shared" si="83"/>
        <v>31</v>
      </c>
      <c r="AN71" s="59">
        <v>22</v>
      </c>
      <c r="AO71" s="72">
        <f t="shared" si="122"/>
        <v>1</v>
      </c>
      <c r="AP71" s="72">
        <f>Employment!B71</f>
        <v>6740.9</v>
      </c>
      <c r="AQ71" s="72">
        <f>Employment!C71</f>
        <v>244.5</v>
      </c>
      <c r="AR71" s="72">
        <f t="shared" ref="AR71" si="132">AR59</f>
        <v>0</v>
      </c>
      <c r="AS71" s="72">
        <f t="shared" si="8"/>
        <v>1</v>
      </c>
      <c r="AT71" s="5">
        <f t="shared" si="128"/>
        <v>70</v>
      </c>
      <c r="AU71" s="73">
        <f t="shared" ref="AU71:BF71" si="133">AU59</f>
        <v>0</v>
      </c>
      <c r="AV71" s="73">
        <f t="shared" si="133"/>
        <v>0</v>
      </c>
      <c r="AW71" s="73">
        <f t="shared" si="133"/>
        <v>0</v>
      </c>
      <c r="AX71" s="73">
        <f t="shared" si="133"/>
        <v>0</v>
      </c>
      <c r="AY71" s="73">
        <f t="shared" si="133"/>
        <v>0</v>
      </c>
      <c r="AZ71" s="73">
        <f t="shared" si="133"/>
        <v>0</v>
      </c>
      <c r="BA71" s="73">
        <f t="shared" si="133"/>
        <v>0</v>
      </c>
      <c r="BB71" s="73">
        <f t="shared" si="133"/>
        <v>0</v>
      </c>
      <c r="BC71" s="73">
        <f t="shared" si="133"/>
        <v>0</v>
      </c>
      <c r="BD71" s="73">
        <f t="shared" si="133"/>
        <v>1</v>
      </c>
      <c r="BE71" s="73">
        <f t="shared" si="133"/>
        <v>0</v>
      </c>
      <c r="BF71" s="73">
        <f t="shared" si="133"/>
        <v>0</v>
      </c>
    </row>
    <row r="72" spans="1:58" x14ac:dyDescent="0.3">
      <c r="A72" s="1">
        <f>Sheet2!A120</f>
        <v>41214</v>
      </c>
      <c r="B72" s="92">
        <f t="shared" si="116"/>
        <v>2012</v>
      </c>
      <c r="C72" s="2">
        <f>Sheet2!B120</f>
        <v>10974020.01</v>
      </c>
      <c r="D72" s="72">
        <f ca="1">OFFSET('Historic CDM'!$C$94,0,(ROW()-2)/12)/12*1000</f>
        <v>181967.45878493268</v>
      </c>
      <c r="E72" s="72">
        <f t="shared" ca="1" si="117"/>
        <v>11155987.468784932</v>
      </c>
      <c r="F72" s="2">
        <f>Sheet2!C120</f>
        <v>3787245.37</v>
      </c>
      <c r="G72" s="72">
        <f ca="1">OFFSET('Historic CDM'!$C$108,0,(ROW()-2)/12)/12*1000</f>
        <v>85534.429678665212</v>
      </c>
      <c r="H72" s="72">
        <f t="shared" ca="1" si="118"/>
        <v>3872779.7996786651</v>
      </c>
      <c r="I72" s="2">
        <f>Sheet2!D120</f>
        <v>9697050.4400000013</v>
      </c>
      <c r="J72" s="72">
        <f ca="1">OFFSET('Historic CDM'!$C$122,0,(ROW()-2)/12)/12*1000</f>
        <v>209422.02755397919</v>
      </c>
      <c r="K72" s="72">
        <f t="shared" ca="1" si="119"/>
        <v>9906472.4675539806</v>
      </c>
      <c r="L72" s="60">
        <f>Sheet2!E120</f>
        <v>5022296.88</v>
      </c>
      <c r="M72" s="72">
        <f ca="1">OFFSET('Historic CDM'!$C$136,0,(ROW()-2)/12)/12*1000</f>
        <v>113810.44118120718</v>
      </c>
      <c r="N72" s="72">
        <f t="shared" ca="1" si="120"/>
        <v>5136107.321181207</v>
      </c>
      <c r="O72" s="2">
        <f>Sheet2!F120</f>
        <v>8010547.9500000002</v>
      </c>
      <c r="P72" s="72">
        <f ca="1">OFFSET('Historic CDM'!$C$150,0,(ROW()-2)/12)/12*1000</f>
        <v>169615.4706665258</v>
      </c>
      <c r="Q72" s="72">
        <f t="shared" ca="1" si="121"/>
        <v>8180163.4206665261</v>
      </c>
      <c r="R72" s="2">
        <f>Sheet2!G120</f>
        <v>268265.78999999998</v>
      </c>
      <c r="S72" s="2">
        <f>Sheet2!H120</f>
        <v>1208.7</v>
      </c>
      <c r="T72" s="2">
        <f>Sheet2!I120</f>
        <v>43199</v>
      </c>
      <c r="U72" s="2">
        <f>Sheet2!J120</f>
        <v>1537690.0999999999</v>
      </c>
      <c r="V72" s="72">
        <v>34325.689999999995</v>
      </c>
      <c r="W72" s="72">
        <v>11607.16</v>
      </c>
      <c r="X72" s="72">
        <v>13192.8</v>
      </c>
      <c r="Y72" s="72">
        <v>746.02</v>
      </c>
      <c r="Z72" s="72">
        <v>54</v>
      </c>
      <c r="AA72" s="72">
        <v>2900.8</v>
      </c>
      <c r="AB72" s="2">
        <v>16292</v>
      </c>
      <c r="AC72" s="2">
        <v>1923</v>
      </c>
      <c r="AD72" s="2">
        <v>186</v>
      </c>
      <c r="AE72" s="2">
        <v>5</v>
      </c>
      <c r="AF72" s="2">
        <v>1</v>
      </c>
      <c r="AG72" s="2">
        <v>123</v>
      </c>
      <c r="AH72" s="2">
        <v>301</v>
      </c>
      <c r="AI72" s="2">
        <v>4283</v>
      </c>
      <c r="AJ72" s="2">
        <v>3</v>
      </c>
      <c r="AK72" s="72">
        <f>Weather!B192</f>
        <v>458.5</v>
      </c>
      <c r="AL72" s="72">
        <f>Weather!C192</f>
        <v>0</v>
      </c>
      <c r="AM72" s="72">
        <f t="shared" si="83"/>
        <v>30</v>
      </c>
      <c r="AN72" s="59">
        <v>22</v>
      </c>
      <c r="AO72" s="72">
        <f t="shared" si="122"/>
        <v>1</v>
      </c>
      <c r="AP72" s="72">
        <f>Employment!B72</f>
        <v>6727.4</v>
      </c>
      <c r="AQ72" s="72">
        <f>Employment!C72</f>
        <v>242</v>
      </c>
      <c r="AR72" s="72">
        <f t="shared" ref="AR72" si="134">AR60</f>
        <v>0</v>
      </c>
      <c r="AS72" s="72">
        <f t="shared" si="8"/>
        <v>1</v>
      </c>
      <c r="AT72" s="5">
        <f t="shared" si="128"/>
        <v>71</v>
      </c>
      <c r="AU72" s="73">
        <f t="shared" ref="AU72:BF72" si="135">AU60</f>
        <v>0</v>
      </c>
      <c r="AV72" s="73">
        <f t="shared" si="135"/>
        <v>0</v>
      </c>
      <c r="AW72" s="73">
        <f t="shared" si="135"/>
        <v>0</v>
      </c>
      <c r="AX72" s="73">
        <f t="shared" si="135"/>
        <v>0</v>
      </c>
      <c r="AY72" s="73">
        <f t="shared" si="135"/>
        <v>0</v>
      </c>
      <c r="AZ72" s="73">
        <f t="shared" si="135"/>
        <v>0</v>
      </c>
      <c r="BA72" s="73">
        <f t="shared" si="135"/>
        <v>0</v>
      </c>
      <c r="BB72" s="73">
        <f t="shared" si="135"/>
        <v>0</v>
      </c>
      <c r="BC72" s="73">
        <f t="shared" si="135"/>
        <v>0</v>
      </c>
      <c r="BD72" s="73">
        <f t="shared" si="135"/>
        <v>0</v>
      </c>
      <c r="BE72" s="73">
        <f t="shared" si="135"/>
        <v>1</v>
      </c>
      <c r="BF72" s="73">
        <f t="shared" si="135"/>
        <v>0</v>
      </c>
    </row>
    <row r="73" spans="1:58" x14ac:dyDescent="0.3">
      <c r="A73" s="1">
        <f>Sheet2!A121</f>
        <v>41244</v>
      </c>
      <c r="B73" s="92">
        <f t="shared" si="116"/>
        <v>2012</v>
      </c>
      <c r="C73" s="2">
        <f>Sheet2!B121</f>
        <v>12539820.979999999</v>
      </c>
      <c r="D73" s="72">
        <f ca="1">OFFSET('Historic CDM'!$C$94,0,(ROW()-2)/12)/12*1000</f>
        <v>181967.45878493268</v>
      </c>
      <c r="E73" s="72">
        <f t="shared" ca="1" si="117"/>
        <v>12721788.438784931</v>
      </c>
      <c r="F73" s="2">
        <f>Sheet2!C121</f>
        <v>4078081.5700000003</v>
      </c>
      <c r="G73" s="72">
        <f ca="1">OFFSET('Historic CDM'!$C$108,0,(ROW()-2)/12)/12*1000</f>
        <v>85534.429678665212</v>
      </c>
      <c r="H73" s="72">
        <f t="shared" ca="1" si="118"/>
        <v>4163615.9996786653</v>
      </c>
      <c r="I73" s="2">
        <f>Sheet2!D121</f>
        <v>9889418.9200000018</v>
      </c>
      <c r="J73" s="72">
        <f ca="1">OFFSET('Historic CDM'!$C$122,0,(ROW()-2)/12)/12*1000</f>
        <v>209422.02755397919</v>
      </c>
      <c r="K73" s="72">
        <f t="shared" ca="1" si="119"/>
        <v>10098840.947553981</v>
      </c>
      <c r="L73" s="2">
        <f>Sheet2!E121</f>
        <v>5533580.9400000004</v>
      </c>
      <c r="M73" s="72">
        <f ca="1">OFFSET('Historic CDM'!$C$136,0,(ROW()-2)/12)/12*1000</f>
        <v>113810.44118120718</v>
      </c>
      <c r="N73" s="72">
        <f t="shared" ca="1" si="120"/>
        <v>5647391.3811812075</v>
      </c>
      <c r="O73" s="2">
        <f>Sheet2!F121</f>
        <v>6748574.4900000002</v>
      </c>
      <c r="P73" s="72">
        <f ca="1">OFFSET('Historic CDM'!$C$150,0,(ROW()-2)/12)/12*1000</f>
        <v>169615.4706665258</v>
      </c>
      <c r="Q73" s="72">
        <f t="shared" ca="1" si="121"/>
        <v>6918189.9606665261</v>
      </c>
      <c r="R73" s="2">
        <f>Sheet2!G121</f>
        <v>288094.45</v>
      </c>
      <c r="S73" s="2">
        <f>Sheet2!H121</f>
        <v>1475.1</v>
      </c>
      <c r="T73" s="2">
        <f>Sheet2!I121</f>
        <v>60973</v>
      </c>
      <c r="U73" s="2">
        <f>Sheet2!J121</f>
        <v>1543614.6</v>
      </c>
      <c r="V73" s="72">
        <v>27878.360000000004</v>
      </c>
      <c r="W73" s="72">
        <v>11476.029999999999</v>
      </c>
      <c r="X73" s="72">
        <v>12976.74</v>
      </c>
      <c r="Y73" s="72">
        <v>667.38</v>
      </c>
      <c r="Z73" s="72">
        <v>55</v>
      </c>
      <c r="AA73" s="72">
        <v>3272.6</v>
      </c>
      <c r="AB73" s="2">
        <v>16313</v>
      </c>
      <c r="AC73" s="2">
        <v>1926</v>
      </c>
      <c r="AD73" s="2">
        <v>189</v>
      </c>
      <c r="AE73" s="2">
        <v>5</v>
      </c>
      <c r="AF73" s="2">
        <v>1</v>
      </c>
      <c r="AG73" s="2">
        <v>123</v>
      </c>
      <c r="AH73" s="2">
        <v>301</v>
      </c>
      <c r="AI73" s="2">
        <v>4283</v>
      </c>
      <c r="AJ73" s="2">
        <v>3</v>
      </c>
      <c r="AK73" s="72">
        <f>Weather!B193</f>
        <v>535.9</v>
      </c>
      <c r="AL73" s="72">
        <f>Weather!C193</f>
        <v>0</v>
      </c>
      <c r="AM73" s="72">
        <f t="shared" si="83"/>
        <v>31</v>
      </c>
      <c r="AN73" s="59">
        <v>19</v>
      </c>
      <c r="AO73" s="72">
        <f t="shared" si="122"/>
        <v>0</v>
      </c>
      <c r="AP73" s="72">
        <f>Employment!B73</f>
        <v>6740.2</v>
      </c>
      <c r="AQ73" s="72">
        <f>Employment!C73</f>
        <v>240.2</v>
      </c>
      <c r="AR73" s="72">
        <f t="shared" ref="AR73" si="136">AR61</f>
        <v>0</v>
      </c>
      <c r="AS73" s="72">
        <f t="shared" si="8"/>
        <v>0</v>
      </c>
      <c r="AT73" s="5">
        <f t="shared" si="128"/>
        <v>72</v>
      </c>
      <c r="AU73" s="73">
        <f t="shared" ref="AU73:BF73" si="137">AU61</f>
        <v>0</v>
      </c>
      <c r="AV73" s="73">
        <f t="shared" si="137"/>
        <v>0</v>
      </c>
      <c r="AW73" s="73">
        <f t="shared" si="137"/>
        <v>0</v>
      </c>
      <c r="AX73" s="73">
        <f t="shared" si="137"/>
        <v>0</v>
      </c>
      <c r="AY73" s="73">
        <f t="shared" si="137"/>
        <v>0</v>
      </c>
      <c r="AZ73" s="73">
        <f t="shared" si="137"/>
        <v>0</v>
      </c>
      <c r="BA73" s="73">
        <f t="shared" si="137"/>
        <v>0</v>
      </c>
      <c r="BB73" s="73">
        <f t="shared" si="137"/>
        <v>0</v>
      </c>
      <c r="BC73" s="73">
        <f t="shared" si="137"/>
        <v>0</v>
      </c>
      <c r="BD73" s="73">
        <f t="shared" si="137"/>
        <v>0</v>
      </c>
      <c r="BE73" s="73">
        <f t="shared" si="137"/>
        <v>0</v>
      </c>
      <c r="BF73" s="73">
        <f t="shared" si="137"/>
        <v>1</v>
      </c>
    </row>
    <row r="74" spans="1:58" x14ac:dyDescent="0.3">
      <c r="A74" s="1">
        <f>Sheet2!A122</f>
        <v>41275</v>
      </c>
      <c r="B74" s="92">
        <f t="shared" si="116"/>
        <v>2013</v>
      </c>
      <c r="C74" s="2">
        <f>Sheet2!B122</f>
        <v>13554260.709999995</v>
      </c>
      <c r="D74" s="72">
        <f ca="1">OFFSET('Historic CDM'!$C$94,0,(ROW()-2)/12)/12*1000</f>
        <v>212258.52684287989</v>
      </c>
      <c r="E74" s="72">
        <f t="shared" ca="1" si="117"/>
        <v>13766519.236842874</v>
      </c>
      <c r="F74" s="2">
        <f>Sheet2!C122</f>
        <v>4366698.54</v>
      </c>
      <c r="G74" s="72">
        <f ca="1">OFFSET('Historic CDM'!$C$108,0,(ROW()-2)/12)/12*1000</f>
        <v>140443.57202300371</v>
      </c>
      <c r="H74" s="72">
        <f t="shared" ca="1" si="118"/>
        <v>4507142.1120230034</v>
      </c>
      <c r="I74" s="2">
        <f>Sheet2!D122</f>
        <v>8810270.0800000001</v>
      </c>
      <c r="J74" s="72">
        <f ca="1">OFFSET('Historic CDM'!$C$122,0,(ROW()-2)/12)/12*1000</f>
        <v>343861.26990587689</v>
      </c>
      <c r="K74" s="72">
        <f t="shared" ca="1" si="119"/>
        <v>9154131.3499058764</v>
      </c>
      <c r="L74" s="2">
        <f>Sheet2!E122</f>
        <v>5470998.6399999997</v>
      </c>
      <c r="M74" s="72">
        <f ca="1">OFFSET('Historic CDM'!$C$136,0,(ROW()-2)/12)/12*1000</f>
        <v>186871.47331257138</v>
      </c>
      <c r="N74" s="72">
        <f t="shared" ca="1" si="120"/>
        <v>5657870.1133125713</v>
      </c>
      <c r="O74" s="2">
        <f>Sheet2!F122</f>
        <v>8272270.3799999999</v>
      </c>
      <c r="P74" s="72">
        <f ca="1">OFFSET('Historic CDM'!$C$150,0,(ROW()-2)/12)/12*1000</f>
        <v>278500.74712910189</v>
      </c>
      <c r="Q74" s="72">
        <f t="shared" ca="1" si="121"/>
        <v>8550771.1271291021</v>
      </c>
      <c r="R74" s="2">
        <f>Sheet2!G122</f>
        <v>351171.18</v>
      </c>
      <c r="S74" s="2">
        <f>Sheet2!H122</f>
        <v>1367.1</v>
      </c>
      <c r="T74" s="2">
        <f>Sheet2!I122</f>
        <v>44202</v>
      </c>
      <c r="U74" s="2">
        <f>Sheet2!J122</f>
        <v>1577846.9</v>
      </c>
      <c r="V74" s="72">
        <v>29553.980000000003</v>
      </c>
      <c r="W74" s="72">
        <v>12506.560000000001</v>
      </c>
      <c r="X74" s="72">
        <v>12898.41</v>
      </c>
      <c r="Y74" s="72">
        <v>757.20999999999992</v>
      </c>
      <c r="Z74" s="72">
        <v>54</v>
      </c>
      <c r="AA74" s="72">
        <v>3079.5</v>
      </c>
      <c r="AB74" s="2">
        <v>16326</v>
      </c>
      <c r="AC74" s="2">
        <v>1931</v>
      </c>
      <c r="AD74" s="2">
        <v>189</v>
      </c>
      <c r="AE74" s="2">
        <v>5</v>
      </c>
      <c r="AF74" s="2">
        <v>1</v>
      </c>
      <c r="AG74" s="2">
        <v>124</v>
      </c>
      <c r="AH74" s="2">
        <v>248</v>
      </c>
      <c r="AI74" s="2">
        <v>4498</v>
      </c>
      <c r="AJ74" s="2">
        <v>4</v>
      </c>
      <c r="AK74" s="72">
        <f>Weather!B194</f>
        <v>657.4</v>
      </c>
      <c r="AL74" s="72">
        <f>Weather!C194</f>
        <v>0</v>
      </c>
      <c r="AM74" s="72">
        <f t="shared" si="83"/>
        <v>31</v>
      </c>
      <c r="AN74" s="59">
        <v>22</v>
      </c>
      <c r="AO74" s="72">
        <f t="shared" si="122"/>
        <v>0</v>
      </c>
      <c r="AP74" s="72">
        <f>Employment!B74</f>
        <v>6721.7</v>
      </c>
      <c r="AQ74" s="72">
        <f>Employment!C74</f>
        <v>241.3</v>
      </c>
      <c r="AR74" s="72">
        <f t="shared" ref="AR74" si="138">AR62</f>
        <v>0</v>
      </c>
      <c r="AS74" s="72">
        <f t="shared" si="8"/>
        <v>0</v>
      </c>
      <c r="AT74" s="5">
        <f t="shared" si="128"/>
        <v>73</v>
      </c>
      <c r="AU74" s="73">
        <f t="shared" ref="AU74:BF74" si="139">AU62</f>
        <v>1</v>
      </c>
      <c r="AV74" s="73">
        <f t="shared" si="139"/>
        <v>0</v>
      </c>
      <c r="AW74" s="73">
        <f t="shared" si="139"/>
        <v>0</v>
      </c>
      <c r="AX74" s="73">
        <f t="shared" si="139"/>
        <v>0</v>
      </c>
      <c r="AY74" s="73">
        <f t="shared" si="139"/>
        <v>0</v>
      </c>
      <c r="AZ74" s="73">
        <f t="shared" si="139"/>
        <v>0</v>
      </c>
      <c r="BA74" s="73">
        <f t="shared" si="139"/>
        <v>0</v>
      </c>
      <c r="BB74" s="73">
        <f t="shared" si="139"/>
        <v>0</v>
      </c>
      <c r="BC74" s="73">
        <f t="shared" si="139"/>
        <v>0</v>
      </c>
      <c r="BD74" s="73">
        <f t="shared" si="139"/>
        <v>0</v>
      </c>
      <c r="BE74" s="73">
        <f t="shared" si="139"/>
        <v>0</v>
      </c>
      <c r="BF74" s="73">
        <f t="shared" si="139"/>
        <v>0</v>
      </c>
    </row>
    <row r="75" spans="1:58" x14ac:dyDescent="0.3">
      <c r="A75" s="1">
        <f>Sheet2!A123</f>
        <v>41306</v>
      </c>
      <c r="B75" s="92">
        <f t="shared" si="116"/>
        <v>2013</v>
      </c>
      <c r="C75" s="2">
        <f>Sheet2!B123</f>
        <v>12825005.909999998</v>
      </c>
      <c r="D75" s="72">
        <f ca="1">OFFSET('Historic CDM'!$C$94,0,(ROW()-2)/12)/12*1000</f>
        <v>212258.52684287989</v>
      </c>
      <c r="E75" s="72">
        <f t="shared" ca="1" si="117"/>
        <v>13037264.436842877</v>
      </c>
      <c r="F75" s="2">
        <f>Sheet2!C123</f>
        <v>4422660.79</v>
      </c>
      <c r="G75" s="72">
        <f ca="1">OFFSET('Historic CDM'!$C$108,0,(ROW()-2)/12)/12*1000</f>
        <v>140443.57202300371</v>
      </c>
      <c r="H75" s="72">
        <f t="shared" ca="1" si="118"/>
        <v>4563104.3620230034</v>
      </c>
      <c r="I75" s="2">
        <f>Sheet2!D123</f>
        <v>9954318.0700000003</v>
      </c>
      <c r="J75" s="72">
        <f ca="1">OFFSET('Historic CDM'!$C$122,0,(ROW()-2)/12)/12*1000</f>
        <v>343861.26990587689</v>
      </c>
      <c r="K75" s="72">
        <f t="shared" ca="1" si="119"/>
        <v>10298179.339905877</v>
      </c>
      <c r="L75" s="2">
        <f>Sheet2!E123</f>
        <v>4774122.96</v>
      </c>
      <c r="M75" s="72">
        <f ca="1">OFFSET('Historic CDM'!$C$136,0,(ROW()-2)/12)/12*1000</f>
        <v>186871.47331257138</v>
      </c>
      <c r="N75" s="72">
        <f t="shared" ca="1" si="120"/>
        <v>4960994.4333125716</v>
      </c>
      <c r="O75" s="2">
        <f>Sheet2!F123</f>
        <v>7709337.0199999996</v>
      </c>
      <c r="P75" s="72">
        <f ca="1">OFFSET('Historic CDM'!$C$150,0,(ROW()-2)/12)/12*1000</f>
        <v>278500.74712910189</v>
      </c>
      <c r="Q75" s="72">
        <f t="shared" ca="1" si="121"/>
        <v>7987837.7671291018</v>
      </c>
      <c r="R75" s="2">
        <f>Sheet2!G123</f>
        <v>222765.61</v>
      </c>
      <c r="S75" s="2">
        <f>Sheet2!H123</f>
        <v>1234.8000000000002</v>
      </c>
      <c r="T75" s="2">
        <f>Sheet2!I123</f>
        <v>44202</v>
      </c>
      <c r="U75" s="2">
        <f>Sheet2!J123</f>
        <v>1496407.1</v>
      </c>
      <c r="V75" s="72">
        <v>22966.05</v>
      </c>
      <c r="W75" s="72">
        <v>10683.74</v>
      </c>
      <c r="X75" s="72">
        <v>13449.13</v>
      </c>
      <c r="Y75" s="72">
        <v>777.42000000000007</v>
      </c>
      <c r="Z75" s="72">
        <v>54</v>
      </c>
      <c r="AA75" s="72">
        <v>3438.1</v>
      </c>
      <c r="AB75" s="2">
        <v>16337</v>
      </c>
      <c r="AC75" s="2">
        <v>1934</v>
      </c>
      <c r="AD75" s="2">
        <v>189</v>
      </c>
      <c r="AE75" s="2">
        <v>5</v>
      </c>
      <c r="AF75" s="2">
        <v>1</v>
      </c>
      <c r="AG75" s="2">
        <v>124</v>
      </c>
      <c r="AH75" s="2">
        <v>248</v>
      </c>
      <c r="AI75" s="2">
        <v>4498</v>
      </c>
      <c r="AJ75" s="2">
        <v>4</v>
      </c>
      <c r="AK75" s="72">
        <f>Weather!B195</f>
        <v>657</v>
      </c>
      <c r="AL75" s="72">
        <f>Weather!C195</f>
        <v>0</v>
      </c>
      <c r="AM75" s="72">
        <f t="shared" si="83"/>
        <v>28</v>
      </c>
      <c r="AN75" s="59">
        <v>19</v>
      </c>
      <c r="AO75" s="72">
        <f t="shared" si="122"/>
        <v>0</v>
      </c>
      <c r="AP75" s="72">
        <f>Employment!B75</f>
        <v>6702</v>
      </c>
      <c r="AQ75" s="72">
        <f>Employment!C75</f>
        <v>238.3</v>
      </c>
      <c r="AR75" s="72">
        <f t="shared" ref="AR75" si="140">AR63</f>
        <v>0</v>
      </c>
      <c r="AS75" s="72">
        <f t="shared" si="8"/>
        <v>0</v>
      </c>
      <c r="AT75" s="5">
        <f t="shared" si="128"/>
        <v>74</v>
      </c>
      <c r="AU75" s="73">
        <f t="shared" ref="AU75:BF75" si="141">AU63</f>
        <v>0</v>
      </c>
      <c r="AV75" s="73">
        <f t="shared" si="141"/>
        <v>1</v>
      </c>
      <c r="AW75" s="73">
        <f t="shared" si="141"/>
        <v>0</v>
      </c>
      <c r="AX75" s="73">
        <f t="shared" si="141"/>
        <v>0</v>
      </c>
      <c r="AY75" s="73">
        <f t="shared" si="141"/>
        <v>0</v>
      </c>
      <c r="AZ75" s="73">
        <f t="shared" si="141"/>
        <v>0</v>
      </c>
      <c r="BA75" s="73">
        <f t="shared" si="141"/>
        <v>0</v>
      </c>
      <c r="BB75" s="73">
        <f t="shared" si="141"/>
        <v>0</v>
      </c>
      <c r="BC75" s="73">
        <f t="shared" si="141"/>
        <v>0</v>
      </c>
      <c r="BD75" s="73">
        <f t="shared" si="141"/>
        <v>0</v>
      </c>
      <c r="BE75" s="73">
        <f t="shared" si="141"/>
        <v>0</v>
      </c>
      <c r="BF75" s="73">
        <f t="shared" si="141"/>
        <v>0</v>
      </c>
    </row>
    <row r="76" spans="1:58" x14ac:dyDescent="0.3">
      <c r="A76" s="1">
        <f>Sheet2!A124</f>
        <v>41334</v>
      </c>
      <c r="B76" s="92">
        <f t="shared" si="116"/>
        <v>2013</v>
      </c>
      <c r="C76" s="2">
        <f>Sheet2!B124</f>
        <v>11756416.950000001</v>
      </c>
      <c r="D76" s="72">
        <f ca="1">OFFSET('Historic CDM'!$C$94,0,(ROW()-2)/12)/12*1000</f>
        <v>212258.52684287989</v>
      </c>
      <c r="E76" s="72">
        <f t="shared" ca="1" si="117"/>
        <v>11968675.47684288</v>
      </c>
      <c r="F76" s="2">
        <f>Sheet2!C124</f>
        <v>4176815.46</v>
      </c>
      <c r="G76" s="72">
        <f ca="1">OFFSET('Historic CDM'!$C$108,0,(ROW()-2)/12)/12*1000</f>
        <v>140443.57202300371</v>
      </c>
      <c r="H76" s="72">
        <f t="shared" ca="1" si="118"/>
        <v>4317259.0320230033</v>
      </c>
      <c r="I76" s="2">
        <f>Sheet2!D124</f>
        <v>9912116.5200000014</v>
      </c>
      <c r="J76" s="72">
        <f ca="1">OFFSET('Historic CDM'!$C$122,0,(ROW()-2)/12)/12*1000</f>
        <v>343861.26990587689</v>
      </c>
      <c r="K76" s="72">
        <f t="shared" ca="1" si="119"/>
        <v>10255977.789905878</v>
      </c>
      <c r="L76" s="2">
        <f>Sheet2!E124</f>
        <v>5240606.03</v>
      </c>
      <c r="M76" s="72">
        <f ca="1">OFFSET('Historic CDM'!$C$136,0,(ROW()-2)/12)/12*1000</f>
        <v>186871.47331257138</v>
      </c>
      <c r="N76" s="72">
        <f t="shared" ca="1" si="120"/>
        <v>5427477.5033125719</v>
      </c>
      <c r="O76" s="2">
        <f>Sheet2!F124</f>
        <v>7879024.4900000002</v>
      </c>
      <c r="P76" s="72">
        <f ca="1">OFFSET('Historic CDM'!$C$150,0,(ROW()-2)/12)/12*1000</f>
        <v>278500.74712910189</v>
      </c>
      <c r="Q76" s="72">
        <f t="shared" ca="1" si="121"/>
        <v>8157525.2371291025</v>
      </c>
      <c r="R76" s="2">
        <f>Sheet2!G124</f>
        <v>222507.28999999998</v>
      </c>
      <c r="S76" s="2">
        <f>Sheet2!H124</f>
        <v>1367.1</v>
      </c>
      <c r="T76" s="2">
        <f>Sheet2!I124</f>
        <v>45398</v>
      </c>
      <c r="U76" s="2">
        <f>Sheet2!J124</f>
        <v>1480363.7000000002</v>
      </c>
      <c r="V76" s="72">
        <v>27360.74</v>
      </c>
      <c r="W76" s="72">
        <v>10459.790000000001</v>
      </c>
      <c r="X76" s="72">
        <v>13364.61</v>
      </c>
      <c r="Y76" s="72">
        <v>598.33000000000004</v>
      </c>
      <c r="Z76" s="72">
        <v>54</v>
      </c>
      <c r="AA76" s="72">
        <v>3221.7</v>
      </c>
      <c r="AB76" s="2">
        <v>16345</v>
      </c>
      <c r="AC76" s="2">
        <v>1938</v>
      </c>
      <c r="AD76" s="2">
        <v>188</v>
      </c>
      <c r="AE76" s="2">
        <v>5</v>
      </c>
      <c r="AF76" s="2">
        <v>1</v>
      </c>
      <c r="AG76" s="2">
        <v>124</v>
      </c>
      <c r="AH76" s="2">
        <v>248</v>
      </c>
      <c r="AI76" s="2">
        <v>4498</v>
      </c>
      <c r="AJ76" s="2">
        <v>4</v>
      </c>
      <c r="AK76" s="72">
        <f>Weather!B196</f>
        <v>581.9</v>
      </c>
      <c r="AL76" s="72">
        <f>Weather!C196</f>
        <v>0</v>
      </c>
      <c r="AM76" s="72">
        <f t="shared" si="83"/>
        <v>31</v>
      </c>
      <c r="AN76" s="59">
        <v>19</v>
      </c>
      <c r="AO76" s="72">
        <f t="shared" si="122"/>
        <v>1</v>
      </c>
      <c r="AP76" s="72">
        <f>Employment!B76</f>
        <v>6675.8</v>
      </c>
      <c r="AQ76" s="72">
        <f>Employment!C76</f>
        <v>237.7</v>
      </c>
      <c r="AR76" s="72">
        <f t="shared" ref="AR76" si="142">AR64</f>
        <v>1</v>
      </c>
      <c r="AS76" s="72">
        <f t="shared" si="8"/>
        <v>0</v>
      </c>
      <c r="AT76" s="5">
        <f t="shared" si="128"/>
        <v>75</v>
      </c>
      <c r="AU76" s="73">
        <f t="shared" ref="AU76:BF76" si="143">AU64</f>
        <v>0</v>
      </c>
      <c r="AV76" s="73">
        <f t="shared" si="143"/>
        <v>0</v>
      </c>
      <c r="AW76" s="73">
        <f t="shared" si="143"/>
        <v>1</v>
      </c>
      <c r="AX76" s="73">
        <f t="shared" si="143"/>
        <v>0</v>
      </c>
      <c r="AY76" s="73">
        <f t="shared" si="143"/>
        <v>0</v>
      </c>
      <c r="AZ76" s="73">
        <f t="shared" si="143"/>
        <v>0</v>
      </c>
      <c r="BA76" s="73">
        <f t="shared" si="143"/>
        <v>0</v>
      </c>
      <c r="BB76" s="73">
        <f t="shared" si="143"/>
        <v>0</v>
      </c>
      <c r="BC76" s="73">
        <f t="shared" si="143"/>
        <v>0</v>
      </c>
      <c r="BD76" s="73">
        <f t="shared" si="143"/>
        <v>0</v>
      </c>
      <c r="BE76" s="73">
        <f t="shared" si="143"/>
        <v>0</v>
      </c>
      <c r="BF76" s="73">
        <f t="shared" si="143"/>
        <v>0</v>
      </c>
    </row>
    <row r="77" spans="1:58" x14ac:dyDescent="0.3">
      <c r="A77" s="1">
        <f>Sheet2!A125</f>
        <v>41365</v>
      </c>
      <c r="B77" s="92">
        <f t="shared" si="116"/>
        <v>2013</v>
      </c>
      <c r="C77" s="2">
        <f>Sheet2!B125</f>
        <v>10743665.070000002</v>
      </c>
      <c r="D77" s="72">
        <f ca="1">OFFSET('Historic CDM'!$C$94,0,(ROW()-2)/12)/12*1000</f>
        <v>212258.52684287989</v>
      </c>
      <c r="E77" s="72">
        <f t="shared" ca="1" si="117"/>
        <v>10955923.596842881</v>
      </c>
      <c r="F77" s="2">
        <f>Sheet2!C125</f>
        <v>3685900.33</v>
      </c>
      <c r="G77" s="72">
        <f ca="1">OFFSET('Historic CDM'!$C$108,0,(ROW()-2)/12)/12*1000</f>
        <v>140443.57202300371</v>
      </c>
      <c r="H77" s="72">
        <f t="shared" ca="1" si="118"/>
        <v>3826343.9020230039</v>
      </c>
      <c r="I77" s="2">
        <f>Sheet2!D125</f>
        <v>8662458.4000000004</v>
      </c>
      <c r="J77" s="72">
        <f ca="1">OFFSET('Historic CDM'!$C$122,0,(ROW()-2)/12)/12*1000</f>
        <v>343861.26990587689</v>
      </c>
      <c r="K77" s="72">
        <f t="shared" ca="1" si="119"/>
        <v>9006319.6699058767</v>
      </c>
      <c r="L77" s="2">
        <f>Sheet2!E125</f>
        <v>5278184.4000000004</v>
      </c>
      <c r="M77" s="72">
        <f ca="1">OFFSET('Historic CDM'!$C$136,0,(ROW()-2)/12)/12*1000</f>
        <v>186871.47331257138</v>
      </c>
      <c r="N77" s="72">
        <f t="shared" ca="1" si="120"/>
        <v>5465055.873312572</v>
      </c>
      <c r="O77" s="2">
        <f>Sheet2!F125</f>
        <v>8045671.7999999998</v>
      </c>
      <c r="P77" s="72">
        <f ca="1">OFFSET('Historic CDM'!$C$150,0,(ROW()-2)/12)/12*1000</f>
        <v>278500.74712910189</v>
      </c>
      <c r="Q77" s="72">
        <f t="shared" ca="1" si="121"/>
        <v>8324172.5471291021</v>
      </c>
      <c r="R77" s="2">
        <f>Sheet2!G125</f>
        <v>159958.25</v>
      </c>
      <c r="S77" s="2">
        <f>Sheet2!H125</f>
        <v>1542.6</v>
      </c>
      <c r="T77" s="2">
        <f>Sheet2!I125</f>
        <v>45112</v>
      </c>
      <c r="U77" s="2">
        <f>Sheet2!J125</f>
        <v>1290315.3999999999</v>
      </c>
      <c r="V77" s="72">
        <v>24312.13</v>
      </c>
      <c r="W77" s="72">
        <v>10474.16</v>
      </c>
      <c r="X77" s="72">
        <v>13084.74</v>
      </c>
      <c r="Y77" s="72">
        <v>598.33000000000004</v>
      </c>
      <c r="Z77" s="72">
        <v>54</v>
      </c>
      <c r="AA77" s="72">
        <v>2971.7</v>
      </c>
      <c r="AB77" s="2">
        <v>16351</v>
      </c>
      <c r="AC77" s="2">
        <v>1937</v>
      </c>
      <c r="AD77" s="2">
        <v>188</v>
      </c>
      <c r="AE77" s="2">
        <v>5</v>
      </c>
      <c r="AF77" s="2">
        <v>1</v>
      </c>
      <c r="AG77" s="2">
        <v>124</v>
      </c>
      <c r="AH77" s="2">
        <v>248</v>
      </c>
      <c r="AI77" s="2">
        <v>4498</v>
      </c>
      <c r="AJ77" s="2">
        <v>4</v>
      </c>
      <c r="AK77" s="72">
        <f>Weather!B197</f>
        <v>362.2</v>
      </c>
      <c r="AL77" s="72">
        <f>Weather!C197</f>
        <v>0</v>
      </c>
      <c r="AM77" s="72">
        <f t="shared" si="83"/>
        <v>30</v>
      </c>
      <c r="AN77" s="59">
        <v>22</v>
      </c>
      <c r="AO77" s="72">
        <f t="shared" si="122"/>
        <v>1</v>
      </c>
      <c r="AP77" s="72">
        <f>Employment!B77</f>
        <v>6703.7</v>
      </c>
      <c r="AQ77" s="72">
        <f>Employment!C77</f>
        <v>236.8</v>
      </c>
      <c r="AR77" s="72">
        <f t="shared" ref="AR77" si="144">AR65</f>
        <v>1</v>
      </c>
      <c r="AS77" s="72">
        <f t="shared" si="8"/>
        <v>0</v>
      </c>
      <c r="AT77" s="5">
        <f t="shared" si="128"/>
        <v>76</v>
      </c>
      <c r="AU77" s="73">
        <f t="shared" ref="AU77:BF77" si="145">AU65</f>
        <v>0</v>
      </c>
      <c r="AV77" s="73">
        <f t="shared" si="145"/>
        <v>0</v>
      </c>
      <c r="AW77" s="73">
        <f t="shared" si="145"/>
        <v>0</v>
      </c>
      <c r="AX77" s="73">
        <f t="shared" si="145"/>
        <v>1</v>
      </c>
      <c r="AY77" s="73">
        <f t="shared" si="145"/>
        <v>0</v>
      </c>
      <c r="AZ77" s="73">
        <f t="shared" si="145"/>
        <v>0</v>
      </c>
      <c r="BA77" s="73">
        <f t="shared" si="145"/>
        <v>0</v>
      </c>
      <c r="BB77" s="73">
        <f t="shared" si="145"/>
        <v>0</v>
      </c>
      <c r="BC77" s="73">
        <f t="shared" si="145"/>
        <v>0</v>
      </c>
      <c r="BD77" s="73">
        <f t="shared" si="145"/>
        <v>0</v>
      </c>
      <c r="BE77" s="73">
        <f t="shared" si="145"/>
        <v>0</v>
      </c>
      <c r="BF77" s="73">
        <f t="shared" si="145"/>
        <v>0</v>
      </c>
    </row>
    <row r="78" spans="1:58" x14ac:dyDescent="0.3">
      <c r="A78" s="1">
        <f>Sheet2!A126</f>
        <v>41395</v>
      </c>
      <c r="B78" s="92">
        <f t="shared" si="116"/>
        <v>2013</v>
      </c>
      <c r="C78" s="2">
        <f>Sheet2!B126</f>
        <v>9593089.0299999993</v>
      </c>
      <c r="D78" s="72">
        <f ca="1">OFFSET('Historic CDM'!$C$94,0,(ROW()-2)/12)/12*1000</f>
        <v>212258.52684287989</v>
      </c>
      <c r="E78" s="72">
        <f t="shared" ca="1" si="117"/>
        <v>9805347.5568428785</v>
      </c>
      <c r="F78" s="2">
        <f>Sheet2!C126</f>
        <v>3592085.3500000006</v>
      </c>
      <c r="G78" s="72">
        <f ca="1">OFFSET('Historic CDM'!$C$108,0,(ROW()-2)/12)/12*1000</f>
        <v>140443.57202300371</v>
      </c>
      <c r="H78" s="72">
        <f t="shared" ca="1" si="118"/>
        <v>3732528.9220230044</v>
      </c>
      <c r="I78" s="2">
        <f>Sheet2!D126</f>
        <v>10609743.619999999</v>
      </c>
      <c r="J78" s="72">
        <f ca="1">OFFSET('Historic CDM'!$C$122,0,(ROW()-2)/12)/12*1000</f>
        <v>343861.26990587689</v>
      </c>
      <c r="K78" s="72">
        <f t="shared" ca="1" si="119"/>
        <v>10953604.889905876</v>
      </c>
      <c r="L78" s="2">
        <f>Sheet2!E126</f>
        <v>5825788.7199999997</v>
      </c>
      <c r="M78" s="72">
        <f ca="1">OFFSET('Historic CDM'!$C$136,0,(ROW()-2)/12)/12*1000</f>
        <v>186871.47331257138</v>
      </c>
      <c r="N78" s="72">
        <f t="shared" ca="1" si="120"/>
        <v>6012660.1933125714</v>
      </c>
      <c r="O78" s="2">
        <f>Sheet2!F126</f>
        <v>8063192.8200000003</v>
      </c>
      <c r="P78" s="72">
        <f ca="1">OFFSET('Historic CDM'!$C$150,0,(ROW()-2)/12)/12*1000</f>
        <v>278500.74712910189</v>
      </c>
      <c r="Q78" s="72">
        <f t="shared" ca="1" si="121"/>
        <v>8341693.5671291025</v>
      </c>
      <c r="R78" s="2">
        <f>Sheet2!G126</f>
        <v>147917.85</v>
      </c>
      <c r="S78" s="2">
        <f>Sheet2!H126</f>
        <v>1432.57</v>
      </c>
      <c r="T78" s="2">
        <f>Sheet2!I126</f>
        <v>44410</v>
      </c>
      <c r="U78" s="2">
        <f>Sheet2!J126</f>
        <v>1173517.5000000002</v>
      </c>
      <c r="V78" s="72">
        <v>27142.2</v>
      </c>
      <c r="W78" s="72">
        <v>11047.72</v>
      </c>
      <c r="X78" s="72">
        <v>13001.16</v>
      </c>
      <c r="Y78" s="72">
        <v>507.93000000000006</v>
      </c>
      <c r="Z78" s="72">
        <v>53</v>
      </c>
      <c r="AA78" s="72">
        <v>2820.5</v>
      </c>
      <c r="AB78" s="2">
        <v>16360</v>
      </c>
      <c r="AC78" s="2">
        <v>1939</v>
      </c>
      <c r="AD78" s="2">
        <v>188</v>
      </c>
      <c r="AE78" s="2">
        <v>5</v>
      </c>
      <c r="AF78" s="2">
        <v>1</v>
      </c>
      <c r="AG78" s="2">
        <v>124</v>
      </c>
      <c r="AH78" s="2">
        <v>248</v>
      </c>
      <c r="AI78" s="2">
        <v>4498</v>
      </c>
      <c r="AJ78" s="2">
        <v>4</v>
      </c>
      <c r="AK78" s="72">
        <f>Weather!B198</f>
        <v>122.2</v>
      </c>
      <c r="AL78" s="72">
        <f>Weather!C198</f>
        <v>27</v>
      </c>
      <c r="AM78" s="72">
        <f t="shared" si="83"/>
        <v>31</v>
      </c>
      <c r="AN78" s="59">
        <v>22</v>
      </c>
      <c r="AO78" s="72">
        <f t="shared" si="122"/>
        <v>1</v>
      </c>
      <c r="AP78" s="72">
        <f>Employment!B78</f>
        <v>6770.3</v>
      </c>
      <c r="AQ78" s="72">
        <f>Employment!C78</f>
        <v>238.9</v>
      </c>
      <c r="AR78" s="72">
        <f t="shared" ref="AR78:AS78" si="146">AR66</f>
        <v>1</v>
      </c>
      <c r="AS78" s="72">
        <f t="shared" si="146"/>
        <v>0</v>
      </c>
      <c r="AT78" s="5">
        <f t="shared" si="128"/>
        <v>77</v>
      </c>
      <c r="AU78" s="73">
        <f t="shared" ref="AU78:BF78" si="147">AU66</f>
        <v>0</v>
      </c>
      <c r="AV78" s="73">
        <f t="shared" si="147"/>
        <v>0</v>
      </c>
      <c r="AW78" s="73">
        <f t="shared" si="147"/>
        <v>0</v>
      </c>
      <c r="AX78" s="73">
        <f t="shared" si="147"/>
        <v>0</v>
      </c>
      <c r="AY78" s="73">
        <f t="shared" si="147"/>
        <v>1</v>
      </c>
      <c r="AZ78" s="73">
        <f t="shared" si="147"/>
        <v>0</v>
      </c>
      <c r="BA78" s="73">
        <f t="shared" si="147"/>
        <v>0</v>
      </c>
      <c r="BB78" s="73">
        <f t="shared" si="147"/>
        <v>0</v>
      </c>
      <c r="BC78" s="73">
        <f t="shared" si="147"/>
        <v>0</v>
      </c>
      <c r="BD78" s="73">
        <f t="shared" si="147"/>
        <v>0</v>
      </c>
      <c r="BE78" s="73">
        <f t="shared" si="147"/>
        <v>0</v>
      </c>
      <c r="BF78" s="73">
        <f t="shared" si="147"/>
        <v>0</v>
      </c>
    </row>
    <row r="79" spans="1:58" x14ac:dyDescent="0.3">
      <c r="A79" s="1">
        <f>Sheet2!A127</f>
        <v>41426</v>
      </c>
      <c r="B79" s="92">
        <f t="shared" si="116"/>
        <v>2013</v>
      </c>
      <c r="C79" s="2">
        <f>Sheet2!B127</f>
        <v>10577782.050000001</v>
      </c>
      <c r="D79" s="72">
        <f ca="1">OFFSET('Historic CDM'!$C$94,0,(ROW()-2)/12)/12*1000</f>
        <v>212258.52684287989</v>
      </c>
      <c r="E79" s="72">
        <f t="shared" ca="1" si="117"/>
        <v>10790040.57684288</v>
      </c>
      <c r="F79" s="2">
        <f>Sheet2!C127</f>
        <v>3827071.8299999996</v>
      </c>
      <c r="G79" s="72">
        <f ca="1">OFFSET('Historic CDM'!$C$108,0,(ROW()-2)/12)/12*1000</f>
        <v>140443.57202300371</v>
      </c>
      <c r="H79" s="72">
        <f t="shared" ca="1" si="118"/>
        <v>3967515.4020230034</v>
      </c>
      <c r="I79" s="2">
        <f>Sheet2!D127</f>
        <v>10182879.6</v>
      </c>
      <c r="J79" s="72">
        <f ca="1">OFFSET('Historic CDM'!$C$122,0,(ROW()-2)/12)/12*1000</f>
        <v>343861.26990587689</v>
      </c>
      <c r="K79" s="72">
        <f t="shared" ca="1" si="119"/>
        <v>10526740.869905876</v>
      </c>
      <c r="L79" s="2">
        <f>Sheet2!E127</f>
        <v>5526551.79</v>
      </c>
      <c r="M79" s="72">
        <f ca="1">OFFSET('Historic CDM'!$C$136,0,(ROW()-2)/12)/12*1000</f>
        <v>186871.47331257138</v>
      </c>
      <c r="N79" s="72">
        <f t="shared" ca="1" si="120"/>
        <v>5713423.2633125717</v>
      </c>
      <c r="O79" s="2">
        <f>Sheet2!F127</f>
        <v>7889985.79</v>
      </c>
      <c r="P79" s="72">
        <f ca="1">OFFSET('Historic CDM'!$C$150,0,(ROW()-2)/12)/12*1000</f>
        <v>278500.74712910189</v>
      </c>
      <c r="Q79" s="72">
        <f t="shared" ca="1" si="121"/>
        <v>8168486.5371291023</v>
      </c>
      <c r="R79" s="2">
        <f>Sheet2!G127</f>
        <v>218769.30000000002</v>
      </c>
      <c r="S79" s="2">
        <f>Sheet2!H127</f>
        <v>1386.3600000000001</v>
      </c>
      <c r="T79" s="2">
        <f>Sheet2!I127</f>
        <v>44410</v>
      </c>
      <c r="U79" s="2">
        <f>Sheet2!J127</f>
        <v>1228967.2</v>
      </c>
      <c r="V79" s="72">
        <v>32626.230000000003</v>
      </c>
      <c r="W79" s="72">
        <v>16360.22</v>
      </c>
      <c r="X79" s="72">
        <v>13907.8</v>
      </c>
      <c r="Y79" s="72">
        <v>507.93</v>
      </c>
      <c r="Z79" s="72">
        <v>53</v>
      </c>
      <c r="AA79" s="72">
        <v>2528.6</v>
      </c>
      <c r="AB79" s="2">
        <v>16375</v>
      </c>
      <c r="AC79" s="2">
        <v>1942</v>
      </c>
      <c r="AD79" s="2">
        <v>187</v>
      </c>
      <c r="AE79" s="2">
        <v>5</v>
      </c>
      <c r="AF79" s="2">
        <v>1</v>
      </c>
      <c r="AG79" s="2">
        <v>124</v>
      </c>
      <c r="AH79" s="2">
        <v>248</v>
      </c>
      <c r="AI79" s="2">
        <v>4498</v>
      </c>
      <c r="AJ79" s="2">
        <v>4</v>
      </c>
      <c r="AK79" s="72">
        <f>Weather!B199</f>
        <v>41.1</v>
      </c>
      <c r="AL79" s="72">
        <f>Weather!C199</f>
        <v>56.800000000000004</v>
      </c>
      <c r="AM79" s="72">
        <f t="shared" si="83"/>
        <v>30</v>
      </c>
      <c r="AN79" s="59">
        <v>20</v>
      </c>
      <c r="AO79" s="72">
        <f t="shared" si="122"/>
        <v>0</v>
      </c>
      <c r="AP79" s="72">
        <f>Employment!B79</f>
        <v>6861.8</v>
      </c>
      <c r="AQ79" s="72">
        <f>Employment!C79</f>
        <v>242.6</v>
      </c>
      <c r="AR79" s="72">
        <f t="shared" ref="AR79:AS79" si="148">AR67</f>
        <v>0</v>
      </c>
      <c r="AS79" s="72">
        <f t="shared" si="148"/>
        <v>0</v>
      </c>
      <c r="AT79" s="5">
        <f t="shared" si="128"/>
        <v>78</v>
      </c>
      <c r="AU79" s="73">
        <f t="shared" ref="AU79:BF79" si="149">AU67</f>
        <v>0</v>
      </c>
      <c r="AV79" s="73">
        <f t="shared" si="149"/>
        <v>0</v>
      </c>
      <c r="AW79" s="73">
        <f t="shared" si="149"/>
        <v>0</v>
      </c>
      <c r="AX79" s="73">
        <f t="shared" si="149"/>
        <v>0</v>
      </c>
      <c r="AY79" s="73">
        <f t="shared" si="149"/>
        <v>0</v>
      </c>
      <c r="AZ79" s="73">
        <f t="shared" si="149"/>
        <v>1</v>
      </c>
      <c r="BA79" s="73">
        <f t="shared" si="149"/>
        <v>0</v>
      </c>
      <c r="BB79" s="73">
        <f t="shared" si="149"/>
        <v>0</v>
      </c>
      <c r="BC79" s="73">
        <f t="shared" si="149"/>
        <v>0</v>
      </c>
      <c r="BD79" s="73">
        <f t="shared" si="149"/>
        <v>0</v>
      </c>
      <c r="BE79" s="73">
        <f t="shared" si="149"/>
        <v>0</v>
      </c>
      <c r="BF79" s="73">
        <f t="shared" si="149"/>
        <v>0</v>
      </c>
    </row>
    <row r="80" spans="1:58" x14ac:dyDescent="0.3">
      <c r="A80" s="1">
        <f>Sheet2!A128</f>
        <v>41456</v>
      </c>
      <c r="B80" s="92">
        <f t="shared" si="116"/>
        <v>2013</v>
      </c>
      <c r="C80" s="2">
        <f>Sheet2!B128</f>
        <v>13094368.520000001</v>
      </c>
      <c r="D80" s="72">
        <f ca="1">OFFSET('Historic CDM'!$C$94,0,(ROW()-2)/12)/12*1000</f>
        <v>212258.52684287989</v>
      </c>
      <c r="E80" s="72">
        <f t="shared" ca="1" si="117"/>
        <v>13306627.046842881</v>
      </c>
      <c r="F80" s="2">
        <f>Sheet2!C128</f>
        <v>4185208.7799999993</v>
      </c>
      <c r="G80" s="72">
        <f ca="1">OFFSET('Historic CDM'!$C$108,0,(ROW()-2)/12)/12*1000</f>
        <v>140443.57202300371</v>
      </c>
      <c r="H80" s="72">
        <f t="shared" ca="1" si="118"/>
        <v>4325652.3520230027</v>
      </c>
      <c r="I80" s="2">
        <f>Sheet2!D128</f>
        <v>10075143.379999999</v>
      </c>
      <c r="J80" s="72">
        <f ca="1">OFFSET('Historic CDM'!$C$122,0,(ROW()-2)/12)/12*1000</f>
        <v>343861.26990587689</v>
      </c>
      <c r="K80" s="72">
        <f t="shared" ca="1" si="119"/>
        <v>10419004.649905875</v>
      </c>
      <c r="L80" s="2">
        <f>Sheet2!E128</f>
        <v>6203377.3600000003</v>
      </c>
      <c r="M80" s="72">
        <f ca="1">OFFSET('Historic CDM'!$C$136,0,(ROW()-2)/12)/12*1000</f>
        <v>186871.47331257138</v>
      </c>
      <c r="N80" s="72">
        <f t="shared" ca="1" si="120"/>
        <v>6390248.833312572</v>
      </c>
      <c r="O80" s="2">
        <f>Sheet2!F128</f>
        <v>6661074.7400000002</v>
      </c>
      <c r="P80" s="72">
        <f ca="1">OFFSET('Historic CDM'!$C$150,0,(ROW()-2)/12)/12*1000</f>
        <v>278500.74712910189</v>
      </c>
      <c r="Q80" s="72">
        <f t="shared" ca="1" si="121"/>
        <v>6939575.4871291025</v>
      </c>
      <c r="R80" s="2">
        <f>Sheet2!G128</f>
        <v>177501.41999999998</v>
      </c>
      <c r="S80" s="2">
        <f>Sheet2!H128</f>
        <v>1432.57</v>
      </c>
      <c r="T80" s="2">
        <f>Sheet2!I128</f>
        <v>44410</v>
      </c>
      <c r="U80" s="2">
        <f>Sheet2!J128</f>
        <v>1349310.2</v>
      </c>
      <c r="V80" s="72">
        <v>31381.259999999995</v>
      </c>
      <c r="W80" s="72">
        <v>7682.5300000000007</v>
      </c>
      <c r="X80" s="72">
        <v>13731.79</v>
      </c>
      <c r="Y80" s="72">
        <v>779.13000000000011</v>
      </c>
      <c r="Z80" s="72">
        <v>53</v>
      </c>
      <c r="AA80" s="72">
        <v>2916.3</v>
      </c>
      <c r="AB80" s="2">
        <v>16386</v>
      </c>
      <c r="AC80" s="2">
        <v>1941</v>
      </c>
      <c r="AD80" s="2">
        <v>187</v>
      </c>
      <c r="AE80" s="2">
        <v>5</v>
      </c>
      <c r="AF80" s="2">
        <v>1</v>
      </c>
      <c r="AG80" s="2">
        <v>124</v>
      </c>
      <c r="AH80" s="2">
        <v>248</v>
      </c>
      <c r="AI80" s="2">
        <v>4498</v>
      </c>
      <c r="AJ80" s="2">
        <v>4</v>
      </c>
      <c r="AK80" s="72">
        <f>Weather!B200</f>
        <v>7.1</v>
      </c>
      <c r="AL80" s="72">
        <f>Weather!C200</f>
        <v>108.8</v>
      </c>
      <c r="AM80" s="72">
        <f t="shared" si="83"/>
        <v>31</v>
      </c>
      <c r="AN80" s="59">
        <v>22</v>
      </c>
      <c r="AO80" s="72">
        <f t="shared" si="122"/>
        <v>0</v>
      </c>
      <c r="AP80" s="72">
        <f>Employment!B80</f>
        <v>6917.1</v>
      </c>
      <c r="AQ80" s="72">
        <f>Employment!C80</f>
        <v>244.6</v>
      </c>
      <c r="AR80" s="72">
        <f t="shared" ref="AR80:AS80" si="150">AR68</f>
        <v>0</v>
      </c>
      <c r="AS80" s="72">
        <f t="shared" si="150"/>
        <v>0</v>
      </c>
      <c r="AT80" s="5">
        <f t="shared" si="128"/>
        <v>79</v>
      </c>
      <c r="AU80" s="73">
        <f t="shared" ref="AU80:BF80" si="151">AU68</f>
        <v>0</v>
      </c>
      <c r="AV80" s="73">
        <f t="shared" si="151"/>
        <v>0</v>
      </c>
      <c r="AW80" s="73">
        <f t="shared" si="151"/>
        <v>0</v>
      </c>
      <c r="AX80" s="73">
        <f t="shared" si="151"/>
        <v>0</v>
      </c>
      <c r="AY80" s="73">
        <f t="shared" si="151"/>
        <v>0</v>
      </c>
      <c r="AZ80" s="73">
        <f t="shared" si="151"/>
        <v>0</v>
      </c>
      <c r="BA80" s="73">
        <f t="shared" si="151"/>
        <v>1</v>
      </c>
      <c r="BB80" s="73">
        <f t="shared" si="151"/>
        <v>0</v>
      </c>
      <c r="BC80" s="73">
        <f t="shared" si="151"/>
        <v>0</v>
      </c>
      <c r="BD80" s="73">
        <f t="shared" si="151"/>
        <v>0</v>
      </c>
      <c r="BE80" s="73">
        <f t="shared" si="151"/>
        <v>0</v>
      </c>
      <c r="BF80" s="73">
        <f t="shared" si="151"/>
        <v>0</v>
      </c>
    </row>
    <row r="81" spans="1:58" x14ac:dyDescent="0.3">
      <c r="A81" s="1">
        <f>Sheet2!A129</f>
        <v>41487</v>
      </c>
      <c r="B81" s="92">
        <f t="shared" si="116"/>
        <v>2013</v>
      </c>
      <c r="C81" s="2">
        <f>Sheet2!B129</f>
        <v>11553101.180000002</v>
      </c>
      <c r="D81" s="72">
        <f ca="1">OFFSET('Historic CDM'!$C$94,0,(ROW()-2)/12)/12*1000</f>
        <v>212258.52684287989</v>
      </c>
      <c r="E81" s="72">
        <f t="shared" ca="1" si="117"/>
        <v>11765359.706842881</v>
      </c>
      <c r="F81" s="2">
        <f>Sheet2!C129</f>
        <v>4013363.810000001</v>
      </c>
      <c r="G81" s="72">
        <f ca="1">OFFSET('Historic CDM'!$C$108,0,(ROW()-2)/12)/12*1000</f>
        <v>140443.57202300371</v>
      </c>
      <c r="H81" s="72">
        <f t="shared" ca="1" si="118"/>
        <v>4153807.3820230048</v>
      </c>
      <c r="I81" s="2">
        <f>Sheet2!D129</f>
        <v>10349152.209999999</v>
      </c>
      <c r="J81" s="72">
        <f ca="1">OFFSET('Historic CDM'!$C$122,0,(ROW()-2)/12)/12*1000</f>
        <v>343861.26990587689</v>
      </c>
      <c r="K81" s="72">
        <f t="shared" ca="1" si="119"/>
        <v>10693013.479905875</v>
      </c>
      <c r="L81" s="2">
        <f>Sheet2!E129</f>
        <v>6364046.2199999997</v>
      </c>
      <c r="M81" s="72">
        <f ca="1">OFFSET('Historic CDM'!$C$136,0,(ROW()-2)/12)/12*1000</f>
        <v>186871.47331257138</v>
      </c>
      <c r="N81" s="72">
        <f t="shared" ca="1" si="120"/>
        <v>6550917.6933125714</v>
      </c>
      <c r="O81" s="2">
        <f>Sheet2!F129</f>
        <v>8472727.4800000004</v>
      </c>
      <c r="P81" s="72">
        <f ca="1">OFFSET('Historic CDM'!$C$150,0,(ROW()-2)/12)/12*1000</f>
        <v>278500.74712910189</v>
      </c>
      <c r="Q81" s="72">
        <f t="shared" ca="1" si="121"/>
        <v>8751228.2271291018</v>
      </c>
      <c r="R81" s="2">
        <f>Sheet2!G129</f>
        <v>201122.72</v>
      </c>
      <c r="S81" s="2">
        <f>Sheet2!H129</f>
        <v>1432.57</v>
      </c>
      <c r="T81" s="2">
        <f>Sheet2!I129</f>
        <v>44410</v>
      </c>
      <c r="U81" s="2">
        <f>Sheet2!J129</f>
        <v>1291863.2000000002</v>
      </c>
      <c r="V81" s="72">
        <v>32137.56</v>
      </c>
      <c r="W81" s="72">
        <v>12366.259999999998</v>
      </c>
      <c r="X81" s="72">
        <v>14053.25</v>
      </c>
      <c r="Y81" s="72">
        <v>598.33000000000004</v>
      </c>
      <c r="Z81" s="72">
        <v>53</v>
      </c>
      <c r="AA81" s="72">
        <v>3055</v>
      </c>
      <c r="AB81" s="2">
        <v>16404</v>
      </c>
      <c r="AC81" s="2">
        <v>1940</v>
      </c>
      <c r="AD81" s="2">
        <v>187</v>
      </c>
      <c r="AE81" s="2">
        <v>5</v>
      </c>
      <c r="AF81" s="2">
        <v>1</v>
      </c>
      <c r="AG81" s="2">
        <v>124</v>
      </c>
      <c r="AH81" s="2">
        <v>248</v>
      </c>
      <c r="AI81" s="2">
        <v>4498</v>
      </c>
      <c r="AJ81" s="2">
        <v>4</v>
      </c>
      <c r="AK81" s="72">
        <f>Weather!B201</f>
        <v>18.399999999999999</v>
      </c>
      <c r="AL81" s="72">
        <f>Weather!C201</f>
        <v>57.5</v>
      </c>
      <c r="AM81" s="72">
        <f t="shared" si="83"/>
        <v>31</v>
      </c>
      <c r="AN81" s="59">
        <v>21</v>
      </c>
      <c r="AO81" s="72">
        <f t="shared" si="122"/>
        <v>0</v>
      </c>
      <c r="AP81" s="72">
        <f>Employment!B81</f>
        <v>6934.7</v>
      </c>
      <c r="AQ81" s="72">
        <f>Employment!C81</f>
        <v>245.6</v>
      </c>
      <c r="AR81" s="72">
        <f t="shared" ref="AR81:AS81" si="152">AR69</f>
        <v>0</v>
      </c>
      <c r="AS81" s="72">
        <f t="shared" si="152"/>
        <v>0</v>
      </c>
      <c r="AT81" s="5">
        <f t="shared" si="128"/>
        <v>80</v>
      </c>
      <c r="AU81" s="73">
        <f t="shared" ref="AU81:BF81" si="153">AU69</f>
        <v>0</v>
      </c>
      <c r="AV81" s="73">
        <f t="shared" si="153"/>
        <v>0</v>
      </c>
      <c r="AW81" s="73">
        <f t="shared" si="153"/>
        <v>0</v>
      </c>
      <c r="AX81" s="73">
        <f t="shared" si="153"/>
        <v>0</v>
      </c>
      <c r="AY81" s="73">
        <f t="shared" si="153"/>
        <v>0</v>
      </c>
      <c r="AZ81" s="73">
        <f t="shared" si="153"/>
        <v>0</v>
      </c>
      <c r="BA81" s="73">
        <f t="shared" si="153"/>
        <v>0</v>
      </c>
      <c r="BB81" s="73">
        <f t="shared" si="153"/>
        <v>1</v>
      </c>
      <c r="BC81" s="73">
        <f t="shared" si="153"/>
        <v>0</v>
      </c>
      <c r="BD81" s="73">
        <f t="shared" si="153"/>
        <v>0</v>
      </c>
      <c r="BE81" s="73">
        <f t="shared" si="153"/>
        <v>0</v>
      </c>
      <c r="BF81" s="73">
        <f t="shared" si="153"/>
        <v>0</v>
      </c>
    </row>
    <row r="82" spans="1:58" x14ac:dyDescent="0.3">
      <c r="A82" s="1">
        <f>Sheet2!A130</f>
        <v>41518</v>
      </c>
      <c r="B82" s="92">
        <f t="shared" si="116"/>
        <v>2013</v>
      </c>
      <c r="C82" s="2">
        <f>Sheet2!B130</f>
        <v>10633290.860000001</v>
      </c>
      <c r="D82" s="72">
        <f ca="1">OFFSET('Historic CDM'!$C$94,0,(ROW()-2)/12)/12*1000</f>
        <v>212258.52684287989</v>
      </c>
      <c r="E82" s="72">
        <f t="shared" ca="1" si="117"/>
        <v>10845549.38684288</v>
      </c>
      <c r="F82" s="2">
        <f>Sheet2!C130</f>
        <v>3739977.2800000007</v>
      </c>
      <c r="G82" s="72">
        <f ca="1">OFFSET('Historic CDM'!$C$108,0,(ROW()-2)/12)/12*1000</f>
        <v>140443.57202300371</v>
      </c>
      <c r="H82" s="72">
        <f t="shared" ca="1" si="118"/>
        <v>3880420.8520230046</v>
      </c>
      <c r="I82" s="2">
        <f>Sheet2!D130</f>
        <v>9964146.5</v>
      </c>
      <c r="J82" s="72">
        <f ca="1">OFFSET('Historic CDM'!$C$122,0,(ROW()-2)/12)/12*1000</f>
        <v>343861.26990587689</v>
      </c>
      <c r="K82" s="72">
        <f t="shared" ca="1" si="119"/>
        <v>10308007.769905876</v>
      </c>
      <c r="L82" s="2">
        <f>Sheet2!E130</f>
        <v>6072021.2400000002</v>
      </c>
      <c r="M82" s="72">
        <f ca="1">OFFSET('Historic CDM'!$C$136,0,(ROW()-2)/12)/12*1000</f>
        <v>186871.47331257138</v>
      </c>
      <c r="N82" s="72">
        <f t="shared" ca="1" si="120"/>
        <v>6258892.7133125719</v>
      </c>
      <c r="O82" s="2">
        <f>Sheet2!F130</f>
        <v>8250794.8799999999</v>
      </c>
      <c r="P82" s="72">
        <f ca="1">OFFSET('Historic CDM'!$C$150,0,(ROW()-2)/12)/12*1000</f>
        <v>278500.74712910189</v>
      </c>
      <c r="Q82" s="72">
        <f t="shared" ca="1" si="121"/>
        <v>8529295.6271291021</v>
      </c>
      <c r="R82" s="2">
        <f>Sheet2!G130</f>
        <v>218551.00999999998</v>
      </c>
      <c r="S82" s="2">
        <f>Sheet2!H130</f>
        <v>1386.3600000000001</v>
      </c>
      <c r="T82" s="2">
        <f>Sheet2!I130</f>
        <v>44216</v>
      </c>
      <c r="U82" s="2">
        <f>Sheet2!J130</f>
        <v>1205108.3999999999</v>
      </c>
      <c r="V82" s="72">
        <v>28795.939999999995</v>
      </c>
      <c r="W82" s="72">
        <v>12200.42</v>
      </c>
      <c r="X82" s="72">
        <v>14288.59</v>
      </c>
      <c r="Y82" s="72">
        <v>598.33000000000004</v>
      </c>
      <c r="Z82" s="72">
        <v>55</v>
      </c>
      <c r="AA82" s="72">
        <v>2907.5</v>
      </c>
      <c r="AB82" s="2">
        <v>16413</v>
      </c>
      <c r="AC82" s="2">
        <v>1943</v>
      </c>
      <c r="AD82" s="2">
        <v>187</v>
      </c>
      <c r="AE82" s="2">
        <v>5</v>
      </c>
      <c r="AF82" s="2">
        <v>1</v>
      </c>
      <c r="AG82" s="2">
        <v>123</v>
      </c>
      <c r="AH82" s="2">
        <v>248</v>
      </c>
      <c r="AI82" s="2">
        <v>4498</v>
      </c>
      <c r="AJ82" s="2">
        <v>4</v>
      </c>
      <c r="AK82" s="72">
        <f>Weather!B202</f>
        <v>94.9</v>
      </c>
      <c r="AL82" s="72">
        <f>Weather!C202</f>
        <v>26</v>
      </c>
      <c r="AM82" s="72">
        <f t="shared" si="83"/>
        <v>30</v>
      </c>
      <c r="AN82" s="59">
        <v>20</v>
      </c>
      <c r="AO82" s="72">
        <f t="shared" si="122"/>
        <v>1</v>
      </c>
      <c r="AP82" s="72">
        <f>Employment!B82</f>
        <v>6906.9</v>
      </c>
      <c r="AQ82" s="72">
        <f>Employment!C82</f>
        <v>243.4</v>
      </c>
      <c r="AR82" s="72">
        <f t="shared" ref="AR82:AS82" si="154">AR70</f>
        <v>0</v>
      </c>
      <c r="AS82" s="72">
        <f t="shared" si="154"/>
        <v>1</v>
      </c>
      <c r="AT82" s="5">
        <f t="shared" si="128"/>
        <v>81</v>
      </c>
      <c r="AU82" s="73">
        <f t="shared" ref="AU82:BF82" si="155">AU70</f>
        <v>0</v>
      </c>
      <c r="AV82" s="73">
        <f t="shared" si="155"/>
        <v>0</v>
      </c>
      <c r="AW82" s="73">
        <f t="shared" si="155"/>
        <v>0</v>
      </c>
      <c r="AX82" s="73">
        <f t="shared" si="155"/>
        <v>0</v>
      </c>
      <c r="AY82" s="73">
        <f t="shared" si="155"/>
        <v>0</v>
      </c>
      <c r="AZ82" s="73">
        <f t="shared" si="155"/>
        <v>0</v>
      </c>
      <c r="BA82" s="73">
        <f t="shared" si="155"/>
        <v>0</v>
      </c>
      <c r="BB82" s="73">
        <f t="shared" si="155"/>
        <v>0</v>
      </c>
      <c r="BC82" s="73">
        <f t="shared" si="155"/>
        <v>1</v>
      </c>
      <c r="BD82" s="73">
        <f t="shared" si="155"/>
        <v>0</v>
      </c>
      <c r="BE82" s="73">
        <f t="shared" si="155"/>
        <v>0</v>
      </c>
      <c r="BF82" s="73">
        <f t="shared" si="155"/>
        <v>0</v>
      </c>
    </row>
    <row r="83" spans="1:58" x14ac:dyDescent="0.3">
      <c r="A83" s="1">
        <f>Sheet2!A131</f>
        <v>41548</v>
      </c>
      <c r="B83" s="92">
        <f t="shared" si="116"/>
        <v>2013</v>
      </c>
      <c r="C83" s="2">
        <f>Sheet2!B131</f>
        <v>9801541.5300000012</v>
      </c>
      <c r="D83" s="72">
        <f ca="1">OFFSET('Historic CDM'!$C$94,0,(ROW()-2)/12)/12*1000</f>
        <v>212258.52684287989</v>
      </c>
      <c r="E83" s="72">
        <f t="shared" ca="1" si="117"/>
        <v>10013800.05684288</v>
      </c>
      <c r="F83" s="2">
        <f>Sheet2!C131</f>
        <v>3633956.53</v>
      </c>
      <c r="G83" s="72">
        <f ca="1">OFFSET('Historic CDM'!$C$108,0,(ROW()-2)/12)/12*1000</f>
        <v>140443.57202300371</v>
      </c>
      <c r="H83" s="72">
        <f t="shared" ca="1" si="118"/>
        <v>3774400.1020230036</v>
      </c>
      <c r="I83" s="2">
        <f>Sheet2!D131</f>
        <v>10047457.800000001</v>
      </c>
      <c r="J83" s="72">
        <f ca="1">OFFSET('Historic CDM'!$C$122,0,(ROW()-2)/12)/12*1000</f>
        <v>343861.26990587689</v>
      </c>
      <c r="K83" s="72">
        <f t="shared" ca="1" si="119"/>
        <v>10391319.069905877</v>
      </c>
      <c r="L83" s="2">
        <f>Sheet2!E131</f>
        <v>5854068.6200000001</v>
      </c>
      <c r="M83" s="72">
        <f ca="1">OFFSET('Historic CDM'!$C$136,0,(ROW()-2)/12)/12*1000</f>
        <v>186871.47331257138</v>
      </c>
      <c r="N83" s="72">
        <f t="shared" ca="1" si="120"/>
        <v>6040940.0933125718</v>
      </c>
      <c r="O83" s="60">
        <f>Sheet2!F131</f>
        <v>8159913.1399999997</v>
      </c>
      <c r="P83" s="72">
        <f ca="1">OFFSET('Historic CDM'!$C$150,0,(ROW()-2)/12)/12*1000</f>
        <v>278500.74712910189</v>
      </c>
      <c r="Q83" s="72">
        <f t="shared" ca="1" si="121"/>
        <v>8438413.8871291019</v>
      </c>
      <c r="R83" s="2">
        <f>Sheet2!G131</f>
        <v>252130.37</v>
      </c>
      <c r="S83" s="2">
        <f>Sheet2!H131</f>
        <v>1426.27</v>
      </c>
      <c r="T83" s="2">
        <f>Sheet2!I131</f>
        <v>44216</v>
      </c>
      <c r="U83" s="66">
        <f>Sheet2!J131</f>
        <v>1309332.7</v>
      </c>
      <c r="V83" s="72">
        <v>30345.600000000002</v>
      </c>
      <c r="W83" s="72">
        <v>12099.8</v>
      </c>
      <c r="X83" s="72">
        <v>14254.45</v>
      </c>
      <c r="Y83" s="72">
        <v>598.33000000000004</v>
      </c>
      <c r="Z83" s="72">
        <v>55</v>
      </c>
      <c r="AA83" s="72">
        <v>3034.2</v>
      </c>
      <c r="AB83" s="2">
        <v>16421</v>
      </c>
      <c r="AC83" s="2">
        <v>1943</v>
      </c>
      <c r="AD83" s="2">
        <v>187</v>
      </c>
      <c r="AE83" s="2">
        <v>5</v>
      </c>
      <c r="AF83" s="2">
        <v>1</v>
      </c>
      <c r="AG83" s="2">
        <v>123</v>
      </c>
      <c r="AH83" s="2">
        <v>248</v>
      </c>
      <c r="AI83" s="2">
        <v>4498</v>
      </c>
      <c r="AJ83" s="2">
        <v>4</v>
      </c>
      <c r="AK83" s="72">
        <f>Weather!B203</f>
        <v>226.6</v>
      </c>
      <c r="AL83" s="72">
        <f>Weather!C203</f>
        <v>2.6</v>
      </c>
      <c r="AM83" s="72">
        <f t="shared" si="83"/>
        <v>31</v>
      </c>
      <c r="AN83" s="59">
        <v>22</v>
      </c>
      <c r="AO83" s="72">
        <f t="shared" si="122"/>
        <v>1</v>
      </c>
      <c r="AP83" s="72">
        <f>Employment!B83</f>
        <v>6889</v>
      </c>
      <c r="AQ83" s="72">
        <f>Employment!C83</f>
        <v>241.6</v>
      </c>
      <c r="AR83" s="72">
        <f t="shared" ref="AR83:AS83" si="156">AR71</f>
        <v>0</v>
      </c>
      <c r="AS83" s="72">
        <f t="shared" si="156"/>
        <v>1</v>
      </c>
      <c r="AT83" s="5">
        <f t="shared" si="128"/>
        <v>82</v>
      </c>
      <c r="AU83" s="73">
        <f t="shared" ref="AU83:BF83" si="157">AU71</f>
        <v>0</v>
      </c>
      <c r="AV83" s="73">
        <f t="shared" si="157"/>
        <v>0</v>
      </c>
      <c r="AW83" s="73">
        <f t="shared" si="157"/>
        <v>0</v>
      </c>
      <c r="AX83" s="73">
        <f t="shared" si="157"/>
        <v>0</v>
      </c>
      <c r="AY83" s="73">
        <f t="shared" si="157"/>
        <v>0</v>
      </c>
      <c r="AZ83" s="73">
        <f t="shared" si="157"/>
        <v>0</v>
      </c>
      <c r="BA83" s="73">
        <f t="shared" si="157"/>
        <v>0</v>
      </c>
      <c r="BB83" s="73">
        <f t="shared" si="157"/>
        <v>0</v>
      </c>
      <c r="BC83" s="73">
        <f t="shared" si="157"/>
        <v>0</v>
      </c>
      <c r="BD83" s="73">
        <f t="shared" si="157"/>
        <v>1</v>
      </c>
      <c r="BE83" s="73">
        <f t="shared" si="157"/>
        <v>0</v>
      </c>
      <c r="BF83" s="73">
        <f t="shared" si="157"/>
        <v>0</v>
      </c>
    </row>
    <row r="84" spans="1:58" x14ac:dyDescent="0.3">
      <c r="A84" s="1">
        <f>Sheet2!A132</f>
        <v>41579</v>
      </c>
      <c r="B84" s="92">
        <f t="shared" si="116"/>
        <v>2013</v>
      </c>
      <c r="C84" s="2">
        <f>Sheet2!B132</f>
        <v>11393695.729999999</v>
      </c>
      <c r="D84" s="72">
        <f ca="1">OFFSET('Historic CDM'!$C$94,0,(ROW()-2)/12)/12*1000</f>
        <v>212258.52684287989</v>
      </c>
      <c r="E84" s="72">
        <f t="shared" ca="1" si="117"/>
        <v>11605954.256842878</v>
      </c>
      <c r="F84" s="2">
        <f>Sheet2!C132</f>
        <v>4152766.34</v>
      </c>
      <c r="G84" s="72">
        <f ca="1">OFFSET('Historic CDM'!$C$108,0,(ROW()-2)/12)/12*1000</f>
        <v>140443.57202300371</v>
      </c>
      <c r="H84" s="72">
        <f t="shared" ca="1" si="118"/>
        <v>4293209.9120230032</v>
      </c>
      <c r="I84" s="2">
        <f>Sheet2!D132</f>
        <v>10126328.24</v>
      </c>
      <c r="J84" s="72">
        <f ca="1">OFFSET('Historic CDM'!$C$122,0,(ROW()-2)/12)/12*1000</f>
        <v>343861.26990587689</v>
      </c>
      <c r="K84" s="72">
        <f t="shared" ca="1" si="119"/>
        <v>10470189.509905877</v>
      </c>
      <c r="L84" s="2">
        <f>Sheet2!E132</f>
        <v>5238544.5600000005</v>
      </c>
      <c r="M84" s="72">
        <f ca="1">OFFSET('Historic CDM'!$C$136,0,(ROW()-2)/12)/12*1000</f>
        <v>186871.47331257138</v>
      </c>
      <c r="N84" s="72">
        <f t="shared" ca="1" si="120"/>
        <v>5425416.0333125722</v>
      </c>
      <c r="O84" s="60">
        <f>Sheet2!F132</f>
        <v>8421255.7699999996</v>
      </c>
      <c r="P84" s="72">
        <f ca="1">OFFSET('Historic CDM'!$C$150,0,(ROW()-2)/12)/12*1000</f>
        <v>278500.74712910189</v>
      </c>
      <c r="Q84" s="72">
        <f t="shared" ca="1" si="121"/>
        <v>8699756.5171291009</v>
      </c>
      <c r="R84" s="2">
        <f>Sheet2!G132</f>
        <v>257276.84000000003</v>
      </c>
      <c r="S84" s="2">
        <f>Sheet2!H132</f>
        <v>1392.66</v>
      </c>
      <c r="T84" s="2">
        <f>Sheet2!I132</f>
        <v>44216</v>
      </c>
      <c r="U84" s="66">
        <f>Sheet2!J132</f>
        <v>620526.85000000009</v>
      </c>
      <c r="V84" s="72">
        <v>29637.389999999996</v>
      </c>
      <c r="W84" s="72">
        <v>11553.63</v>
      </c>
      <c r="X84" s="72">
        <v>13676.97</v>
      </c>
      <c r="Y84" s="72">
        <v>598.33000000000004</v>
      </c>
      <c r="Z84" s="72">
        <v>54</v>
      </c>
      <c r="AA84" s="72">
        <v>2865.1</v>
      </c>
      <c r="AB84" s="2">
        <v>16434</v>
      </c>
      <c r="AC84" s="2">
        <v>1946</v>
      </c>
      <c r="AD84" s="2">
        <v>186</v>
      </c>
      <c r="AE84" s="2">
        <v>5</v>
      </c>
      <c r="AF84" s="2">
        <v>1</v>
      </c>
      <c r="AG84" s="2">
        <v>123</v>
      </c>
      <c r="AH84" s="2">
        <v>248</v>
      </c>
      <c r="AI84" s="2">
        <v>4498</v>
      </c>
      <c r="AJ84" s="2">
        <v>4</v>
      </c>
      <c r="AK84" s="72">
        <f>Weather!B204</f>
        <v>492.1</v>
      </c>
      <c r="AL84" s="72">
        <f>Weather!C204</f>
        <v>0</v>
      </c>
      <c r="AM84" s="72">
        <f t="shared" si="83"/>
        <v>30</v>
      </c>
      <c r="AN84" s="59">
        <v>21</v>
      </c>
      <c r="AO84" s="72">
        <f t="shared" si="122"/>
        <v>1</v>
      </c>
      <c r="AP84" s="72">
        <f>Employment!B84</f>
        <v>6863.8</v>
      </c>
      <c r="AQ84" s="72">
        <f>Employment!C84</f>
        <v>238.8</v>
      </c>
      <c r="AR84" s="72">
        <f t="shared" ref="AR84:AS84" si="158">AR72</f>
        <v>0</v>
      </c>
      <c r="AS84" s="72">
        <f t="shared" si="158"/>
        <v>1</v>
      </c>
      <c r="AT84" s="5">
        <f t="shared" si="128"/>
        <v>83</v>
      </c>
      <c r="AU84" s="73">
        <f t="shared" ref="AU84:BF84" si="159">AU72</f>
        <v>0</v>
      </c>
      <c r="AV84" s="73">
        <f t="shared" si="159"/>
        <v>0</v>
      </c>
      <c r="AW84" s="73">
        <f t="shared" si="159"/>
        <v>0</v>
      </c>
      <c r="AX84" s="73">
        <f t="shared" si="159"/>
        <v>0</v>
      </c>
      <c r="AY84" s="73">
        <f t="shared" si="159"/>
        <v>0</v>
      </c>
      <c r="AZ84" s="73">
        <f t="shared" si="159"/>
        <v>0</v>
      </c>
      <c r="BA84" s="73">
        <f t="shared" si="159"/>
        <v>0</v>
      </c>
      <c r="BB84" s="73">
        <f t="shared" si="159"/>
        <v>0</v>
      </c>
      <c r="BC84" s="73">
        <f t="shared" si="159"/>
        <v>0</v>
      </c>
      <c r="BD84" s="73">
        <f t="shared" si="159"/>
        <v>0</v>
      </c>
      <c r="BE84" s="73">
        <f t="shared" si="159"/>
        <v>1</v>
      </c>
      <c r="BF84" s="73">
        <f t="shared" si="159"/>
        <v>0</v>
      </c>
    </row>
    <row r="85" spans="1:58" x14ac:dyDescent="0.3">
      <c r="A85" s="1">
        <f>Sheet2!A133</f>
        <v>41609</v>
      </c>
      <c r="B85" s="92">
        <f t="shared" si="116"/>
        <v>2013</v>
      </c>
      <c r="C85" s="2">
        <f>Sheet2!B133</f>
        <v>13648161.669999998</v>
      </c>
      <c r="D85" s="72">
        <f ca="1">OFFSET('Historic CDM'!$C$94,0,(ROW()-2)/12)/12*1000</f>
        <v>212258.52684287989</v>
      </c>
      <c r="E85" s="72">
        <f t="shared" ca="1" si="117"/>
        <v>13860420.196842877</v>
      </c>
      <c r="F85" s="2">
        <f>Sheet2!C133</f>
        <v>4422346.1399999997</v>
      </c>
      <c r="G85" s="72">
        <f ca="1">OFFSET('Historic CDM'!$C$108,0,(ROW()-2)/12)/12*1000</f>
        <v>140443.57202300371</v>
      </c>
      <c r="H85" s="72">
        <f t="shared" ca="1" si="118"/>
        <v>4562789.712023003</v>
      </c>
      <c r="I85" s="2">
        <f>Sheet2!D133</f>
        <v>9536538.9500000011</v>
      </c>
      <c r="J85" s="72">
        <f ca="1">OFFSET('Historic CDM'!$C$122,0,(ROW()-2)/12)/12*1000</f>
        <v>343861.26990587689</v>
      </c>
      <c r="K85" s="72">
        <f t="shared" ca="1" si="119"/>
        <v>9880400.2199058775</v>
      </c>
      <c r="L85" s="2">
        <f>Sheet2!E133</f>
        <v>5327210.32</v>
      </c>
      <c r="M85" s="72">
        <f ca="1">OFFSET('Historic CDM'!$C$136,0,(ROW()-2)/12)/12*1000</f>
        <v>186871.47331257138</v>
      </c>
      <c r="N85" s="72">
        <f t="shared" ca="1" si="120"/>
        <v>5514081.7933125719</v>
      </c>
      <c r="O85" s="60">
        <f>Sheet2!F133</f>
        <v>7145704.2199999997</v>
      </c>
      <c r="P85" s="72">
        <f ca="1">OFFSET('Historic CDM'!$C$150,0,(ROW()-2)/12)/12*1000</f>
        <v>278500.74712910189</v>
      </c>
      <c r="Q85" s="72">
        <f t="shared" ca="1" si="121"/>
        <v>7424204.967129102</v>
      </c>
      <c r="R85" s="2">
        <f>Sheet2!G133</f>
        <v>280729.88</v>
      </c>
      <c r="S85" s="2">
        <f>Sheet2!H133</f>
        <v>1432.57</v>
      </c>
      <c r="T85" s="2">
        <f>Sheet2!I133</f>
        <v>50192</v>
      </c>
      <c r="U85" s="66">
        <f>Sheet2!J133</f>
        <v>1589635.4</v>
      </c>
      <c r="V85" s="72">
        <v>29533.120000000003</v>
      </c>
      <c r="W85" s="72">
        <v>12579.91</v>
      </c>
      <c r="X85" s="72">
        <v>13719</v>
      </c>
      <c r="Y85" s="72">
        <v>598.33000000000004</v>
      </c>
      <c r="Z85" s="72">
        <v>55</v>
      </c>
      <c r="AA85" s="72">
        <v>3415</v>
      </c>
      <c r="AB85" s="2">
        <v>16444</v>
      </c>
      <c r="AC85" s="2">
        <v>1946</v>
      </c>
      <c r="AD85" s="2">
        <v>186</v>
      </c>
      <c r="AE85" s="2">
        <v>5</v>
      </c>
      <c r="AF85" s="2">
        <v>1</v>
      </c>
      <c r="AG85" s="2">
        <v>123</v>
      </c>
      <c r="AH85" s="2">
        <v>248</v>
      </c>
      <c r="AI85" s="2">
        <v>4498</v>
      </c>
      <c r="AJ85" s="2">
        <v>4</v>
      </c>
      <c r="AK85" s="72">
        <f>Weather!B205</f>
        <v>687.7</v>
      </c>
      <c r="AL85" s="72">
        <f>Weather!C205</f>
        <v>0</v>
      </c>
      <c r="AM85" s="72">
        <f t="shared" si="83"/>
        <v>31</v>
      </c>
      <c r="AN85" s="59">
        <v>20</v>
      </c>
      <c r="AO85" s="72">
        <f t="shared" si="122"/>
        <v>0</v>
      </c>
      <c r="AP85" s="72">
        <f>Employment!B85</f>
        <v>6849.3</v>
      </c>
      <c r="AQ85" s="72">
        <f>Employment!C85</f>
        <v>237.8</v>
      </c>
      <c r="AR85" s="72">
        <f t="shared" ref="AR85:AS85" si="160">AR73</f>
        <v>0</v>
      </c>
      <c r="AS85" s="72">
        <f t="shared" si="160"/>
        <v>0</v>
      </c>
      <c r="AT85" s="5">
        <f t="shared" si="128"/>
        <v>84</v>
      </c>
      <c r="AU85" s="73">
        <f t="shared" ref="AU85:BF85" si="161">AU73</f>
        <v>0</v>
      </c>
      <c r="AV85" s="73">
        <f t="shared" si="161"/>
        <v>0</v>
      </c>
      <c r="AW85" s="73">
        <f t="shared" si="161"/>
        <v>0</v>
      </c>
      <c r="AX85" s="73">
        <f t="shared" si="161"/>
        <v>0</v>
      </c>
      <c r="AY85" s="73">
        <f t="shared" si="161"/>
        <v>0</v>
      </c>
      <c r="AZ85" s="73">
        <f t="shared" si="161"/>
        <v>0</v>
      </c>
      <c r="BA85" s="73">
        <f t="shared" si="161"/>
        <v>0</v>
      </c>
      <c r="BB85" s="73">
        <f t="shared" si="161"/>
        <v>0</v>
      </c>
      <c r="BC85" s="73">
        <f t="shared" si="161"/>
        <v>0</v>
      </c>
      <c r="BD85" s="73">
        <f t="shared" si="161"/>
        <v>0</v>
      </c>
      <c r="BE85" s="73">
        <f t="shared" si="161"/>
        <v>0</v>
      </c>
      <c r="BF85" s="73">
        <f t="shared" si="161"/>
        <v>1</v>
      </c>
    </row>
    <row r="86" spans="1:58" x14ac:dyDescent="0.3">
      <c r="A86" s="1">
        <f>Sheet2!A134</f>
        <v>41640</v>
      </c>
      <c r="B86" s="92">
        <f t="shared" si="116"/>
        <v>2014</v>
      </c>
      <c r="C86" s="2">
        <f>Sheet2!B134</f>
        <v>14469680.450000003</v>
      </c>
      <c r="D86" s="72">
        <f ca="1">OFFSET('Historic CDM'!$C$94,0,(ROW()-2)/12)/12*1000</f>
        <v>252488.6503438626</v>
      </c>
      <c r="E86" s="72">
        <f t="shared" ca="1" si="117"/>
        <v>14722169.100343866</v>
      </c>
      <c r="F86" s="2">
        <f>Sheet2!C134</f>
        <v>4782755.9099999992</v>
      </c>
      <c r="G86" s="72">
        <f ca="1">OFFSET('Historic CDM'!$C$108,0,(ROW()-2)/12)/12*1000</f>
        <v>205423.59830695877</v>
      </c>
      <c r="H86" s="72">
        <f t="shared" ca="1" si="118"/>
        <v>4988179.5083069578</v>
      </c>
      <c r="I86" s="2">
        <f>Sheet2!D134</f>
        <v>12179333.810000001</v>
      </c>
      <c r="J86" s="72">
        <f ca="1">OFFSET('Historic CDM'!$C$122,0,(ROW()-2)/12)/12*1000</f>
        <v>502958.00914901018</v>
      </c>
      <c r="K86" s="72">
        <f t="shared" ca="1" si="119"/>
        <v>12682291.81914901</v>
      </c>
      <c r="L86" s="2">
        <f>Sheet2!E134</f>
        <v>5654830.7599999998</v>
      </c>
      <c r="M86" s="72">
        <f ca="1">OFFSET('Historic CDM'!$C$136,0,(ROW()-2)/12)/12*1000</f>
        <v>273332.62687525182</v>
      </c>
      <c r="N86" s="72">
        <f t="shared" ca="1" si="120"/>
        <v>5928163.3868752513</v>
      </c>
      <c r="O86" s="60">
        <f>Sheet2!F134</f>
        <v>8681190.2599999998</v>
      </c>
      <c r="P86" s="72">
        <f ca="1">OFFSET('Historic CDM'!$C$150,0,(ROW()-2)/12)/12*1000</f>
        <v>407356.66846372868</v>
      </c>
      <c r="Q86" s="72">
        <f t="shared" ca="1" si="121"/>
        <v>9088546.9284637291</v>
      </c>
      <c r="R86" s="2">
        <f>Sheet2!G134</f>
        <v>145889.18</v>
      </c>
      <c r="S86" s="2">
        <f>Sheet2!H134</f>
        <v>1432.57</v>
      </c>
      <c r="T86" s="2">
        <f>Sheet2!I134</f>
        <v>44253</v>
      </c>
      <c r="U86" s="66">
        <f>Sheet2!J134</f>
        <v>1782146.4</v>
      </c>
      <c r="V86" s="72">
        <v>28981.03</v>
      </c>
      <c r="W86" s="72">
        <v>10873.97</v>
      </c>
      <c r="X86" s="72">
        <v>13719</v>
      </c>
      <c r="Y86" s="72">
        <v>596.28</v>
      </c>
      <c r="Z86" s="72">
        <v>54</v>
      </c>
      <c r="AA86" s="72">
        <v>3415</v>
      </c>
      <c r="AB86" s="2">
        <v>16447</v>
      </c>
      <c r="AC86" s="2">
        <v>1949</v>
      </c>
      <c r="AD86" s="2">
        <v>188</v>
      </c>
      <c r="AE86" s="2">
        <v>5</v>
      </c>
      <c r="AF86" s="2">
        <v>1</v>
      </c>
      <c r="AG86" s="2">
        <v>123</v>
      </c>
      <c r="AH86" s="2">
        <v>248</v>
      </c>
      <c r="AI86" s="2">
        <v>4498</v>
      </c>
      <c r="AJ86" s="2">
        <v>4</v>
      </c>
      <c r="AK86" s="72">
        <f>Weather!B206</f>
        <v>810.4</v>
      </c>
      <c r="AL86" s="72">
        <f>Weather!C206</f>
        <v>0</v>
      </c>
      <c r="AM86" s="72">
        <f t="shared" si="83"/>
        <v>31</v>
      </c>
      <c r="AN86" s="59">
        <v>22</v>
      </c>
      <c r="AO86" s="72">
        <f t="shared" si="122"/>
        <v>0</v>
      </c>
      <c r="AP86" s="72">
        <f>Employment!B86</f>
        <v>6806.1</v>
      </c>
      <c r="AQ86" s="72">
        <f>Employment!C86</f>
        <v>234.8</v>
      </c>
      <c r="AR86" s="72">
        <f t="shared" ref="AR86:AS86" si="162">AR74</f>
        <v>0</v>
      </c>
      <c r="AS86" s="72">
        <f t="shared" si="162"/>
        <v>0</v>
      </c>
      <c r="AT86" s="5">
        <f t="shared" si="128"/>
        <v>85</v>
      </c>
      <c r="AU86" s="73">
        <f t="shared" ref="AU86:BF86" si="163">AU74</f>
        <v>1</v>
      </c>
      <c r="AV86" s="73">
        <f t="shared" si="163"/>
        <v>0</v>
      </c>
      <c r="AW86" s="73">
        <f t="shared" si="163"/>
        <v>0</v>
      </c>
      <c r="AX86" s="73">
        <f t="shared" si="163"/>
        <v>0</v>
      </c>
      <c r="AY86" s="73">
        <f t="shared" si="163"/>
        <v>0</v>
      </c>
      <c r="AZ86" s="73">
        <f t="shared" si="163"/>
        <v>0</v>
      </c>
      <c r="BA86" s="73">
        <f t="shared" si="163"/>
        <v>0</v>
      </c>
      <c r="BB86" s="73">
        <f t="shared" si="163"/>
        <v>0</v>
      </c>
      <c r="BC86" s="73">
        <f t="shared" si="163"/>
        <v>0</v>
      </c>
      <c r="BD86" s="73">
        <f t="shared" si="163"/>
        <v>0</v>
      </c>
      <c r="BE86" s="73">
        <f t="shared" si="163"/>
        <v>0</v>
      </c>
      <c r="BF86" s="73">
        <f t="shared" si="163"/>
        <v>0</v>
      </c>
    </row>
    <row r="87" spans="1:58" x14ac:dyDescent="0.3">
      <c r="A87" s="1">
        <f>Sheet2!A135</f>
        <v>41671</v>
      </c>
      <c r="B87" s="92">
        <f t="shared" si="116"/>
        <v>2014</v>
      </c>
      <c r="C87" s="2">
        <f>Sheet2!B135</f>
        <v>13538435.939999998</v>
      </c>
      <c r="D87" s="72">
        <f ca="1">OFFSET('Historic CDM'!$C$94,0,(ROW()-2)/12)/12*1000</f>
        <v>252488.6503438626</v>
      </c>
      <c r="E87" s="72">
        <f t="shared" ca="1" si="117"/>
        <v>13790924.590343861</v>
      </c>
      <c r="F87" s="2">
        <f>Sheet2!C135</f>
        <v>4518437.7600000007</v>
      </c>
      <c r="G87" s="72">
        <f ca="1">OFFSET('Historic CDM'!$C$108,0,(ROW()-2)/12)/12*1000</f>
        <v>205423.59830695877</v>
      </c>
      <c r="H87" s="72">
        <f t="shared" ca="1" si="118"/>
        <v>4723861.3583069593</v>
      </c>
      <c r="I87" s="2">
        <f>Sheet2!D135</f>
        <v>10266015.569999998</v>
      </c>
      <c r="J87" s="72">
        <f ca="1">OFFSET('Historic CDM'!$C$122,0,(ROW()-2)/12)/12*1000</f>
        <v>502958.00914901018</v>
      </c>
      <c r="K87" s="72">
        <f t="shared" ca="1" si="119"/>
        <v>10768973.579149008</v>
      </c>
      <c r="L87" s="2">
        <f>Sheet2!E135</f>
        <v>5239307.7799999993</v>
      </c>
      <c r="M87" s="72">
        <f ca="1">OFFSET('Historic CDM'!$C$136,0,(ROW()-2)/12)/12*1000</f>
        <v>273332.62687525182</v>
      </c>
      <c r="N87" s="72">
        <f t="shared" ca="1" si="120"/>
        <v>5512640.4068752509</v>
      </c>
      <c r="O87" s="60">
        <f>Sheet2!F135</f>
        <v>8089472.25</v>
      </c>
      <c r="P87" s="72">
        <f ca="1">OFFSET('Historic CDM'!$C$150,0,(ROW()-2)/12)/12*1000</f>
        <v>407356.66846372868</v>
      </c>
      <c r="Q87" s="72">
        <f t="shared" ca="1" si="121"/>
        <v>8496828.9184637293</v>
      </c>
      <c r="R87" s="2">
        <f>Sheet2!G135</f>
        <v>209392.22000000003</v>
      </c>
      <c r="S87" s="2">
        <f>Sheet2!H135</f>
        <v>1293.94</v>
      </c>
      <c r="T87" s="2">
        <f>Sheet2!I135</f>
        <v>44308</v>
      </c>
      <c r="U87" s="66">
        <f>Sheet2!J135</f>
        <v>1552111.2999999998</v>
      </c>
      <c r="V87" s="72">
        <v>32402.200000000004</v>
      </c>
      <c r="W87" s="72">
        <v>9182.7800000000007</v>
      </c>
      <c r="X87" s="72">
        <v>13775.8</v>
      </c>
      <c r="Y87" s="72">
        <v>287.01</v>
      </c>
      <c r="Z87" s="72">
        <v>54</v>
      </c>
      <c r="AA87" s="72">
        <v>3548.5</v>
      </c>
      <c r="AB87" s="2">
        <v>16453</v>
      </c>
      <c r="AC87" s="2">
        <v>1950</v>
      </c>
      <c r="AD87" s="2">
        <v>188</v>
      </c>
      <c r="AE87" s="2">
        <v>5</v>
      </c>
      <c r="AF87" s="2">
        <v>1</v>
      </c>
      <c r="AG87" s="2">
        <v>123</v>
      </c>
      <c r="AH87" s="2">
        <v>248</v>
      </c>
      <c r="AI87" s="2">
        <v>4498</v>
      </c>
      <c r="AJ87" s="2">
        <v>4</v>
      </c>
      <c r="AK87" s="72">
        <f>Weather!B207</f>
        <v>730</v>
      </c>
      <c r="AL87" s="72">
        <f>Weather!C207</f>
        <v>0</v>
      </c>
      <c r="AM87" s="72">
        <f t="shared" si="83"/>
        <v>28</v>
      </c>
      <c r="AN87" s="59">
        <v>19</v>
      </c>
      <c r="AO87" s="72">
        <f t="shared" si="122"/>
        <v>0</v>
      </c>
      <c r="AP87" s="72">
        <f>Employment!B87</f>
        <v>6772.3</v>
      </c>
      <c r="AQ87" s="72">
        <f>Employment!C87</f>
        <v>233.9</v>
      </c>
      <c r="AR87" s="72">
        <f t="shared" ref="AR87:AS87" si="164">AR75</f>
        <v>0</v>
      </c>
      <c r="AS87" s="72">
        <f t="shared" si="164"/>
        <v>0</v>
      </c>
      <c r="AT87" s="5">
        <f t="shared" si="128"/>
        <v>86</v>
      </c>
      <c r="AU87" s="73">
        <f t="shared" ref="AU87:BF87" si="165">AU75</f>
        <v>0</v>
      </c>
      <c r="AV87" s="73">
        <f t="shared" si="165"/>
        <v>1</v>
      </c>
      <c r="AW87" s="73">
        <f t="shared" si="165"/>
        <v>0</v>
      </c>
      <c r="AX87" s="73">
        <f t="shared" si="165"/>
        <v>0</v>
      </c>
      <c r="AY87" s="73">
        <f t="shared" si="165"/>
        <v>0</v>
      </c>
      <c r="AZ87" s="73">
        <f t="shared" si="165"/>
        <v>0</v>
      </c>
      <c r="BA87" s="73">
        <f t="shared" si="165"/>
        <v>0</v>
      </c>
      <c r="BB87" s="73">
        <f t="shared" si="165"/>
        <v>0</v>
      </c>
      <c r="BC87" s="73">
        <f t="shared" si="165"/>
        <v>0</v>
      </c>
      <c r="BD87" s="73">
        <f t="shared" si="165"/>
        <v>0</v>
      </c>
      <c r="BE87" s="73">
        <f t="shared" si="165"/>
        <v>0</v>
      </c>
      <c r="BF87" s="73">
        <f t="shared" si="165"/>
        <v>0</v>
      </c>
    </row>
    <row r="88" spans="1:58" x14ac:dyDescent="0.3">
      <c r="A88" s="1">
        <f>Sheet2!A136</f>
        <v>41699</v>
      </c>
      <c r="B88" s="92">
        <f t="shared" si="116"/>
        <v>2014</v>
      </c>
      <c r="C88" s="2">
        <f>Sheet2!B136</f>
        <v>12276401</v>
      </c>
      <c r="D88" s="72">
        <f ca="1">OFFSET('Historic CDM'!$C$94,0,(ROW()-2)/12)/12*1000</f>
        <v>252488.6503438626</v>
      </c>
      <c r="E88" s="72">
        <f t="shared" ca="1" si="117"/>
        <v>12528889.650343863</v>
      </c>
      <c r="F88" s="2">
        <f>Sheet2!C136</f>
        <v>4159779.8399999994</v>
      </c>
      <c r="G88" s="72">
        <f ca="1">OFFSET('Historic CDM'!$C$108,0,(ROW()-2)/12)/12*1000</f>
        <v>205423.59830695877</v>
      </c>
      <c r="H88" s="72">
        <f t="shared" ca="1" si="118"/>
        <v>4365203.4383069584</v>
      </c>
      <c r="I88" s="2">
        <f>Sheet2!D136</f>
        <v>10377520.93</v>
      </c>
      <c r="J88" s="72">
        <f ca="1">OFFSET('Historic CDM'!$C$122,0,(ROW()-2)/12)/12*1000</f>
        <v>502958.00914901018</v>
      </c>
      <c r="K88" s="72">
        <f t="shared" ca="1" si="119"/>
        <v>10880478.939149009</v>
      </c>
      <c r="L88" s="2">
        <f>Sheet2!E136</f>
        <v>5349329.4399999995</v>
      </c>
      <c r="M88" s="72">
        <f ca="1">OFFSET('Historic CDM'!$C$136,0,(ROW()-2)/12)/12*1000</f>
        <v>273332.62687525182</v>
      </c>
      <c r="N88" s="72">
        <f t="shared" ca="1" si="120"/>
        <v>5622662.066875251</v>
      </c>
      <c r="O88" s="60">
        <f>Sheet2!F136</f>
        <v>8653933.0999999996</v>
      </c>
      <c r="P88" s="72">
        <f ca="1">OFFSET('Historic CDM'!$C$150,0,(ROW()-2)/12)/12*1000</f>
        <v>407356.66846372868</v>
      </c>
      <c r="Q88" s="72">
        <f t="shared" ca="1" si="121"/>
        <v>9061289.7684637289</v>
      </c>
      <c r="R88" s="2">
        <f>Sheet2!G136</f>
        <v>192271.35</v>
      </c>
      <c r="S88" s="2">
        <f>Sheet2!H136</f>
        <v>1432.57</v>
      </c>
      <c r="T88" s="2">
        <f>Sheet2!I136</f>
        <v>44308</v>
      </c>
      <c r="U88" s="66">
        <f>Sheet2!J136</f>
        <v>1557780</v>
      </c>
      <c r="V88" s="72">
        <v>28749.91</v>
      </c>
      <c r="W88" s="72">
        <v>10512.27</v>
      </c>
      <c r="X88" s="72">
        <v>13783.91</v>
      </c>
      <c r="Y88" s="72">
        <v>549.45000000000005</v>
      </c>
      <c r="Z88" s="72">
        <v>55</v>
      </c>
      <c r="AA88" s="72">
        <v>3311.1000000000004</v>
      </c>
      <c r="AB88" s="2">
        <v>16458</v>
      </c>
      <c r="AC88" s="2">
        <v>1948</v>
      </c>
      <c r="AD88" s="2">
        <v>189</v>
      </c>
      <c r="AE88" s="2">
        <v>5</v>
      </c>
      <c r="AF88" s="2">
        <v>1</v>
      </c>
      <c r="AG88" s="2">
        <v>123</v>
      </c>
      <c r="AH88" s="2">
        <v>248</v>
      </c>
      <c r="AI88" s="2">
        <v>4498</v>
      </c>
      <c r="AJ88" s="2">
        <v>4</v>
      </c>
      <c r="AK88" s="72">
        <f>Weather!B208</f>
        <v>696.3</v>
      </c>
      <c r="AL88" s="72">
        <f>Weather!C208</f>
        <v>0</v>
      </c>
      <c r="AM88" s="72">
        <f t="shared" si="83"/>
        <v>31</v>
      </c>
      <c r="AN88" s="59">
        <v>21</v>
      </c>
      <c r="AO88" s="72">
        <f t="shared" si="122"/>
        <v>1</v>
      </c>
      <c r="AP88" s="72">
        <f>Employment!B88</f>
        <v>6751.3</v>
      </c>
      <c r="AQ88" s="72">
        <f>Employment!C88</f>
        <v>232.7</v>
      </c>
      <c r="AR88" s="72">
        <f t="shared" ref="AR88:AS88" si="166">AR76</f>
        <v>1</v>
      </c>
      <c r="AS88" s="72">
        <f t="shared" si="166"/>
        <v>0</v>
      </c>
      <c r="AT88" s="5">
        <f t="shared" si="128"/>
        <v>87</v>
      </c>
      <c r="AU88" s="73">
        <f t="shared" ref="AU88:BF88" si="167">AU76</f>
        <v>0</v>
      </c>
      <c r="AV88" s="73">
        <f t="shared" si="167"/>
        <v>0</v>
      </c>
      <c r="AW88" s="73">
        <f t="shared" si="167"/>
        <v>1</v>
      </c>
      <c r="AX88" s="73">
        <f t="shared" si="167"/>
        <v>0</v>
      </c>
      <c r="AY88" s="73">
        <f t="shared" si="167"/>
        <v>0</v>
      </c>
      <c r="AZ88" s="73">
        <f t="shared" si="167"/>
        <v>0</v>
      </c>
      <c r="BA88" s="73">
        <f t="shared" si="167"/>
        <v>0</v>
      </c>
      <c r="BB88" s="73">
        <f t="shared" si="167"/>
        <v>0</v>
      </c>
      <c r="BC88" s="73">
        <f t="shared" si="167"/>
        <v>0</v>
      </c>
      <c r="BD88" s="73">
        <f t="shared" si="167"/>
        <v>0</v>
      </c>
      <c r="BE88" s="73">
        <f t="shared" si="167"/>
        <v>0</v>
      </c>
      <c r="BF88" s="73">
        <f t="shared" si="167"/>
        <v>0</v>
      </c>
    </row>
    <row r="89" spans="1:58" x14ac:dyDescent="0.3">
      <c r="A89" s="1">
        <f>Sheet2!A137</f>
        <v>41730</v>
      </c>
      <c r="B89" s="92">
        <f t="shared" si="116"/>
        <v>2014</v>
      </c>
      <c r="C89" s="2">
        <f>Sheet2!B137</f>
        <v>10563951.789999999</v>
      </c>
      <c r="D89" s="72">
        <f ca="1">OFFSET('Historic CDM'!$C$94,0,(ROW()-2)/12)/12*1000</f>
        <v>252488.6503438626</v>
      </c>
      <c r="E89" s="72">
        <f t="shared" ca="1" si="117"/>
        <v>10816440.440343862</v>
      </c>
      <c r="F89" s="2">
        <f>Sheet2!C137</f>
        <v>3561525.37</v>
      </c>
      <c r="G89" s="72">
        <f ca="1">OFFSET('Historic CDM'!$C$108,0,(ROW()-2)/12)/12*1000</f>
        <v>205423.59830695877</v>
      </c>
      <c r="H89" s="72">
        <f t="shared" ca="1" si="118"/>
        <v>3766948.9683069587</v>
      </c>
      <c r="I89" s="2">
        <f>Sheet2!D137</f>
        <v>8246418.5599999996</v>
      </c>
      <c r="J89" s="72">
        <f ca="1">OFFSET('Historic CDM'!$C$122,0,(ROW()-2)/12)/12*1000</f>
        <v>502958.00914901018</v>
      </c>
      <c r="K89" s="72">
        <f t="shared" ca="1" si="119"/>
        <v>8749376.5691490099</v>
      </c>
      <c r="L89" s="2">
        <f>Sheet2!E137</f>
        <v>5698739.6200000001</v>
      </c>
      <c r="M89" s="72">
        <f ca="1">OFFSET('Historic CDM'!$C$136,0,(ROW()-2)/12)/12*1000</f>
        <v>273332.62687525182</v>
      </c>
      <c r="N89" s="72">
        <f t="shared" ca="1" si="120"/>
        <v>5972072.2468752516</v>
      </c>
      <c r="O89" s="2">
        <f>Sheet2!F137</f>
        <v>7884298.4699999997</v>
      </c>
      <c r="P89" s="72">
        <f ca="1">OFFSET('Historic CDM'!$C$150,0,(ROW()-2)/12)/12*1000</f>
        <v>407356.66846372868</v>
      </c>
      <c r="Q89" s="72">
        <f t="shared" ca="1" si="121"/>
        <v>8291655.1384637281</v>
      </c>
      <c r="R89" s="2">
        <f>Sheet2!G137</f>
        <v>160943.16</v>
      </c>
      <c r="S89" s="2">
        <f>Sheet2!H137</f>
        <v>1386.3600000000001</v>
      </c>
      <c r="T89" s="2">
        <f>Sheet2!I137</f>
        <v>40068</v>
      </c>
      <c r="U89" s="60">
        <f>Sheet2!J137</f>
        <v>1239738.3</v>
      </c>
      <c r="V89" s="60">
        <v>28981.03</v>
      </c>
      <c r="W89" s="60">
        <v>10873.97</v>
      </c>
      <c r="X89" s="60">
        <v>25533.52</v>
      </c>
      <c r="Y89" s="60">
        <v>542.11</v>
      </c>
      <c r="Z89" s="60">
        <v>55</v>
      </c>
      <c r="AA89" s="60">
        <v>3306.7000000000003</v>
      </c>
      <c r="AB89" s="2">
        <v>16474</v>
      </c>
      <c r="AC89" s="2">
        <v>1947</v>
      </c>
      <c r="AD89" s="2">
        <v>189</v>
      </c>
      <c r="AE89" s="2">
        <v>5</v>
      </c>
      <c r="AF89" s="2">
        <v>1</v>
      </c>
      <c r="AG89" s="2">
        <v>123</v>
      </c>
      <c r="AH89" s="2">
        <v>248</v>
      </c>
      <c r="AI89" s="2">
        <v>4498</v>
      </c>
      <c r="AJ89" s="2">
        <v>4</v>
      </c>
      <c r="AK89" s="72">
        <f>Weather!B209</f>
        <v>353.8</v>
      </c>
      <c r="AL89" s="72">
        <f>Weather!C209</f>
        <v>0</v>
      </c>
      <c r="AM89" s="72">
        <f t="shared" si="83"/>
        <v>30</v>
      </c>
      <c r="AN89" s="59">
        <v>20</v>
      </c>
      <c r="AO89" s="72">
        <f t="shared" si="122"/>
        <v>1</v>
      </c>
      <c r="AP89" s="72">
        <f>Employment!B89</f>
        <v>6785</v>
      </c>
      <c r="AQ89" s="72">
        <f>Employment!C89</f>
        <v>236</v>
      </c>
      <c r="AR89" s="72">
        <f t="shared" ref="AR89:AS89" si="168">AR77</f>
        <v>1</v>
      </c>
      <c r="AS89" s="72">
        <f t="shared" si="168"/>
        <v>0</v>
      </c>
      <c r="AT89" s="5">
        <f t="shared" si="128"/>
        <v>88</v>
      </c>
      <c r="AU89" s="73">
        <f t="shared" ref="AU89:BF89" si="169">AU77</f>
        <v>0</v>
      </c>
      <c r="AV89" s="73">
        <f t="shared" si="169"/>
        <v>0</v>
      </c>
      <c r="AW89" s="73">
        <f t="shared" si="169"/>
        <v>0</v>
      </c>
      <c r="AX89" s="73">
        <f t="shared" si="169"/>
        <v>1</v>
      </c>
      <c r="AY89" s="73">
        <f t="shared" si="169"/>
        <v>0</v>
      </c>
      <c r="AZ89" s="73">
        <f t="shared" si="169"/>
        <v>0</v>
      </c>
      <c r="BA89" s="73">
        <f t="shared" si="169"/>
        <v>0</v>
      </c>
      <c r="BB89" s="73">
        <f t="shared" si="169"/>
        <v>0</v>
      </c>
      <c r="BC89" s="73">
        <f t="shared" si="169"/>
        <v>0</v>
      </c>
      <c r="BD89" s="73">
        <f t="shared" si="169"/>
        <v>0</v>
      </c>
      <c r="BE89" s="73">
        <f t="shared" si="169"/>
        <v>0</v>
      </c>
      <c r="BF89" s="73">
        <f t="shared" si="169"/>
        <v>0</v>
      </c>
    </row>
    <row r="90" spans="1:58" x14ac:dyDescent="0.3">
      <c r="A90" s="1">
        <f>Sheet2!A138</f>
        <v>41760</v>
      </c>
      <c r="B90" s="92">
        <f t="shared" si="116"/>
        <v>2014</v>
      </c>
      <c r="C90" s="2">
        <f>Sheet2!B138</f>
        <v>9450599.5099999998</v>
      </c>
      <c r="D90" s="72">
        <f ca="1">OFFSET('Historic CDM'!$C$94,0,(ROW()-2)/12)/12*1000</f>
        <v>252488.6503438626</v>
      </c>
      <c r="E90" s="72">
        <f t="shared" ca="1" si="117"/>
        <v>9703088.1603438631</v>
      </c>
      <c r="F90" s="2">
        <f>Sheet2!C138</f>
        <v>3399764.38</v>
      </c>
      <c r="G90" s="72">
        <f ca="1">OFFSET('Historic CDM'!$C$108,0,(ROW()-2)/12)/12*1000</f>
        <v>205423.59830695877</v>
      </c>
      <c r="H90" s="72">
        <f t="shared" ca="1" si="118"/>
        <v>3605187.9783069585</v>
      </c>
      <c r="I90" s="2">
        <f>Sheet2!D138</f>
        <v>9869426.2400000002</v>
      </c>
      <c r="J90" s="72">
        <f ca="1">OFFSET('Historic CDM'!$C$122,0,(ROW()-2)/12)/12*1000</f>
        <v>502958.00914901018</v>
      </c>
      <c r="K90" s="72">
        <f t="shared" ca="1" si="119"/>
        <v>10372384.24914901</v>
      </c>
      <c r="L90" s="2">
        <f>Sheet2!E138</f>
        <v>6042081.7599999998</v>
      </c>
      <c r="M90" s="72">
        <f ca="1">OFFSET('Historic CDM'!$C$136,0,(ROW()-2)/12)/12*1000</f>
        <v>273332.62687525182</v>
      </c>
      <c r="N90" s="72">
        <f t="shared" ca="1" si="120"/>
        <v>6315414.3868752513</v>
      </c>
      <c r="O90" s="2">
        <f>Sheet2!F138</f>
        <v>8446977.8999999985</v>
      </c>
      <c r="P90" s="72">
        <f ca="1">OFFSET('Historic CDM'!$C$150,0,(ROW()-2)/12)/12*1000</f>
        <v>407356.66846372868</v>
      </c>
      <c r="Q90" s="72">
        <f t="shared" ca="1" si="121"/>
        <v>8854334.5684637278</v>
      </c>
      <c r="R90" s="2">
        <f>Sheet2!G138</f>
        <v>118073.12000000001</v>
      </c>
      <c r="S90" s="2">
        <f>Sheet2!H138</f>
        <v>1432.57</v>
      </c>
      <c r="T90" s="2">
        <f>Sheet2!I138</f>
        <v>43778</v>
      </c>
      <c r="U90" s="60">
        <f>Sheet2!J138</f>
        <v>1189778.1999999997</v>
      </c>
      <c r="V90" s="60">
        <v>28981.03</v>
      </c>
      <c r="W90" s="60">
        <v>10873.97</v>
      </c>
      <c r="X90" s="60">
        <v>13571.77</v>
      </c>
      <c r="Y90" s="60">
        <v>493.49999999999994</v>
      </c>
      <c r="Z90" s="60">
        <v>55</v>
      </c>
      <c r="AA90" s="60">
        <v>2656.7</v>
      </c>
      <c r="AB90" s="2">
        <v>16486</v>
      </c>
      <c r="AC90" s="2">
        <v>1950</v>
      </c>
      <c r="AD90" s="2">
        <v>187</v>
      </c>
      <c r="AE90" s="2">
        <v>5</v>
      </c>
      <c r="AF90" s="2">
        <v>1</v>
      </c>
      <c r="AG90" s="2">
        <v>122</v>
      </c>
      <c r="AH90" s="2">
        <v>248</v>
      </c>
      <c r="AI90" s="2">
        <v>4498</v>
      </c>
      <c r="AJ90" s="2">
        <v>4</v>
      </c>
      <c r="AK90" s="72">
        <f>Weather!B210</f>
        <v>142.5</v>
      </c>
      <c r="AL90" s="72">
        <f>Weather!C210</f>
        <v>12.2</v>
      </c>
      <c r="AM90" s="72">
        <f t="shared" si="83"/>
        <v>31</v>
      </c>
      <c r="AN90" s="59">
        <v>22</v>
      </c>
      <c r="AO90" s="72">
        <f t="shared" si="122"/>
        <v>1</v>
      </c>
      <c r="AP90" s="72">
        <f>Employment!B90</f>
        <v>6842.6</v>
      </c>
      <c r="AQ90" s="72">
        <f>Employment!C90</f>
        <v>239.7</v>
      </c>
      <c r="AR90" s="72">
        <f t="shared" ref="AR90:AS90" si="170">AR78</f>
        <v>1</v>
      </c>
      <c r="AS90" s="72">
        <f t="shared" si="170"/>
        <v>0</v>
      </c>
      <c r="AT90" s="5">
        <f t="shared" si="128"/>
        <v>89</v>
      </c>
      <c r="AU90" s="73">
        <f t="shared" ref="AU90:BF90" si="171">AU78</f>
        <v>0</v>
      </c>
      <c r="AV90" s="73">
        <f t="shared" si="171"/>
        <v>0</v>
      </c>
      <c r="AW90" s="73">
        <f t="shared" si="171"/>
        <v>0</v>
      </c>
      <c r="AX90" s="73">
        <f t="shared" si="171"/>
        <v>0</v>
      </c>
      <c r="AY90" s="73">
        <f t="shared" si="171"/>
        <v>1</v>
      </c>
      <c r="AZ90" s="73">
        <f t="shared" si="171"/>
        <v>0</v>
      </c>
      <c r="BA90" s="73">
        <f t="shared" si="171"/>
        <v>0</v>
      </c>
      <c r="BB90" s="73">
        <f t="shared" si="171"/>
        <v>0</v>
      </c>
      <c r="BC90" s="73">
        <f t="shared" si="171"/>
        <v>0</v>
      </c>
      <c r="BD90" s="73">
        <f t="shared" si="171"/>
        <v>0</v>
      </c>
      <c r="BE90" s="73">
        <f t="shared" si="171"/>
        <v>0</v>
      </c>
      <c r="BF90" s="73">
        <f t="shared" si="171"/>
        <v>0</v>
      </c>
    </row>
    <row r="91" spans="1:58" x14ac:dyDescent="0.3">
      <c r="A91" s="1">
        <f>Sheet2!A139</f>
        <v>41791</v>
      </c>
      <c r="B91" s="92">
        <f t="shared" si="116"/>
        <v>2014</v>
      </c>
      <c r="C91" s="2">
        <f>Sheet2!B139</f>
        <v>10660189.010000002</v>
      </c>
      <c r="D91" s="72">
        <f ca="1">OFFSET('Historic CDM'!$C$94,0,(ROW()-2)/12)/12*1000</f>
        <v>252488.6503438626</v>
      </c>
      <c r="E91" s="72">
        <f t="shared" ca="1" si="117"/>
        <v>10912677.660343865</v>
      </c>
      <c r="F91" s="2">
        <f>Sheet2!C139</f>
        <v>3844716.64</v>
      </c>
      <c r="G91" s="72">
        <f ca="1">OFFSET('Historic CDM'!$C$108,0,(ROW()-2)/12)/12*1000</f>
        <v>205423.59830695877</v>
      </c>
      <c r="H91" s="72">
        <f t="shared" ca="1" si="118"/>
        <v>4050140.2383069587</v>
      </c>
      <c r="I91" s="2">
        <f>Sheet2!D139</f>
        <v>10053206.52</v>
      </c>
      <c r="J91" s="72">
        <f ca="1">OFFSET('Historic CDM'!$C$122,0,(ROW()-2)/12)/12*1000</f>
        <v>502958.00914901018</v>
      </c>
      <c r="K91" s="72">
        <f t="shared" ca="1" si="119"/>
        <v>10556164.529149009</v>
      </c>
      <c r="L91" s="2">
        <f>Sheet2!E139</f>
        <v>5537029.4199999999</v>
      </c>
      <c r="M91" s="72">
        <f ca="1">OFFSET('Historic CDM'!$C$136,0,(ROW()-2)/12)/12*1000</f>
        <v>273332.62687525182</v>
      </c>
      <c r="N91" s="72">
        <f t="shared" ca="1" si="120"/>
        <v>5810362.0468752515</v>
      </c>
      <c r="O91" s="2">
        <f>Sheet2!F139</f>
        <v>8003559.9699999997</v>
      </c>
      <c r="P91" s="72">
        <f ca="1">OFFSET('Historic CDM'!$C$150,0,(ROW()-2)/12)/12*1000</f>
        <v>407356.66846372868</v>
      </c>
      <c r="Q91" s="72">
        <f t="shared" ca="1" si="121"/>
        <v>8410916.6384637281</v>
      </c>
      <c r="R91" s="2">
        <f>Sheet2!G139</f>
        <v>161298.84</v>
      </c>
      <c r="S91" s="2">
        <f>Sheet2!H139</f>
        <v>1386.3600000000001</v>
      </c>
      <c r="T91" s="2">
        <f>Sheet2!I139</f>
        <v>43778</v>
      </c>
      <c r="U91" s="60">
        <f>Sheet2!J139</f>
        <v>1235955.6000000001</v>
      </c>
      <c r="V91" s="60">
        <v>28981.03</v>
      </c>
      <c r="W91" s="60">
        <v>10873.97</v>
      </c>
      <c r="X91" s="60">
        <v>14249</v>
      </c>
      <c r="Y91" s="60">
        <v>401.05999999999995</v>
      </c>
      <c r="Z91" s="60">
        <v>55</v>
      </c>
      <c r="AA91" s="60">
        <v>2487.9</v>
      </c>
      <c r="AB91" s="2">
        <v>16506</v>
      </c>
      <c r="AC91" s="2">
        <v>1950</v>
      </c>
      <c r="AD91" s="2">
        <v>187</v>
      </c>
      <c r="AE91" s="2">
        <v>5</v>
      </c>
      <c r="AF91" s="2">
        <v>1</v>
      </c>
      <c r="AG91" s="2">
        <v>122</v>
      </c>
      <c r="AH91" s="2">
        <v>248</v>
      </c>
      <c r="AI91" s="2">
        <v>4498</v>
      </c>
      <c r="AJ91" s="2">
        <v>4</v>
      </c>
      <c r="AK91" s="72">
        <f>Weather!B211</f>
        <v>19.7</v>
      </c>
      <c r="AL91" s="72">
        <f>Weather!C211</f>
        <v>71.900000000000006</v>
      </c>
      <c r="AM91" s="72">
        <f t="shared" si="83"/>
        <v>30</v>
      </c>
      <c r="AN91" s="59">
        <v>21</v>
      </c>
      <c r="AO91" s="72">
        <f t="shared" si="122"/>
        <v>0</v>
      </c>
      <c r="AP91" s="72">
        <f>Employment!B91</f>
        <v>6912.9</v>
      </c>
      <c r="AQ91" s="72">
        <f>Employment!C91</f>
        <v>245.2</v>
      </c>
      <c r="AR91" s="72">
        <f t="shared" ref="AR91:AS91" si="172">AR79</f>
        <v>0</v>
      </c>
      <c r="AS91" s="72">
        <f t="shared" si="172"/>
        <v>0</v>
      </c>
      <c r="AT91" s="5">
        <f t="shared" si="128"/>
        <v>90</v>
      </c>
      <c r="AU91" s="73">
        <f t="shared" ref="AU91:BF91" si="173">AU79</f>
        <v>0</v>
      </c>
      <c r="AV91" s="73">
        <f t="shared" si="173"/>
        <v>0</v>
      </c>
      <c r="AW91" s="73">
        <f t="shared" si="173"/>
        <v>0</v>
      </c>
      <c r="AX91" s="73">
        <f t="shared" si="173"/>
        <v>0</v>
      </c>
      <c r="AY91" s="73">
        <f t="shared" si="173"/>
        <v>0</v>
      </c>
      <c r="AZ91" s="73">
        <f t="shared" si="173"/>
        <v>1</v>
      </c>
      <c r="BA91" s="73">
        <f t="shared" si="173"/>
        <v>0</v>
      </c>
      <c r="BB91" s="73">
        <f t="shared" si="173"/>
        <v>0</v>
      </c>
      <c r="BC91" s="73">
        <f t="shared" si="173"/>
        <v>0</v>
      </c>
      <c r="BD91" s="73">
        <f t="shared" si="173"/>
        <v>0</v>
      </c>
      <c r="BE91" s="73">
        <f t="shared" si="173"/>
        <v>0</v>
      </c>
      <c r="BF91" s="73">
        <f t="shared" si="173"/>
        <v>0</v>
      </c>
    </row>
    <row r="92" spans="1:58" x14ac:dyDescent="0.3">
      <c r="A92" s="1">
        <f>Sheet2!A140</f>
        <v>41821</v>
      </c>
      <c r="B92" s="92">
        <f t="shared" si="116"/>
        <v>2014</v>
      </c>
      <c r="C92" s="2">
        <f>Sheet2!B140</f>
        <v>11348346.07</v>
      </c>
      <c r="D92" s="72">
        <f ca="1">OFFSET('Historic CDM'!$C$94,0,(ROW()-2)/12)/12*1000</f>
        <v>252488.6503438626</v>
      </c>
      <c r="E92" s="72">
        <f t="shared" ca="1" si="117"/>
        <v>11600834.720343864</v>
      </c>
      <c r="F92" s="2">
        <f>Sheet2!C140</f>
        <v>3819690.17</v>
      </c>
      <c r="G92" s="72">
        <f ca="1">OFFSET('Historic CDM'!$C$108,0,(ROW()-2)/12)/12*1000</f>
        <v>205423.59830695877</v>
      </c>
      <c r="H92" s="72">
        <f t="shared" ca="1" si="118"/>
        <v>4025113.7683069585</v>
      </c>
      <c r="I92" s="2">
        <f>Sheet2!D140</f>
        <v>9802576.5600000005</v>
      </c>
      <c r="J92" s="72">
        <f ca="1">OFFSET('Historic CDM'!$C$122,0,(ROW()-2)/12)/12*1000</f>
        <v>502958.00914901018</v>
      </c>
      <c r="K92" s="72">
        <f t="shared" ca="1" si="119"/>
        <v>10305534.56914901</v>
      </c>
      <c r="L92" s="2">
        <f>Sheet2!E140</f>
        <v>6352286.1799999997</v>
      </c>
      <c r="M92" s="72">
        <f ca="1">OFFSET('Historic CDM'!$C$136,0,(ROW()-2)/12)/12*1000</f>
        <v>273332.62687525182</v>
      </c>
      <c r="N92" s="72">
        <f t="shared" ca="1" si="120"/>
        <v>6625618.8068752512</v>
      </c>
      <c r="O92" s="2">
        <f>Sheet2!F140</f>
        <v>6572842.2400000002</v>
      </c>
      <c r="P92" s="72">
        <f ca="1">OFFSET('Historic CDM'!$C$150,0,(ROW()-2)/12)/12*1000</f>
        <v>407356.66846372868</v>
      </c>
      <c r="Q92" s="72">
        <f t="shared" ca="1" si="121"/>
        <v>6980198.9084637286</v>
      </c>
      <c r="R92" s="2">
        <f>Sheet2!G140</f>
        <v>146287.72</v>
      </c>
      <c r="S92" s="2">
        <f>Sheet2!H140</f>
        <v>1432.57</v>
      </c>
      <c r="T92" s="2">
        <f>Sheet2!I140</f>
        <v>43778</v>
      </c>
      <c r="U92" s="2">
        <f>Sheet2!J140</f>
        <v>1277565.2999999998</v>
      </c>
      <c r="V92" s="72">
        <v>28981.03</v>
      </c>
      <c r="W92" s="72">
        <v>10873.97</v>
      </c>
      <c r="X92" s="72">
        <v>14149.78</v>
      </c>
      <c r="Y92" s="72">
        <v>582.67999999999995</v>
      </c>
      <c r="Z92" s="72">
        <v>55</v>
      </c>
      <c r="AA92" s="72">
        <v>2730.1</v>
      </c>
      <c r="AB92" s="2">
        <v>16514</v>
      </c>
      <c r="AC92" s="2">
        <v>1949</v>
      </c>
      <c r="AD92" s="2">
        <v>187</v>
      </c>
      <c r="AE92" s="2">
        <v>5</v>
      </c>
      <c r="AF92" s="2">
        <v>1</v>
      </c>
      <c r="AG92" s="2">
        <v>122</v>
      </c>
      <c r="AH92" s="2">
        <v>248</v>
      </c>
      <c r="AI92" s="2">
        <v>4498</v>
      </c>
      <c r="AJ92" s="2">
        <v>4</v>
      </c>
      <c r="AK92" s="72">
        <f>Weather!B212</f>
        <v>21.5</v>
      </c>
      <c r="AL92" s="72">
        <f>Weather!C212</f>
        <v>47.6</v>
      </c>
      <c r="AM92" s="72">
        <f t="shared" si="83"/>
        <v>31</v>
      </c>
      <c r="AN92" s="59">
        <v>22</v>
      </c>
      <c r="AO92" s="72">
        <f t="shared" si="122"/>
        <v>0</v>
      </c>
      <c r="AP92" s="72">
        <f>Employment!B92</f>
        <v>6957.8</v>
      </c>
      <c r="AQ92" s="72">
        <f>Employment!C92</f>
        <v>249.4</v>
      </c>
      <c r="AR92" s="72">
        <f t="shared" ref="AR92:AS92" si="174">AR80</f>
        <v>0</v>
      </c>
      <c r="AS92" s="72">
        <f t="shared" si="174"/>
        <v>0</v>
      </c>
      <c r="AT92" s="5">
        <f t="shared" si="128"/>
        <v>91</v>
      </c>
      <c r="AU92" s="73">
        <f t="shared" ref="AU92:BF92" si="175">AU80</f>
        <v>0</v>
      </c>
      <c r="AV92" s="73">
        <f t="shared" si="175"/>
        <v>0</v>
      </c>
      <c r="AW92" s="73">
        <f t="shared" si="175"/>
        <v>0</v>
      </c>
      <c r="AX92" s="73">
        <f t="shared" si="175"/>
        <v>0</v>
      </c>
      <c r="AY92" s="73">
        <f t="shared" si="175"/>
        <v>0</v>
      </c>
      <c r="AZ92" s="73">
        <f t="shared" si="175"/>
        <v>0</v>
      </c>
      <c r="BA92" s="73">
        <f t="shared" si="175"/>
        <v>1</v>
      </c>
      <c r="BB92" s="73">
        <f t="shared" si="175"/>
        <v>0</v>
      </c>
      <c r="BC92" s="73">
        <f t="shared" si="175"/>
        <v>0</v>
      </c>
      <c r="BD92" s="73">
        <f t="shared" si="175"/>
        <v>0</v>
      </c>
      <c r="BE92" s="73">
        <f t="shared" si="175"/>
        <v>0</v>
      </c>
      <c r="BF92" s="73">
        <f t="shared" si="175"/>
        <v>0</v>
      </c>
    </row>
    <row r="93" spans="1:58" x14ac:dyDescent="0.3">
      <c r="A93" s="1">
        <f>Sheet2!A141</f>
        <v>41852</v>
      </c>
      <c r="B93" s="92">
        <f t="shared" si="116"/>
        <v>2014</v>
      </c>
      <c r="C93" s="2">
        <f>Sheet2!B141</f>
        <v>11213665.360000001</v>
      </c>
      <c r="D93" s="72">
        <f ca="1">OFFSET('Historic CDM'!$C$94,0,(ROW()-2)/12)/12*1000</f>
        <v>252488.6503438626</v>
      </c>
      <c r="E93" s="72">
        <f t="shared" ca="1" si="117"/>
        <v>11466154.010343865</v>
      </c>
      <c r="F93" s="2">
        <f>Sheet2!C141</f>
        <v>3906237.75</v>
      </c>
      <c r="G93" s="72">
        <f ca="1">OFFSET('Historic CDM'!$C$108,0,(ROW()-2)/12)/12*1000</f>
        <v>205423.59830695877</v>
      </c>
      <c r="H93" s="72">
        <f t="shared" ca="1" si="118"/>
        <v>4111661.3483069586</v>
      </c>
      <c r="I93" s="2">
        <f>Sheet2!D141</f>
        <v>10162979.869999999</v>
      </c>
      <c r="J93" s="72">
        <f ca="1">OFFSET('Historic CDM'!$C$122,0,(ROW()-2)/12)/12*1000</f>
        <v>502958.00914901018</v>
      </c>
      <c r="K93" s="72">
        <f t="shared" ca="1" si="119"/>
        <v>10665937.879149009</v>
      </c>
      <c r="L93" s="2">
        <f>Sheet2!E141</f>
        <v>6445144.7199999997</v>
      </c>
      <c r="M93" s="72">
        <f ca="1">OFFSET('Historic CDM'!$C$136,0,(ROW()-2)/12)/12*1000</f>
        <v>273332.62687525182</v>
      </c>
      <c r="N93" s="72">
        <f t="shared" ca="1" si="120"/>
        <v>6718477.3468752513</v>
      </c>
      <c r="O93" s="2">
        <f>Sheet2!F141</f>
        <v>8598221.7300000004</v>
      </c>
      <c r="P93" s="72">
        <f ca="1">OFFSET('Historic CDM'!$C$150,0,(ROW()-2)/12)/12*1000</f>
        <v>407356.66846372868</v>
      </c>
      <c r="Q93" s="72">
        <f t="shared" ca="1" si="121"/>
        <v>9005578.3984637298</v>
      </c>
      <c r="R93" s="2">
        <f>Sheet2!G141</f>
        <v>165348.54</v>
      </c>
      <c r="S93" s="2">
        <f>Sheet2!H141</f>
        <v>1432.57</v>
      </c>
      <c r="T93" s="2">
        <f>Sheet2!I141</f>
        <v>43450</v>
      </c>
      <c r="U93" s="2">
        <f>Sheet2!J141</f>
        <v>1282604.8</v>
      </c>
      <c r="V93" s="72">
        <v>28981.03</v>
      </c>
      <c r="W93" s="72">
        <v>10873.97</v>
      </c>
      <c r="X93" s="72">
        <v>13652.46</v>
      </c>
      <c r="Y93" s="72">
        <v>491.86999999999995</v>
      </c>
      <c r="Z93" s="72">
        <v>54</v>
      </c>
      <c r="AA93" s="72">
        <v>2815.3</v>
      </c>
      <c r="AB93" s="2">
        <v>16539</v>
      </c>
      <c r="AC93" s="2">
        <v>1948</v>
      </c>
      <c r="AD93" s="2">
        <v>185</v>
      </c>
      <c r="AE93" s="2">
        <v>5</v>
      </c>
      <c r="AF93" s="2">
        <v>1</v>
      </c>
      <c r="AG93" s="2">
        <v>119</v>
      </c>
      <c r="AH93" s="2">
        <v>248</v>
      </c>
      <c r="AI93" s="2">
        <v>4498</v>
      </c>
      <c r="AJ93" s="2">
        <v>4</v>
      </c>
      <c r="AK93" s="72">
        <f>Weather!B213</f>
        <v>14.5</v>
      </c>
      <c r="AL93" s="72">
        <f>Weather!C213</f>
        <v>53.4</v>
      </c>
      <c r="AM93" s="72">
        <f t="shared" si="83"/>
        <v>31</v>
      </c>
      <c r="AN93" s="59">
        <v>20</v>
      </c>
      <c r="AO93" s="72">
        <f t="shared" si="122"/>
        <v>0</v>
      </c>
      <c r="AP93" s="72">
        <f>Employment!B93</f>
        <v>6969.7</v>
      </c>
      <c r="AQ93" s="72">
        <f>Employment!C93</f>
        <v>251.5</v>
      </c>
      <c r="AR93" s="72">
        <f t="shared" ref="AR93:AS93" si="176">AR81</f>
        <v>0</v>
      </c>
      <c r="AS93" s="72">
        <f t="shared" si="176"/>
        <v>0</v>
      </c>
      <c r="AT93" s="5">
        <f t="shared" si="128"/>
        <v>92</v>
      </c>
      <c r="AU93" s="73">
        <f t="shared" ref="AU93:BF93" si="177">AU81</f>
        <v>0</v>
      </c>
      <c r="AV93" s="73">
        <f t="shared" si="177"/>
        <v>0</v>
      </c>
      <c r="AW93" s="73">
        <f t="shared" si="177"/>
        <v>0</v>
      </c>
      <c r="AX93" s="73">
        <f t="shared" si="177"/>
        <v>0</v>
      </c>
      <c r="AY93" s="73">
        <f t="shared" si="177"/>
        <v>0</v>
      </c>
      <c r="AZ93" s="73">
        <f t="shared" si="177"/>
        <v>0</v>
      </c>
      <c r="BA93" s="73">
        <f t="shared" si="177"/>
        <v>0</v>
      </c>
      <c r="BB93" s="73">
        <f t="shared" si="177"/>
        <v>1</v>
      </c>
      <c r="BC93" s="73">
        <f t="shared" si="177"/>
        <v>0</v>
      </c>
      <c r="BD93" s="73">
        <f t="shared" si="177"/>
        <v>0</v>
      </c>
      <c r="BE93" s="73">
        <f t="shared" si="177"/>
        <v>0</v>
      </c>
      <c r="BF93" s="73">
        <f t="shared" si="177"/>
        <v>0</v>
      </c>
    </row>
    <row r="94" spans="1:58" x14ac:dyDescent="0.3">
      <c r="A94" s="1">
        <f>Sheet2!A142</f>
        <v>41883</v>
      </c>
      <c r="B94" s="92">
        <f t="shared" si="116"/>
        <v>2014</v>
      </c>
      <c r="C94" s="2">
        <f>Sheet2!B142</f>
        <v>10326173.949999997</v>
      </c>
      <c r="D94" s="72">
        <f ca="1">OFFSET('Historic CDM'!$C$94,0,(ROW()-2)/12)/12*1000</f>
        <v>252488.6503438626</v>
      </c>
      <c r="E94" s="72">
        <f t="shared" ca="1" si="117"/>
        <v>10578662.600343861</v>
      </c>
      <c r="F94" s="2">
        <f>Sheet2!C142</f>
        <v>3596603.7300000004</v>
      </c>
      <c r="G94" s="72">
        <f ca="1">OFFSET('Historic CDM'!$C$108,0,(ROW()-2)/12)/12*1000</f>
        <v>205423.59830695877</v>
      </c>
      <c r="H94" s="72">
        <f t="shared" ca="1" si="118"/>
        <v>3802027.328306959</v>
      </c>
      <c r="I94" s="2">
        <f>Sheet2!D142</f>
        <v>10181809.09</v>
      </c>
      <c r="J94" s="72">
        <f ca="1">OFFSET('Historic CDM'!$C$122,0,(ROW()-2)/12)/12*1000</f>
        <v>502958.00914901018</v>
      </c>
      <c r="K94" s="72">
        <f t="shared" ca="1" si="119"/>
        <v>10684767.099149009</v>
      </c>
      <c r="L94" s="2">
        <f>Sheet2!E142</f>
        <v>5738178.8999999994</v>
      </c>
      <c r="M94" s="72">
        <f ca="1">OFFSET('Historic CDM'!$C$136,0,(ROW()-2)/12)/12*1000</f>
        <v>273332.62687525182</v>
      </c>
      <c r="N94" s="72">
        <f t="shared" ca="1" si="120"/>
        <v>6011511.526875251</v>
      </c>
      <c r="O94" s="2">
        <f>Sheet2!F142</f>
        <v>8745117.5700000003</v>
      </c>
      <c r="P94" s="72">
        <f ca="1">OFFSET('Historic CDM'!$C$150,0,(ROW()-2)/12)/12*1000</f>
        <v>407356.66846372868</v>
      </c>
      <c r="Q94" s="72">
        <f t="shared" ca="1" si="121"/>
        <v>9152474.2384637296</v>
      </c>
      <c r="R94" s="2">
        <f>Sheet2!G142</f>
        <v>177625.56000000003</v>
      </c>
      <c r="S94" s="2">
        <f>Sheet2!H142</f>
        <v>1386.3600000000001</v>
      </c>
      <c r="T94" s="2">
        <f>Sheet2!I142</f>
        <v>43450</v>
      </c>
      <c r="U94" s="2">
        <f>Sheet2!J142</f>
        <v>1202013.6000000001</v>
      </c>
      <c r="V94" s="72">
        <v>28981.03</v>
      </c>
      <c r="W94" s="72">
        <v>10873.97</v>
      </c>
      <c r="X94" s="72">
        <v>14605.76</v>
      </c>
      <c r="Y94" s="72">
        <v>491.87</v>
      </c>
      <c r="Z94" s="72">
        <v>55</v>
      </c>
      <c r="AA94" s="72">
        <v>2868.6</v>
      </c>
      <c r="AB94" s="2">
        <v>16558</v>
      </c>
      <c r="AC94" s="2">
        <v>1948</v>
      </c>
      <c r="AD94" s="2">
        <v>185</v>
      </c>
      <c r="AE94" s="2">
        <v>5</v>
      </c>
      <c r="AF94" s="2">
        <v>1</v>
      </c>
      <c r="AG94" s="2">
        <v>119</v>
      </c>
      <c r="AH94" s="2">
        <v>248</v>
      </c>
      <c r="AI94" s="2">
        <v>4498</v>
      </c>
      <c r="AJ94" s="2">
        <v>4</v>
      </c>
      <c r="AK94" s="72">
        <f>Weather!B214</f>
        <v>86.2</v>
      </c>
      <c r="AL94" s="72">
        <f>Weather!C214</f>
        <v>17.600000000000001</v>
      </c>
      <c r="AM94" s="72">
        <f t="shared" si="83"/>
        <v>30</v>
      </c>
      <c r="AN94" s="59">
        <v>21</v>
      </c>
      <c r="AO94" s="72">
        <f t="shared" si="122"/>
        <v>1</v>
      </c>
      <c r="AP94" s="72">
        <f>Employment!B94</f>
        <v>6944.1</v>
      </c>
      <c r="AQ94" s="72">
        <f>Employment!C94</f>
        <v>248.2</v>
      </c>
      <c r="AR94" s="72">
        <f t="shared" ref="AR94:AS94" si="178">AR82</f>
        <v>0</v>
      </c>
      <c r="AS94" s="72">
        <f t="shared" si="178"/>
        <v>1</v>
      </c>
      <c r="AT94" s="5">
        <f t="shared" si="128"/>
        <v>93</v>
      </c>
      <c r="AU94" s="73">
        <f t="shared" ref="AU94:BF94" si="179">AU82</f>
        <v>0</v>
      </c>
      <c r="AV94" s="73">
        <f t="shared" si="179"/>
        <v>0</v>
      </c>
      <c r="AW94" s="73">
        <f t="shared" si="179"/>
        <v>0</v>
      </c>
      <c r="AX94" s="73">
        <f t="shared" si="179"/>
        <v>0</v>
      </c>
      <c r="AY94" s="73">
        <f t="shared" si="179"/>
        <v>0</v>
      </c>
      <c r="AZ94" s="73">
        <f t="shared" si="179"/>
        <v>0</v>
      </c>
      <c r="BA94" s="73">
        <f t="shared" si="179"/>
        <v>0</v>
      </c>
      <c r="BB94" s="73">
        <f t="shared" si="179"/>
        <v>0</v>
      </c>
      <c r="BC94" s="73">
        <f t="shared" si="179"/>
        <v>1</v>
      </c>
      <c r="BD94" s="73">
        <f t="shared" si="179"/>
        <v>0</v>
      </c>
      <c r="BE94" s="73">
        <f t="shared" si="179"/>
        <v>0</v>
      </c>
      <c r="BF94" s="73">
        <f t="shared" si="179"/>
        <v>0</v>
      </c>
    </row>
    <row r="95" spans="1:58" x14ac:dyDescent="0.3">
      <c r="A95" s="1">
        <f>Sheet2!A143</f>
        <v>41913</v>
      </c>
      <c r="B95" s="92">
        <f t="shared" si="116"/>
        <v>2014</v>
      </c>
      <c r="C95" s="2">
        <f>Sheet2!B143</f>
        <v>9674637.7000000011</v>
      </c>
      <c r="D95" s="72">
        <f ca="1">OFFSET('Historic CDM'!$C$94,0,(ROW()-2)/12)/12*1000</f>
        <v>252488.6503438626</v>
      </c>
      <c r="E95" s="72">
        <f t="shared" ca="1" si="117"/>
        <v>9927126.3503438644</v>
      </c>
      <c r="F95" s="2">
        <f>Sheet2!C143</f>
        <v>3425503.48</v>
      </c>
      <c r="G95" s="72">
        <f ca="1">OFFSET('Historic CDM'!$C$108,0,(ROW()-2)/12)/12*1000</f>
        <v>205423.59830695877</v>
      </c>
      <c r="H95" s="72">
        <f t="shared" ca="1" si="118"/>
        <v>3630927.0783069585</v>
      </c>
      <c r="I95" s="2">
        <f>Sheet2!D143</f>
        <v>10274513.399999999</v>
      </c>
      <c r="J95" s="72">
        <f ca="1">OFFSET('Historic CDM'!$C$122,0,(ROW()-2)/12)/12*1000</f>
        <v>502958.00914901018</v>
      </c>
      <c r="K95" s="72">
        <f t="shared" ca="1" si="119"/>
        <v>10777471.409149008</v>
      </c>
      <c r="L95" s="2">
        <f>Sheet2!E143</f>
        <v>5700081.7799999993</v>
      </c>
      <c r="M95" s="72">
        <f ca="1">OFFSET('Historic CDM'!$C$136,0,(ROW()-2)/12)/12*1000</f>
        <v>273332.62687525182</v>
      </c>
      <c r="N95" s="72">
        <f t="shared" ca="1" si="120"/>
        <v>5973414.4068752509</v>
      </c>
      <c r="O95" s="2">
        <f>Sheet2!F143</f>
        <v>8525844.6699999999</v>
      </c>
      <c r="P95" s="72">
        <f ca="1">OFFSET('Historic CDM'!$C$150,0,(ROW()-2)/12)/12*1000</f>
        <v>407356.66846372868</v>
      </c>
      <c r="Q95" s="72">
        <f t="shared" ca="1" si="121"/>
        <v>8933201.3384637292</v>
      </c>
      <c r="R95" s="2">
        <f>Sheet2!G143</f>
        <v>204846.08000000002</v>
      </c>
      <c r="S95" s="2">
        <f>Sheet2!H143</f>
        <v>1426.27</v>
      </c>
      <c r="T95" s="2">
        <f>Sheet2!I143</f>
        <v>43450</v>
      </c>
      <c r="U95" s="2">
        <f>Sheet2!J143</f>
        <v>1218691.3999999999</v>
      </c>
      <c r="V95" s="72">
        <v>28981.03</v>
      </c>
      <c r="W95" s="72">
        <v>10873.97</v>
      </c>
      <c r="X95" s="72">
        <v>14103.59</v>
      </c>
      <c r="Y95" s="72">
        <v>491.87</v>
      </c>
      <c r="Z95" s="72">
        <v>55</v>
      </c>
      <c r="AA95" s="72">
        <v>2833.2</v>
      </c>
      <c r="AB95" s="2">
        <v>16574</v>
      </c>
      <c r="AC95" s="2">
        <v>1950</v>
      </c>
      <c r="AD95" s="2">
        <v>180</v>
      </c>
      <c r="AE95" s="2">
        <v>5</v>
      </c>
      <c r="AF95" s="2">
        <v>1</v>
      </c>
      <c r="AG95" s="2">
        <v>119</v>
      </c>
      <c r="AH95" s="2">
        <v>248</v>
      </c>
      <c r="AI95" s="2">
        <v>4498</v>
      </c>
      <c r="AJ95" s="2">
        <v>4</v>
      </c>
      <c r="AK95" s="72">
        <f>Weather!B215</f>
        <v>247.1</v>
      </c>
      <c r="AL95" s="72">
        <f>Weather!C215</f>
        <v>0</v>
      </c>
      <c r="AM95" s="72">
        <f t="shared" si="83"/>
        <v>31</v>
      </c>
      <c r="AN95" s="59">
        <v>22</v>
      </c>
      <c r="AO95" s="72">
        <f t="shared" si="122"/>
        <v>1</v>
      </c>
      <c r="AP95" s="72">
        <f>Employment!B95</f>
        <v>6936.6</v>
      </c>
      <c r="AQ95" s="72">
        <f>Employment!C95</f>
        <v>245.7</v>
      </c>
      <c r="AR95" s="72">
        <f t="shared" ref="AR95:AS95" si="180">AR83</f>
        <v>0</v>
      </c>
      <c r="AS95" s="72">
        <f t="shared" si="180"/>
        <v>1</v>
      </c>
      <c r="AT95" s="5">
        <f t="shared" si="128"/>
        <v>94</v>
      </c>
      <c r="AU95" s="73">
        <f t="shared" ref="AU95:BF95" si="181">AU83</f>
        <v>0</v>
      </c>
      <c r="AV95" s="73">
        <f t="shared" si="181"/>
        <v>0</v>
      </c>
      <c r="AW95" s="73">
        <f t="shared" si="181"/>
        <v>0</v>
      </c>
      <c r="AX95" s="73">
        <f t="shared" si="181"/>
        <v>0</v>
      </c>
      <c r="AY95" s="73">
        <f t="shared" si="181"/>
        <v>0</v>
      </c>
      <c r="AZ95" s="73">
        <f t="shared" si="181"/>
        <v>0</v>
      </c>
      <c r="BA95" s="73">
        <f t="shared" si="181"/>
        <v>0</v>
      </c>
      <c r="BB95" s="73">
        <f t="shared" si="181"/>
        <v>0</v>
      </c>
      <c r="BC95" s="73">
        <f t="shared" si="181"/>
        <v>0</v>
      </c>
      <c r="BD95" s="73">
        <f t="shared" si="181"/>
        <v>1</v>
      </c>
      <c r="BE95" s="73">
        <f t="shared" si="181"/>
        <v>0</v>
      </c>
      <c r="BF95" s="73">
        <f t="shared" si="181"/>
        <v>0</v>
      </c>
    </row>
    <row r="96" spans="1:58" x14ac:dyDescent="0.3">
      <c r="A96" s="1">
        <f>Sheet2!A144</f>
        <v>41944</v>
      </c>
      <c r="B96" s="92">
        <f t="shared" si="116"/>
        <v>2014</v>
      </c>
      <c r="C96" s="2">
        <f>Sheet2!B144</f>
        <v>11291537.370000003</v>
      </c>
      <c r="D96" s="72">
        <f ca="1">OFFSET('Historic CDM'!$C$94,0,(ROW()-2)/12)/12*1000</f>
        <v>252488.6503438626</v>
      </c>
      <c r="E96" s="72">
        <f t="shared" ca="1" si="117"/>
        <v>11544026.020343866</v>
      </c>
      <c r="F96" s="2">
        <f>Sheet2!C144</f>
        <v>4445360.79</v>
      </c>
      <c r="G96" s="72">
        <f ca="1">OFFSET('Historic CDM'!$C$108,0,(ROW()-2)/12)/12*1000</f>
        <v>205423.59830695877</v>
      </c>
      <c r="H96" s="72">
        <f t="shared" ca="1" si="118"/>
        <v>4650784.3883069586</v>
      </c>
      <c r="I96" s="2">
        <f>Sheet2!D144</f>
        <v>9997360.9200000018</v>
      </c>
      <c r="J96" s="72">
        <f ca="1">OFFSET('Historic CDM'!$C$122,0,(ROW()-2)/12)/12*1000</f>
        <v>502958.00914901018</v>
      </c>
      <c r="K96" s="72">
        <f t="shared" ca="1" si="119"/>
        <v>10500318.929149011</v>
      </c>
      <c r="L96" s="2">
        <f>Sheet2!E144</f>
        <v>3622214.38</v>
      </c>
      <c r="M96" s="72">
        <f ca="1">OFFSET('Historic CDM'!$C$136,0,(ROW()-2)/12)/12*1000</f>
        <v>273332.62687525182</v>
      </c>
      <c r="N96" s="72">
        <f t="shared" ca="1" si="120"/>
        <v>3895547.0068752519</v>
      </c>
      <c r="O96" s="2">
        <f>Sheet2!F144</f>
        <v>8511775.8000000007</v>
      </c>
      <c r="P96" s="72">
        <f ca="1">OFFSET('Historic CDM'!$C$150,0,(ROW()-2)/12)/12*1000</f>
        <v>407356.66846372868</v>
      </c>
      <c r="Q96" s="72">
        <f t="shared" ca="1" si="121"/>
        <v>8919132.4684637301</v>
      </c>
      <c r="R96" s="2">
        <f>Sheet2!G144</f>
        <v>204903.99999999997</v>
      </c>
      <c r="S96" s="2">
        <f>Sheet2!H144</f>
        <v>1392.66</v>
      </c>
      <c r="T96" s="2">
        <f>Sheet2!I144</f>
        <v>43450</v>
      </c>
      <c r="U96" s="2">
        <f>Sheet2!J144</f>
        <v>1554852.6</v>
      </c>
      <c r="V96" s="72">
        <v>28981.03</v>
      </c>
      <c r="W96" s="72">
        <v>10873.97</v>
      </c>
      <c r="X96" s="72">
        <v>13872.79</v>
      </c>
      <c r="Y96" s="72">
        <v>486.17</v>
      </c>
      <c r="Z96" s="72">
        <v>55</v>
      </c>
      <c r="AA96" s="72">
        <v>2578.1999999999998</v>
      </c>
      <c r="AB96" s="2">
        <v>16585</v>
      </c>
      <c r="AC96" s="2">
        <v>1970</v>
      </c>
      <c r="AD96" s="2">
        <v>166</v>
      </c>
      <c r="AE96" s="2">
        <v>5</v>
      </c>
      <c r="AF96" s="2">
        <v>1</v>
      </c>
      <c r="AG96" s="2">
        <v>118</v>
      </c>
      <c r="AH96" s="2">
        <v>248</v>
      </c>
      <c r="AI96" s="2">
        <v>4498</v>
      </c>
      <c r="AJ96" s="2">
        <v>4</v>
      </c>
      <c r="AK96" s="72">
        <f>Weather!B216</f>
        <v>503.7</v>
      </c>
      <c r="AL96" s="72">
        <f>Weather!C216</f>
        <v>0</v>
      </c>
      <c r="AM96" s="72">
        <f t="shared" si="83"/>
        <v>30</v>
      </c>
      <c r="AN96" s="59">
        <v>20</v>
      </c>
      <c r="AO96" s="72">
        <f t="shared" si="122"/>
        <v>1</v>
      </c>
      <c r="AP96" s="72">
        <f>Employment!B96</f>
        <v>6914.3</v>
      </c>
      <c r="AQ96" s="72">
        <f>Employment!C96</f>
        <v>244.2</v>
      </c>
      <c r="AR96" s="72">
        <f t="shared" ref="AR96:AS96" si="182">AR84</f>
        <v>0</v>
      </c>
      <c r="AS96" s="72">
        <f t="shared" si="182"/>
        <v>1</v>
      </c>
      <c r="AT96" s="5">
        <f t="shared" si="128"/>
        <v>95</v>
      </c>
      <c r="AU96" s="73">
        <f t="shared" ref="AU96:BF96" si="183">AU84</f>
        <v>0</v>
      </c>
      <c r="AV96" s="73">
        <f t="shared" si="183"/>
        <v>0</v>
      </c>
      <c r="AW96" s="73">
        <f t="shared" si="183"/>
        <v>0</v>
      </c>
      <c r="AX96" s="73">
        <f t="shared" si="183"/>
        <v>0</v>
      </c>
      <c r="AY96" s="73">
        <f t="shared" si="183"/>
        <v>0</v>
      </c>
      <c r="AZ96" s="73">
        <f t="shared" si="183"/>
        <v>0</v>
      </c>
      <c r="BA96" s="73">
        <f t="shared" si="183"/>
        <v>0</v>
      </c>
      <c r="BB96" s="73">
        <f t="shared" si="183"/>
        <v>0</v>
      </c>
      <c r="BC96" s="73">
        <f t="shared" si="183"/>
        <v>0</v>
      </c>
      <c r="BD96" s="73">
        <f t="shared" si="183"/>
        <v>0</v>
      </c>
      <c r="BE96" s="73">
        <f t="shared" si="183"/>
        <v>1</v>
      </c>
      <c r="BF96" s="73">
        <f t="shared" si="183"/>
        <v>0</v>
      </c>
    </row>
    <row r="97" spans="1:58" x14ac:dyDescent="0.3">
      <c r="A97" s="1">
        <f>Sheet2!A145</f>
        <v>41974</v>
      </c>
      <c r="B97" s="92">
        <f t="shared" si="116"/>
        <v>2014</v>
      </c>
      <c r="C97" s="2">
        <f>Sheet2!B145</f>
        <v>12800670.049999997</v>
      </c>
      <c r="D97" s="72">
        <f ca="1">OFFSET('Historic CDM'!$C$94,0,(ROW()-2)/12)/12*1000</f>
        <v>252488.6503438626</v>
      </c>
      <c r="E97" s="72">
        <f t="shared" ca="1" si="117"/>
        <v>13053158.70034386</v>
      </c>
      <c r="F97" s="2">
        <f>Sheet2!C145</f>
        <v>4663094.9800000004</v>
      </c>
      <c r="G97" s="72">
        <f ca="1">OFFSET('Historic CDM'!$C$108,0,(ROW()-2)/12)/12*1000</f>
        <v>205423.59830695877</v>
      </c>
      <c r="H97" s="72">
        <f t="shared" ca="1" si="118"/>
        <v>4868518.578306959</v>
      </c>
      <c r="I97" s="2">
        <f>Sheet2!D145</f>
        <v>9430694.4600000009</v>
      </c>
      <c r="J97" s="72">
        <f ca="1">OFFSET('Historic CDM'!$C$122,0,(ROW()-2)/12)/12*1000</f>
        <v>502958.00914901018</v>
      </c>
      <c r="K97" s="72">
        <f t="shared" ca="1" si="119"/>
        <v>9933652.4691490103</v>
      </c>
      <c r="L97" s="2">
        <f>Sheet2!E145</f>
        <v>5982244.8200000003</v>
      </c>
      <c r="M97" s="72">
        <f ca="1">OFFSET('Historic CDM'!$C$136,0,(ROW()-2)/12)/12*1000</f>
        <v>273332.62687525182</v>
      </c>
      <c r="N97" s="72">
        <f t="shared" ca="1" si="120"/>
        <v>6255577.4468752518</v>
      </c>
      <c r="O97" s="2">
        <f>Sheet2!F145</f>
        <v>7734732.9699999997</v>
      </c>
      <c r="P97" s="72">
        <f ca="1">OFFSET('Historic CDM'!$C$150,0,(ROW()-2)/12)/12*1000</f>
        <v>407356.66846372868</v>
      </c>
      <c r="Q97" s="72">
        <f t="shared" ca="1" si="121"/>
        <v>8142089.6384637281</v>
      </c>
      <c r="R97" s="2">
        <f>Sheet2!G145</f>
        <v>228962.15999999997</v>
      </c>
      <c r="S97" s="2">
        <f>Sheet2!H145</f>
        <v>1432.57</v>
      </c>
      <c r="T97" s="2">
        <f>Sheet2!I145</f>
        <v>57650</v>
      </c>
      <c r="U97" s="2">
        <f>Sheet2!J145</f>
        <v>1737237.6</v>
      </c>
      <c r="V97" s="72">
        <v>28981.03</v>
      </c>
      <c r="W97" s="72">
        <v>10873.97</v>
      </c>
      <c r="X97" s="72">
        <v>13900.96</v>
      </c>
      <c r="Y97" s="72">
        <v>486.17</v>
      </c>
      <c r="Z97" s="72">
        <v>55</v>
      </c>
      <c r="AA97" s="72">
        <v>3457.2</v>
      </c>
      <c r="AB97" s="2">
        <v>16597</v>
      </c>
      <c r="AC97" s="2">
        <v>1976</v>
      </c>
      <c r="AD97" s="2">
        <v>161</v>
      </c>
      <c r="AE97" s="2">
        <v>5</v>
      </c>
      <c r="AF97" s="2">
        <v>1</v>
      </c>
      <c r="AG97" s="2">
        <v>118</v>
      </c>
      <c r="AH97" s="2">
        <v>248</v>
      </c>
      <c r="AI97" s="2">
        <v>4498</v>
      </c>
      <c r="AJ97" s="2">
        <v>4</v>
      </c>
      <c r="AK97" s="72">
        <f>Weather!B217</f>
        <v>567.5</v>
      </c>
      <c r="AL97" s="72">
        <f>Weather!C217</f>
        <v>0</v>
      </c>
      <c r="AM97" s="72">
        <f t="shared" si="83"/>
        <v>31</v>
      </c>
      <c r="AN97" s="59">
        <v>21</v>
      </c>
      <c r="AO97" s="72">
        <f t="shared" si="122"/>
        <v>0</v>
      </c>
      <c r="AP97" s="72">
        <f>Employment!B97</f>
        <v>6903.2</v>
      </c>
      <c r="AQ97" s="72">
        <f>Employment!C97</f>
        <v>246</v>
      </c>
      <c r="AR97" s="72">
        <f t="shared" ref="AR97:AS97" si="184">AR85</f>
        <v>0</v>
      </c>
      <c r="AS97" s="72">
        <f t="shared" si="184"/>
        <v>0</v>
      </c>
      <c r="AT97" s="5">
        <f t="shared" si="128"/>
        <v>96</v>
      </c>
      <c r="AU97" s="73">
        <f t="shared" ref="AU97:BF97" si="185">AU85</f>
        <v>0</v>
      </c>
      <c r="AV97" s="73">
        <f t="shared" si="185"/>
        <v>0</v>
      </c>
      <c r="AW97" s="73">
        <f t="shared" si="185"/>
        <v>0</v>
      </c>
      <c r="AX97" s="73">
        <f t="shared" si="185"/>
        <v>0</v>
      </c>
      <c r="AY97" s="73">
        <f t="shared" si="185"/>
        <v>0</v>
      </c>
      <c r="AZ97" s="73">
        <f t="shared" si="185"/>
        <v>0</v>
      </c>
      <c r="BA97" s="73">
        <f t="shared" si="185"/>
        <v>0</v>
      </c>
      <c r="BB97" s="73">
        <f t="shared" si="185"/>
        <v>0</v>
      </c>
      <c r="BC97" s="73">
        <f t="shared" si="185"/>
        <v>0</v>
      </c>
      <c r="BD97" s="73">
        <f t="shared" si="185"/>
        <v>0</v>
      </c>
      <c r="BE97" s="73">
        <f t="shared" si="185"/>
        <v>0</v>
      </c>
      <c r="BF97" s="73">
        <f t="shared" si="185"/>
        <v>1</v>
      </c>
    </row>
    <row r="98" spans="1:58" x14ac:dyDescent="0.3">
      <c r="A98" s="65">
        <f>Sheet2!A146</f>
        <v>42005</v>
      </c>
      <c r="B98" s="92">
        <f t="shared" si="116"/>
        <v>2015</v>
      </c>
      <c r="C98" s="66">
        <f>Sheet2!B146</f>
        <v>13864177.360000001</v>
      </c>
      <c r="D98" s="72">
        <f ca="1">OFFSET('Historic CDM'!$C$94,0,(ROW()-2)/12)/12*1000</f>
        <v>315779.17830348114</v>
      </c>
      <c r="E98" s="72">
        <f t="shared" ca="1" si="117"/>
        <v>14179956.538303483</v>
      </c>
      <c r="F98" s="66">
        <f>Sheet2!C146</f>
        <v>5182324.5900000008</v>
      </c>
      <c r="G98" s="72">
        <f ca="1">OFFSET('Historic CDM'!$C$108,0,(ROW()-2)/12)/12*1000</f>
        <v>282806.0809063206</v>
      </c>
      <c r="H98" s="72">
        <f t="shared" ca="1" si="118"/>
        <v>5465130.6709063211</v>
      </c>
      <c r="I98" s="66">
        <f>Sheet2!D146</f>
        <v>9889790.0999999996</v>
      </c>
      <c r="J98" s="72">
        <f ca="1">OFFSET('Historic CDM'!$C$122,0,(ROW()-2)/12)/12*1000</f>
        <v>692420.85427464976</v>
      </c>
      <c r="K98" s="72">
        <f t="shared" ca="1" si="119"/>
        <v>10582210.954274649</v>
      </c>
      <c r="L98" s="66">
        <f>Sheet2!E146</f>
        <v>5050698.46</v>
      </c>
      <c r="M98" s="72">
        <f ca="1">OFFSET('Historic CDM'!$C$136,0,(ROW()-2)/12)/12*1000</f>
        <v>376296.2465242779</v>
      </c>
      <c r="N98" s="72">
        <f t="shared" ca="1" si="120"/>
        <v>5426994.706524278</v>
      </c>
      <c r="O98" s="66">
        <f>Sheet2!F146</f>
        <v>8612488.6600000001</v>
      </c>
      <c r="P98" s="72">
        <f ca="1">OFFSET('Historic CDM'!$C$150,0,(ROW()-2)/12)/12*1000</f>
        <v>560806.76168050512</v>
      </c>
      <c r="Q98" s="72">
        <f t="shared" ca="1" si="121"/>
        <v>9173295.4216805045</v>
      </c>
      <c r="R98" s="66">
        <f>Sheet2!G146</f>
        <v>217555.93</v>
      </c>
      <c r="S98" s="66">
        <f>Sheet2!H146</f>
        <v>1432.57</v>
      </c>
      <c r="T98" s="66">
        <f>Sheet2!I146</f>
        <v>43796</v>
      </c>
      <c r="U98" s="66">
        <f>Sheet2!J146</f>
        <v>1739158.5</v>
      </c>
      <c r="V98" s="72">
        <v>27391.77</v>
      </c>
      <c r="W98" s="72">
        <v>13209.060000000001</v>
      </c>
      <c r="X98" s="72">
        <v>13960.07</v>
      </c>
      <c r="Y98" s="72">
        <v>486.17</v>
      </c>
      <c r="Z98" s="72">
        <v>55</v>
      </c>
      <c r="AA98" s="72">
        <v>3532.1000000000004</v>
      </c>
      <c r="AB98" s="66">
        <v>16603</v>
      </c>
      <c r="AC98" s="66">
        <v>1988</v>
      </c>
      <c r="AD98" s="66">
        <v>158</v>
      </c>
      <c r="AE98" s="72">
        <v>5</v>
      </c>
      <c r="AF98" s="72">
        <v>1</v>
      </c>
      <c r="AG98" s="72">
        <v>127</v>
      </c>
      <c r="AH98" s="72">
        <v>248</v>
      </c>
      <c r="AI98" s="72">
        <v>4498</v>
      </c>
      <c r="AJ98" s="72">
        <v>4</v>
      </c>
      <c r="AK98" s="72">
        <f>Weather!B218</f>
        <v>812.90000000000009</v>
      </c>
      <c r="AL98" s="72">
        <f>Weather!C218</f>
        <v>0</v>
      </c>
      <c r="AM98" s="72">
        <f t="shared" si="83"/>
        <v>31</v>
      </c>
      <c r="AN98" s="59">
        <v>21</v>
      </c>
      <c r="AO98" s="72">
        <f t="shared" si="122"/>
        <v>0</v>
      </c>
      <c r="AP98" s="72">
        <f>Employment!B98</f>
        <v>6845.1</v>
      </c>
      <c r="AQ98" s="72">
        <f>Employment!C98</f>
        <v>247.2</v>
      </c>
      <c r="AR98" s="72">
        <f t="shared" ref="AR98:AS98" si="186">AR86</f>
        <v>0</v>
      </c>
      <c r="AS98" s="72">
        <f t="shared" si="186"/>
        <v>0</v>
      </c>
      <c r="AT98" s="84">
        <f t="shared" si="128"/>
        <v>97</v>
      </c>
      <c r="AU98" s="73">
        <f t="shared" ref="AU98:BF98" si="187">AU86</f>
        <v>1</v>
      </c>
      <c r="AV98" s="73">
        <f t="shared" si="187"/>
        <v>0</v>
      </c>
      <c r="AW98" s="73">
        <f t="shared" si="187"/>
        <v>0</v>
      </c>
      <c r="AX98" s="73">
        <f t="shared" si="187"/>
        <v>0</v>
      </c>
      <c r="AY98" s="73">
        <f t="shared" si="187"/>
        <v>0</v>
      </c>
      <c r="AZ98" s="73">
        <f t="shared" si="187"/>
        <v>0</v>
      </c>
      <c r="BA98" s="73">
        <f t="shared" si="187"/>
        <v>0</v>
      </c>
      <c r="BB98" s="73">
        <f t="shared" si="187"/>
        <v>0</v>
      </c>
      <c r="BC98" s="73">
        <f t="shared" si="187"/>
        <v>0</v>
      </c>
      <c r="BD98" s="73">
        <f t="shared" si="187"/>
        <v>0</v>
      </c>
      <c r="BE98" s="73">
        <f t="shared" si="187"/>
        <v>0</v>
      </c>
      <c r="BF98" s="73">
        <f t="shared" si="187"/>
        <v>0</v>
      </c>
    </row>
    <row r="99" spans="1:58" x14ac:dyDescent="0.3">
      <c r="A99" s="65">
        <f>Sheet2!A147</f>
        <v>42036</v>
      </c>
      <c r="B99" s="92">
        <f t="shared" si="116"/>
        <v>2015</v>
      </c>
      <c r="C99" s="66">
        <f>Sheet2!B147</f>
        <v>13475220.670000002</v>
      </c>
      <c r="D99" s="72">
        <f ca="1">OFFSET('Historic CDM'!$C$94,0,(ROW()-2)/12)/12*1000</f>
        <v>315779.17830348114</v>
      </c>
      <c r="E99" s="72">
        <f t="shared" ca="1" si="117"/>
        <v>13790999.848303484</v>
      </c>
      <c r="F99" s="66">
        <f>Sheet2!C147</f>
        <v>5123106.5</v>
      </c>
      <c r="G99" s="72">
        <f ca="1">OFFSET('Historic CDM'!$C$108,0,(ROW()-2)/12)/12*1000</f>
        <v>282806.0809063206</v>
      </c>
      <c r="H99" s="72">
        <f t="shared" ca="1" si="118"/>
        <v>5405912.5809063204</v>
      </c>
      <c r="I99" s="66">
        <f>Sheet2!D147</f>
        <v>9402303.25</v>
      </c>
      <c r="J99" s="72">
        <f ca="1">OFFSET('Historic CDM'!$C$122,0,(ROW()-2)/12)/12*1000</f>
        <v>692420.85427464976</v>
      </c>
      <c r="K99" s="72">
        <f t="shared" ca="1" si="119"/>
        <v>10094724.104274649</v>
      </c>
      <c r="L99" s="66">
        <f>Sheet2!E147</f>
        <v>4800763.5999999996</v>
      </c>
      <c r="M99" s="72">
        <f ca="1">OFFSET('Historic CDM'!$C$136,0,(ROW()-2)/12)/12*1000</f>
        <v>376296.2465242779</v>
      </c>
      <c r="N99" s="72">
        <f t="shared" ca="1" si="120"/>
        <v>5177059.8465242777</v>
      </c>
      <c r="O99" s="66">
        <f>Sheet2!F147</f>
        <v>8295528.8300000001</v>
      </c>
      <c r="P99" s="72">
        <f ca="1">OFFSET('Historic CDM'!$C$150,0,(ROW()-2)/12)/12*1000</f>
        <v>560806.76168050512</v>
      </c>
      <c r="Q99" s="72">
        <f t="shared" ca="1" si="121"/>
        <v>8856335.5916805044</v>
      </c>
      <c r="R99" s="66">
        <f>Sheet2!G147</f>
        <v>187762.07</v>
      </c>
      <c r="S99" s="66">
        <f>Sheet2!H147</f>
        <v>1293.94</v>
      </c>
      <c r="T99" s="66">
        <f>Sheet2!I147</f>
        <v>44246</v>
      </c>
      <c r="U99" s="66">
        <f>Sheet2!J147</f>
        <v>1664129.1</v>
      </c>
      <c r="V99" s="72">
        <v>20103.340000000004</v>
      </c>
      <c r="W99" s="72">
        <v>13209.060000000001</v>
      </c>
      <c r="X99" s="72">
        <v>13916.64</v>
      </c>
      <c r="Y99" s="72">
        <v>487.7</v>
      </c>
      <c r="Z99" s="72">
        <v>56</v>
      </c>
      <c r="AA99" s="72">
        <v>3165.8999999999996</v>
      </c>
      <c r="AB99" s="66">
        <v>16610</v>
      </c>
      <c r="AC99" s="66">
        <v>1991</v>
      </c>
      <c r="AD99" s="66">
        <v>156</v>
      </c>
      <c r="AE99" s="72">
        <v>5</v>
      </c>
      <c r="AF99" s="72">
        <v>1</v>
      </c>
      <c r="AG99" s="72">
        <v>127</v>
      </c>
      <c r="AH99" s="72">
        <v>248</v>
      </c>
      <c r="AI99" s="72">
        <v>4498</v>
      </c>
      <c r="AJ99" s="72">
        <v>4</v>
      </c>
      <c r="AK99" s="72">
        <f>Weather!B219</f>
        <v>871.4</v>
      </c>
      <c r="AL99" s="72">
        <f>Weather!C219</f>
        <v>0</v>
      </c>
      <c r="AM99" s="72">
        <f t="shared" si="83"/>
        <v>28</v>
      </c>
      <c r="AN99" s="59">
        <v>19</v>
      </c>
      <c r="AO99" s="72">
        <f t="shared" si="122"/>
        <v>0</v>
      </c>
      <c r="AP99" s="72">
        <f>Employment!B99</f>
        <v>6810.3</v>
      </c>
      <c r="AQ99" s="72">
        <f>Employment!C99</f>
        <v>246.5</v>
      </c>
      <c r="AR99" s="72">
        <f t="shared" ref="AR99:AS99" si="188">AR87</f>
        <v>0</v>
      </c>
      <c r="AS99" s="72">
        <f t="shared" si="188"/>
        <v>0</v>
      </c>
      <c r="AT99" s="84">
        <f t="shared" si="128"/>
        <v>98</v>
      </c>
      <c r="AU99" s="73">
        <f t="shared" ref="AU99:BF99" si="189">AU87</f>
        <v>0</v>
      </c>
      <c r="AV99" s="73">
        <f t="shared" si="189"/>
        <v>1</v>
      </c>
      <c r="AW99" s="73">
        <f t="shared" si="189"/>
        <v>0</v>
      </c>
      <c r="AX99" s="73">
        <f t="shared" si="189"/>
        <v>0</v>
      </c>
      <c r="AY99" s="73">
        <f t="shared" si="189"/>
        <v>0</v>
      </c>
      <c r="AZ99" s="73">
        <f t="shared" si="189"/>
        <v>0</v>
      </c>
      <c r="BA99" s="73">
        <f t="shared" si="189"/>
        <v>0</v>
      </c>
      <c r="BB99" s="73">
        <f t="shared" si="189"/>
        <v>0</v>
      </c>
      <c r="BC99" s="73">
        <f t="shared" si="189"/>
        <v>0</v>
      </c>
      <c r="BD99" s="73">
        <f t="shared" si="189"/>
        <v>0</v>
      </c>
      <c r="BE99" s="73">
        <f t="shared" si="189"/>
        <v>0</v>
      </c>
      <c r="BF99" s="73">
        <f t="shared" si="189"/>
        <v>0</v>
      </c>
    </row>
    <row r="100" spans="1:58" x14ac:dyDescent="0.3">
      <c r="A100" s="65">
        <f>Sheet2!A148</f>
        <v>42064</v>
      </c>
      <c r="B100" s="92">
        <f t="shared" si="116"/>
        <v>2015</v>
      </c>
      <c r="C100" s="66">
        <f>Sheet2!B148</f>
        <v>11851402.18</v>
      </c>
      <c r="D100" s="72">
        <f ca="1">OFFSET('Historic CDM'!$C$94,0,(ROW()-2)/12)/12*1000</f>
        <v>315779.17830348114</v>
      </c>
      <c r="E100" s="72">
        <f t="shared" ca="1" si="117"/>
        <v>12167181.358303482</v>
      </c>
      <c r="F100" s="66">
        <f>Sheet2!C148</f>
        <v>4510522.3199999994</v>
      </c>
      <c r="G100" s="72">
        <f ca="1">OFFSET('Historic CDM'!$C$108,0,(ROW()-2)/12)/12*1000</f>
        <v>282806.0809063206</v>
      </c>
      <c r="H100" s="72">
        <f t="shared" ca="1" si="118"/>
        <v>4793328.4009063197</v>
      </c>
      <c r="I100" s="66">
        <f>Sheet2!D148</f>
        <v>9563893.4000000004</v>
      </c>
      <c r="J100" s="72">
        <f ca="1">OFFSET('Historic CDM'!$C$122,0,(ROW()-2)/12)/12*1000</f>
        <v>692420.85427464976</v>
      </c>
      <c r="K100" s="72">
        <f t="shared" ca="1" si="119"/>
        <v>10256314.25427465</v>
      </c>
      <c r="L100" s="66">
        <f>Sheet2!E148</f>
        <v>5207145.47</v>
      </c>
      <c r="M100" s="72">
        <f ca="1">OFFSET('Historic CDM'!$C$136,0,(ROW()-2)/12)/12*1000</f>
        <v>376296.2465242779</v>
      </c>
      <c r="N100" s="72">
        <f t="shared" ca="1" si="120"/>
        <v>5583441.7165242778</v>
      </c>
      <c r="O100" s="66">
        <f>Sheet2!F148</f>
        <v>8823625.1699999999</v>
      </c>
      <c r="P100" s="72">
        <f ca="1">OFFSET('Historic CDM'!$C$150,0,(ROW()-2)/12)/12*1000</f>
        <v>560806.76168050512</v>
      </c>
      <c r="Q100" s="72">
        <f t="shared" ca="1" si="121"/>
        <v>9384431.9316805042</v>
      </c>
      <c r="R100" s="66">
        <f>Sheet2!G148</f>
        <v>183725</v>
      </c>
      <c r="S100" s="66">
        <f>Sheet2!H148</f>
        <v>1432.57</v>
      </c>
      <c r="T100" s="66">
        <f>Sheet2!I148</f>
        <v>44246</v>
      </c>
      <c r="U100" s="66">
        <f>Sheet2!J148</f>
        <v>1503926.9</v>
      </c>
      <c r="V100" s="72">
        <v>20103.340000000004</v>
      </c>
      <c r="W100" s="72">
        <v>13209.060000000001</v>
      </c>
      <c r="X100" s="72">
        <v>13916.64</v>
      </c>
      <c r="Y100" s="72">
        <v>487.7</v>
      </c>
      <c r="Z100" s="72">
        <v>53</v>
      </c>
      <c r="AA100" s="72">
        <v>3165.8999999999996</v>
      </c>
      <c r="AB100" s="66">
        <v>16616</v>
      </c>
      <c r="AC100" s="66">
        <v>1990</v>
      </c>
      <c r="AD100" s="66">
        <v>156</v>
      </c>
      <c r="AE100" s="72">
        <v>5</v>
      </c>
      <c r="AF100" s="72">
        <v>1</v>
      </c>
      <c r="AG100" s="72">
        <v>128</v>
      </c>
      <c r="AH100" s="72">
        <v>248</v>
      </c>
      <c r="AI100" s="72">
        <v>4498</v>
      </c>
      <c r="AJ100" s="72">
        <v>4</v>
      </c>
      <c r="AK100" s="72">
        <f>Weather!B220</f>
        <v>640.1</v>
      </c>
      <c r="AL100" s="72">
        <f>Weather!C220</f>
        <v>0</v>
      </c>
      <c r="AM100" s="72">
        <f t="shared" si="83"/>
        <v>31</v>
      </c>
      <c r="AN100" s="59">
        <v>22</v>
      </c>
      <c r="AO100" s="72">
        <f t="shared" si="122"/>
        <v>1</v>
      </c>
      <c r="AP100" s="72">
        <f>Employment!B100</f>
        <v>6783.7</v>
      </c>
      <c r="AQ100" s="72">
        <f>Employment!C100</f>
        <v>244.5</v>
      </c>
      <c r="AR100" s="72">
        <f t="shared" ref="AR100:AS100" si="190">AR88</f>
        <v>1</v>
      </c>
      <c r="AS100" s="72">
        <f t="shared" si="190"/>
        <v>0</v>
      </c>
      <c r="AT100" s="84">
        <f t="shared" si="128"/>
        <v>99</v>
      </c>
      <c r="AU100" s="73">
        <f t="shared" ref="AU100:BF100" si="191">AU88</f>
        <v>0</v>
      </c>
      <c r="AV100" s="73">
        <f t="shared" si="191"/>
        <v>0</v>
      </c>
      <c r="AW100" s="73">
        <f t="shared" si="191"/>
        <v>1</v>
      </c>
      <c r="AX100" s="73">
        <f t="shared" si="191"/>
        <v>0</v>
      </c>
      <c r="AY100" s="73">
        <f t="shared" si="191"/>
        <v>0</v>
      </c>
      <c r="AZ100" s="73">
        <f t="shared" si="191"/>
        <v>0</v>
      </c>
      <c r="BA100" s="73">
        <f t="shared" si="191"/>
        <v>0</v>
      </c>
      <c r="BB100" s="73">
        <f t="shared" si="191"/>
        <v>0</v>
      </c>
      <c r="BC100" s="73">
        <f t="shared" si="191"/>
        <v>0</v>
      </c>
      <c r="BD100" s="73">
        <f t="shared" si="191"/>
        <v>0</v>
      </c>
      <c r="BE100" s="73">
        <f t="shared" si="191"/>
        <v>0</v>
      </c>
      <c r="BF100" s="73">
        <f t="shared" si="191"/>
        <v>0</v>
      </c>
    </row>
    <row r="101" spans="1:58" x14ac:dyDescent="0.3">
      <c r="A101" s="65">
        <f>Sheet2!A149</f>
        <v>42095</v>
      </c>
      <c r="B101" s="92">
        <f t="shared" si="116"/>
        <v>2015</v>
      </c>
      <c r="C101" s="66">
        <f>Sheet2!B149</f>
        <v>10225977.859999998</v>
      </c>
      <c r="D101" s="72">
        <f ca="1">OFFSET('Historic CDM'!$C$94,0,(ROW()-2)/12)/12*1000</f>
        <v>315779.17830348114</v>
      </c>
      <c r="E101" s="72">
        <f t="shared" ca="1" si="117"/>
        <v>10541757.03830348</v>
      </c>
      <c r="F101" s="66">
        <f>Sheet2!C149</f>
        <v>3819053.58</v>
      </c>
      <c r="G101" s="72">
        <f ca="1">OFFSET('Historic CDM'!$C$108,0,(ROW()-2)/12)/12*1000</f>
        <v>282806.0809063206</v>
      </c>
      <c r="H101" s="72">
        <f t="shared" ca="1" si="118"/>
        <v>4101859.6609063204</v>
      </c>
      <c r="I101" s="66">
        <f>Sheet2!D149</f>
        <v>8902615.2800000012</v>
      </c>
      <c r="J101" s="72">
        <f ca="1">OFFSET('Historic CDM'!$C$122,0,(ROW()-2)/12)/12*1000</f>
        <v>692420.85427464976</v>
      </c>
      <c r="K101" s="72">
        <f t="shared" ca="1" si="119"/>
        <v>9595036.1342746504</v>
      </c>
      <c r="L101" s="66">
        <f>Sheet2!E149</f>
        <v>4741465.04</v>
      </c>
      <c r="M101" s="72">
        <f ca="1">OFFSET('Historic CDM'!$C$136,0,(ROW()-2)/12)/12*1000</f>
        <v>376296.2465242779</v>
      </c>
      <c r="N101" s="72">
        <f t="shared" ca="1" si="120"/>
        <v>5117761.2865242781</v>
      </c>
      <c r="O101" s="66">
        <f>Sheet2!F149</f>
        <v>8038577.0099999998</v>
      </c>
      <c r="P101" s="72">
        <f ca="1">OFFSET('Historic CDM'!$C$150,0,(ROW()-2)/12)/12*1000</f>
        <v>560806.76168050512</v>
      </c>
      <c r="Q101" s="72">
        <f t="shared" ca="1" si="121"/>
        <v>8599383.7716805041</v>
      </c>
      <c r="R101" s="66">
        <f>Sheet2!G149</f>
        <v>144735.99</v>
      </c>
      <c r="S101" s="66">
        <f>Sheet2!H149</f>
        <v>1386.3600000000001</v>
      </c>
      <c r="T101" s="66">
        <f>Sheet2!I149</f>
        <v>44246</v>
      </c>
      <c r="U101" s="66">
        <f>Sheet2!J149</f>
        <v>1237955.8999999999</v>
      </c>
      <c r="V101" s="72">
        <v>20103.340000000004</v>
      </c>
      <c r="W101" s="72">
        <v>13209.060000000001</v>
      </c>
      <c r="X101" s="72">
        <v>13916.64</v>
      </c>
      <c r="Y101" s="72">
        <v>487.7</v>
      </c>
      <c r="Z101" s="72">
        <v>53</v>
      </c>
      <c r="AA101" s="72">
        <v>3165.8999999999996</v>
      </c>
      <c r="AB101" s="66">
        <v>16620</v>
      </c>
      <c r="AC101" s="66">
        <v>1989</v>
      </c>
      <c r="AD101" s="66">
        <v>156</v>
      </c>
      <c r="AE101" s="72">
        <v>5</v>
      </c>
      <c r="AF101" s="72">
        <v>1</v>
      </c>
      <c r="AG101" s="72">
        <v>128</v>
      </c>
      <c r="AH101" s="72">
        <v>248</v>
      </c>
      <c r="AI101" s="72">
        <v>4498</v>
      </c>
      <c r="AJ101" s="72">
        <v>4</v>
      </c>
      <c r="AK101" s="72">
        <f>Weather!B221</f>
        <v>336.59999999999997</v>
      </c>
      <c r="AL101" s="72">
        <f>Weather!C221</f>
        <v>0</v>
      </c>
      <c r="AM101" s="72">
        <f t="shared" si="83"/>
        <v>30</v>
      </c>
      <c r="AN101" s="59">
        <v>20</v>
      </c>
      <c r="AO101" s="72">
        <f t="shared" si="122"/>
        <v>1</v>
      </c>
      <c r="AP101" s="72">
        <f>Employment!B101</f>
        <v>6805.6</v>
      </c>
      <c r="AQ101" s="72">
        <f>Employment!C101</f>
        <v>241.6</v>
      </c>
      <c r="AR101" s="72">
        <f t="shared" ref="AR101:AS101" si="192">AR89</f>
        <v>1</v>
      </c>
      <c r="AS101" s="72">
        <f t="shared" si="192"/>
        <v>0</v>
      </c>
      <c r="AT101" s="84">
        <f t="shared" si="128"/>
        <v>100</v>
      </c>
      <c r="AU101" s="73">
        <f t="shared" ref="AU101:BF101" si="193">AU89</f>
        <v>0</v>
      </c>
      <c r="AV101" s="73">
        <f t="shared" si="193"/>
        <v>0</v>
      </c>
      <c r="AW101" s="73">
        <f t="shared" si="193"/>
        <v>0</v>
      </c>
      <c r="AX101" s="73">
        <f t="shared" si="193"/>
        <v>1</v>
      </c>
      <c r="AY101" s="73">
        <f t="shared" si="193"/>
        <v>0</v>
      </c>
      <c r="AZ101" s="73">
        <f t="shared" si="193"/>
        <v>0</v>
      </c>
      <c r="BA101" s="73">
        <f t="shared" si="193"/>
        <v>0</v>
      </c>
      <c r="BB101" s="73">
        <f t="shared" si="193"/>
        <v>0</v>
      </c>
      <c r="BC101" s="73">
        <f t="shared" si="193"/>
        <v>0</v>
      </c>
      <c r="BD101" s="73">
        <f t="shared" si="193"/>
        <v>0</v>
      </c>
      <c r="BE101" s="73">
        <f t="shared" si="193"/>
        <v>0</v>
      </c>
      <c r="BF101" s="73">
        <f t="shared" si="193"/>
        <v>0</v>
      </c>
    </row>
    <row r="102" spans="1:58" x14ac:dyDescent="0.3">
      <c r="A102" s="65">
        <f>Sheet2!A150</f>
        <v>42125</v>
      </c>
      <c r="B102" s="92">
        <f t="shared" si="116"/>
        <v>2015</v>
      </c>
      <c r="C102" s="66">
        <f>Sheet2!B150</f>
        <v>9500970.75</v>
      </c>
      <c r="D102" s="72">
        <f ca="1">OFFSET('Historic CDM'!$C$94,0,(ROW()-2)/12)/12*1000</f>
        <v>315779.17830348114</v>
      </c>
      <c r="E102" s="72">
        <f t="shared" ca="1" si="117"/>
        <v>9816749.928303482</v>
      </c>
      <c r="F102" s="66">
        <f>Sheet2!C150</f>
        <v>3695857.0400000005</v>
      </c>
      <c r="G102" s="72">
        <f ca="1">OFFSET('Historic CDM'!$C$108,0,(ROW()-2)/12)/12*1000</f>
        <v>282806.0809063206</v>
      </c>
      <c r="H102" s="72">
        <f t="shared" ca="1" si="118"/>
        <v>3978663.1209063213</v>
      </c>
      <c r="I102" s="66">
        <f>Sheet2!D150</f>
        <v>9244295.4000000004</v>
      </c>
      <c r="J102" s="72">
        <f ca="1">OFFSET('Historic CDM'!$C$122,0,(ROW()-2)/12)/12*1000</f>
        <v>692420.85427464976</v>
      </c>
      <c r="K102" s="72">
        <f t="shared" ca="1" si="119"/>
        <v>9936716.2542746495</v>
      </c>
      <c r="L102" s="66">
        <f>Sheet2!E150</f>
        <v>5530987.3599999994</v>
      </c>
      <c r="M102" s="72">
        <f ca="1">OFFSET('Historic CDM'!$C$136,0,(ROW()-2)/12)/12*1000</f>
        <v>376296.2465242779</v>
      </c>
      <c r="N102" s="72">
        <f t="shared" ca="1" si="120"/>
        <v>5907283.6065242775</v>
      </c>
      <c r="O102" s="66">
        <f>Sheet2!F150</f>
        <v>8379768.7000000002</v>
      </c>
      <c r="P102" s="72">
        <f ca="1">OFFSET('Historic CDM'!$C$150,0,(ROW()-2)/12)/12*1000</f>
        <v>560806.76168050512</v>
      </c>
      <c r="Q102" s="72">
        <f t="shared" ca="1" si="121"/>
        <v>8940575.4616805054</v>
      </c>
      <c r="R102" s="66">
        <f>Sheet2!G150</f>
        <v>133949.11000000002</v>
      </c>
      <c r="S102" s="66">
        <f>Sheet2!H150</f>
        <v>1432.57</v>
      </c>
      <c r="T102" s="66">
        <f>Sheet2!I150</f>
        <v>44246</v>
      </c>
      <c r="U102" s="66">
        <f>Sheet2!J150</f>
        <v>1172731.6000000001</v>
      </c>
      <c r="V102" s="72">
        <v>19750</v>
      </c>
      <c r="W102" s="72">
        <v>13209.060000000001</v>
      </c>
      <c r="X102" s="72">
        <v>13569.13</v>
      </c>
      <c r="Y102" s="72">
        <v>451.87</v>
      </c>
      <c r="Z102" s="72">
        <v>54</v>
      </c>
      <c r="AA102" s="72">
        <v>2749</v>
      </c>
      <c r="AB102" s="66">
        <v>16645</v>
      </c>
      <c r="AC102" s="66">
        <v>1989</v>
      </c>
      <c r="AD102" s="66">
        <v>156</v>
      </c>
      <c r="AE102" s="72">
        <v>5</v>
      </c>
      <c r="AF102" s="72">
        <v>1</v>
      </c>
      <c r="AG102" s="72">
        <v>128</v>
      </c>
      <c r="AH102" s="72">
        <v>248</v>
      </c>
      <c r="AI102" s="72">
        <v>4498</v>
      </c>
      <c r="AJ102" s="72">
        <v>4</v>
      </c>
      <c r="AK102" s="72">
        <f>Weather!B222</f>
        <v>104.7</v>
      </c>
      <c r="AL102" s="72">
        <f>Weather!C222</f>
        <v>34.9</v>
      </c>
      <c r="AM102" s="72">
        <f t="shared" si="83"/>
        <v>31</v>
      </c>
      <c r="AN102" s="59">
        <v>20</v>
      </c>
      <c r="AO102" s="72">
        <f t="shared" si="122"/>
        <v>1</v>
      </c>
      <c r="AP102" s="72">
        <f>Employment!B102</f>
        <v>6870.9</v>
      </c>
      <c r="AQ102" s="72">
        <f>Employment!C102</f>
        <v>243.2</v>
      </c>
      <c r="AR102" s="72">
        <f t="shared" ref="AR102:AS102" si="194">AR90</f>
        <v>1</v>
      </c>
      <c r="AS102" s="72">
        <f t="shared" si="194"/>
        <v>0</v>
      </c>
      <c r="AT102" s="84">
        <f t="shared" si="128"/>
        <v>101</v>
      </c>
      <c r="AU102" s="73">
        <f t="shared" ref="AU102:BF102" si="195">AU90</f>
        <v>0</v>
      </c>
      <c r="AV102" s="73">
        <f t="shared" si="195"/>
        <v>0</v>
      </c>
      <c r="AW102" s="73">
        <f t="shared" si="195"/>
        <v>0</v>
      </c>
      <c r="AX102" s="73">
        <f t="shared" si="195"/>
        <v>0</v>
      </c>
      <c r="AY102" s="73">
        <f t="shared" si="195"/>
        <v>1</v>
      </c>
      <c r="AZ102" s="73">
        <f t="shared" si="195"/>
        <v>0</v>
      </c>
      <c r="BA102" s="73">
        <f t="shared" si="195"/>
        <v>0</v>
      </c>
      <c r="BB102" s="73">
        <f t="shared" si="195"/>
        <v>0</v>
      </c>
      <c r="BC102" s="73">
        <f t="shared" si="195"/>
        <v>0</v>
      </c>
      <c r="BD102" s="73">
        <f t="shared" si="195"/>
        <v>0</v>
      </c>
      <c r="BE102" s="73">
        <f t="shared" si="195"/>
        <v>0</v>
      </c>
      <c r="BF102" s="73">
        <f t="shared" si="195"/>
        <v>0</v>
      </c>
    </row>
    <row r="103" spans="1:58" x14ac:dyDescent="0.3">
      <c r="A103" s="65">
        <f>Sheet2!A151</f>
        <v>42156</v>
      </c>
      <c r="B103" s="92">
        <f t="shared" si="116"/>
        <v>2015</v>
      </c>
      <c r="C103" s="66">
        <f>Sheet2!B151</f>
        <v>10210234.299999999</v>
      </c>
      <c r="D103" s="72">
        <f ca="1">OFFSET('Historic CDM'!$C$94,0,(ROW()-2)/12)/12*1000</f>
        <v>315779.17830348114</v>
      </c>
      <c r="E103" s="72">
        <f t="shared" ca="1" si="117"/>
        <v>10526013.478303481</v>
      </c>
      <c r="F103" s="66">
        <f>Sheet2!C151</f>
        <v>3902751.3899999992</v>
      </c>
      <c r="G103" s="72">
        <f ca="1">OFFSET('Historic CDM'!$C$108,0,(ROW()-2)/12)/12*1000</f>
        <v>282806.0809063206</v>
      </c>
      <c r="H103" s="72">
        <f t="shared" ca="1" si="118"/>
        <v>4185557.47090632</v>
      </c>
      <c r="I103" s="66">
        <f>Sheet2!D151</f>
        <v>9147436.0700000022</v>
      </c>
      <c r="J103" s="72">
        <f ca="1">OFFSET('Historic CDM'!$C$122,0,(ROW()-2)/12)/12*1000</f>
        <v>692420.85427464976</v>
      </c>
      <c r="K103" s="72">
        <f t="shared" ca="1" si="119"/>
        <v>9839856.9242746513</v>
      </c>
      <c r="L103" s="66">
        <f>Sheet2!E151</f>
        <v>5859943.25</v>
      </c>
      <c r="M103" s="72">
        <f ca="1">OFFSET('Historic CDM'!$C$136,0,(ROW()-2)/12)/12*1000</f>
        <v>376296.2465242779</v>
      </c>
      <c r="N103" s="72">
        <f t="shared" ca="1" si="120"/>
        <v>6236239.4965242781</v>
      </c>
      <c r="O103" s="66">
        <f>Sheet2!F151</f>
        <v>8163247.5099999998</v>
      </c>
      <c r="P103" s="72">
        <f ca="1">OFFSET('Historic CDM'!$C$150,0,(ROW()-2)/12)/12*1000</f>
        <v>560806.76168050512</v>
      </c>
      <c r="Q103" s="72">
        <f t="shared" ca="1" si="121"/>
        <v>8724054.2716805041</v>
      </c>
      <c r="R103" s="66">
        <f>Sheet2!G151</f>
        <v>122881.16</v>
      </c>
      <c r="S103" s="66">
        <f>Sheet2!H151</f>
        <v>1386.3600000000001</v>
      </c>
      <c r="T103" s="66">
        <f>Sheet2!I151</f>
        <v>44246</v>
      </c>
      <c r="U103" s="66">
        <f>Sheet2!J151</f>
        <v>1186813.6000000001</v>
      </c>
      <c r="V103" s="72">
        <v>22126.190000000002</v>
      </c>
      <c r="W103" s="72">
        <v>13209.060000000001</v>
      </c>
      <c r="X103" s="72">
        <v>14176.17</v>
      </c>
      <c r="Y103" s="72">
        <v>451.87</v>
      </c>
      <c r="Z103" s="72">
        <v>55</v>
      </c>
      <c r="AA103" s="72">
        <v>2445.1</v>
      </c>
      <c r="AB103" s="66">
        <v>16660</v>
      </c>
      <c r="AC103" s="66">
        <v>1990</v>
      </c>
      <c r="AD103" s="66">
        <v>155</v>
      </c>
      <c r="AE103" s="72">
        <v>5</v>
      </c>
      <c r="AF103" s="72">
        <v>1</v>
      </c>
      <c r="AG103" s="72">
        <v>128</v>
      </c>
      <c r="AH103" s="72">
        <v>248</v>
      </c>
      <c r="AI103" s="72">
        <v>4498</v>
      </c>
      <c r="AJ103" s="72">
        <v>4</v>
      </c>
      <c r="AK103" s="72">
        <f>Weather!B223</f>
        <v>29.7</v>
      </c>
      <c r="AL103" s="72">
        <f>Weather!C223</f>
        <v>30.4</v>
      </c>
      <c r="AM103" s="72">
        <f t="shared" si="83"/>
        <v>30</v>
      </c>
      <c r="AN103" s="59">
        <v>22</v>
      </c>
      <c r="AO103" s="72">
        <f t="shared" si="122"/>
        <v>0</v>
      </c>
      <c r="AP103" s="72">
        <f>Employment!B103</f>
        <v>6965.8</v>
      </c>
      <c r="AQ103" s="72">
        <f>Employment!C103</f>
        <v>251.7</v>
      </c>
      <c r="AR103" s="72">
        <f t="shared" ref="AR103:AS103" si="196">AR91</f>
        <v>0</v>
      </c>
      <c r="AS103" s="72">
        <f t="shared" si="196"/>
        <v>0</v>
      </c>
      <c r="AT103" s="84">
        <f t="shared" si="128"/>
        <v>102</v>
      </c>
      <c r="AU103" s="73">
        <f t="shared" ref="AU103:BF103" si="197">AU91</f>
        <v>0</v>
      </c>
      <c r="AV103" s="73">
        <f t="shared" si="197"/>
        <v>0</v>
      </c>
      <c r="AW103" s="73">
        <f t="shared" si="197"/>
        <v>0</v>
      </c>
      <c r="AX103" s="73">
        <f t="shared" si="197"/>
        <v>0</v>
      </c>
      <c r="AY103" s="73">
        <f t="shared" si="197"/>
        <v>0</v>
      </c>
      <c r="AZ103" s="73">
        <f t="shared" si="197"/>
        <v>1</v>
      </c>
      <c r="BA103" s="73">
        <f t="shared" si="197"/>
        <v>0</v>
      </c>
      <c r="BB103" s="73">
        <f t="shared" si="197"/>
        <v>0</v>
      </c>
      <c r="BC103" s="73">
        <f t="shared" si="197"/>
        <v>0</v>
      </c>
      <c r="BD103" s="73">
        <f t="shared" si="197"/>
        <v>0</v>
      </c>
      <c r="BE103" s="73">
        <f t="shared" si="197"/>
        <v>0</v>
      </c>
      <c r="BF103" s="73">
        <f t="shared" si="197"/>
        <v>0</v>
      </c>
    </row>
    <row r="104" spans="1:58" x14ac:dyDescent="0.3">
      <c r="A104" s="65">
        <f>Sheet2!A152</f>
        <v>42186</v>
      </c>
      <c r="B104" s="92">
        <f t="shared" si="116"/>
        <v>2015</v>
      </c>
      <c r="C104" s="66">
        <f>Sheet2!B152</f>
        <v>11775796.02</v>
      </c>
      <c r="D104" s="72">
        <f ca="1">OFFSET('Historic CDM'!$C$94,0,(ROW()-2)/12)/12*1000</f>
        <v>315779.17830348114</v>
      </c>
      <c r="E104" s="72">
        <f t="shared" ca="1" si="117"/>
        <v>12091575.198303482</v>
      </c>
      <c r="F104" s="66">
        <f>Sheet2!C152</f>
        <v>4190924.7300000004</v>
      </c>
      <c r="G104" s="72">
        <f ca="1">OFFSET('Historic CDM'!$C$108,0,(ROW()-2)/12)/12*1000</f>
        <v>282806.0809063206</v>
      </c>
      <c r="H104" s="72">
        <f t="shared" ca="1" si="118"/>
        <v>4473730.8109063208</v>
      </c>
      <c r="I104" s="66">
        <f>Sheet2!D152</f>
        <v>9574705.4299999997</v>
      </c>
      <c r="J104" s="72">
        <f ca="1">OFFSET('Historic CDM'!$C$122,0,(ROW()-2)/12)/12*1000</f>
        <v>692420.85427464976</v>
      </c>
      <c r="K104" s="72">
        <f t="shared" ca="1" si="119"/>
        <v>10267126.284274649</v>
      </c>
      <c r="L104" s="66">
        <f>Sheet2!E152</f>
        <v>6472316.7400000002</v>
      </c>
      <c r="M104" s="72">
        <f ca="1">OFFSET('Historic CDM'!$C$136,0,(ROW()-2)/12)/12*1000</f>
        <v>376296.2465242779</v>
      </c>
      <c r="N104" s="72">
        <f t="shared" ca="1" si="120"/>
        <v>6848612.9865242783</v>
      </c>
      <c r="O104" s="66">
        <f>Sheet2!F152</f>
        <v>7484037.6200000001</v>
      </c>
      <c r="P104" s="72">
        <f ca="1">OFFSET('Historic CDM'!$C$150,0,(ROW()-2)/12)/12*1000</f>
        <v>560806.76168050512</v>
      </c>
      <c r="Q104" s="72">
        <f t="shared" ca="1" si="121"/>
        <v>8044844.3816805054</v>
      </c>
      <c r="R104" s="66">
        <f>Sheet2!G152</f>
        <v>133955.1</v>
      </c>
      <c r="S104" s="66">
        <f>Sheet2!H152</f>
        <v>1432.57</v>
      </c>
      <c r="T104" s="66">
        <f>Sheet2!I152</f>
        <v>44246</v>
      </c>
      <c r="U104" s="66">
        <f>Sheet2!J152</f>
        <v>1325398.6000000001</v>
      </c>
      <c r="V104" s="72">
        <v>18774.689999999999</v>
      </c>
      <c r="W104" s="72">
        <v>13209.060000000001</v>
      </c>
      <c r="X104" s="72">
        <v>14379.42</v>
      </c>
      <c r="Y104" s="72">
        <v>451.87</v>
      </c>
      <c r="Z104" s="72">
        <v>55</v>
      </c>
      <c r="AA104" s="72">
        <v>2611</v>
      </c>
      <c r="AB104" s="66">
        <v>16677</v>
      </c>
      <c r="AC104" s="66">
        <v>1989</v>
      </c>
      <c r="AD104" s="66">
        <v>155</v>
      </c>
      <c r="AE104" s="72">
        <v>5</v>
      </c>
      <c r="AF104" s="72">
        <v>1</v>
      </c>
      <c r="AG104" s="72">
        <v>128</v>
      </c>
      <c r="AH104" s="72">
        <v>248</v>
      </c>
      <c r="AI104" s="72">
        <v>4498</v>
      </c>
      <c r="AJ104" s="72">
        <v>4</v>
      </c>
      <c r="AK104" s="72">
        <f>Weather!B224</f>
        <v>7</v>
      </c>
      <c r="AL104" s="72">
        <f>Weather!C224</f>
        <v>76.400000000000006</v>
      </c>
      <c r="AM104" s="72">
        <f t="shared" si="83"/>
        <v>31</v>
      </c>
      <c r="AN104" s="59">
        <v>22</v>
      </c>
      <c r="AO104" s="72">
        <f t="shared" si="122"/>
        <v>0</v>
      </c>
      <c r="AP104" s="72">
        <f>Employment!B104</f>
        <v>7032.3</v>
      </c>
      <c r="AQ104" s="72">
        <f>Employment!C104</f>
        <v>257.2</v>
      </c>
      <c r="AR104" s="72">
        <f t="shared" ref="AR104:AS104" si="198">AR92</f>
        <v>0</v>
      </c>
      <c r="AS104" s="72">
        <f t="shared" si="198"/>
        <v>0</v>
      </c>
      <c r="AT104" s="84">
        <f t="shared" si="128"/>
        <v>103</v>
      </c>
      <c r="AU104" s="73">
        <f t="shared" ref="AU104:BF104" si="199">AU92</f>
        <v>0</v>
      </c>
      <c r="AV104" s="73">
        <f t="shared" si="199"/>
        <v>0</v>
      </c>
      <c r="AW104" s="73">
        <f t="shared" si="199"/>
        <v>0</v>
      </c>
      <c r="AX104" s="73">
        <f t="shared" si="199"/>
        <v>0</v>
      </c>
      <c r="AY104" s="73">
        <f t="shared" si="199"/>
        <v>0</v>
      </c>
      <c r="AZ104" s="73">
        <f t="shared" si="199"/>
        <v>0</v>
      </c>
      <c r="BA104" s="73">
        <f t="shared" si="199"/>
        <v>1</v>
      </c>
      <c r="BB104" s="73">
        <f t="shared" si="199"/>
        <v>0</v>
      </c>
      <c r="BC104" s="73">
        <f t="shared" si="199"/>
        <v>0</v>
      </c>
      <c r="BD104" s="73">
        <f t="shared" si="199"/>
        <v>0</v>
      </c>
      <c r="BE104" s="73">
        <f t="shared" si="199"/>
        <v>0</v>
      </c>
      <c r="BF104" s="73">
        <f t="shared" si="199"/>
        <v>0</v>
      </c>
    </row>
    <row r="105" spans="1:58" x14ac:dyDescent="0.3">
      <c r="A105" s="65">
        <f>Sheet2!A153</f>
        <v>42217</v>
      </c>
      <c r="B105" s="92">
        <f t="shared" si="116"/>
        <v>2015</v>
      </c>
      <c r="C105" s="66">
        <f>Sheet2!B153</f>
        <v>12292511.539999997</v>
      </c>
      <c r="D105" s="72">
        <f ca="1">OFFSET('Historic CDM'!$C$94,0,(ROW()-2)/12)/12*1000</f>
        <v>315779.17830348114</v>
      </c>
      <c r="E105" s="72">
        <f t="shared" ca="1" si="117"/>
        <v>12608290.718303479</v>
      </c>
      <c r="F105" s="66">
        <f>Sheet2!C153</f>
        <v>4138355.6099999989</v>
      </c>
      <c r="G105" s="72">
        <f ca="1">OFFSET('Historic CDM'!$C$108,0,(ROW()-2)/12)/12*1000</f>
        <v>282806.0809063206</v>
      </c>
      <c r="H105" s="72">
        <f t="shared" ca="1" si="118"/>
        <v>4421161.6909063198</v>
      </c>
      <c r="I105" s="66">
        <f>Sheet2!D153</f>
        <v>9774336.5600000005</v>
      </c>
      <c r="J105" s="72">
        <f ca="1">OFFSET('Historic CDM'!$C$122,0,(ROW()-2)/12)/12*1000</f>
        <v>692420.85427464976</v>
      </c>
      <c r="K105" s="72">
        <f t="shared" ca="1" si="119"/>
        <v>10466757.41427465</v>
      </c>
      <c r="L105" s="66">
        <f>Sheet2!E153</f>
        <v>6203618.3500000006</v>
      </c>
      <c r="M105" s="72">
        <f ca="1">OFFSET('Historic CDM'!$C$136,0,(ROW()-2)/12)/12*1000</f>
        <v>376296.2465242779</v>
      </c>
      <c r="N105" s="72">
        <f t="shared" ca="1" si="120"/>
        <v>6579914.5965242786</v>
      </c>
      <c r="O105" s="66">
        <f>Sheet2!F153</f>
        <v>9066720.5899999999</v>
      </c>
      <c r="P105" s="72">
        <f ca="1">OFFSET('Historic CDM'!$C$150,0,(ROW()-2)/12)/12*1000</f>
        <v>560806.76168050512</v>
      </c>
      <c r="Q105" s="72">
        <f t="shared" ca="1" si="121"/>
        <v>9627527.3516805042</v>
      </c>
      <c r="R105" s="66">
        <f>Sheet2!G153</f>
        <v>151465.04999999999</v>
      </c>
      <c r="S105" s="66">
        <f>Sheet2!H153</f>
        <v>1432.57</v>
      </c>
      <c r="T105" s="66">
        <f>Sheet2!I153</f>
        <v>44246</v>
      </c>
      <c r="U105" s="66">
        <f>Sheet2!J153</f>
        <v>1302854.8999999999</v>
      </c>
      <c r="V105" s="72">
        <v>20312.3</v>
      </c>
      <c r="W105" s="72">
        <v>13209.060000000001</v>
      </c>
      <c r="X105" s="72">
        <v>14451.2</v>
      </c>
      <c r="Y105" s="72">
        <v>451.87</v>
      </c>
      <c r="Z105" s="72">
        <v>55</v>
      </c>
      <c r="AA105" s="72">
        <v>2954.6</v>
      </c>
      <c r="AB105" s="66">
        <v>16681</v>
      </c>
      <c r="AC105" s="66">
        <v>1991</v>
      </c>
      <c r="AD105" s="66">
        <v>156</v>
      </c>
      <c r="AE105" s="72">
        <v>5</v>
      </c>
      <c r="AF105" s="72">
        <v>1</v>
      </c>
      <c r="AG105" s="72">
        <v>128</v>
      </c>
      <c r="AH105" s="72">
        <v>248</v>
      </c>
      <c r="AI105" s="72">
        <v>4498</v>
      </c>
      <c r="AJ105" s="72">
        <v>4</v>
      </c>
      <c r="AK105" s="72">
        <f>Weather!B225</f>
        <v>14</v>
      </c>
      <c r="AL105" s="72">
        <f>Weather!C225</f>
        <v>61.6</v>
      </c>
      <c r="AM105" s="72">
        <f t="shared" si="83"/>
        <v>31</v>
      </c>
      <c r="AN105" s="59">
        <v>20</v>
      </c>
      <c r="AO105" s="72">
        <f t="shared" si="122"/>
        <v>0</v>
      </c>
      <c r="AP105" s="72">
        <f>Employment!B105</f>
        <v>7045.7</v>
      </c>
      <c r="AQ105" s="72">
        <f>Employment!C105</f>
        <v>262.10000000000002</v>
      </c>
      <c r="AR105" s="72">
        <f t="shared" ref="AR105:AS105" si="200">AR93</f>
        <v>0</v>
      </c>
      <c r="AS105" s="72">
        <f t="shared" si="200"/>
        <v>0</v>
      </c>
      <c r="AT105" s="84">
        <f t="shared" si="128"/>
        <v>104</v>
      </c>
      <c r="AU105" s="73">
        <f t="shared" ref="AU105:BF105" si="201">AU93</f>
        <v>0</v>
      </c>
      <c r="AV105" s="73">
        <f t="shared" si="201"/>
        <v>0</v>
      </c>
      <c r="AW105" s="73">
        <f t="shared" si="201"/>
        <v>0</v>
      </c>
      <c r="AX105" s="73">
        <f t="shared" si="201"/>
        <v>0</v>
      </c>
      <c r="AY105" s="73">
        <f t="shared" si="201"/>
        <v>0</v>
      </c>
      <c r="AZ105" s="73">
        <f t="shared" si="201"/>
        <v>0</v>
      </c>
      <c r="BA105" s="73">
        <f t="shared" si="201"/>
        <v>0</v>
      </c>
      <c r="BB105" s="73">
        <f t="shared" si="201"/>
        <v>1</v>
      </c>
      <c r="BC105" s="73">
        <f t="shared" si="201"/>
        <v>0</v>
      </c>
      <c r="BD105" s="73">
        <f t="shared" si="201"/>
        <v>0</v>
      </c>
      <c r="BE105" s="73">
        <f t="shared" si="201"/>
        <v>0</v>
      </c>
      <c r="BF105" s="73">
        <f t="shared" si="201"/>
        <v>0</v>
      </c>
    </row>
    <row r="106" spans="1:58" x14ac:dyDescent="0.3">
      <c r="A106" s="65">
        <f>Sheet2!A154</f>
        <v>42248</v>
      </c>
      <c r="B106" s="92">
        <f t="shared" si="116"/>
        <v>2015</v>
      </c>
      <c r="C106" s="66">
        <f>Sheet2!B154</f>
        <v>11156557.799999999</v>
      </c>
      <c r="D106" s="72">
        <f ca="1">OFFSET('Historic CDM'!$C$94,0,(ROW()-2)/12)/12*1000</f>
        <v>315779.17830348114</v>
      </c>
      <c r="E106" s="72">
        <f t="shared" ca="1" si="117"/>
        <v>11472336.978303481</v>
      </c>
      <c r="F106" s="66">
        <f>Sheet2!C154</f>
        <v>3970815.6999999993</v>
      </c>
      <c r="G106" s="72">
        <f ca="1">OFFSET('Historic CDM'!$C$108,0,(ROW()-2)/12)/12*1000</f>
        <v>282806.0809063206</v>
      </c>
      <c r="H106" s="72">
        <f t="shared" ca="1" si="118"/>
        <v>4253621.7809063196</v>
      </c>
      <c r="I106" s="66">
        <f>Sheet2!D154</f>
        <v>9994771.8099999987</v>
      </c>
      <c r="J106" s="72">
        <f ca="1">OFFSET('Historic CDM'!$C$122,0,(ROW()-2)/12)/12*1000</f>
        <v>692420.85427464976</v>
      </c>
      <c r="K106" s="72">
        <f t="shared" ca="1" si="119"/>
        <v>10687192.664274648</v>
      </c>
      <c r="L106" s="66">
        <f>Sheet2!E154</f>
        <v>5465572.4299999997</v>
      </c>
      <c r="M106" s="72">
        <f ca="1">OFFSET('Historic CDM'!$C$136,0,(ROW()-2)/12)/12*1000</f>
        <v>376296.2465242779</v>
      </c>
      <c r="N106" s="72">
        <f t="shared" ca="1" si="120"/>
        <v>5841868.6765242778</v>
      </c>
      <c r="O106" s="66">
        <f>Sheet2!F154</f>
        <v>8448350.4700000007</v>
      </c>
      <c r="P106" s="72">
        <f ca="1">OFFSET('Historic CDM'!$C$150,0,(ROW()-2)/12)/12*1000</f>
        <v>560806.76168050512</v>
      </c>
      <c r="Q106" s="72">
        <f t="shared" ca="1" si="121"/>
        <v>9009157.231680505</v>
      </c>
      <c r="R106" s="66">
        <f>Sheet2!G154</f>
        <v>164542.09</v>
      </c>
      <c r="S106" s="66">
        <f>Sheet2!H154</f>
        <v>1386.3600000000001</v>
      </c>
      <c r="T106" s="66">
        <f>Sheet2!I154</f>
        <v>44246</v>
      </c>
      <c r="U106" s="66">
        <f>Sheet2!J154</f>
        <v>1277904.2</v>
      </c>
      <c r="V106" s="72">
        <v>20312.34</v>
      </c>
      <c r="W106" s="72">
        <v>13209.060000000001</v>
      </c>
      <c r="X106" s="72">
        <v>14815.2</v>
      </c>
      <c r="Y106" s="72">
        <v>451.87</v>
      </c>
      <c r="Z106" s="72">
        <v>54</v>
      </c>
      <c r="AA106" s="72">
        <v>3033.9</v>
      </c>
      <c r="AB106" s="66">
        <v>16699</v>
      </c>
      <c r="AC106" s="66">
        <v>1989</v>
      </c>
      <c r="AD106" s="66">
        <v>158</v>
      </c>
      <c r="AE106" s="72">
        <v>5</v>
      </c>
      <c r="AF106" s="72">
        <v>1</v>
      </c>
      <c r="AG106" s="72">
        <v>128</v>
      </c>
      <c r="AH106" s="72">
        <v>248</v>
      </c>
      <c r="AI106" s="72">
        <v>4498</v>
      </c>
      <c r="AJ106" s="72">
        <v>4</v>
      </c>
      <c r="AK106" s="72">
        <f>Weather!B226</f>
        <v>34.6</v>
      </c>
      <c r="AL106" s="72">
        <f>Weather!C226</f>
        <v>54.2</v>
      </c>
      <c r="AM106" s="72">
        <f t="shared" si="83"/>
        <v>30</v>
      </c>
      <c r="AN106" s="59">
        <v>21</v>
      </c>
      <c r="AO106" s="72">
        <f t="shared" si="122"/>
        <v>1</v>
      </c>
      <c r="AP106" s="72">
        <f>Employment!B106</f>
        <v>6994.9</v>
      </c>
      <c r="AQ106" s="72">
        <f>Employment!C106</f>
        <v>256.39999999999998</v>
      </c>
      <c r="AR106" s="72">
        <f t="shared" ref="AR106:AS106" si="202">AR94</f>
        <v>0</v>
      </c>
      <c r="AS106" s="72">
        <f t="shared" si="202"/>
        <v>1</v>
      </c>
      <c r="AT106" s="84">
        <f t="shared" si="128"/>
        <v>105</v>
      </c>
      <c r="AU106" s="73">
        <f t="shared" ref="AU106:BF106" si="203">AU94</f>
        <v>0</v>
      </c>
      <c r="AV106" s="73">
        <f t="shared" si="203"/>
        <v>0</v>
      </c>
      <c r="AW106" s="73">
        <f t="shared" si="203"/>
        <v>0</v>
      </c>
      <c r="AX106" s="73">
        <f t="shared" si="203"/>
        <v>0</v>
      </c>
      <c r="AY106" s="73">
        <f t="shared" si="203"/>
        <v>0</v>
      </c>
      <c r="AZ106" s="73">
        <f t="shared" si="203"/>
        <v>0</v>
      </c>
      <c r="BA106" s="73">
        <f t="shared" si="203"/>
        <v>0</v>
      </c>
      <c r="BB106" s="73">
        <f t="shared" si="203"/>
        <v>0</v>
      </c>
      <c r="BC106" s="73">
        <f t="shared" si="203"/>
        <v>1</v>
      </c>
      <c r="BD106" s="73">
        <f t="shared" si="203"/>
        <v>0</v>
      </c>
      <c r="BE106" s="73">
        <f t="shared" si="203"/>
        <v>0</v>
      </c>
      <c r="BF106" s="73">
        <f t="shared" si="203"/>
        <v>0</v>
      </c>
    </row>
    <row r="107" spans="1:58" x14ac:dyDescent="0.3">
      <c r="A107" s="65">
        <f>Sheet2!A155</f>
        <v>42278</v>
      </c>
      <c r="B107" s="92">
        <f t="shared" si="116"/>
        <v>2015</v>
      </c>
      <c r="C107" s="66">
        <f>Sheet2!B155</f>
        <v>9445095.5000000019</v>
      </c>
      <c r="D107" s="72">
        <f ca="1">OFFSET('Historic CDM'!$C$94,0,(ROW()-2)/12)/12*1000</f>
        <v>315779.17830348114</v>
      </c>
      <c r="E107" s="72">
        <f t="shared" ca="1" si="117"/>
        <v>9760874.6783034839</v>
      </c>
      <c r="F107" s="66">
        <f>Sheet2!C155</f>
        <v>3596814.5</v>
      </c>
      <c r="G107" s="72">
        <f ca="1">OFFSET('Historic CDM'!$C$108,0,(ROW()-2)/12)/12*1000</f>
        <v>282806.0809063206</v>
      </c>
      <c r="H107" s="72">
        <f t="shared" ca="1" si="118"/>
        <v>3879620.5809063204</v>
      </c>
      <c r="I107" s="66">
        <f>Sheet2!D155</f>
        <v>9720689.3699999992</v>
      </c>
      <c r="J107" s="72">
        <f ca="1">OFFSET('Historic CDM'!$C$122,0,(ROW()-2)/12)/12*1000</f>
        <v>692420.85427464976</v>
      </c>
      <c r="K107" s="72">
        <f t="shared" ca="1" si="119"/>
        <v>10413110.224274648</v>
      </c>
      <c r="L107" s="66">
        <f>Sheet2!E155</f>
        <v>3601733.39</v>
      </c>
      <c r="M107" s="72">
        <f ca="1">OFFSET('Historic CDM'!$C$136,0,(ROW()-2)/12)/12*1000</f>
        <v>376296.2465242779</v>
      </c>
      <c r="N107" s="72">
        <f t="shared" ca="1" si="120"/>
        <v>3978029.6365242782</v>
      </c>
      <c r="O107" s="66">
        <f>Sheet2!F155</f>
        <v>8591356.2799999993</v>
      </c>
      <c r="P107" s="72">
        <f ca="1">OFFSET('Historic CDM'!$C$150,0,(ROW()-2)/12)/12*1000</f>
        <v>560806.76168050512</v>
      </c>
      <c r="Q107" s="72">
        <f t="shared" ca="1" si="121"/>
        <v>9152163.0416805036</v>
      </c>
      <c r="R107" s="66">
        <f>Sheet2!G155</f>
        <v>189987.08</v>
      </c>
      <c r="S107" s="66">
        <f>Sheet2!H155</f>
        <v>1424.1599999999999</v>
      </c>
      <c r="T107" s="66">
        <f>Sheet2!I155</f>
        <v>44246</v>
      </c>
      <c r="U107" s="66">
        <f>Sheet2!J155</f>
        <v>1382120</v>
      </c>
      <c r="V107" s="72">
        <v>22735.829999999998</v>
      </c>
      <c r="W107" s="72">
        <v>13209.060000000001</v>
      </c>
      <c r="X107" s="72">
        <v>14464.33</v>
      </c>
      <c r="Y107" s="72">
        <v>451.87</v>
      </c>
      <c r="Z107" s="72">
        <v>55</v>
      </c>
      <c r="AA107" s="72">
        <v>3014.4</v>
      </c>
      <c r="AB107" s="66">
        <v>16707</v>
      </c>
      <c r="AC107" s="66">
        <v>1987</v>
      </c>
      <c r="AD107" s="66">
        <v>161</v>
      </c>
      <c r="AE107" s="72">
        <v>5</v>
      </c>
      <c r="AF107" s="72">
        <v>1</v>
      </c>
      <c r="AG107" s="72">
        <v>128</v>
      </c>
      <c r="AH107" s="72">
        <v>248</v>
      </c>
      <c r="AI107" s="72">
        <v>4498</v>
      </c>
      <c r="AJ107" s="72">
        <v>4</v>
      </c>
      <c r="AK107" s="72">
        <f>Weather!B227</f>
        <v>254.9</v>
      </c>
      <c r="AL107" s="72">
        <f>Weather!C227</f>
        <v>0</v>
      </c>
      <c r="AM107" s="72">
        <f t="shared" si="83"/>
        <v>31</v>
      </c>
      <c r="AN107" s="59">
        <v>21</v>
      </c>
      <c r="AO107" s="72">
        <f t="shared" si="122"/>
        <v>1</v>
      </c>
      <c r="AP107" s="72">
        <f>Employment!B107</f>
        <v>6969</v>
      </c>
      <c r="AQ107" s="72">
        <f>Employment!C107</f>
        <v>257.10000000000002</v>
      </c>
      <c r="AR107" s="72">
        <f t="shared" ref="AR107:AS107" si="204">AR95</f>
        <v>0</v>
      </c>
      <c r="AS107" s="72">
        <f t="shared" si="204"/>
        <v>1</v>
      </c>
      <c r="AT107" s="84">
        <f t="shared" si="128"/>
        <v>106</v>
      </c>
      <c r="AU107" s="73">
        <f t="shared" ref="AU107:BF107" si="205">AU95</f>
        <v>0</v>
      </c>
      <c r="AV107" s="73">
        <f t="shared" si="205"/>
        <v>0</v>
      </c>
      <c r="AW107" s="73">
        <f t="shared" si="205"/>
        <v>0</v>
      </c>
      <c r="AX107" s="73">
        <f t="shared" si="205"/>
        <v>0</v>
      </c>
      <c r="AY107" s="73">
        <f t="shared" si="205"/>
        <v>0</v>
      </c>
      <c r="AZ107" s="73">
        <f t="shared" si="205"/>
        <v>0</v>
      </c>
      <c r="BA107" s="73">
        <f t="shared" si="205"/>
        <v>0</v>
      </c>
      <c r="BB107" s="73">
        <f t="shared" si="205"/>
        <v>0</v>
      </c>
      <c r="BC107" s="73">
        <f t="shared" si="205"/>
        <v>0</v>
      </c>
      <c r="BD107" s="73">
        <f t="shared" si="205"/>
        <v>1</v>
      </c>
      <c r="BE107" s="73">
        <f t="shared" si="205"/>
        <v>0</v>
      </c>
      <c r="BF107" s="73">
        <f t="shared" si="205"/>
        <v>0</v>
      </c>
    </row>
    <row r="108" spans="1:58" x14ac:dyDescent="0.3">
      <c r="A108" s="65">
        <f>Sheet2!A156</f>
        <v>42309</v>
      </c>
      <c r="B108" s="92">
        <f t="shared" si="116"/>
        <v>2015</v>
      </c>
      <c r="C108" s="66">
        <f>Sheet2!B156</f>
        <v>10294847.77</v>
      </c>
      <c r="D108" s="72">
        <f ca="1">OFFSET('Historic CDM'!$C$94,0,(ROW()-2)/12)/12*1000</f>
        <v>315779.17830348114</v>
      </c>
      <c r="E108" s="72">
        <f t="shared" ca="1" si="117"/>
        <v>10610626.948303482</v>
      </c>
      <c r="F108" s="66">
        <f>Sheet2!C156</f>
        <v>3853891.9099999992</v>
      </c>
      <c r="G108" s="72">
        <f ca="1">OFFSET('Historic CDM'!$C$108,0,(ROW()-2)/12)/12*1000</f>
        <v>282806.0809063206</v>
      </c>
      <c r="H108" s="72">
        <f t="shared" ca="1" si="118"/>
        <v>4136697.9909063196</v>
      </c>
      <c r="I108" s="66">
        <f>Sheet2!D156</f>
        <v>9745814.4900000002</v>
      </c>
      <c r="J108" s="72">
        <f ca="1">OFFSET('Historic CDM'!$C$122,0,(ROW()-2)/12)/12*1000</f>
        <v>692420.85427464976</v>
      </c>
      <c r="K108" s="72">
        <f t="shared" ca="1" si="119"/>
        <v>10438235.344274649</v>
      </c>
      <c r="L108" s="66">
        <f>Sheet2!E156</f>
        <v>5551032.7400000002</v>
      </c>
      <c r="M108" s="72">
        <f ca="1">OFFSET('Historic CDM'!$C$136,0,(ROW()-2)/12)/12*1000</f>
        <v>376296.2465242779</v>
      </c>
      <c r="N108" s="72">
        <f t="shared" ca="1" si="120"/>
        <v>5927328.9865242783</v>
      </c>
      <c r="O108" s="66">
        <f>Sheet2!F156</f>
        <v>8608677.9000000004</v>
      </c>
      <c r="P108" s="72">
        <f ca="1">OFFSET('Historic CDM'!$C$150,0,(ROW()-2)/12)/12*1000</f>
        <v>560806.76168050512</v>
      </c>
      <c r="Q108" s="72">
        <f t="shared" ca="1" si="121"/>
        <v>9169484.6616805047</v>
      </c>
      <c r="R108" s="66">
        <f>Sheet2!G156</f>
        <v>191001.38999999998</v>
      </c>
      <c r="S108" s="66">
        <f>Sheet2!H156</f>
        <v>1394.77</v>
      </c>
      <c r="T108" s="66">
        <f>Sheet2!I156</f>
        <v>44032</v>
      </c>
      <c r="U108" s="66">
        <f>Sheet2!J156</f>
        <v>1331818</v>
      </c>
      <c r="V108" s="72">
        <v>20472.05</v>
      </c>
      <c r="W108" s="72">
        <v>13209.060000000001</v>
      </c>
      <c r="X108" s="72">
        <v>13728.43</v>
      </c>
      <c r="Y108" s="72">
        <v>451.87</v>
      </c>
      <c r="Z108" s="72">
        <v>54</v>
      </c>
      <c r="AA108" s="72">
        <v>2961.7</v>
      </c>
      <c r="AB108" s="66">
        <v>16733</v>
      </c>
      <c r="AC108" s="66">
        <v>1990</v>
      </c>
      <c r="AD108" s="66">
        <v>160</v>
      </c>
      <c r="AE108" s="72">
        <v>5</v>
      </c>
      <c r="AF108" s="72">
        <v>1</v>
      </c>
      <c r="AG108" s="72">
        <v>127</v>
      </c>
      <c r="AH108" s="72">
        <v>248</v>
      </c>
      <c r="AI108" s="72">
        <v>4498</v>
      </c>
      <c r="AJ108" s="72">
        <v>4</v>
      </c>
      <c r="AK108" s="72">
        <f>Weather!B228</f>
        <v>349.79999999999995</v>
      </c>
      <c r="AL108" s="72">
        <f>Weather!C228</f>
        <v>0</v>
      </c>
      <c r="AM108" s="72">
        <f t="shared" si="83"/>
        <v>30</v>
      </c>
      <c r="AN108" s="59">
        <v>21</v>
      </c>
      <c r="AO108" s="72">
        <f t="shared" si="122"/>
        <v>1</v>
      </c>
      <c r="AP108" s="72">
        <f>Employment!B108</f>
        <v>6936.9</v>
      </c>
      <c r="AQ108" s="72">
        <f>Employment!C108</f>
        <v>253.9</v>
      </c>
      <c r="AR108" s="72">
        <f t="shared" ref="AR108:AS108" si="206">AR96</f>
        <v>0</v>
      </c>
      <c r="AS108" s="72">
        <f t="shared" si="206"/>
        <v>1</v>
      </c>
      <c r="AT108" s="84">
        <f t="shared" si="128"/>
        <v>107</v>
      </c>
      <c r="AU108" s="73">
        <f t="shared" ref="AU108:BF108" si="207">AU96</f>
        <v>0</v>
      </c>
      <c r="AV108" s="73">
        <f t="shared" si="207"/>
        <v>0</v>
      </c>
      <c r="AW108" s="73">
        <f t="shared" si="207"/>
        <v>0</v>
      </c>
      <c r="AX108" s="73">
        <f t="shared" si="207"/>
        <v>0</v>
      </c>
      <c r="AY108" s="73">
        <f t="shared" si="207"/>
        <v>0</v>
      </c>
      <c r="AZ108" s="73">
        <f t="shared" si="207"/>
        <v>0</v>
      </c>
      <c r="BA108" s="73">
        <f t="shared" si="207"/>
        <v>0</v>
      </c>
      <c r="BB108" s="73">
        <f t="shared" si="207"/>
        <v>0</v>
      </c>
      <c r="BC108" s="73">
        <f t="shared" si="207"/>
        <v>0</v>
      </c>
      <c r="BD108" s="73">
        <f t="shared" si="207"/>
        <v>0</v>
      </c>
      <c r="BE108" s="73">
        <f t="shared" si="207"/>
        <v>1</v>
      </c>
      <c r="BF108" s="73">
        <f t="shared" si="207"/>
        <v>0</v>
      </c>
    </row>
    <row r="109" spans="1:58" x14ac:dyDescent="0.3">
      <c r="A109" s="65">
        <f>Sheet2!A157</f>
        <v>42339</v>
      </c>
      <c r="B109" s="92">
        <f t="shared" si="116"/>
        <v>2015</v>
      </c>
      <c r="C109" s="72">
        <f>Sheet2!B157</f>
        <v>11620056.529999997</v>
      </c>
      <c r="D109" s="72">
        <f ca="1">OFFSET('Historic CDM'!$C$94,0,(ROW()-2)/12)/12*1000</f>
        <v>315779.17830348114</v>
      </c>
      <c r="E109" s="72">
        <f t="shared" ca="1" si="117"/>
        <v>11935835.708303479</v>
      </c>
      <c r="F109" s="72">
        <f>Sheet2!C157</f>
        <v>4035538.24</v>
      </c>
      <c r="G109" s="72">
        <f ca="1">OFFSET('Historic CDM'!$C$108,0,(ROW()-2)/12)/12*1000</f>
        <v>282806.0809063206</v>
      </c>
      <c r="H109" s="72">
        <f t="shared" ca="1" si="118"/>
        <v>4318344.3209063206</v>
      </c>
      <c r="I109" s="72">
        <f>Sheet2!D157</f>
        <v>8937343.6799999997</v>
      </c>
      <c r="J109" s="72">
        <f ca="1">OFFSET('Historic CDM'!$C$122,0,(ROW()-2)/12)/12*1000</f>
        <v>692420.85427464976</v>
      </c>
      <c r="K109" s="72">
        <f t="shared" ca="1" si="119"/>
        <v>9629764.5342746489</v>
      </c>
      <c r="L109" s="72">
        <f>Sheet2!E157</f>
        <v>3641481.25</v>
      </c>
      <c r="M109" s="72">
        <f ca="1">OFFSET('Historic CDM'!$C$136,0,(ROW()-2)/12)/12*1000</f>
        <v>376296.2465242779</v>
      </c>
      <c r="N109" s="72">
        <f t="shared" ca="1" si="120"/>
        <v>4017777.4965242781</v>
      </c>
      <c r="O109" s="72">
        <f>Sheet2!F157</f>
        <v>8163675.9800000004</v>
      </c>
      <c r="P109" s="72">
        <f ca="1">OFFSET('Historic CDM'!$C$150,0,(ROW()-2)/12)/12*1000</f>
        <v>560806.76168050512</v>
      </c>
      <c r="Q109" s="72">
        <f t="shared" ca="1" si="121"/>
        <v>8724482.7416805048</v>
      </c>
      <c r="R109" s="72">
        <f>Sheet2!G157</f>
        <v>203843.4</v>
      </c>
      <c r="S109" s="72">
        <f>Sheet2!H157</f>
        <v>1432.57</v>
      </c>
      <c r="T109" s="72">
        <f>Sheet2!I157</f>
        <v>51852</v>
      </c>
      <c r="U109" s="72">
        <f>Sheet2!J157</f>
        <v>1369552.7000000002</v>
      </c>
      <c r="V109" s="72">
        <v>20044.780000000002</v>
      </c>
      <c r="W109" s="72">
        <v>13209.060000000001</v>
      </c>
      <c r="X109" s="72">
        <v>14128.37</v>
      </c>
      <c r="Y109" s="72">
        <v>451.87</v>
      </c>
      <c r="Z109" s="72">
        <v>54</v>
      </c>
      <c r="AA109" s="72">
        <v>3056.5</v>
      </c>
      <c r="AB109" s="72">
        <v>16758</v>
      </c>
      <c r="AC109" s="72">
        <v>1989</v>
      </c>
      <c r="AD109" s="72">
        <v>160</v>
      </c>
      <c r="AE109" s="72">
        <v>5</v>
      </c>
      <c r="AF109" s="72">
        <v>1</v>
      </c>
      <c r="AG109" s="72">
        <v>127</v>
      </c>
      <c r="AH109" s="72">
        <v>248</v>
      </c>
      <c r="AI109" s="72">
        <v>5927</v>
      </c>
      <c r="AJ109" s="72">
        <v>4</v>
      </c>
      <c r="AK109" s="72">
        <f>Weather!B229</f>
        <v>447.8</v>
      </c>
      <c r="AL109" s="72">
        <f>Weather!C229</f>
        <v>0</v>
      </c>
      <c r="AM109" s="72">
        <f t="shared" si="83"/>
        <v>31</v>
      </c>
      <c r="AN109" s="59">
        <v>21</v>
      </c>
      <c r="AO109" s="72">
        <f t="shared" si="122"/>
        <v>0</v>
      </c>
      <c r="AP109" s="72">
        <f>Employment!B109</f>
        <v>6948.2</v>
      </c>
      <c r="AQ109" s="72">
        <f>Employment!C109</f>
        <v>255.3</v>
      </c>
      <c r="AR109" s="72">
        <f t="shared" ref="AR109:AS109" si="208">AR97</f>
        <v>0</v>
      </c>
      <c r="AS109" s="72">
        <f t="shared" si="208"/>
        <v>0</v>
      </c>
      <c r="AT109" s="84">
        <f t="shared" si="128"/>
        <v>108</v>
      </c>
      <c r="AU109" s="73">
        <f t="shared" ref="AU109:BF109" si="209">AU97</f>
        <v>0</v>
      </c>
      <c r="AV109" s="73">
        <f t="shared" si="209"/>
        <v>0</v>
      </c>
      <c r="AW109" s="73">
        <f t="shared" si="209"/>
        <v>0</v>
      </c>
      <c r="AX109" s="73">
        <f t="shared" si="209"/>
        <v>0</v>
      </c>
      <c r="AY109" s="73">
        <f t="shared" si="209"/>
        <v>0</v>
      </c>
      <c r="AZ109" s="73">
        <f t="shared" si="209"/>
        <v>0</v>
      </c>
      <c r="BA109" s="73">
        <f t="shared" si="209"/>
        <v>0</v>
      </c>
      <c r="BB109" s="73">
        <f t="shared" si="209"/>
        <v>0</v>
      </c>
      <c r="BC109" s="73">
        <f t="shared" si="209"/>
        <v>0</v>
      </c>
      <c r="BD109" s="73">
        <f t="shared" si="209"/>
        <v>0</v>
      </c>
      <c r="BE109" s="73">
        <f t="shared" si="209"/>
        <v>0</v>
      </c>
      <c r="BF109" s="73">
        <f t="shared" si="209"/>
        <v>1</v>
      </c>
    </row>
    <row r="110" spans="1:58" x14ac:dyDescent="0.3">
      <c r="A110" s="68">
        <f>Sheet2!A158</f>
        <v>42370</v>
      </c>
      <c r="B110" s="92">
        <f t="shared" si="116"/>
        <v>2016</v>
      </c>
      <c r="C110" s="72">
        <f>Sheet2!B158</f>
        <v>12659885.229999997</v>
      </c>
      <c r="D110" s="72">
        <f ca="1">OFFSET('Historic CDM'!$C$94,0,(ROW()-2)/12)/12*1000</f>
        <v>380600.05973163422</v>
      </c>
      <c r="E110" s="72">
        <f t="shared" ca="1" si="117"/>
        <v>13040485.289731631</v>
      </c>
      <c r="F110" s="72">
        <f>Sheet2!C158</f>
        <v>4576121.9800000004</v>
      </c>
      <c r="G110" s="72">
        <f ca="1">OFFSET('Historic CDM'!$C$108,0,(ROW()-2)/12)/12*1000</f>
        <v>318650.1816346636</v>
      </c>
      <c r="H110" s="72">
        <f t="shared" ca="1" si="118"/>
        <v>4894772.1616346641</v>
      </c>
      <c r="I110" s="72">
        <f>Sheet2!D158</f>
        <v>9916649.6999999993</v>
      </c>
      <c r="J110" s="72">
        <f ca="1">OFFSET('Historic CDM'!$C$122,0,(ROW()-2)/12)/12*1000</f>
        <v>780181.3535096267</v>
      </c>
      <c r="K110" s="72">
        <f t="shared" ca="1" si="119"/>
        <v>10696831.053509627</v>
      </c>
      <c r="L110" s="72">
        <f>Sheet2!E158</f>
        <v>4952065.95</v>
      </c>
      <c r="M110" s="72">
        <f ca="1">OFFSET('Historic CDM'!$C$136,0,(ROW()-2)/12)/12*1000</f>
        <v>423989.70672459638</v>
      </c>
      <c r="N110" s="72">
        <f t="shared" ca="1" si="120"/>
        <v>5376055.6567245964</v>
      </c>
      <c r="O110" s="72">
        <f>Sheet2!F158</f>
        <v>9014314.8599999994</v>
      </c>
      <c r="P110" s="72">
        <f ca="1">OFFSET('Historic CDM'!$C$150,0,(ROW()-2)/12)/12*1000</f>
        <v>631885.90534810745</v>
      </c>
      <c r="Q110" s="72">
        <f t="shared" ca="1" si="121"/>
        <v>9646200.7653481066</v>
      </c>
      <c r="R110" s="72">
        <f>Sheet2!G158</f>
        <v>196250.71</v>
      </c>
      <c r="S110" s="72">
        <f>Sheet2!H158</f>
        <v>1320.97</v>
      </c>
      <c r="T110" s="72">
        <f>Sheet2!I158</f>
        <v>44032</v>
      </c>
      <c r="U110" s="72">
        <f>Sheet2!J158</f>
        <v>1558765.0999999999</v>
      </c>
      <c r="V110" s="72">
        <v>26163.309999999998</v>
      </c>
      <c r="W110" s="72">
        <v>11349.060000000001</v>
      </c>
      <c r="X110" s="72">
        <v>14164.54</v>
      </c>
      <c r="Y110" s="72">
        <v>451.87</v>
      </c>
      <c r="Z110" s="72">
        <v>54</v>
      </c>
      <c r="AA110" s="72">
        <v>2876.4</v>
      </c>
      <c r="AB110" s="72">
        <v>16766</v>
      </c>
      <c r="AC110" s="72">
        <v>1989</v>
      </c>
      <c r="AD110" s="72">
        <v>161</v>
      </c>
      <c r="AE110" s="72">
        <v>5</v>
      </c>
      <c r="AF110" s="72">
        <v>1</v>
      </c>
      <c r="AG110" s="72">
        <v>127</v>
      </c>
      <c r="AH110" s="72">
        <v>248</v>
      </c>
      <c r="AI110" s="72">
        <v>5927</v>
      </c>
      <c r="AJ110" s="72">
        <v>4</v>
      </c>
      <c r="AK110" s="72">
        <f>Weather!B230</f>
        <v>693.9</v>
      </c>
      <c r="AL110" s="72">
        <f>Weather!C230</f>
        <v>0</v>
      </c>
      <c r="AM110" s="72">
        <f t="shared" si="83"/>
        <v>31</v>
      </c>
      <c r="AN110" s="59">
        <v>20</v>
      </c>
      <c r="AO110" s="72">
        <f t="shared" si="122"/>
        <v>0</v>
      </c>
      <c r="AP110" s="72">
        <f>Employment!B110</f>
        <v>6919.2</v>
      </c>
      <c r="AQ110" s="72">
        <f>Employment!C110</f>
        <v>253.1</v>
      </c>
      <c r="AR110" s="72">
        <f t="shared" ref="AR110:AS110" si="210">AR98</f>
        <v>0</v>
      </c>
      <c r="AS110" s="72">
        <f t="shared" si="210"/>
        <v>0</v>
      </c>
      <c r="AT110" s="84">
        <f t="shared" si="128"/>
        <v>109</v>
      </c>
      <c r="AU110" s="73">
        <f t="shared" ref="AU110:BF110" si="211">AU98</f>
        <v>1</v>
      </c>
      <c r="AV110" s="73">
        <f t="shared" si="211"/>
        <v>0</v>
      </c>
      <c r="AW110" s="73">
        <f t="shared" si="211"/>
        <v>0</v>
      </c>
      <c r="AX110" s="73">
        <f t="shared" si="211"/>
        <v>0</v>
      </c>
      <c r="AY110" s="73">
        <f t="shared" si="211"/>
        <v>0</v>
      </c>
      <c r="AZ110" s="73">
        <f t="shared" si="211"/>
        <v>0</v>
      </c>
      <c r="BA110" s="73">
        <f t="shared" si="211"/>
        <v>0</v>
      </c>
      <c r="BB110" s="73">
        <f t="shared" si="211"/>
        <v>0</v>
      </c>
      <c r="BC110" s="73">
        <f t="shared" si="211"/>
        <v>0</v>
      </c>
      <c r="BD110" s="73">
        <f t="shared" si="211"/>
        <v>0</v>
      </c>
      <c r="BE110" s="73">
        <f t="shared" si="211"/>
        <v>0</v>
      </c>
      <c r="BF110" s="73">
        <f t="shared" si="211"/>
        <v>0</v>
      </c>
    </row>
    <row r="111" spans="1:58" x14ac:dyDescent="0.3">
      <c r="A111" s="68">
        <f>Sheet2!A159</f>
        <v>42401</v>
      </c>
      <c r="B111" s="92">
        <f t="shared" si="116"/>
        <v>2016</v>
      </c>
      <c r="C111" s="72">
        <f>Sheet2!B159</f>
        <v>11839359.410000002</v>
      </c>
      <c r="D111" s="72">
        <f ca="1">OFFSET('Historic CDM'!$C$94,0,(ROW()-2)/12)/12*1000</f>
        <v>380600.05973163422</v>
      </c>
      <c r="E111" s="72">
        <f t="shared" ca="1" si="117"/>
        <v>12219959.469731636</v>
      </c>
      <c r="F111" s="72">
        <f>Sheet2!C159</f>
        <v>4328246.1899999995</v>
      </c>
      <c r="G111" s="72">
        <f ca="1">OFFSET('Historic CDM'!$C$108,0,(ROW()-2)/12)/12*1000</f>
        <v>318650.1816346636</v>
      </c>
      <c r="H111" s="72">
        <f t="shared" ca="1" si="118"/>
        <v>4646896.3716346631</v>
      </c>
      <c r="I111" s="72">
        <f>Sheet2!D159</f>
        <v>9242954.3300000001</v>
      </c>
      <c r="J111" s="72">
        <f ca="1">OFFSET('Historic CDM'!$C$122,0,(ROW()-2)/12)/12*1000</f>
        <v>780181.3535096267</v>
      </c>
      <c r="K111" s="72">
        <f t="shared" ca="1" si="119"/>
        <v>10023135.683509627</v>
      </c>
      <c r="L111" s="72">
        <f>Sheet2!E159</f>
        <v>4160796.17</v>
      </c>
      <c r="M111" s="72">
        <f ca="1">OFFSET('Historic CDM'!$C$136,0,(ROW()-2)/12)/12*1000</f>
        <v>423989.70672459638</v>
      </c>
      <c r="N111" s="72">
        <f t="shared" ca="1" si="120"/>
        <v>4584785.8767245961</v>
      </c>
      <c r="O111" s="72">
        <f>Sheet2!F159</f>
        <v>8822381.9900000002</v>
      </c>
      <c r="P111" s="72">
        <f ca="1">OFFSET('Historic CDM'!$C$150,0,(ROW()-2)/12)/12*1000</f>
        <v>631885.90534810745</v>
      </c>
      <c r="Q111" s="72">
        <f t="shared" ca="1" si="121"/>
        <v>9454267.8953481074</v>
      </c>
      <c r="R111" s="72">
        <f>Sheet2!G159</f>
        <v>169994.31</v>
      </c>
      <c r="S111" s="72">
        <f>Sheet2!H159</f>
        <v>1235.75</v>
      </c>
      <c r="T111" s="72">
        <f>Sheet2!I159</f>
        <v>37462</v>
      </c>
      <c r="U111" s="72">
        <f>Sheet2!J159</f>
        <v>1414777.9</v>
      </c>
      <c r="V111" s="72">
        <v>25939.38</v>
      </c>
      <c r="W111" s="72">
        <v>11128.38</v>
      </c>
      <c r="X111" s="72">
        <v>14967.86</v>
      </c>
      <c r="Y111" s="72">
        <v>328.56</v>
      </c>
      <c r="Z111" s="72">
        <v>54</v>
      </c>
      <c r="AA111" s="72">
        <v>3315.2</v>
      </c>
      <c r="AB111" s="72">
        <v>16771</v>
      </c>
      <c r="AC111" s="72">
        <v>1989</v>
      </c>
      <c r="AD111" s="72">
        <v>160</v>
      </c>
      <c r="AE111" s="72">
        <v>5</v>
      </c>
      <c r="AF111" s="72">
        <v>1</v>
      </c>
      <c r="AG111" s="72">
        <v>127</v>
      </c>
      <c r="AH111" s="72">
        <v>248</v>
      </c>
      <c r="AI111" s="72">
        <v>5927</v>
      </c>
      <c r="AJ111" s="72">
        <v>4</v>
      </c>
      <c r="AK111" s="72">
        <f>Weather!B231</f>
        <v>599.1</v>
      </c>
      <c r="AL111" s="72">
        <f>Weather!C231</f>
        <v>0</v>
      </c>
      <c r="AM111" s="72">
        <f t="shared" si="83"/>
        <v>29</v>
      </c>
      <c r="AN111" s="59">
        <v>20</v>
      </c>
      <c r="AO111" s="72">
        <f t="shared" si="122"/>
        <v>0</v>
      </c>
      <c r="AP111" s="72">
        <f>Employment!B111</f>
        <v>6896.8</v>
      </c>
      <c r="AQ111" s="72">
        <f>Employment!C111</f>
        <v>250</v>
      </c>
      <c r="AR111" s="72">
        <f t="shared" ref="AR111:AS111" si="212">AR99</f>
        <v>0</v>
      </c>
      <c r="AS111" s="72">
        <f t="shared" si="212"/>
        <v>0</v>
      </c>
      <c r="AT111" s="84">
        <f t="shared" si="128"/>
        <v>110</v>
      </c>
      <c r="AU111" s="73">
        <f t="shared" ref="AU111:BF111" si="213">AU99</f>
        <v>0</v>
      </c>
      <c r="AV111" s="73">
        <f t="shared" si="213"/>
        <v>1</v>
      </c>
      <c r="AW111" s="73">
        <f t="shared" si="213"/>
        <v>0</v>
      </c>
      <c r="AX111" s="73">
        <f t="shared" si="213"/>
        <v>0</v>
      </c>
      <c r="AY111" s="73">
        <f t="shared" si="213"/>
        <v>0</v>
      </c>
      <c r="AZ111" s="73">
        <f t="shared" si="213"/>
        <v>0</v>
      </c>
      <c r="BA111" s="73">
        <f t="shared" si="213"/>
        <v>0</v>
      </c>
      <c r="BB111" s="73">
        <f t="shared" si="213"/>
        <v>0</v>
      </c>
      <c r="BC111" s="73">
        <f t="shared" si="213"/>
        <v>0</v>
      </c>
      <c r="BD111" s="73">
        <f t="shared" si="213"/>
        <v>0</v>
      </c>
      <c r="BE111" s="73">
        <f t="shared" si="213"/>
        <v>0</v>
      </c>
      <c r="BF111" s="73">
        <f t="shared" si="213"/>
        <v>0</v>
      </c>
    </row>
    <row r="112" spans="1:58" x14ac:dyDescent="0.3">
      <c r="A112" s="68">
        <f>Sheet2!A160</f>
        <v>42430</v>
      </c>
      <c r="B112" s="92">
        <f t="shared" si="116"/>
        <v>2016</v>
      </c>
      <c r="C112" s="72">
        <f>Sheet2!B160</f>
        <v>10829116.869999999</v>
      </c>
      <c r="D112" s="72">
        <f ca="1">OFFSET('Historic CDM'!$C$94,0,(ROW()-2)/12)/12*1000</f>
        <v>380600.05973163422</v>
      </c>
      <c r="E112" s="72">
        <f t="shared" ca="1" si="117"/>
        <v>11209716.929731634</v>
      </c>
      <c r="F112" s="72">
        <f>Sheet2!C160</f>
        <v>4099759.5400000014</v>
      </c>
      <c r="G112" s="72">
        <f ca="1">OFFSET('Historic CDM'!$C$108,0,(ROW()-2)/12)/12*1000</f>
        <v>318650.1816346636</v>
      </c>
      <c r="H112" s="72">
        <f t="shared" ca="1" si="118"/>
        <v>4418409.7216346655</v>
      </c>
      <c r="I112" s="72">
        <f>Sheet2!D160</f>
        <v>9324952</v>
      </c>
      <c r="J112" s="72">
        <f ca="1">OFFSET('Historic CDM'!$C$122,0,(ROW()-2)/12)/12*1000</f>
        <v>780181.3535096267</v>
      </c>
      <c r="K112" s="72">
        <f t="shared" ca="1" si="119"/>
        <v>10105133.353509627</v>
      </c>
      <c r="L112" s="72">
        <f>Sheet2!E160</f>
        <v>3771463.08</v>
      </c>
      <c r="M112" s="72">
        <f ca="1">OFFSET('Historic CDM'!$C$136,0,(ROW()-2)/12)/12*1000</f>
        <v>423989.70672459638</v>
      </c>
      <c r="N112" s="72">
        <f t="shared" ca="1" si="120"/>
        <v>4195452.7867245963</v>
      </c>
      <c r="O112" s="72">
        <f>Sheet2!F160</f>
        <v>9020659.8000000007</v>
      </c>
      <c r="P112" s="72">
        <f ca="1">OFFSET('Historic CDM'!$C$150,0,(ROW()-2)/12)/12*1000</f>
        <v>631885.90534810745</v>
      </c>
      <c r="Q112" s="72">
        <f t="shared" ca="1" si="121"/>
        <v>9652545.705348108</v>
      </c>
      <c r="R112" s="72">
        <f>Sheet2!G160</f>
        <v>164169.40000000002</v>
      </c>
      <c r="S112" s="72">
        <f>Sheet2!H160</f>
        <v>1648.5700000000002</v>
      </c>
      <c r="T112" s="72">
        <f>Sheet2!I160</f>
        <v>42718</v>
      </c>
      <c r="U112" s="72">
        <f>Sheet2!J160</f>
        <v>1294519.2999999998</v>
      </c>
      <c r="V112" s="72">
        <v>26210.67</v>
      </c>
      <c r="W112" s="72">
        <v>11306.949999999999</v>
      </c>
      <c r="X112" s="72">
        <v>14576.9</v>
      </c>
      <c r="Y112" s="72">
        <v>471.48</v>
      </c>
      <c r="Z112" s="72">
        <v>51</v>
      </c>
      <c r="AA112" s="72">
        <v>3191.7999999999997</v>
      </c>
      <c r="AB112" s="76">
        <v>16779</v>
      </c>
      <c r="AC112" s="77">
        <v>1988</v>
      </c>
      <c r="AD112" s="77">
        <v>161</v>
      </c>
      <c r="AE112" s="72">
        <v>5</v>
      </c>
      <c r="AF112" s="72">
        <v>1</v>
      </c>
      <c r="AG112" s="72">
        <v>127</v>
      </c>
      <c r="AH112" s="72">
        <v>248</v>
      </c>
      <c r="AI112" s="72">
        <v>5927</v>
      </c>
      <c r="AJ112" s="72">
        <v>4</v>
      </c>
      <c r="AK112" s="72">
        <f>Weather!B232</f>
        <v>460.90000000000003</v>
      </c>
      <c r="AL112" s="72">
        <f>Weather!C232</f>
        <v>0</v>
      </c>
      <c r="AM112" s="72">
        <f t="shared" si="83"/>
        <v>31</v>
      </c>
      <c r="AN112" s="59">
        <v>21</v>
      </c>
      <c r="AO112" s="72">
        <f t="shared" si="122"/>
        <v>1</v>
      </c>
      <c r="AP112" s="72">
        <f>Employment!B112</f>
        <v>6872.4</v>
      </c>
      <c r="AQ112" s="72">
        <f>Employment!C112</f>
        <v>246.4</v>
      </c>
      <c r="AR112" s="72">
        <f t="shared" ref="AR112:AS112" si="214">AR100</f>
        <v>1</v>
      </c>
      <c r="AS112" s="72">
        <f t="shared" si="214"/>
        <v>0</v>
      </c>
      <c r="AT112" s="84">
        <f t="shared" si="128"/>
        <v>111</v>
      </c>
      <c r="AU112" s="73">
        <f t="shared" ref="AU112:BF112" si="215">AU100</f>
        <v>0</v>
      </c>
      <c r="AV112" s="73">
        <f t="shared" si="215"/>
        <v>0</v>
      </c>
      <c r="AW112" s="73">
        <f t="shared" si="215"/>
        <v>1</v>
      </c>
      <c r="AX112" s="73">
        <f t="shared" si="215"/>
        <v>0</v>
      </c>
      <c r="AY112" s="73">
        <f t="shared" si="215"/>
        <v>0</v>
      </c>
      <c r="AZ112" s="73">
        <f t="shared" si="215"/>
        <v>0</v>
      </c>
      <c r="BA112" s="73">
        <f t="shared" si="215"/>
        <v>0</v>
      </c>
      <c r="BB112" s="73">
        <f t="shared" si="215"/>
        <v>0</v>
      </c>
      <c r="BC112" s="73">
        <f t="shared" si="215"/>
        <v>0</v>
      </c>
      <c r="BD112" s="73">
        <f t="shared" si="215"/>
        <v>0</v>
      </c>
      <c r="BE112" s="73">
        <f t="shared" si="215"/>
        <v>0</v>
      </c>
      <c r="BF112" s="73">
        <f t="shared" si="215"/>
        <v>0</v>
      </c>
    </row>
    <row r="113" spans="1:58" x14ac:dyDescent="0.3">
      <c r="A113" s="68">
        <f>Sheet2!A161</f>
        <v>42461</v>
      </c>
      <c r="B113" s="92">
        <f t="shared" si="116"/>
        <v>2016</v>
      </c>
      <c r="C113" s="72">
        <f>Sheet2!B161</f>
        <v>10154431.550000001</v>
      </c>
      <c r="D113" s="72">
        <f ca="1">OFFSET('Historic CDM'!$C$94,0,(ROW()-2)/12)/12*1000</f>
        <v>380600.05973163422</v>
      </c>
      <c r="E113" s="72">
        <f t="shared" ca="1" si="117"/>
        <v>10535031.609731635</v>
      </c>
      <c r="F113" s="72">
        <f>Sheet2!C161</f>
        <v>3828441.8200000003</v>
      </c>
      <c r="G113" s="72">
        <f ca="1">OFFSET('Historic CDM'!$C$108,0,(ROW()-2)/12)/12*1000</f>
        <v>318650.1816346636</v>
      </c>
      <c r="H113" s="72">
        <f t="shared" ca="1" si="118"/>
        <v>4147092.0016346639</v>
      </c>
      <c r="I113" s="72">
        <f>Sheet2!D161</f>
        <v>8912958.9399999976</v>
      </c>
      <c r="J113" s="72">
        <f ca="1">OFFSET('Historic CDM'!$C$122,0,(ROW()-2)/12)/12*1000</f>
        <v>780181.3535096267</v>
      </c>
      <c r="K113" s="72">
        <f t="shared" ca="1" si="119"/>
        <v>9693140.2935096249</v>
      </c>
      <c r="L113" s="72">
        <f>Sheet2!E161</f>
        <v>3683605.3</v>
      </c>
      <c r="M113" s="72">
        <f ca="1">OFFSET('Historic CDM'!$C$136,0,(ROW()-2)/12)/12*1000</f>
        <v>423989.70672459638</v>
      </c>
      <c r="N113" s="72">
        <f t="shared" ca="1" si="120"/>
        <v>4107595.006724596</v>
      </c>
      <c r="O113" s="72">
        <f>Sheet2!F161</f>
        <v>9111774.5700000003</v>
      </c>
      <c r="P113" s="72">
        <f ca="1">OFFSET('Historic CDM'!$C$150,0,(ROW()-2)/12)/12*1000</f>
        <v>631885.90534810745</v>
      </c>
      <c r="Q113" s="72">
        <f t="shared" ca="1" si="121"/>
        <v>9743660.4753481075</v>
      </c>
      <c r="R113" s="72">
        <f>Sheet2!G161</f>
        <v>139908.00999999998</v>
      </c>
      <c r="S113" s="72">
        <f>Sheet2!H161</f>
        <v>1386.3600000000001</v>
      </c>
      <c r="T113" s="72">
        <f>Sheet2!I161</f>
        <v>42718</v>
      </c>
      <c r="U113" s="72">
        <f>Sheet2!J161</f>
        <v>1214155.8999999999</v>
      </c>
      <c r="V113" s="72">
        <v>26073.43</v>
      </c>
      <c r="W113" s="72">
        <v>11150.240000000002</v>
      </c>
      <c r="X113" s="72">
        <v>14395.48</v>
      </c>
      <c r="Y113" s="72">
        <v>399.62</v>
      </c>
      <c r="Z113" s="72">
        <v>51</v>
      </c>
      <c r="AA113" s="72">
        <v>2814.8999999999996</v>
      </c>
      <c r="AB113" s="59">
        <v>16793</v>
      </c>
      <c r="AC113" s="59">
        <v>1989</v>
      </c>
      <c r="AD113" s="59">
        <v>161</v>
      </c>
      <c r="AE113" s="72">
        <v>5</v>
      </c>
      <c r="AF113" s="72">
        <v>1</v>
      </c>
      <c r="AG113" s="72">
        <v>127</v>
      </c>
      <c r="AH113" s="72">
        <v>248</v>
      </c>
      <c r="AI113" s="72">
        <v>5927</v>
      </c>
      <c r="AJ113" s="72">
        <v>4</v>
      </c>
      <c r="AK113" s="72">
        <f>Weather!B233</f>
        <v>383.99999999999994</v>
      </c>
      <c r="AL113" s="72">
        <f>Weather!C233</f>
        <v>0</v>
      </c>
      <c r="AM113" s="72">
        <f t="shared" si="83"/>
        <v>30</v>
      </c>
      <c r="AN113" s="59">
        <v>21</v>
      </c>
      <c r="AO113" s="72">
        <f t="shared" si="122"/>
        <v>1</v>
      </c>
      <c r="AP113" s="72">
        <f>Employment!B113</f>
        <v>6890.3</v>
      </c>
      <c r="AQ113" s="72">
        <f>Employment!C113</f>
        <v>243.7</v>
      </c>
      <c r="AR113" s="72">
        <f t="shared" ref="AR113:AS113" si="216">AR101</f>
        <v>1</v>
      </c>
      <c r="AS113" s="72">
        <f t="shared" si="216"/>
        <v>0</v>
      </c>
      <c r="AT113" s="84">
        <f t="shared" si="128"/>
        <v>112</v>
      </c>
      <c r="AU113" s="73">
        <f t="shared" ref="AU113:BF113" si="217">AU101</f>
        <v>0</v>
      </c>
      <c r="AV113" s="73">
        <f t="shared" si="217"/>
        <v>0</v>
      </c>
      <c r="AW113" s="73">
        <f t="shared" si="217"/>
        <v>0</v>
      </c>
      <c r="AX113" s="73">
        <f t="shared" si="217"/>
        <v>1</v>
      </c>
      <c r="AY113" s="73">
        <f t="shared" si="217"/>
        <v>0</v>
      </c>
      <c r="AZ113" s="73">
        <f t="shared" si="217"/>
        <v>0</v>
      </c>
      <c r="BA113" s="73">
        <f t="shared" si="217"/>
        <v>0</v>
      </c>
      <c r="BB113" s="73">
        <f t="shared" si="217"/>
        <v>0</v>
      </c>
      <c r="BC113" s="73">
        <f t="shared" si="217"/>
        <v>0</v>
      </c>
      <c r="BD113" s="73">
        <f t="shared" si="217"/>
        <v>0</v>
      </c>
      <c r="BE113" s="73">
        <f t="shared" si="217"/>
        <v>0</v>
      </c>
      <c r="BF113" s="73">
        <f t="shared" si="217"/>
        <v>0</v>
      </c>
    </row>
    <row r="114" spans="1:58" x14ac:dyDescent="0.3">
      <c r="A114" s="68">
        <f>Sheet2!A162</f>
        <v>42491</v>
      </c>
      <c r="B114" s="92">
        <f t="shared" si="116"/>
        <v>2016</v>
      </c>
      <c r="C114" s="72">
        <f>Sheet2!B162</f>
        <v>9421826.5299999993</v>
      </c>
      <c r="D114" s="72">
        <f ca="1">OFFSET('Historic CDM'!$C$94,0,(ROW()-2)/12)/12*1000</f>
        <v>380600.05973163422</v>
      </c>
      <c r="E114" s="72">
        <f t="shared" ca="1" si="117"/>
        <v>9802426.5897316337</v>
      </c>
      <c r="F114" s="72">
        <f>Sheet2!C162</f>
        <v>3636411.4499999997</v>
      </c>
      <c r="G114" s="72">
        <f ca="1">OFFSET('Historic CDM'!$C$108,0,(ROW()-2)/12)/12*1000</f>
        <v>318650.1816346636</v>
      </c>
      <c r="H114" s="72">
        <f t="shared" ca="1" si="118"/>
        <v>3955061.6316346633</v>
      </c>
      <c r="I114" s="72">
        <f>Sheet2!D162</f>
        <v>9355407.0200000014</v>
      </c>
      <c r="J114" s="72">
        <f ca="1">OFFSET('Historic CDM'!$C$122,0,(ROW()-2)/12)/12*1000</f>
        <v>780181.3535096267</v>
      </c>
      <c r="K114" s="72">
        <f t="shared" ca="1" si="119"/>
        <v>10135588.373509629</v>
      </c>
      <c r="L114" s="72">
        <f>Sheet2!E162</f>
        <v>4098158.63</v>
      </c>
      <c r="M114" s="72">
        <f ca="1">OFFSET('Historic CDM'!$C$136,0,(ROW()-2)/12)/12*1000</f>
        <v>423989.70672459638</v>
      </c>
      <c r="N114" s="72">
        <f t="shared" ca="1" si="120"/>
        <v>4522148.3367245961</v>
      </c>
      <c r="O114" s="72">
        <f>Sheet2!F162</f>
        <v>9010441.2200000007</v>
      </c>
      <c r="P114" s="72">
        <f ca="1">OFFSET('Historic CDM'!$C$150,0,(ROW()-2)/12)/12*1000</f>
        <v>631885.90534810745</v>
      </c>
      <c r="Q114" s="72">
        <f t="shared" ca="1" si="121"/>
        <v>9642327.1253481079</v>
      </c>
      <c r="R114" s="72">
        <f>Sheet2!G162</f>
        <v>129566.67</v>
      </c>
      <c r="S114" s="72">
        <f>Sheet2!H162</f>
        <v>1432.57</v>
      </c>
      <c r="T114" s="72">
        <f>Sheet2!I162</f>
        <v>42718</v>
      </c>
      <c r="U114" s="72">
        <f>Sheet2!J162</f>
        <v>1169987.7</v>
      </c>
      <c r="V114" s="72">
        <v>25298.29</v>
      </c>
      <c r="W114" s="72">
        <v>11083.4</v>
      </c>
      <c r="X114" s="72">
        <v>14590.74</v>
      </c>
      <c r="Y114" s="72">
        <v>475.96000000000004</v>
      </c>
      <c r="Z114" s="72">
        <v>51</v>
      </c>
      <c r="AA114" s="72">
        <v>2741.1</v>
      </c>
      <c r="AB114" s="81">
        <v>16822</v>
      </c>
      <c r="AC114" s="83">
        <v>1990</v>
      </c>
      <c r="AD114" s="84">
        <v>162</v>
      </c>
      <c r="AE114" s="72">
        <v>5</v>
      </c>
      <c r="AF114" s="72">
        <v>1</v>
      </c>
      <c r="AG114" s="72">
        <v>127</v>
      </c>
      <c r="AH114" s="72">
        <v>248</v>
      </c>
      <c r="AI114" s="72">
        <v>5927</v>
      </c>
      <c r="AJ114" s="72">
        <v>4</v>
      </c>
      <c r="AK114" s="72">
        <f>Weather!B234</f>
        <v>143.1</v>
      </c>
      <c r="AL114" s="72">
        <f>Weather!C234</f>
        <v>26.1</v>
      </c>
      <c r="AM114" s="72">
        <f t="shared" si="83"/>
        <v>31</v>
      </c>
      <c r="AN114" s="59">
        <v>21</v>
      </c>
      <c r="AO114" s="72">
        <f t="shared" si="122"/>
        <v>1</v>
      </c>
      <c r="AP114" s="72">
        <f>Employment!B114</f>
        <v>6962.5</v>
      </c>
      <c r="AQ114" s="72">
        <f>Employment!C114</f>
        <v>245.7</v>
      </c>
      <c r="AR114" s="72">
        <f t="shared" ref="AR114:AS114" si="218">AR102</f>
        <v>1</v>
      </c>
      <c r="AS114" s="72">
        <f t="shared" si="218"/>
        <v>0</v>
      </c>
      <c r="AT114" s="84">
        <f t="shared" si="128"/>
        <v>113</v>
      </c>
      <c r="AU114" s="73">
        <f t="shared" ref="AU114:BF114" si="219">AU102</f>
        <v>0</v>
      </c>
      <c r="AV114" s="73">
        <f t="shared" si="219"/>
        <v>0</v>
      </c>
      <c r="AW114" s="73">
        <f t="shared" si="219"/>
        <v>0</v>
      </c>
      <c r="AX114" s="73">
        <f t="shared" si="219"/>
        <v>0</v>
      </c>
      <c r="AY114" s="73">
        <f t="shared" si="219"/>
        <v>1</v>
      </c>
      <c r="AZ114" s="73">
        <f t="shared" si="219"/>
        <v>0</v>
      </c>
      <c r="BA114" s="73">
        <f t="shared" si="219"/>
        <v>0</v>
      </c>
      <c r="BB114" s="73">
        <f t="shared" si="219"/>
        <v>0</v>
      </c>
      <c r="BC114" s="73">
        <f t="shared" si="219"/>
        <v>0</v>
      </c>
      <c r="BD114" s="73">
        <f t="shared" si="219"/>
        <v>0</v>
      </c>
      <c r="BE114" s="73">
        <f t="shared" si="219"/>
        <v>0</v>
      </c>
      <c r="BF114" s="73">
        <f t="shared" si="219"/>
        <v>0</v>
      </c>
    </row>
    <row r="115" spans="1:58" x14ac:dyDescent="0.3">
      <c r="A115" s="68">
        <f>Sheet2!A163</f>
        <v>42522</v>
      </c>
      <c r="B115" s="92">
        <f t="shared" si="116"/>
        <v>2016</v>
      </c>
      <c r="C115" s="72">
        <f>Sheet2!B163</f>
        <v>10809817.970000003</v>
      </c>
      <c r="D115" s="72">
        <f ca="1">OFFSET('Historic CDM'!$C$94,0,(ROW()-2)/12)/12*1000</f>
        <v>380600.05973163422</v>
      </c>
      <c r="E115" s="72">
        <f t="shared" ca="1" si="117"/>
        <v>11190418.029731637</v>
      </c>
      <c r="F115" s="72">
        <f>Sheet2!C163</f>
        <v>3922601.2199999993</v>
      </c>
      <c r="G115" s="72">
        <f ca="1">OFFSET('Historic CDM'!$C$108,0,(ROW()-2)/12)/12*1000</f>
        <v>318650.1816346636</v>
      </c>
      <c r="H115" s="72">
        <f t="shared" ca="1" si="118"/>
        <v>4241251.4016346633</v>
      </c>
      <c r="I115" s="72">
        <f>Sheet2!D163</f>
        <v>9359934.870000001</v>
      </c>
      <c r="J115" s="72">
        <f ca="1">OFFSET('Historic CDM'!$C$122,0,(ROW()-2)/12)/12*1000</f>
        <v>780181.3535096267</v>
      </c>
      <c r="K115" s="72">
        <f t="shared" ca="1" si="119"/>
        <v>10140116.223509628</v>
      </c>
      <c r="L115" s="72">
        <f>Sheet2!E163</f>
        <v>4980445.41</v>
      </c>
      <c r="M115" s="72">
        <f ca="1">OFFSET('Historic CDM'!$C$136,0,(ROW()-2)/12)/12*1000</f>
        <v>423989.70672459638</v>
      </c>
      <c r="N115" s="72">
        <f t="shared" ca="1" si="120"/>
        <v>5404435.1167245964</v>
      </c>
      <c r="O115" s="72">
        <f>Sheet2!F163</f>
        <v>9475526.5899999999</v>
      </c>
      <c r="P115" s="72">
        <f ca="1">OFFSET('Historic CDM'!$C$150,0,(ROW()-2)/12)/12*1000</f>
        <v>631885.90534810745</v>
      </c>
      <c r="Q115" s="72">
        <f t="shared" ca="1" si="121"/>
        <v>10107412.495348107</v>
      </c>
      <c r="R115" s="72">
        <f>Sheet2!G163</f>
        <v>119058.96</v>
      </c>
      <c r="S115" s="72">
        <f>Sheet2!H163</f>
        <v>1386.3600000000001</v>
      </c>
      <c r="T115" s="72">
        <f>Sheet2!I163</f>
        <v>42718</v>
      </c>
      <c r="U115" s="72">
        <f>Sheet2!J163</f>
        <v>1237452.1000000001</v>
      </c>
      <c r="V115" s="72">
        <v>26738.749999999996</v>
      </c>
      <c r="W115" s="72">
        <v>10394.77</v>
      </c>
      <c r="X115" s="72">
        <v>14822.72</v>
      </c>
      <c r="Y115" s="72">
        <v>475.62</v>
      </c>
      <c r="Z115" s="72">
        <v>51</v>
      </c>
      <c r="AA115" s="72">
        <v>2945.4</v>
      </c>
      <c r="AB115" s="81">
        <v>16839</v>
      </c>
      <c r="AC115" s="83">
        <v>1992</v>
      </c>
      <c r="AD115" s="84">
        <v>148</v>
      </c>
      <c r="AE115" s="72">
        <v>5</v>
      </c>
      <c r="AF115" s="72">
        <v>1</v>
      </c>
      <c r="AG115" s="72">
        <v>126</v>
      </c>
      <c r="AH115" s="72">
        <v>248</v>
      </c>
      <c r="AI115" s="72">
        <v>5927</v>
      </c>
      <c r="AJ115" s="72">
        <v>4</v>
      </c>
      <c r="AK115" s="72">
        <f>Weather!B235</f>
        <v>38</v>
      </c>
      <c r="AL115" s="72">
        <f>Weather!C235</f>
        <v>51.3</v>
      </c>
      <c r="AM115" s="72">
        <f t="shared" ref="AM115:AM121" si="220">AM67</f>
        <v>30</v>
      </c>
      <c r="AN115" s="59">
        <v>22</v>
      </c>
      <c r="AO115" s="72">
        <f t="shared" si="122"/>
        <v>0</v>
      </c>
      <c r="AP115" s="72">
        <f>Employment!B115</f>
        <v>7047.3</v>
      </c>
      <c r="AQ115" s="72">
        <f>Employment!C115</f>
        <v>248</v>
      </c>
      <c r="AR115" s="72">
        <f t="shared" ref="AR115:AS115" si="221">AR103</f>
        <v>0</v>
      </c>
      <c r="AS115" s="72">
        <f t="shared" si="221"/>
        <v>0</v>
      </c>
      <c r="AT115" s="84">
        <f t="shared" si="128"/>
        <v>114</v>
      </c>
      <c r="AU115" s="73">
        <f t="shared" ref="AU115:BF115" si="222">AU103</f>
        <v>0</v>
      </c>
      <c r="AV115" s="73">
        <f t="shared" si="222"/>
        <v>0</v>
      </c>
      <c r="AW115" s="73">
        <f t="shared" si="222"/>
        <v>0</v>
      </c>
      <c r="AX115" s="73">
        <f t="shared" si="222"/>
        <v>0</v>
      </c>
      <c r="AY115" s="73">
        <f t="shared" si="222"/>
        <v>0</v>
      </c>
      <c r="AZ115" s="73">
        <f t="shared" si="222"/>
        <v>1</v>
      </c>
      <c r="BA115" s="73">
        <f t="shared" si="222"/>
        <v>0</v>
      </c>
      <c r="BB115" s="73">
        <f t="shared" si="222"/>
        <v>0</v>
      </c>
      <c r="BC115" s="73">
        <f t="shared" si="222"/>
        <v>0</v>
      </c>
      <c r="BD115" s="73">
        <f t="shared" si="222"/>
        <v>0</v>
      </c>
      <c r="BE115" s="73">
        <f t="shared" si="222"/>
        <v>0</v>
      </c>
      <c r="BF115" s="73">
        <f t="shared" si="222"/>
        <v>0</v>
      </c>
    </row>
    <row r="116" spans="1:58" x14ac:dyDescent="0.3">
      <c r="A116" s="71">
        <f>Sheet2!A164</f>
        <v>42552</v>
      </c>
      <c r="B116" s="92">
        <f t="shared" si="116"/>
        <v>2016</v>
      </c>
      <c r="C116" s="72">
        <f>Sheet2!B164</f>
        <v>13272979.73</v>
      </c>
      <c r="D116" s="72">
        <f ca="1">OFFSET('Historic CDM'!$C$94,0,(ROW()-2)/12)/12*1000</f>
        <v>380600.05973163422</v>
      </c>
      <c r="E116" s="72">
        <f t="shared" ca="1" si="117"/>
        <v>13653579.789731635</v>
      </c>
      <c r="F116" s="72">
        <f>Sheet2!C164</f>
        <v>3664568.0500000003</v>
      </c>
      <c r="G116" s="72">
        <f ca="1">OFFSET('Historic CDM'!$C$108,0,(ROW()-2)/12)/12*1000</f>
        <v>318650.1816346636</v>
      </c>
      <c r="H116" s="72">
        <f t="shared" ca="1" si="118"/>
        <v>3983218.2316346639</v>
      </c>
      <c r="I116" s="72">
        <f>Sheet2!D164</f>
        <v>11455646.52</v>
      </c>
      <c r="J116" s="72">
        <f ca="1">OFFSET('Historic CDM'!$C$122,0,(ROW()-2)/12)/12*1000</f>
        <v>780181.3535096267</v>
      </c>
      <c r="K116" s="72">
        <f t="shared" ca="1" si="119"/>
        <v>12235827.873509627</v>
      </c>
      <c r="L116" s="72">
        <f>Sheet2!E164</f>
        <v>5145020.62</v>
      </c>
      <c r="M116" s="72">
        <f ca="1">OFFSET('Historic CDM'!$C$136,0,(ROW()-2)/12)/12*1000</f>
        <v>423989.70672459638</v>
      </c>
      <c r="N116" s="72">
        <f t="shared" ca="1" si="120"/>
        <v>5569010.3267245963</v>
      </c>
      <c r="O116" s="72">
        <f>Sheet2!F164</f>
        <v>7152375.2699999996</v>
      </c>
      <c r="P116" s="72">
        <f ca="1">OFFSET('Historic CDM'!$C$150,0,(ROW()-2)/12)/12*1000</f>
        <v>631885.90534810745</v>
      </c>
      <c r="Q116" s="72">
        <f t="shared" ca="1" si="121"/>
        <v>7784261.1753481068</v>
      </c>
      <c r="R116" s="72">
        <f>Sheet2!G164</f>
        <v>131386.69</v>
      </c>
      <c r="S116" s="72">
        <f>Sheet2!H164</f>
        <v>1432.57</v>
      </c>
      <c r="T116" s="72">
        <f>Sheet2!I164</f>
        <v>41930</v>
      </c>
      <c r="U116" s="72">
        <f>Sheet2!J164</f>
        <v>1368148.6</v>
      </c>
      <c r="V116" s="72">
        <v>27817.860000000004</v>
      </c>
      <c r="W116" s="72">
        <v>14519.49</v>
      </c>
      <c r="X116" s="72">
        <v>15102.86</v>
      </c>
      <c r="Y116" s="72">
        <v>437.62</v>
      </c>
      <c r="Z116" s="72">
        <v>51</v>
      </c>
      <c r="AA116" s="72">
        <v>3126.6000000000004</v>
      </c>
      <c r="AB116" s="81">
        <v>16874</v>
      </c>
      <c r="AC116" s="83">
        <v>1996</v>
      </c>
      <c r="AD116" s="84">
        <v>162</v>
      </c>
      <c r="AE116" s="72">
        <v>5</v>
      </c>
      <c r="AF116" s="72">
        <v>1</v>
      </c>
      <c r="AG116" s="72">
        <v>126</v>
      </c>
      <c r="AH116" s="72">
        <v>248</v>
      </c>
      <c r="AI116" s="72">
        <v>5927</v>
      </c>
      <c r="AJ116" s="72">
        <v>4</v>
      </c>
      <c r="AK116" s="72">
        <f>Weather!B236</f>
        <v>1.8</v>
      </c>
      <c r="AL116" s="72">
        <f>Weather!C236</f>
        <v>117.4</v>
      </c>
      <c r="AM116" s="72">
        <f t="shared" si="220"/>
        <v>31</v>
      </c>
      <c r="AN116" s="59">
        <v>20</v>
      </c>
      <c r="AO116" s="72">
        <f t="shared" si="122"/>
        <v>0</v>
      </c>
      <c r="AP116" s="72">
        <f>Employment!B116</f>
        <v>7090.8</v>
      </c>
      <c r="AQ116" s="72">
        <f>Employment!C116</f>
        <v>249.5</v>
      </c>
      <c r="AR116" s="72">
        <f t="shared" ref="AR116:AS116" si="223">AR104</f>
        <v>0</v>
      </c>
      <c r="AS116" s="72">
        <f t="shared" si="223"/>
        <v>0</v>
      </c>
      <c r="AT116" s="84">
        <f t="shared" si="128"/>
        <v>115</v>
      </c>
      <c r="AU116" s="73">
        <f t="shared" ref="AU116:BF116" si="224">AU104</f>
        <v>0</v>
      </c>
      <c r="AV116" s="73">
        <f t="shared" si="224"/>
        <v>0</v>
      </c>
      <c r="AW116" s="73">
        <f t="shared" si="224"/>
        <v>0</v>
      </c>
      <c r="AX116" s="73">
        <f t="shared" si="224"/>
        <v>0</v>
      </c>
      <c r="AY116" s="73">
        <f t="shared" si="224"/>
        <v>0</v>
      </c>
      <c r="AZ116" s="73">
        <f t="shared" si="224"/>
        <v>0</v>
      </c>
      <c r="BA116" s="73">
        <f t="shared" si="224"/>
        <v>1</v>
      </c>
      <c r="BB116" s="73">
        <f t="shared" si="224"/>
        <v>0</v>
      </c>
      <c r="BC116" s="73">
        <f t="shared" si="224"/>
        <v>0</v>
      </c>
      <c r="BD116" s="73">
        <f t="shared" si="224"/>
        <v>0</v>
      </c>
      <c r="BE116" s="73">
        <f t="shared" si="224"/>
        <v>0</v>
      </c>
      <c r="BF116" s="73">
        <f t="shared" si="224"/>
        <v>0</v>
      </c>
    </row>
    <row r="117" spans="1:58" x14ac:dyDescent="0.3">
      <c r="A117" s="71">
        <v>42583</v>
      </c>
      <c r="B117" s="92">
        <f t="shared" si="116"/>
        <v>2016</v>
      </c>
      <c r="C117" s="72">
        <f>Sheet2!B165</f>
        <v>14381241.289999999</v>
      </c>
      <c r="D117" s="72">
        <f ca="1">OFFSET('Historic CDM'!$C$94,0,(ROW()-2)/12)/12*1000</f>
        <v>380600.05973163422</v>
      </c>
      <c r="E117" s="72">
        <f t="shared" ca="1" si="117"/>
        <v>14761841.349731633</v>
      </c>
      <c r="F117" s="72">
        <f>Sheet2!C165</f>
        <v>4521019.0999999996</v>
      </c>
      <c r="G117" s="72">
        <f ca="1">OFFSET('Historic CDM'!$C$108,0,(ROW()-2)/12)/12*1000</f>
        <v>318650.1816346636</v>
      </c>
      <c r="H117" s="72">
        <f t="shared" ca="1" si="118"/>
        <v>4839669.2816346632</v>
      </c>
      <c r="I117" s="72">
        <f>Sheet2!D165</f>
        <v>10688743.159999998</v>
      </c>
      <c r="J117" s="72">
        <f ca="1">OFFSET('Historic CDM'!$C$122,0,(ROW()-2)/12)/12*1000</f>
        <v>780181.3535096267</v>
      </c>
      <c r="K117" s="72">
        <f t="shared" ca="1" si="119"/>
        <v>11468924.513509626</v>
      </c>
      <c r="L117" s="72">
        <f>Sheet2!E165</f>
        <v>4911391.5599999996</v>
      </c>
      <c r="M117" s="72">
        <f ca="1">OFFSET('Historic CDM'!$C$136,0,(ROW()-2)/12)/12*1000</f>
        <v>423989.70672459638</v>
      </c>
      <c r="N117" s="72">
        <f t="shared" ca="1" si="120"/>
        <v>5335381.2667245958</v>
      </c>
      <c r="O117" s="72">
        <f>Sheet2!F165</f>
        <v>9979632.3699999992</v>
      </c>
      <c r="P117" s="72">
        <f ca="1">OFFSET('Historic CDM'!$C$150,0,(ROW()-2)/12)/12*1000</f>
        <v>631885.90534810745</v>
      </c>
      <c r="Q117" s="72">
        <f t="shared" ca="1" si="121"/>
        <v>10611518.275348106</v>
      </c>
      <c r="R117" s="72">
        <f>Sheet2!G165</f>
        <v>145559.69</v>
      </c>
      <c r="S117" s="72">
        <f>Sheet2!H165</f>
        <v>1432.57</v>
      </c>
      <c r="T117" s="72">
        <f>Sheet2!I165</f>
        <v>41930</v>
      </c>
      <c r="U117" s="72">
        <f>Sheet2!J165</f>
        <v>1494670.7</v>
      </c>
      <c r="V117" s="72">
        <v>31676.52</v>
      </c>
      <c r="W117" s="72">
        <v>13169.08</v>
      </c>
      <c r="X117" s="72">
        <v>15202.11</v>
      </c>
      <c r="Y117" s="72">
        <v>365.76</v>
      </c>
      <c r="Z117" s="72">
        <v>51</v>
      </c>
      <c r="AA117" s="72">
        <v>3064.3</v>
      </c>
      <c r="AB117" s="81">
        <v>16886</v>
      </c>
      <c r="AC117" s="83">
        <v>1995</v>
      </c>
      <c r="AD117" s="84">
        <v>161</v>
      </c>
      <c r="AE117" s="72">
        <v>5</v>
      </c>
      <c r="AF117" s="72">
        <v>1</v>
      </c>
      <c r="AG117" s="72">
        <v>126</v>
      </c>
      <c r="AH117" s="72">
        <v>248</v>
      </c>
      <c r="AI117" s="72">
        <v>5927</v>
      </c>
      <c r="AJ117" s="72">
        <v>4</v>
      </c>
      <c r="AK117" s="72">
        <f>Weather!B237</f>
        <v>0.3</v>
      </c>
      <c r="AL117" s="72">
        <f>Weather!C237</f>
        <v>131</v>
      </c>
      <c r="AM117" s="72">
        <f t="shared" si="220"/>
        <v>31</v>
      </c>
      <c r="AN117" s="59">
        <v>22</v>
      </c>
      <c r="AO117" s="72">
        <f t="shared" si="122"/>
        <v>0</v>
      </c>
      <c r="AP117" s="72">
        <f>Employment!B117</f>
        <v>7083.3</v>
      </c>
      <c r="AQ117" s="72">
        <f>Employment!C117</f>
        <v>250.2</v>
      </c>
      <c r="AR117" s="72">
        <f t="shared" ref="AR117:AS117" si="225">AR105</f>
        <v>0</v>
      </c>
      <c r="AS117" s="72">
        <f t="shared" si="225"/>
        <v>0</v>
      </c>
      <c r="AT117" s="84">
        <f t="shared" si="128"/>
        <v>116</v>
      </c>
      <c r="AU117" s="73">
        <f t="shared" ref="AU117:BF117" si="226">AU105</f>
        <v>0</v>
      </c>
      <c r="AV117" s="73">
        <f t="shared" si="226"/>
        <v>0</v>
      </c>
      <c r="AW117" s="73">
        <f t="shared" si="226"/>
        <v>0</v>
      </c>
      <c r="AX117" s="73">
        <f t="shared" si="226"/>
        <v>0</v>
      </c>
      <c r="AY117" s="73">
        <f t="shared" si="226"/>
        <v>0</v>
      </c>
      <c r="AZ117" s="73">
        <f t="shared" si="226"/>
        <v>0</v>
      </c>
      <c r="BA117" s="73">
        <f t="shared" si="226"/>
        <v>0</v>
      </c>
      <c r="BB117" s="73">
        <f t="shared" si="226"/>
        <v>1</v>
      </c>
      <c r="BC117" s="73">
        <f t="shared" si="226"/>
        <v>0</v>
      </c>
      <c r="BD117" s="73">
        <f t="shared" si="226"/>
        <v>0</v>
      </c>
      <c r="BE117" s="73">
        <f t="shared" si="226"/>
        <v>0</v>
      </c>
      <c r="BF117" s="73">
        <f t="shared" si="226"/>
        <v>0</v>
      </c>
    </row>
    <row r="118" spans="1:58" x14ac:dyDescent="0.3">
      <c r="A118" s="71">
        <v>42614</v>
      </c>
      <c r="B118" s="92">
        <f t="shared" si="116"/>
        <v>2016</v>
      </c>
      <c r="C118" s="72">
        <f>Sheet2!B166</f>
        <v>11389349</v>
      </c>
      <c r="D118" s="72">
        <f ca="1">OFFSET('Historic CDM'!$C$94,0,(ROW()-2)/12)/12*1000</f>
        <v>380600.05973163422</v>
      </c>
      <c r="E118" s="72">
        <f t="shared" ca="1" si="117"/>
        <v>11769949.059731634</v>
      </c>
      <c r="F118" s="72">
        <f>Sheet2!C166</f>
        <v>3845904.47</v>
      </c>
      <c r="G118" s="72">
        <f ca="1">OFFSET('Historic CDM'!$C$108,0,(ROW()-2)/12)/12*1000</f>
        <v>318650.1816346636</v>
      </c>
      <c r="H118" s="72">
        <f t="shared" ca="1" si="118"/>
        <v>4164554.6516346638</v>
      </c>
      <c r="I118" s="72">
        <f>Sheet2!D166</f>
        <v>9832776.4299999997</v>
      </c>
      <c r="J118" s="72">
        <f ca="1">OFFSET('Historic CDM'!$C$122,0,(ROW()-2)/12)/12*1000</f>
        <v>780181.3535096267</v>
      </c>
      <c r="K118" s="72">
        <f t="shared" ca="1" si="119"/>
        <v>10612957.783509627</v>
      </c>
      <c r="L118" s="72">
        <f>Sheet2!E166</f>
        <v>4404402.76</v>
      </c>
      <c r="M118" s="72">
        <f ca="1">OFFSET('Historic CDM'!$C$136,0,(ROW()-2)/12)/12*1000</f>
        <v>423989.70672459638</v>
      </c>
      <c r="N118" s="72">
        <f t="shared" ca="1" si="120"/>
        <v>4828392.466724596</v>
      </c>
      <c r="O118" s="72">
        <f>Sheet2!F166</f>
        <v>9133211.5099999998</v>
      </c>
      <c r="P118" s="72">
        <f ca="1">OFFSET('Historic CDM'!$C$150,0,(ROW()-2)/12)/12*1000</f>
        <v>631885.90534810745</v>
      </c>
      <c r="Q118" s="72">
        <f t="shared" ca="1" si="121"/>
        <v>9765097.415348107</v>
      </c>
      <c r="R118" s="72">
        <f>Sheet2!G166</f>
        <v>159669.01999999999</v>
      </c>
      <c r="S118" s="72">
        <f>Sheet2!H166</f>
        <v>1386.36</v>
      </c>
      <c r="T118" s="72">
        <f>Sheet2!I166</f>
        <v>41930</v>
      </c>
      <c r="U118" s="72">
        <f>Sheet2!J166</f>
        <v>1239135.1000000001</v>
      </c>
      <c r="V118" s="72">
        <v>29636.54</v>
      </c>
      <c r="W118" s="72">
        <v>12709.599999999999</v>
      </c>
      <c r="X118" s="72">
        <v>15021.61</v>
      </c>
      <c r="Y118" s="72">
        <v>509.48</v>
      </c>
      <c r="Z118" s="72">
        <v>52</v>
      </c>
      <c r="AA118" s="72">
        <v>3092.5</v>
      </c>
      <c r="AB118" s="81">
        <v>16904</v>
      </c>
      <c r="AC118" s="83">
        <v>1997</v>
      </c>
      <c r="AD118" s="84">
        <v>161</v>
      </c>
      <c r="AE118" s="72">
        <v>5</v>
      </c>
      <c r="AF118" s="72">
        <v>1</v>
      </c>
      <c r="AG118" s="72">
        <v>126</v>
      </c>
      <c r="AH118" s="72">
        <v>248</v>
      </c>
      <c r="AI118" s="72">
        <v>5927</v>
      </c>
      <c r="AJ118" s="72">
        <v>4</v>
      </c>
      <c r="AK118" s="72">
        <f>Weather!B238</f>
        <v>38</v>
      </c>
      <c r="AL118" s="72">
        <f>Weather!C238</f>
        <v>43.4</v>
      </c>
      <c r="AM118" s="72">
        <f t="shared" si="220"/>
        <v>30</v>
      </c>
      <c r="AN118" s="59">
        <v>21</v>
      </c>
      <c r="AO118" s="72">
        <f t="shared" si="122"/>
        <v>1</v>
      </c>
      <c r="AP118" s="72">
        <f>Employment!B118</f>
        <v>7037</v>
      </c>
      <c r="AQ118" s="72">
        <f>Employment!C118</f>
        <v>248.7</v>
      </c>
      <c r="AR118" s="72">
        <f t="shared" ref="AR118:AS118" si="227">AR106</f>
        <v>0</v>
      </c>
      <c r="AS118" s="72">
        <f t="shared" si="227"/>
        <v>1</v>
      </c>
      <c r="AT118" s="84">
        <f t="shared" si="128"/>
        <v>117</v>
      </c>
      <c r="AU118" s="73">
        <f t="shared" ref="AU118:BF118" si="228">AU106</f>
        <v>0</v>
      </c>
      <c r="AV118" s="73">
        <f t="shared" si="228"/>
        <v>0</v>
      </c>
      <c r="AW118" s="73">
        <f t="shared" si="228"/>
        <v>0</v>
      </c>
      <c r="AX118" s="73">
        <f t="shared" si="228"/>
        <v>0</v>
      </c>
      <c r="AY118" s="73">
        <f t="shared" si="228"/>
        <v>0</v>
      </c>
      <c r="AZ118" s="73">
        <f t="shared" si="228"/>
        <v>0</v>
      </c>
      <c r="BA118" s="73">
        <f t="shared" si="228"/>
        <v>0</v>
      </c>
      <c r="BB118" s="73">
        <f t="shared" si="228"/>
        <v>0</v>
      </c>
      <c r="BC118" s="73">
        <f t="shared" si="228"/>
        <v>1</v>
      </c>
      <c r="BD118" s="73">
        <f t="shared" si="228"/>
        <v>0</v>
      </c>
      <c r="BE118" s="73">
        <f t="shared" si="228"/>
        <v>0</v>
      </c>
      <c r="BF118" s="73">
        <f t="shared" si="228"/>
        <v>0</v>
      </c>
    </row>
    <row r="119" spans="1:58" x14ac:dyDescent="0.3">
      <c r="A119" s="71">
        <v>42644</v>
      </c>
      <c r="B119" s="92">
        <f t="shared" si="116"/>
        <v>2016</v>
      </c>
      <c r="C119" s="72">
        <f>Sheet2!B167</f>
        <v>9444102.8300000001</v>
      </c>
      <c r="D119" s="72">
        <f ca="1">OFFSET('Historic CDM'!$C$94,0,(ROW()-2)/12)/12*1000</f>
        <v>380600.05973163422</v>
      </c>
      <c r="E119" s="72">
        <f t="shared" ca="1" si="117"/>
        <v>9824702.8897316344</v>
      </c>
      <c r="F119" s="72">
        <f>Sheet2!C167</f>
        <v>3756685.85</v>
      </c>
      <c r="G119" s="72">
        <f ca="1">OFFSET('Historic CDM'!$C$108,0,(ROW()-2)/12)/12*1000</f>
        <v>318650.1816346636</v>
      </c>
      <c r="H119" s="72">
        <f t="shared" ca="1" si="118"/>
        <v>4075336.0316346637</v>
      </c>
      <c r="I119" s="72">
        <f>Sheet2!D167</f>
        <v>9868414.6099999994</v>
      </c>
      <c r="J119" s="72">
        <f ca="1">OFFSET('Historic CDM'!$C$122,0,(ROW()-2)/12)/12*1000</f>
        <v>780181.3535096267</v>
      </c>
      <c r="K119" s="72">
        <f t="shared" ca="1" si="119"/>
        <v>10648595.963509627</v>
      </c>
      <c r="L119" s="72">
        <f>Sheet2!E167</f>
        <v>4233433.8</v>
      </c>
      <c r="M119" s="72">
        <f ca="1">OFFSET('Historic CDM'!$C$136,0,(ROW()-2)/12)/12*1000</f>
        <v>423989.70672459638</v>
      </c>
      <c r="N119" s="72">
        <f t="shared" ca="1" si="120"/>
        <v>4657423.506724596</v>
      </c>
      <c r="O119" s="72">
        <f>Sheet2!F167</f>
        <v>9055905.3200000003</v>
      </c>
      <c r="P119" s="72">
        <f ca="1">OFFSET('Historic CDM'!$C$150,0,(ROW()-2)/12)/12*1000</f>
        <v>631885.90534810745</v>
      </c>
      <c r="Q119" s="72">
        <f t="shared" ca="1" si="121"/>
        <v>9687791.2253481075</v>
      </c>
      <c r="R119" s="72">
        <f>Sheet2!G167</f>
        <v>184258.65</v>
      </c>
      <c r="S119" s="72">
        <f>Sheet2!H167</f>
        <v>1426.27</v>
      </c>
      <c r="T119" s="72">
        <f>Sheet2!I167</f>
        <v>42421</v>
      </c>
      <c r="U119" s="72">
        <f>Sheet2!J167</f>
        <v>1283127.1000000001</v>
      </c>
      <c r="V119" s="72">
        <v>28856.5</v>
      </c>
      <c r="W119" s="72">
        <v>11761.82</v>
      </c>
      <c r="X119" s="72">
        <v>15056.2</v>
      </c>
      <c r="Y119" s="72">
        <v>437.62</v>
      </c>
      <c r="Z119" s="72">
        <v>50</v>
      </c>
      <c r="AA119" s="72">
        <v>3233.9</v>
      </c>
      <c r="AB119" s="81">
        <v>16930</v>
      </c>
      <c r="AC119" s="83">
        <v>1998</v>
      </c>
      <c r="AD119" s="84">
        <v>160</v>
      </c>
      <c r="AE119" s="72">
        <v>5</v>
      </c>
      <c r="AF119" s="72">
        <v>1</v>
      </c>
      <c r="AG119" s="72">
        <v>126</v>
      </c>
      <c r="AH119" s="72">
        <v>248</v>
      </c>
      <c r="AI119" s="72">
        <v>5927</v>
      </c>
      <c r="AJ119" s="72">
        <v>4</v>
      </c>
      <c r="AK119" s="72">
        <f>Weather!B239</f>
        <v>220.4</v>
      </c>
      <c r="AL119" s="72">
        <f>Weather!C239</f>
        <v>3.9</v>
      </c>
      <c r="AM119" s="72">
        <f t="shared" si="220"/>
        <v>31</v>
      </c>
      <c r="AN119" s="59">
        <v>20</v>
      </c>
      <c r="AO119" s="72">
        <f t="shared" si="122"/>
        <v>1</v>
      </c>
      <c r="AP119" s="72">
        <f>Employment!B119</f>
        <v>7033.4</v>
      </c>
      <c r="AQ119" s="72">
        <f>Employment!C119</f>
        <v>247.6</v>
      </c>
      <c r="AR119" s="72">
        <f t="shared" ref="AR119:AS119" si="229">AR107</f>
        <v>0</v>
      </c>
      <c r="AS119" s="72">
        <f t="shared" si="229"/>
        <v>1</v>
      </c>
      <c r="AT119" s="84">
        <f t="shared" si="128"/>
        <v>118</v>
      </c>
      <c r="AU119" s="73">
        <f t="shared" ref="AU119:BF119" si="230">AU107</f>
        <v>0</v>
      </c>
      <c r="AV119" s="73">
        <f t="shared" si="230"/>
        <v>0</v>
      </c>
      <c r="AW119" s="73">
        <f t="shared" si="230"/>
        <v>0</v>
      </c>
      <c r="AX119" s="73">
        <f t="shared" si="230"/>
        <v>0</v>
      </c>
      <c r="AY119" s="73">
        <f t="shared" si="230"/>
        <v>0</v>
      </c>
      <c r="AZ119" s="73">
        <f t="shared" si="230"/>
        <v>0</v>
      </c>
      <c r="BA119" s="73">
        <f t="shared" si="230"/>
        <v>0</v>
      </c>
      <c r="BB119" s="73">
        <f t="shared" si="230"/>
        <v>0</v>
      </c>
      <c r="BC119" s="73">
        <f t="shared" si="230"/>
        <v>0</v>
      </c>
      <c r="BD119" s="73">
        <f t="shared" si="230"/>
        <v>1</v>
      </c>
      <c r="BE119" s="73">
        <f t="shared" si="230"/>
        <v>0</v>
      </c>
      <c r="BF119" s="73">
        <f t="shared" si="230"/>
        <v>0</v>
      </c>
    </row>
    <row r="120" spans="1:58" x14ac:dyDescent="0.3">
      <c r="A120" s="71">
        <v>42675</v>
      </c>
      <c r="B120" s="92">
        <f t="shared" si="116"/>
        <v>2016</v>
      </c>
      <c r="C120" s="72">
        <f>Sheet2!B168</f>
        <v>9990809.4399999995</v>
      </c>
      <c r="D120" s="72">
        <f ca="1">OFFSET('Historic CDM'!$C$94,0,(ROW()-2)/12)/12*1000</f>
        <v>380600.05973163422</v>
      </c>
      <c r="E120" s="72">
        <f t="shared" ca="1" si="117"/>
        <v>10371409.499731634</v>
      </c>
      <c r="F120" s="72">
        <f>Sheet2!C168</f>
        <v>3787617.57</v>
      </c>
      <c r="G120" s="72">
        <f ca="1">OFFSET('Historic CDM'!$C$108,0,(ROW()-2)/12)/12*1000</f>
        <v>318650.1816346636</v>
      </c>
      <c r="H120" s="72">
        <f t="shared" ca="1" si="118"/>
        <v>4106267.7516346634</v>
      </c>
      <c r="I120" s="72">
        <f>Sheet2!D168</f>
        <v>9665326.5099999998</v>
      </c>
      <c r="J120" s="72">
        <f ca="1">OFFSET('Historic CDM'!$C$122,0,(ROW()-2)/12)/12*1000</f>
        <v>780181.3535096267</v>
      </c>
      <c r="K120" s="72">
        <f t="shared" ca="1" si="119"/>
        <v>10445507.863509627</v>
      </c>
      <c r="L120" s="72">
        <f>Sheet2!E168</f>
        <v>3833361.72</v>
      </c>
      <c r="M120" s="72">
        <f ca="1">OFFSET('Historic CDM'!$C$136,0,(ROW()-2)/12)/12*1000</f>
        <v>423989.70672459638</v>
      </c>
      <c r="N120" s="72">
        <f t="shared" ca="1" si="120"/>
        <v>4257351.4267245969</v>
      </c>
      <c r="O120" s="72">
        <f>Sheet2!F168</f>
        <v>9459819.7200000007</v>
      </c>
      <c r="P120" s="72">
        <f ca="1">OFFSET('Historic CDM'!$C$150,0,(ROW()-2)/12)/12*1000</f>
        <v>631885.90534810745</v>
      </c>
      <c r="Q120" s="72">
        <f t="shared" ca="1" si="121"/>
        <v>10091705.625348108</v>
      </c>
      <c r="R120" s="72">
        <f>Sheet2!G168</f>
        <v>193068.75</v>
      </c>
      <c r="S120" s="72">
        <f>Sheet2!H168</f>
        <v>1373.76</v>
      </c>
      <c r="T120" s="72">
        <f>Sheet2!I168</f>
        <v>41930</v>
      </c>
      <c r="U120" s="72">
        <f>Sheet2!J168</f>
        <v>1378033.2</v>
      </c>
      <c r="V120" s="72">
        <v>27929.1</v>
      </c>
      <c r="W120" s="72">
        <v>11996.56</v>
      </c>
      <c r="X120" s="72">
        <v>14499.33</v>
      </c>
      <c r="Y120" s="72">
        <v>437.62</v>
      </c>
      <c r="Z120" s="72">
        <v>51</v>
      </c>
      <c r="AA120" s="72">
        <v>2880.3</v>
      </c>
      <c r="AB120" s="82">
        <v>16941</v>
      </c>
      <c r="AC120" s="83">
        <v>1997</v>
      </c>
      <c r="AD120" s="84">
        <v>160</v>
      </c>
      <c r="AE120" s="72">
        <v>5</v>
      </c>
      <c r="AF120" s="72">
        <v>1</v>
      </c>
      <c r="AG120" s="72">
        <v>126</v>
      </c>
      <c r="AH120" s="72">
        <v>248</v>
      </c>
      <c r="AI120" s="72">
        <v>5927</v>
      </c>
      <c r="AJ120" s="72">
        <v>4</v>
      </c>
      <c r="AK120" s="72">
        <f>Weather!B240</f>
        <v>355.9</v>
      </c>
      <c r="AL120" s="72">
        <f>Weather!C240</f>
        <v>0</v>
      </c>
      <c r="AM120" s="72">
        <f t="shared" si="220"/>
        <v>30</v>
      </c>
      <c r="AN120" s="59">
        <v>22</v>
      </c>
      <c r="AO120" s="72">
        <f t="shared" si="122"/>
        <v>1</v>
      </c>
      <c r="AP120" s="72">
        <f>Employment!B120</f>
        <v>7026.9</v>
      </c>
      <c r="AQ120" s="72">
        <f>Employment!C120</f>
        <v>242.3</v>
      </c>
      <c r="AR120" s="72">
        <f t="shared" ref="AR120:AS120" si="231">AR108</f>
        <v>0</v>
      </c>
      <c r="AS120" s="72">
        <f t="shared" si="231"/>
        <v>1</v>
      </c>
      <c r="AT120" s="84">
        <f t="shared" si="128"/>
        <v>119</v>
      </c>
      <c r="AU120" s="73">
        <f t="shared" ref="AU120:BF120" si="232">AU108</f>
        <v>0</v>
      </c>
      <c r="AV120" s="73">
        <f t="shared" si="232"/>
        <v>0</v>
      </c>
      <c r="AW120" s="73">
        <f t="shared" si="232"/>
        <v>0</v>
      </c>
      <c r="AX120" s="73">
        <f t="shared" si="232"/>
        <v>0</v>
      </c>
      <c r="AY120" s="73">
        <f t="shared" si="232"/>
        <v>0</v>
      </c>
      <c r="AZ120" s="73">
        <f t="shared" si="232"/>
        <v>0</v>
      </c>
      <c r="BA120" s="73">
        <f t="shared" si="232"/>
        <v>0</v>
      </c>
      <c r="BB120" s="73">
        <f t="shared" si="232"/>
        <v>0</v>
      </c>
      <c r="BC120" s="73">
        <f t="shared" si="232"/>
        <v>0</v>
      </c>
      <c r="BD120" s="73">
        <f t="shared" si="232"/>
        <v>0</v>
      </c>
      <c r="BE120" s="73">
        <f t="shared" si="232"/>
        <v>1</v>
      </c>
      <c r="BF120" s="73">
        <f t="shared" si="232"/>
        <v>0</v>
      </c>
    </row>
    <row r="121" spans="1:58" x14ac:dyDescent="0.3">
      <c r="A121" s="71">
        <v>42705</v>
      </c>
      <c r="B121" s="92">
        <f t="shared" si="116"/>
        <v>2016</v>
      </c>
      <c r="C121" s="72">
        <f>Sheet2!B169</f>
        <v>12478147.369999999</v>
      </c>
      <c r="D121" s="72">
        <f ca="1">OFFSET('Historic CDM'!$C$94,0,(ROW()-2)/12)/12*1000</f>
        <v>380600.05973163422</v>
      </c>
      <c r="E121" s="72">
        <f t="shared" ca="1" si="117"/>
        <v>12858747.429731634</v>
      </c>
      <c r="F121" s="72">
        <f>Sheet2!C169</f>
        <v>4535862.96</v>
      </c>
      <c r="G121" s="72">
        <f ca="1">OFFSET('Historic CDM'!$C$108,0,(ROW()-2)/12)/12*1000</f>
        <v>318650.1816346636</v>
      </c>
      <c r="H121" s="72">
        <f t="shared" ca="1" si="118"/>
        <v>4854513.1416346636</v>
      </c>
      <c r="I121" s="72">
        <f>Sheet2!D169</f>
        <v>9581750.620000001</v>
      </c>
      <c r="J121" s="72">
        <f ca="1">OFFSET('Historic CDM'!$C$122,0,(ROW()-2)/12)/12*1000</f>
        <v>780181.3535096267</v>
      </c>
      <c r="K121" s="72">
        <f t="shared" ca="1" si="119"/>
        <v>10361931.973509628</v>
      </c>
      <c r="L121" s="72">
        <f>Sheet2!E169</f>
        <v>3615219.1</v>
      </c>
      <c r="M121" s="72">
        <f ca="1">OFFSET('Historic CDM'!$C$136,0,(ROW()-2)/12)/12*1000</f>
        <v>423989.70672459638</v>
      </c>
      <c r="N121" s="72">
        <f t="shared" ca="1" si="120"/>
        <v>4039208.8067245963</v>
      </c>
      <c r="O121" s="72">
        <f>Sheet2!F169</f>
        <v>8789568.1699999999</v>
      </c>
      <c r="P121" s="72">
        <f ca="1">OFFSET('Historic CDM'!$C$150,0,(ROW()-2)/12)/12*1000</f>
        <v>631885.90534810745</v>
      </c>
      <c r="Q121" s="72">
        <f t="shared" ca="1" si="121"/>
        <v>9421454.0753481071</v>
      </c>
      <c r="R121" s="72">
        <f>Sheet2!G169</f>
        <v>205983.76</v>
      </c>
      <c r="S121" s="72">
        <f>Sheet2!H169</f>
        <v>1451.47</v>
      </c>
      <c r="T121" s="72">
        <f>Sheet2!I169</f>
        <v>41930</v>
      </c>
      <c r="U121" s="72">
        <f>Sheet2!J169</f>
        <v>1596039.4</v>
      </c>
      <c r="V121" s="72">
        <v>27159</v>
      </c>
      <c r="W121" s="72">
        <v>11317.5</v>
      </c>
      <c r="X121" s="72">
        <v>14733.27</v>
      </c>
      <c r="Y121" s="72">
        <v>437.62</v>
      </c>
      <c r="Z121" s="72">
        <v>48</v>
      </c>
      <c r="AA121" s="72">
        <v>3106.8</v>
      </c>
      <c r="AB121" s="70">
        <v>16956</v>
      </c>
      <c r="AC121" s="83">
        <v>2000</v>
      </c>
      <c r="AD121" s="84">
        <v>160</v>
      </c>
      <c r="AE121" s="72">
        <v>5</v>
      </c>
      <c r="AF121" s="72">
        <v>1</v>
      </c>
      <c r="AG121" s="72">
        <v>126</v>
      </c>
      <c r="AH121" s="72">
        <v>248</v>
      </c>
      <c r="AI121" s="72">
        <v>5927</v>
      </c>
      <c r="AJ121" s="72">
        <v>4</v>
      </c>
      <c r="AK121" s="72">
        <f>Weather!B241</f>
        <v>639.5</v>
      </c>
      <c r="AL121" s="72">
        <f>Weather!C241</f>
        <v>0</v>
      </c>
      <c r="AM121" s="72">
        <f t="shared" si="220"/>
        <v>31</v>
      </c>
      <c r="AN121" s="59">
        <v>20</v>
      </c>
      <c r="AO121" s="72">
        <f t="shared" si="122"/>
        <v>0</v>
      </c>
      <c r="AP121" s="72">
        <f>Employment!B121</f>
        <v>7041.6</v>
      </c>
      <c r="AQ121" s="72">
        <f>Employment!C121</f>
        <v>240.6</v>
      </c>
      <c r="AR121" s="72">
        <f t="shared" ref="AR121:AS121" si="233">AR109</f>
        <v>0</v>
      </c>
      <c r="AS121" s="72">
        <f t="shared" si="233"/>
        <v>0</v>
      </c>
      <c r="AT121" s="84">
        <f t="shared" si="128"/>
        <v>120</v>
      </c>
      <c r="AU121" s="73">
        <f t="shared" ref="AU121:BF121" si="234">AU109</f>
        <v>0</v>
      </c>
      <c r="AV121" s="73">
        <f t="shared" si="234"/>
        <v>0</v>
      </c>
      <c r="AW121" s="73">
        <f t="shared" si="234"/>
        <v>0</v>
      </c>
      <c r="AX121" s="73">
        <f t="shared" si="234"/>
        <v>0</v>
      </c>
      <c r="AY121" s="73">
        <f t="shared" si="234"/>
        <v>0</v>
      </c>
      <c r="AZ121" s="73">
        <f t="shared" si="234"/>
        <v>0</v>
      </c>
      <c r="BA121" s="73">
        <f t="shared" si="234"/>
        <v>0</v>
      </c>
      <c r="BB121" s="73">
        <f t="shared" si="234"/>
        <v>0</v>
      </c>
      <c r="BC121" s="73">
        <f t="shared" si="234"/>
        <v>0</v>
      </c>
      <c r="BD121" s="73">
        <f t="shared" si="234"/>
        <v>0</v>
      </c>
      <c r="BE121" s="73">
        <f t="shared" si="234"/>
        <v>0</v>
      </c>
      <c r="BF121" s="73">
        <f t="shared" si="234"/>
        <v>1</v>
      </c>
    </row>
    <row r="124" spans="1:58" x14ac:dyDescent="0.3">
      <c r="AB124" s="84"/>
      <c r="AC124" s="84"/>
      <c r="AD124" s="84"/>
      <c r="AE124" s="84"/>
      <c r="AF124" s="84"/>
      <c r="AG124" s="84"/>
      <c r="AH124" s="84"/>
      <c r="AI124" s="84"/>
    </row>
    <row r="126" spans="1:58" x14ac:dyDescent="0.3">
      <c r="AB126" s="81"/>
      <c r="AC126" s="81"/>
      <c r="AD126" s="81"/>
      <c r="AE126" s="81"/>
      <c r="AF126" s="81"/>
      <c r="AG126" s="81"/>
      <c r="AH126" s="82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opLeftCell="AA1" workbookViewId="0">
      <selection activeCell="AA2" sqref="AA2"/>
    </sheetView>
  </sheetViews>
  <sheetFormatPr defaultColWidth="9.109375" defaultRowHeight="14.4" x14ac:dyDescent="0.3"/>
  <cols>
    <col min="1" max="1" width="10.33203125" style="56" bestFit="1" customWidth="1"/>
    <col min="2" max="2" width="5" style="56" bestFit="1" customWidth="1"/>
    <col min="3" max="3" width="17.6640625" style="20" bestFit="1" customWidth="1"/>
    <col min="4" max="4" width="12.88671875" style="20" bestFit="1" customWidth="1"/>
    <col min="5" max="5" width="11.77734375" style="56" bestFit="1" customWidth="1"/>
    <col min="6" max="6" width="11.6640625" style="56" bestFit="1" customWidth="1"/>
    <col min="7" max="8" width="10.88671875" style="56" bestFit="1" customWidth="1"/>
    <col min="9" max="9" width="5.33203125" style="86" bestFit="1" customWidth="1"/>
    <col min="10" max="13" width="5.33203125" style="88" customWidth="1"/>
    <col min="14" max="14" width="9.109375" style="56"/>
    <col min="15" max="15" width="11.5546875" style="20" bestFit="1" customWidth="1"/>
    <col min="16" max="16" width="14" style="20" bestFit="1" customWidth="1"/>
    <col min="17" max="17" width="12.88671875" style="20" bestFit="1" customWidth="1"/>
    <col min="18" max="18" width="12.77734375" style="20" bestFit="1" customWidth="1"/>
    <col min="19" max="20" width="12.109375" style="20" bestFit="1" customWidth="1"/>
    <col min="21" max="21" width="9.109375" style="20" bestFit="1" customWidth="1"/>
    <col min="22" max="25" width="9.109375" style="20" customWidth="1"/>
    <col min="26" max="26" width="14" style="20" bestFit="1" customWidth="1"/>
    <col min="27" max="27" width="10.5546875" style="56" bestFit="1" customWidth="1"/>
    <col min="28" max="16384" width="9.109375" style="4"/>
  </cols>
  <sheetData>
    <row r="1" spans="1:27" x14ac:dyDescent="0.3">
      <c r="A1" s="56" t="str">
        <f>'Monthly Data'!A1</f>
        <v>Date</v>
      </c>
      <c r="B1" s="56" t="s">
        <v>89</v>
      </c>
      <c r="C1" s="20" t="s">
        <v>229</v>
      </c>
      <c r="D1" s="86" t="str">
        <f>'Monthly Data'!AC1</f>
        <v>GS_lt_50_Cust</v>
      </c>
      <c r="E1" s="56" t="str">
        <f>'Monthly Data'!AK1</f>
        <v>London_HDD</v>
      </c>
      <c r="F1" s="56" t="str">
        <f>'Monthly Data'!AL1</f>
        <v>London_CDD</v>
      </c>
      <c r="G1" s="56" t="str">
        <f>'Monthly Data'!AQ1</f>
        <v>London_FTE</v>
      </c>
      <c r="H1" s="56" t="str">
        <f>'Monthly Data'!AT1</f>
        <v>Trend</v>
      </c>
      <c r="I1" s="86" t="str">
        <f>'Monthly Data'!AW1</f>
        <v>Mar</v>
      </c>
      <c r="J1" s="88" t="str">
        <f>'Monthly Data'!AZ1</f>
        <v>June</v>
      </c>
      <c r="K1" s="88" t="str">
        <f>'Monthly Data'!BA1</f>
        <v>July</v>
      </c>
      <c r="L1" s="88" t="str">
        <f>'Monthly Data'!BB1</f>
        <v>Aug</v>
      </c>
      <c r="M1" s="88" t="str">
        <f>'Monthly Data'!BC1</f>
        <v>Sept</v>
      </c>
      <c r="O1" s="20" t="s">
        <v>74</v>
      </c>
      <c r="P1" s="20" t="str">
        <f t="shared" ref="P1:U1" si="0">D1</f>
        <v>GS_lt_50_Cust</v>
      </c>
      <c r="Q1" s="20" t="str">
        <f t="shared" si="0"/>
        <v>London_HDD</v>
      </c>
      <c r="R1" s="20" t="str">
        <f t="shared" si="0"/>
        <v>London_CDD</v>
      </c>
      <c r="S1" s="20" t="str">
        <f t="shared" si="0"/>
        <v>London_FTE</v>
      </c>
      <c r="T1" s="20" t="str">
        <f t="shared" si="0"/>
        <v>Trend</v>
      </c>
      <c r="U1" s="20" t="str">
        <f t="shared" si="0"/>
        <v>Mar</v>
      </c>
      <c r="V1" s="20" t="str">
        <f t="shared" ref="V1:Y1" si="1">J1</f>
        <v>June</v>
      </c>
      <c r="W1" s="20" t="str">
        <f t="shared" si="1"/>
        <v>July</v>
      </c>
      <c r="X1" s="20" t="str">
        <f t="shared" si="1"/>
        <v>Aug</v>
      </c>
      <c r="Y1" s="20" t="str">
        <f t="shared" si="1"/>
        <v>Sept</v>
      </c>
      <c r="Z1" s="20" t="s">
        <v>90</v>
      </c>
      <c r="AA1" s="21" t="s">
        <v>91</v>
      </c>
    </row>
    <row r="2" spans="1:27" x14ac:dyDescent="0.3">
      <c r="A2" s="22">
        <f>'Monthly Data'!A2</f>
        <v>39083</v>
      </c>
      <c r="B2" s="56">
        <f t="shared" ref="B2:B65" si="2">YEAR(A2)</f>
        <v>2007</v>
      </c>
      <c r="C2" s="20">
        <f ca="1">'Monthly Data'!H2</f>
        <v>4555426.1688953731</v>
      </c>
      <c r="D2" s="86">
        <f>'Monthly Data'!AC2</f>
        <v>1878</v>
      </c>
      <c r="E2" s="56">
        <f>'Monthly Data'!AK2</f>
        <v>655.6</v>
      </c>
      <c r="F2" s="56">
        <f>'Monthly Data'!AL2</f>
        <v>0</v>
      </c>
      <c r="G2" s="88">
        <f>'Monthly Data'!AQ2</f>
        <v>254</v>
      </c>
      <c r="H2" s="88">
        <f>'Monthly Data'!AT2</f>
        <v>1</v>
      </c>
      <c r="I2" s="88">
        <f>'Monthly Data'!AW2</f>
        <v>0</v>
      </c>
      <c r="J2" s="88">
        <f>'Monthly Data'!AZ2</f>
        <v>0</v>
      </c>
      <c r="K2" s="88">
        <f>'Monthly Data'!BA2</f>
        <v>0</v>
      </c>
      <c r="L2" s="88">
        <f>'Monthly Data'!BB2</f>
        <v>0</v>
      </c>
      <c r="M2" s="88">
        <f>'Monthly Data'!BC2</f>
        <v>0</v>
      </c>
      <c r="O2" s="20">
        <f>'GS &lt; 50 OLS model'!$B$5</f>
        <v>-11631489.5525492</v>
      </c>
      <c r="P2" s="20">
        <f>'GS &lt; 50 OLS model'!$B$6*D2</f>
        <v>12303018.356864853</v>
      </c>
      <c r="Q2" s="20">
        <f>'GS &lt; 50 OLS model'!$B$7*E2</f>
        <v>1372874.3625293006</v>
      </c>
      <c r="R2" s="20">
        <f>'GS &lt; 50 OLS model'!$B$8*F2</f>
        <v>0</v>
      </c>
      <c r="S2" s="20">
        <f>'GS &lt; 50 OLS model'!$B$9*G2</f>
        <v>2647058.4153656471</v>
      </c>
      <c r="T2" s="20">
        <f>'GS &lt; 50 OLS model'!$B$10*H2</f>
        <v>-4822.6940773163997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>SUM(O2:Y2)</f>
        <v>4686638.8881332837</v>
      </c>
      <c r="AA2" s="23">
        <f t="shared" ref="AA2:AA33" ca="1" si="3">ABS(Z2-C2)/C2</f>
        <v>2.8803610106522225E-2</v>
      </c>
    </row>
    <row r="3" spans="1:27" x14ac:dyDescent="0.3">
      <c r="A3" s="22">
        <f>'Monthly Data'!A3</f>
        <v>39114</v>
      </c>
      <c r="B3" s="56">
        <f t="shared" si="2"/>
        <v>2007</v>
      </c>
      <c r="C3" s="20">
        <f ca="1">'Monthly Data'!H3</f>
        <v>5124464.9388953727</v>
      </c>
      <c r="D3" s="86">
        <f>'Monthly Data'!AC3</f>
        <v>1879</v>
      </c>
      <c r="E3" s="56">
        <f>'Monthly Data'!AK3</f>
        <v>758.7</v>
      </c>
      <c r="F3" s="56">
        <f>'Monthly Data'!AL3</f>
        <v>0</v>
      </c>
      <c r="G3" s="88">
        <f>'Monthly Data'!AQ3</f>
        <v>253.3</v>
      </c>
      <c r="H3" s="88">
        <f>'Monthly Data'!AT3</f>
        <v>2</v>
      </c>
      <c r="I3" s="88">
        <f>'Monthly Data'!AW3</f>
        <v>0</v>
      </c>
      <c r="J3" s="88">
        <f>'Monthly Data'!AZ3</f>
        <v>0</v>
      </c>
      <c r="K3" s="88">
        <f>'Monthly Data'!BA3</f>
        <v>0</v>
      </c>
      <c r="L3" s="88">
        <f>'Monthly Data'!BB3</f>
        <v>0</v>
      </c>
      <c r="M3" s="88">
        <f>'Monthly Data'!BC3</f>
        <v>0</v>
      </c>
      <c r="O3" s="20">
        <f>'GS &lt; 50 OLS model'!$B$5</f>
        <v>-11631489.5525492</v>
      </c>
      <c r="P3" s="20">
        <f>'GS &lt; 50 OLS model'!$B$6*D3</f>
        <v>12309569.484850405</v>
      </c>
      <c r="Q3" s="20">
        <f>'GS &lt; 50 OLS model'!$B$7*E3</f>
        <v>1588773.305141825</v>
      </c>
      <c r="R3" s="20">
        <f>'GS &lt; 50 OLS model'!$B$8*F3</f>
        <v>0</v>
      </c>
      <c r="S3" s="20">
        <f>'GS &lt; 50 OLS model'!$B$9*G3</f>
        <v>2639763.3724886551</v>
      </c>
      <c r="T3" s="20">
        <f>'GS &lt; 50 OLS model'!$B$10*H3</f>
        <v>-9645.3881546327993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si="4">SUM(O3:Y3)</f>
        <v>4896971.2217770526</v>
      </c>
      <c r="AA3" s="23">
        <f t="shared" ca="1" si="3"/>
        <v>4.4393652767845557E-2</v>
      </c>
    </row>
    <row r="4" spans="1:27" x14ac:dyDescent="0.3">
      <c r="A4" s="22">
        <f>'Monthly Data'!A4</f>
        <v>39142</v>
      </c>
      <c r="B4" s="56">
        <f t="shared" si="2"/>
        <v>2007</v>
      </c>
      <c r="C4" s="20">
        <f ca="1">'Monthly Data'!H4</f>
        <v>4404053.8488953728</v>
      </c>
      <c r="D4" s="86">
        <f>'Monthly Data'!AC4</f>
        <v>1880</v>
      </c>
      <c r="E4" s="56">
        <f>'Monthly Data'!AK4</f>
        <v>527</v>
      </c>
      <c r="F4" s="56">
        <f>'Monthly Data'!AL4</f>
        <v>0</v>
      </c>
      <c r="G4" s="88">
        <f>'Monthly Data'!AQ4</f>
        <v>250.9</v>
      </c>
      <c r="H4" s="88">
        <f>'Monthly Data'!AT4</f>
        <v>3</v>
      </c>
      <c r="I4" s="88">
        <f>'Monthly Data'!AW4</f>
        <v>1</v>
      </c>
      <c r="J4" s="88">
        <f>'Monthly Data'!AZ4</f>
        <v>0</v>
      </c>
      <c r="K4" s="88">
        <f>'Monthly Data'!BA4</f>
        <v>0</v>
      </c>
      <c r="L4" s="88">
        <f>'Monthly Data'!BB4</f>
        <v>0</v>
      </c>
      <c r="M4" s="88">
        <f>'Monthly Data'!BC4</f>
        <v>0</v>
      </c>
      <c r="O4" s="20">
        <f>'GS &lt; 50 OLS model'!$B$5</f>
        <v>-11631489.5525492</v>
      </c>
      <c r="P4" s="20">
        <f>'GS &lt; 50 OLS model'!$B$6*D4</f>
        <v>12316120.612835955</v>
      </c>
      <c r="Q4" s="20">
        <f>'GS &lt; 50 OLS model'!$B$7*E4</f>
        <v>1103576.5543821559</v>
      </c>
      <c r="R4" s="20">
        <f>'GS &lt; 50 OLS model'!$B$8*F4</f>
        <v>0</v>
      </c>
      <c r="S4" s="20">
        <f>'GS &lt; 50 OLS model'!$B$9*G4</f>
        <v>2614751.7969103968</v>
      </c>
      <c r="T4" s="20">
        <f>'GS &lt; 50 OLS model'!$B$10*H4</f>
        <v>-14468.0822319492</v>
      </c>
      <c r="U4" s="20">
        <f>'GS &lt; 50 OLS model'!$B$11*I4</f>
        <v>-156104.06645044801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si="4"/>
        <v>4232387.2628969103</v>
      </c>
      <c r="AA4" s="23">
        <f t="shared" ca="1" si="3"/>
        <v>3.8979220483764072E-2</v>
      </c>
    </row>
    <row r="5" spans="1:27" x14ac:dyDescent="0.3">
      <c r="A5" s="22">
        <f>'Monthly Data'!A5</f>
        <v>39173</v>
      </c>
      <c r="B5" s="56">
        <f t="shared" si="2"/>
        <v>2007</v>
      </c>
      <c r="C5" s="20">
        <f ca="1">'Monthly Data'!H5</f>
        <v>4345291.2888953723</v>
      </c>
      <c r="D5" s="86">
        <f>'Monthly Data'!AC5</f>
        <v>1883</v>
      </c>
      <c r="E5" s="56">
        <f>'Monthly Data'!AK5</f>
        <v>371.1</v>
      </c>
      <c r="F5" s="56">
        <f>'Monthly Data'!AL5</f>
        <v>0</v>
      </c>
      <c r="G5" s="88">
        <f>'Monthly Data'!AQ5</f>
        <v>249.3</v>
      </c>
      <c r="H5" s="88">
        <f>'Monthly Data'!AT5</f>
        <v>4</v>
      </c>
      <c r="I5" s="88">
        <f>'Monthly Data'!AW5</f>
        <v>0</v>
      </c>
      <c r="J5" s="88">
        <f>'Monthly Data'!AZ5</f>
        <v>0</v>
      </c>
      <c r="K5" s="88">
        <f>'Monthly Data'!BA5</f>
        <v>0</v>
      </c>
      <c r="L5" s="88">
        <f>'Monthly Data'!BB5</f>
        <v>0</v>
      </c>
      <c r="M5" s="88">
        <f>'Monthly Data'!BC5</f>
        <v>0</v>
      </c>
      <c r="O5" s="20">
        <f>'GS &lt; 50 OLS model'!$B$5</f>
        <v>-11631489.5525492</v>
      </c>
      <c r="P5" s="20">
        <f>'GS &lt; 50 OLS model'!$B$6*D5</f>
        <v>12335773.996792609</v>
      </c>
      <c r="Q5" s="20">
        <f>'GS &lt; 50 OLS model'!$B$7*E5</f>
        <v>777110.54901559418</v>
      </c>
      <c r="R5" s="20">
        <f>'GS &lt; 50 OLS model'!$B$8*F5</f>
        <v>0</v>
      </c>
      <c r="S5" s="20">
        <f>'GS &lt; 50 OLS model'!$B$9*G5</f>
        <v>2598077.4131915583</v>
      </c>
      <c r="T5" s="20">
        <f>'GS &lt; 50 OLS model'!$B$10*H5</f>
        <v>-19290.776309265599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si="4"/>
        <v>4060181.6301412955</v>
      </c>
      <c r="AA5" s="23">
        <f t="shared" ca="1" si="3"/>
        <v>6.561347440220866E-2</v>
      </c>
    </row>
    <row r="6" spans="1:27" x14ac:dyDescent="0.3">
      <c r="A6" s="22">
        <f>'Monthly Data'!A6</f>
        <v>39203</v>
      </c>
      <c r="B6" s="56">
        <f t="shared" si="2"/>
        <v>2007</v>
      </c>
      <c r="C6" s="20">
        <f ca="1">'Monthly Data'!H6</f>
        <v>4011075.588895373</v>
      </c>
      <c r="D6" s="86">
        <f>'Monthly Data'!AC6</f>
        <v>1883</v>
      </c>
      <c r="E6" s="56">
        <f>'Monthly Data'!AK6</f>
        <v>131.9</v>
      </c>
      <c r="F6" s="56">
        <f>'Monthly Data'!AL6</f>
        <v>22.7</v>
      </c>
      <c r="G6" s="88">
        <f>'Monthly Data'!AQ6</f>
        <v>248.9</v>
      </c>
      <c r="H6" s="88">
        <f>'Monthly Data'!AT6</f>
        <v>5</v>
      </c>
      <c r="I6" s="88">
        <f>'Monthly Data'!AW6</f>
        <v>0</v>
      </c>
      <c r="J6" s="88">
        <f>'Monthly Data'!AZ6</f>
        <v>0</v>
      </c>
      <c r="K6" s="88">
        <f>'Monthly Data'!BA6</f>
        <v>0</v>
      </c>
      <c r="L6" s="88">
        <f>'Monthly Data'!BB6</f>
        <v>0</v>
      </c>
      <c r="M6" s="88">
        <f>'Monthly Data'!BC6</f>
        <v>0</v>
      </c>
      <c r="O6" s="20">
        <f>'GS &lt; 50 OLS model'!$B$5</f>
        <v>-11631489.5525492</v>
      </c>
      <c r="P6" s="20">
        <f>'GS &lt; 50 OLS model'!$B$6*D6</f>
        <v>12335773.996792609</v>
      </c>
      <c r="Q6" s="20">
        <f>'GS &lt; 50 OLS model'!$B$7*E6</f>
        <v>276208.24956927204</v>
      </c>
      <c r="R6" s="20">
        <f>'GS &lt; 50 OLS model'!$B$8*F6</f>
        <v>134494.26641878963</v>
      </c>
      <c r="S6" s="20">
        <f>'GS &lt; 50 OLS model'!$B$9*G6</f>
        <v>2593908.8172618486</v>
      </c>
      <c r="T6" s="20">
        <f>'GS &lt; 50 OLS model'!$B$10*H6</f>
        <v>-24113.470386581997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si="4"/>
        <v>3684782.307106737</v>
      </c>
      <c r="AA6" s="23">
        <f t="shared" ca="1" si="3"/>
        <v>8.1348075985398047E-2</v>
      </c>
    </row>
    <row r="7" spans="1:27" x14ac:dyDescent="0.3">
      <c r="A7" s="22">
        <f>'Monthly Data'!A7</f>
        <v>39234</v>
      </c>
      <c r="B7" s="56">
        <f t="shared" si="2"/>
        <v>2007</v>
      </c>
      <c r="C7" s="20">
        <f ca="1">'Monthly Data'!H7</f>
        <v>4301202.6388953729</v>
      </c>
      <c r="D7" s="86">
        <f>'Monthly Data'!AC7</f>
        <v>1882</v>
      </c>
      <c r="E7" s="56">
        <f>'Monthly Data'!AK7</f>
        <v>23.2</v>
      </c>
      <c r="F7" s="56">
        <f>'Monthly Data'!AL7</f>
        <v>70.2</v>
      </c>
      <c r="G7" s="88">
        <f>'Monthly Data'!AQ7</f>
        <v>250.2</v>
      </c>
      <c r="H7" s="88">
        <f>'Monthly Data'!AT7</f>
        <v>6</v>
      </c>
      <c r="I7" s="88">
        <f>'Monthly Data'!AW7</f>
        <v>0</v>
      </c>
      <c r="J7" s="88">
        <f>'Monthly Data'!AZ7</f>
        <v>1</v>
      </c>
      <c r="K7" s="88">
        <f>'Monthly Data'!BA7</f>
        <v>0</v>
      </c>
      <c r="L7" s="88">
        <f>'Monthly Data'!BB7</f>
        <v>0</v>
      </c>
      <c r="M7" s="88">
        <f>'Monthly Data'!BC7</f>
        <v>0</v>
      </c>
      <c r="O7" s="20">
        <f>'GS &lt; 50 OLS model'!$B$5</f>
        <v>-11631489.5525492</v>
      </c>
      <c r="P7" s="20">
        <f>'GS &lt; 50 OLS model'!$B$6*D7</f>
        <v>12329222.868807057</v>
      </c>
      <c r="Q7" s="20">
        <f>'GS &lt; 50 OLS model'!$B$7*E7</f>
        <v>48582.497270713509</v>
      </c>
      <c r="R7" s="20">
        <f>'GS &lt; 50 OLS model'!$B$8*F7</f>
        <v>415925.00011449482</v>
      </c>
      <c r="S7" s="20">
        <f>'GS &lt; 50 OLS model'!$B$9*G7</f>
        <v>2607456.7540334049</v>
      </c>
      <c r="T7" s="20">
        <f>'GS &lt; 50 OLS model'!$B$10*H7</f>
        <v>-28936.1644638984</v>
      </c>
      <c r="U7" s="20">
        <f>'GS &lt; 50 OLS model'!$B$11*I7</f>
        <v>0</v>
      </c>
      <c r="V7" s="20">
        <f>'GS &lt; 50 OLS model'!$B$12*J7</f>
        <v>359272.711714848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si="4"/>
        <v>4100034.1149274195</v>
      </c>
      <c r="AA7" s="23">
        <f t="shared" ca="1" si="3"/>
        <v>4.6770296788345954E-2</v>
      </c>
    </row>
    <row r="8" spans="1:27" x14ac:dyDescent="0.3">
      <c r="A8" s="22">
        <f>'Monthly Data'!A8</f>
        <v>39264</v>
      </c>
      <c r="B8" s="56">
        <f t="shared" si="2"/>
        <v>2007</v>
      </c>
      <c r="C8" s="20">
        <f ca="1">'Monthly Data'!H8</f>
        <v>4466238.0788953733</v>
      </c>
      <c r="D8" s="86">
        <f>'Monthly Data'!AC8</f>
        <v>1889</v>
      </c>
      <c r="E8" s="56">
        <f>'Monthly Data'!AK8</f>
        <v>11.3</v>
      </c>
      <c r="F8" s="56">
        <f>'Monthly Data'!AL8</f>
        <v>71.599999999999994</v>
      </c>
      <c r="G8" s="88">
        <f>'Monthly Data'!AQ8</f>
        <v>254.9</v>
      </c>
      <c r="H8" s="88">
        <f>'Monthly Data'!AT8</f>
        <v>7</v>
      </c>
      <c r="I8" s="88">
        <f>'Monthly Data'!AW8</f>
        <v>0</v>
      </c>
      <c r="J8" s="88">
        <f>'Monthly Data'!AZ8</f>
        <v>0</v>
      </c>
      <c r="K8" s="88">
        <f>'Monthly Data'!BA8</f>
        <v>1</v>
      </c>
      <c r="L8" s="88">
        <f>'Monthly Data'!BB8</f>
        <v>0</v>
      </c>
      <c r="M8" s="88">
        <f>'Monthly Data'!BC8</f>
        <v>0</v>
      </c>
      <c r="O8" s="20">
        <f>'GS &lt; 50 OLS model'!$B$5</f>
        <v>-11631489.5525492</v>
      </c>
      <c r="P8" s="20">
        <f>'GS &lt; 50 OLS model'!$B$6*D8</f>
        <v>12375080.764705915</v>
      </c>
      <c r="Q8" s="20">
        <f>'GS &lt; 50 OLS model'!$B$7*E8</f>
        <v>23663.026687890633</v>
      </c>
      <c r="R8" s="20">
        <f>'GS &lt; 50 OLS model'!$B$8*F8</f>
        <v>424219.80068657867</v>
      </c>
      <c r="S8" s="20">
        <f>'GS &lt; 50 OLS model'!$B$9*G8</f>
        <v>2656437.7562074936</v>
      </c>
      <c r="T8" s="20">
        <f>'GS &lt; 50 OLS model'!$B$10*H8</f>
        <v>-33758.858541214795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411098.30587285903</v>
      </c>
      <c r="X8" s="20">
        <f>'GS &lt; 50 OLS model'!$B$14*L8</f>
        <v>0</v>
      </c>
      <c r="Y8" s="20">
        <f>'GS &lt; 50 OLS model'!$B$15*M8</f>
        <v>0</v>
      </c>
      <c r="Z8" s="20">
        <f t="shared" si="4"/>
        <v>4225251.2430703221</v>
      </c>
      <c r="AA8" s="23">
        <f t="shared" ca="1" si="3"/>
        <v>5.3957454029108551E-2</v>
      </c>
    </row>
    <row r="9" spans="1:27" x14ac:dyDescent="0.3">
      <c r="A9" s="22">
        <f>'Monthly Data'!A9</f>
        <v>39295</v>
      </c>
      <c r="B9" s="56">
        <f t="shared" si="2"/>
        <v>2007</v>
      </c>
      <c r="C9" s="20">
        <f ca="1">'Monthly Data'!H9</f>
        <v>3950116.3988953726</v>
      </c>
      <c r="D9" s="86">
        <f>'Monthly Data'!AC9</f>
        <v>1890</v>
      </c>
      <c r="E9" s="56">
        <f>'Monthly Data'!AK9</f>
        <v>11.5</v>
      </c>
      <c r="F9" s="56">
        <f>'Monthly Data'!AL9</f>
        <v>89.1</v>
      </c>
      <c r="G9" s="88">
        <f>'Monthly Data'!AQ9</f>
        <v>257.8</v>
      </c>
      <c r="H9" s="88">
        <f>'Monthly Data'!AT9</f>
        <v>8</v>
      </c>
      <c r="I9" s="88">
        <f>'Monthly Data'!AW9</f>
        <v>0</v>
      </c>
      <c r="J9" s="88">
        <f>'Monthly Data'!AZ9</f>
        <v>0</v>
      </c>
      <c r="K9" s="88">
        <f>'Monthly Data'!BA9</f>
        <v>0</v>
      </c>
      <c r="L9" s="88">
        <f>'Monthly Data'!BB9</f>
        <v>1</v>
      </c>
      <c r="M9" s="88">
        <f>'Monthly Data'!BC9</f>
        <v>0</v>
      </c>
      <c r="O9" s="20">
        <f>'GS &lt; 50 OLS model'!$B$5</f>
        <v>-11631489.5525492</v>
      </c>
      <c r="P9" s="20">
        <f>'GS &lt; 50 OLS model'!$B$6*D9</f>
        <v>12381631.892691465</v>
      </c>
      <c r="Q9" s="20">
        <f>'GS &lt; 50 OLS model'!$B$7*E9</f>
        <v>24081.841319534713</v>
      </c>
      <c r="R9" s="20">
        <f>'GS &lt; 50 OLS model'!$B$8*F9</f>
        <v>527904.80783762794</v>
      </c>
      <c r="S9" s="20">
        <f>'GS &lt; 50 OLS model'!$B$9*G9</f>
        <v>2686660.0766978888</v>
      </c>
      <c r="T9" s="20">
        <f>'GS &lt; 50 OLS model'!$B$10*H9</f>
        <v>-38581.552618531197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494220.92313005403</v>
      </c>
      <c r="Y9" s="20">
        <f>'GS &lt; 50 OLS model'!$B$15*M9</f>
        <v>0</v>
      </c>
      <c r="Z9" s="20">
        <f t="shared" si="4"/>
        <v>4444428.4365088399</v>
      </c>
      <c r="AA9" s="23">
        <f t="shared" ca="1" si="3"/>
        <v>0.12513860040977498</v>
      </c>
    </row>
    <row r="10" spans="1:27" x14ac:dyDescent="0.3">
      <c r="A10" s="22">
        <f>'Monthly Data'!A10</f>
        <v>39326</v>
      </c>
      <c r="B10" s="56">
        <f t="shared" si="2"/>
        <v>2007</v>
      </c>
      <c r="C10" s="20">
        <f ca="1">'Monthly Data'!H10</f>
        <v>3891422.0488953725</v>
      </c>
      <c r="D10" s="86">
        <f>'Monthly Data'!AC10</f>
        <v>1891</v>
      </c>
      <c r="E10" s="56">
        <f>'Monthly Data'!AK10</f>
        <v>61</v>
      </c>
      <c r="F10" s="56">
        <f>'Monthly Data'!AL10</f>
        <v>35</v>
      </c>
      <c r="G10" s="88">
        <f>'Monthly Data'!AQ10</f>
        <v>260.2</v>
      </c>
      <c r="H10" s="88">
        <f>'Monthly Data'!AT10</f>
        <v>9</v>
      </c>
      <c r="I10" s="88">
        <f>'Monthly Data'!AW10</f>
        <v>0</v>
      </c>
      <c r="J10" s="88">
        <f>'Monthly Data'!AZ10</f>
        <v>0</v>
      </c>
      <c r="K10" s="88">
        <f>'Monthly Data'!BA10</f>
        <v>0</v>
      </c>
      <c r="L10" s="88">
        <f>'Monthly Data'!BB10</f>
        <v>0</v>
      </c>
      <c r="M10" s="88">
        <f>'Monthly Data'!BC10</f>
        <v>1</v>
      </c>
      <c r="O10" s="20">
        <f>'GS &lt; 50 OLS model'!$B$5</f>
        <v>-11631489.5525492</v>
      </c>
      <c r="P10" s="20">
        <f>'GS &lt; 50 OLS model'!$B$6*D10</f>
        <v>12388183.020677017</v>
      </c>
      <c r="Q10" s="20">
        <f>'GS &lt; 50 OLS model'!$B$7*E10</f>
        <v>127738.46265144501</v>
      </c>
      <c r="R10" s="20">
        <f>'GS &lt; 50 OLS model'!$B$8*F10</f>
        <v>207370.01430209854</v>
      </c>
      <c r="S10" s="20">
        <f>'GS &lt; 50 OLS model'!$B$9*G10</f>
        <v>2711671.6522761467</v>
      </c>
      <c r="T10" s="20">
        <f>'GS &lt; 50 OLS model'!$B$10*H10</f>
        <v>-43404.2466958476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249265.131543444</v>
      </c>
      <c r="Z10" s="20">
        <f t="shared" si="4"/>
        <v>4009334.4822051036</v>
      </c>
      <c r="AA10" s="23">
        <f t="shared" ca="1" si="3"/>
        <v>3.0300602666113265E-2</v>
      </c>
    </row>
    <row r="11" spans="1:27" x14ac:dyDescent="0.3">
      <c r="A11" s="22">
        <f>'Monthly Data'!A11</f>
        <v>39356</v>
      </c>
      <c r="B11" s="56">
        <f t="shared" si="2"/>
        <v>2007</v>
      </c>
      <c r="C11" s="20">
        <f ca="1">'Monthly Data'!H11</f>
        <v>4074204.6888953727</v>
      </c>
      <c r="D11" s="86">
        <f>'Monthly Data'!AC11</f>
        <v>1888</v>
      </c>
      <c r="E11" s="56">
        <f>'Monthly Data'!AK11</f>
        <v>149.9</v>
      </c>
      <c r="F11" s="56">
        <f>'Monthly Data'!AL11</f>
        <v>21.5</v>
      </c>
      <c r="G11" s="88">
        <f>'Monthly Data'!AQ11</f>
        <v>259.2</v>
      </c>
      <c r="H11" s="88">
        <f>'Monthly Data'!AT11</f>
        <v>10</v>
      </c>
      <c r="I11" s="88">
        <f>'Monthly Data'!AW11</f>
        <v>0</v>
      </c>
      <c r="J11" s="88">
        <f>'Monthly Data'!AZ11</f>
        <v>0</v>
      </c>
      <c r="K11" s="88">
        <f>'Monthly Data'!BA11</f>
        <v>0</v>
      </c>
      <c r="L11" s="88">
        <f>'Monthly Data'!BB11</f>
        <v>0</v>
      </c>
      <c r="M11" s="88">
        <f>'Monthly Data'!BC11</f>
        <v>0</v>
      </c>
      <c r="O11" s="20">
        <f>'GS &lt; 50 OLS model'!$B$5</f>
        <v>-11631489.5525492</v>
      </c>
      <c r="P11" s="20">
        <f>'GS &lt; 50 OLS model'!$B$6*D11</f>
        <v>12368529.636720363</v>
      </c>
      <c r="Q11" s="20">
        <f>'GS &lt; 50 OLS model'!$B$7*E11</f>
        <v>313901.56641723943</v>
      </c>
      <c r="R11" s="20">
        <f>'GS &lt; 50 OLS model'!$B$8*F11</f>
        <v>127384.43735700339</v>
      </c>
      <c r="S11" s="20">
        <f>'GS &lt; 50 OLS model'!$B$9*G11</f>
        <v>2701250.1624518726</v>
      </c>
      <c r="T11" s="20">
        <f>'GS &lt; 50 OLS model'!$B$10*H11</f>
        <v>-48226.940773163995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si="4"/>
        <v>3831349.3096241141</v>
      </c>
      <c r="AA11" s="23">
        <f t="shared" ca="1" si="3"/>
        <v>5.9608045696178134E-2</v>
      </c>
    </row>
    <row r="12" spans="1:27" x14ac:dyDescent="0.3">
      <c r="A12" s="22">
        <f>'Monthly Data'!A12</f>
        <v>39387</v>
      </c>
      <c r="B12" s="56">
        <f t="shared" si="2"/>
        <v>2007</v>
      </c>
      <c r="C12" s="20">
        <f ca="1">'Monthly Data'!H12</f>
        <v>4098618.8288953728</v>
      </c>
      <c r="D12" s="86">
        <f>'Monthly Data'!AC12</f>
        <v>1887</v>
      </c>
      <c r="E12" s="56">
        <f>'Monthly Data'!AK12</f>
        <v>468.7</v>
      </c>
      <c r="F12" s="56">
        <f>'Monthly Data'!AL12</f>
        <v>0</v>
      </c>
      <c r="G12" s="88">
        <f>'Monthly Data'!AQ12</f>
        <v>255.7</v>
      </c>
      <c r="H12" s="88">
        <f>'Monthly Data'!AT12</f>
        <v>11</v>
      </c>
      <c r="I12" s="88">
        <f>'Monthly Data'!AW12</f>
        <v>0</v>
      </c>
      <c r="J12" s="88">
        <f>'Monthly Data'!AZ12</f>
        <v>0</v>
      </c>
      <c r="K12" s="88">
        <f>'Monthly Data'!BA12</f>
        <v>0</v>
      </c>
      <c r="L12" s="88">
        <f>'Monthly Data'!BB12</f>
        <v>0</v>
      </c>
      <c r="M12" s="88">
        <f>'Monthly Data'!BC12</f>
        <v>0</v>
      </c>
      <c r="O12" s="20">
        <f>'GS &lt; 50 OLS model'!$B$5</f>
        <v>-11631489.5525492</v>
      </c>
      <c r="P12" s="20">
        <f>'GS &lt; 50 OLS model'!$B$6*D12</f>
        <v>12361978.508734813</v>
      </c>
      <c r="Q12" s="20">
        <f>'GS &lt; 50 OLS model'!$B$7*E12</f>
        <v>981492.08925790607</v>
      </c>
      <c r="R12" s="20">
        <f>'GS &lt; 50 OLS model'!$B$8*F12</f>
        <v>0</v>
      </c>
      <c r="S12" s="20">
        <f>'GS &lt; 50 OLS model'!$B$9*G12</f>
        <v>2664774.9480669131</v>
      </c>
      <c r="T12" s="20">
        <f>'GS &lt; 50 OLS model'!$B$10*H12</f>
        <v>-53049.634850480397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si="4"/>
        <v>4323706.3586599519</v>
      </c>
      <c r="AA12" s="23">
        <f t="shared" ca="1" si="3"/>
        <v>5.4917897750751059E-2</v>
      </c>
    </row>
    <row r="13" spans="1:27" x14ac:dyDescent="0.3">
      <c r="A13" s="22">
        <f>'Monthly Data'!A13</f>
        <v>39417</v>
      </c>
      <c r="B13" s="56">
        <f t="shared" si="2"/>
        <v>2007</v>
      </c>
      <c r="C13" s="20">
        <f ca="1">'Monthly Data'!H13</f>
        <v>4775518.7488953732</v>
      </c>
      <c r="D13" s="86">
        <f>'Monthly Data'!AC13</f>
        <v>1889</v>
      </c>
      <c r="E13" s="56">
        <f>'Monthly Data'!AK13</f>
        <v>657</v>
      </c>
      <c r="F13" s="56">
        <f>'Monthly Data'!AL13</f>
        <v>0</v>
      </c>
      <c r="G13" s="88">
        <f>'Monthly Data'!AQ13</f>
        <v>251.7</v>
      </c>
      <c r="H13" s="88">
        <f>'Monthly Data'!AT13</f>
        <v>12</v>
      </c>
      <c r="I13" s="88">
        <f>'Monthly Data'!AW13</f>
        <v>0</v>
      </c>
      <c r="J13" s="88">
        <f>'Monthly Data'!AZ13</f>
        <v>0</v>
      </c>
      <c r="K13" s="88">
        <f>'Monthly Data'!BA13</f>
        <v>0</v>
      </c>
      <c r="L13" s="88">
        <f>'Monthly Data'!BB13</f>
        <v>0</v>
      </c>
      <c r="M13" s="88">
        <f>'Monthly Data'!BC13</f>
        <v>0</v>
      </c>
      <c r="O13" s="20">
        <f>'GS &lt; 50 OLS model'!$B$5</f>
        <v>-11631489.5525492</v>
      </c>
      <c r="P13" s="20">
        <f>'GS &lt; 50 OLS model'!$B$6*D13</f>
        <v>12375080.764705915</v>
      </c>
      <c r="Q13" s="20">
        <f>'GS &lt; 50 OLS model'!$B$7*E13</f>
        <v>1375806.0649508093</v>
      </c>
      <c r="R13" s="20">
        <f>'GS &lt; 50 OLS model'!$B$8*F13</f>
        <v>0</v>
      </c>
      <c r="S13" s="20">
        <f>'GS &lt; 50 OLS model'!$B$9*G13</f>
        <v>2623088.9887698162</v>
      </c>
      <c r="T13" s="20">
        <f>'GS &lt; 50 OLS model'!$B$10*H13</f>
        <v>-57872.3289277968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si="4"/>
        <v>4684613.9369495437</v>
      </c>
      <c r="AA13" s="23">
        <f t="shared" ca="1" si="3"/>
        <v>1.9035588953944901E-2</v>
      </c>
    </row>
    <row r="14" spans="1:27" x14ac:dyDescent="0.3">
      <c r="A14" s="22">
        <f>'Monthly Data'!A14</f>
        <v>39448</v>
      </c>
      <c r="B14" s="56">
        <f t="shared" si="2"/>
        <v>2008</v>
      </c>
      <c r="C14" s="20">
        <f ca="1">'Monthly Data'!H14</f>
        <v>4386861.076303375</v>
      </c>
      <c r="D14" s="86">
        <f>'Monthly Data'!AC14</f>
        <v>1891</v>
      </c>
      <c r="E14" s="56">
        <f>'Monthly Data'!AK14</f>
        <v>639</v>
      </c>
      <c r="F14" s="56">
        <f>'Monthly Data'!AL14</f>
        <v>0</v>
      </c>
      <c r="G14" s="88">
        <f>'Monthly Data'!AQ14</f>
        <v>247</v>
      </c>
      <c r="H14" s="88">
        <f>'Monthly Data'!AT14</f>
        <v>13</v>
      </c>
      <c r="I14" s="88">
        <f>'Monthly Data'!AW14</f>
        <v>0</v>
      </c>
      <c r="J14" s="88">
        <f>'Monthly Data'!AZ14</f>
        <v>0</v>
      </c>
      <c r="K14" s="88">
        <f>'Monthly Data'!BA14</f>
        <v>0</v>
      </c>
      <c r="L14" s="88">
        <f>'Monthly Data'!BB14</f>
        <v>0</v>
      </c>
      <c r="M14" s="88">
        <f>'Monthly Data'!BC14</f>
        <v>0</v>
      </c>
      <c r="O14" s="20">
        <f>'GS &lt; 50 OLS model'!$B$5</f>
        <v>-11631489.5525492</v>
      </c>
      <c r="P14" s="20">
        <f>'GS &lt; 50 OLS model'!$B$6*D14</f>
        <v>12388183.020677017</v>
      </c>
      <c r="Q14" s="20">
        <f>'GS &lt; 50 OLS model'!$B$7*E14</f>
        <v>1338112.7481028419</v>
      </c>
      <c r="R14" s="20">
        <f>'GS &lt; 50 OLS model'!$B$8*F14</f>
        <v>0</v>
      </c>
      <c r="S14" s="20">
        <f>'GS &lt; 50 OLS model'!$B$9*G14</f>
        <v>2574107.9865957275</v>
      </c>
      <c r="T14" s="20">
        <f>'GS &lt; 50 OLS model'!$B$10*H14</f>
        <v>-62695.023005113195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si="4"/>
        <v>4606219.1798212733</v>
      </c>
      <c r="AA14" s="23">
        <f t="shared" ca="1" si="3"/>
        <v>5.0003430631257256E-2</v>
      </c>
    </row>
    <row r="15" spans="1:27" x14ac:dyDescent="0.3">
      <c r="A15" s="22">
        <f>'Monthly Data'!A15</f>
        <v>39479</v>
      </c>
      <c r="B15" s="56">
        <f t="shared" si="2"/>
        <v>2008</v>
      </c>
      <c r="C15" s="20">
        <f ca="1">'Monthly Data'!H15</f>
        <v>4617150.8063033754</v>
      </c>
      <c r="D15" s="86">
        <f>'Monthly Data'!AC15</f>
        <v>1891</v>
      </c>
      <c r="E15" s="56">
        <f>'Monthly Data'!AK15</f>
        <v>692.5</v>
      </c>
      <c r="F15" s="56">
        <f>'Monthly Data'!AL15</f>
        <v>0</v>
      </c>
      <c r="G15" s="88">
        <f>'Monthly Data'!AQ15</f>
        <v>245.3</v>
      </c>
      <c r="H15" s="88">
        <f>'Monthly Data'!AT15</f>
        <v>14</v>
      </c>
      <c r="I15" s="88">
        <f>'Monthly Data'!AW15</f>
        <v>0</v>
      </c>
      <c r="J15" s="88">
        <f>'Monthly Data'!AZ15</f>
        <v>0</v>
      </c>
      <c r="K15" s="88">
        <f>'Monthly Data'!BA15</f>
        <v>0</v>
      </c>
      <c r="L15" s="88">
        <f>'Monthly Data'!BB15</f>
        <v>0</v>
      </c>
      <c r="M15" s="88">
        <f>'Monthly Data'!BC15</f>
        <v>0</v>
      </c>
      <c r="O15" s="20">
        <f>'GS &lt; 50 OLS model'!$B$5</f>
        <v>-11631489.5525492</v>
      </c>
      <c r="P15" s="20">
        <f>'GS &lt; 50 OLS model'!$B$6*D15</f>
        <v>12388183.020677017</v>
      </c>
      <c r="Q15" s="20">
        <f>'GS &lt; 50 OLS model'!$B$7*E15</f>
        <v>1450145.6620676338</v>
      </c>
      <c r="R15" s="20">
        <f>'GS &lt; 50 OLS model'!$B$8*F15</f>
        <v>0</v>
      </c>
      <c r="S15" s="20">
        <f>'GS &lt; 50 OLS model'!$B$9*G15</f>
        <v>2556391.4538944615</v>
      </c>
      <c r="T15" s="20">
        <f>'GS &lt; 50 OLS model'!$B$10*H15</f>
        <v>-67517.71708242959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si="4"/>
        <v>4695712.8670074828</v>
      </c>
      <c r="AA15" s="23">
        <f t="shared" ca="1" si="3"/>
        <v>1.7015268506468052E-2</v>
      </c>
    </row>
    <row r="16" spans="1:27" x14ac:dyDescent="0.3">
      <c r="A16" s="22">
        <f>'Monthly Data'!A16</f>
        <v>39508</v>
      </c>
      <c r="B16" s="56">
        <f t="shared" si="2"/>
        <v>2008</v>
      </c>
      <c r="C16" s="20">
        <f ca="1">'Monthly Data'!H16</f>
        <v>4413735.7663033754</v>
      </c>
      <c r="D16" s="86">
        <f>'Monthly Data'!AC16</f>
        <v>1892</v>
      </c>
      <c r="E16" s="56">
        <f>'Monthly Data'!AK16</f>
        <v>627.29999999999995</v>
      </c>
      <c r="F16" s="56">
        <f>'Monthly Data'!AL16</f>
        <v>0</v>
      </c>
      <c r="G16" s="88">
        <f>'Monthly Data'!AQ16</f>
        <v>244.3</v>
      </c>
      <c r="H16" s="88">
        <f>'Monthly Data'!AT16</f>
        <v>15</v>
      </c>
      <c r="I16" s="88">
        <f>'Monthly Data'!AW16</f>
        <v>1</v>
      </c>
      <c r="J16" s="88">
        <f>'Monthly Data'!AZ16</f>
        <v>0</v>
      </c>
      <c r="K16" s="88">
        <f>'Monthly Data'!BA16</f>
        <v>0</v>
      </c>
      <c r="L16" s="88">
        <f>'Monthly Data'!BB16</f>
        <v>0</v>
      </c>
      <c r="M16" s="88">
        <f>'Monthly Data'!BC16</f>
        <v>0</v>
      </c>
      <c r="O16" s="20">
        <f>'GS &lt; 50 OLS model'!$B$5</f>
        <v>-11631489.5525492</v>
      </c>
      <c r="P16" s="20">
        <f>'GS &lt; 50 OLS model'!$B$6*D16</f>
        <v>12394734.148662567</v>
      </c>
      <c r="Q16" s="20">
        <f>'GS &lt; 50 OLS model'!$B$7*E16</f>
        <v>1313612.092151663</v>
      </c>
      <c r="R16" s="20">
        <f>'GS &lt; 50 OLS model'!$B$8*F16</f>
        <v>0</v>
      </c>
      <c r="S16" s="20">
        <f>'GS &lt; 50 OLS model'!$B$9*G16</f>
        <v>2545969.9640701874</v>
      </c>
      <c r="T16" s="20">
        <f>'GS &lt; 50 OLS model'!$B$10*H16</f>
        <v>-72340.411159746</v>
      </c>
      <c r="U16" s="20">
        <f>'GS &lt; 50 OLS model'!$B$11*I16</f>
        <v>-156104.06645044801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si="4"/>
        <v>4394382.1747250231</v>
      </c>
      <c r="AA16" s="23">
        <f t="shared" ca="1" si="3"/>
        <v>4.3848550531971307E-3</v>
      </c>
    </row>
    <row r="17" spans="1:27" x14ac:dyDescent="0.3">
      <c r="A17" s="22">
        <f>'Monthly Data'!A17</f>
        <v>39539</v>
      </c>
      <c r="B17" s="56">
        <f t="shared" si="2"/>
        <v>2008</v>
      </c>
      <c r="C17" s="20">
        <f ca="1">'Monthly Data'!H17</f>
        <v>3748649.5063033756</v>
      </c>
      <c r="D17" s="86">
        <f>'Monthly Data'!AC17</f>
        <v>1889</v>
      </c>
      <c r="E17" s="56">
        <f>'Monthly Data'!AK17</f>
        <v>265</v>
      </c>
      <c r="F17" s="56">
        <f>'Monthly Data'!AL17</f>
        <v>0</v>
      </c>
      <c r="G17" s="88">
        <f>'Monthly Data'!AQ17</f>
        <v>244.1</v>
      </c>
      <c r="H17" s="88">
        <f>'Monthly Data'!AT17</f>
        <v>16</v>
      </c>
      <c r="I17" s="88">
        <f>'Monthly Data'!AW17</f>
        <v>0</v>
      </c>
      <c r="J17" s="88">
        <f>'Monthly Data'!AZ17</f>
        <v>0</v>
      </c>
      <c r="K17" s="88">
        <f>'Monthly Data'!BA17</f>
        <v>0</v>
      </c>
      <c r="L17" s="88">
        <f>'Monthly Data'!BB17</f>
        <v>0</v>
      </c>
      <c r="M17" s="88">
        <f>'Monthly Data'!BC17</f>
        <v>0</v>
      </c>
      <c r="O17" s="20">
        <f>'GS &lt; 50 OLS model'!$B$5</f>
        <v>-11631489.5525492</v>
      </c>
      <c r="P17" s="20">
        <f>'GS &lt; 50 OLS model'!$B$6*D17</f>
        <v>12375080.764705915</v>
      </c>
      <c r="Q17" s="20">
        <f>'GS &lt; 50 OLS model'!$B$7*E17</f>
        <v>554929.38692840864</v>
      </c>
      <c r="R17" s="20">
        <f>'GS &lt; 50 OLS model'!$B$8*F17</f>
        <v>0</v>
      </c>
      <c r="S17" s="20">
        <f>'GS &lt; 50 OLS model'!$B$9*G17</f>
        <v>2543885.6661053323</v>
      </c>
      <c r="T17" s="20">
        <f>'GS &lt; 50 OLS model'!$B$10*H17</f>
        <v>-77163.105237062395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si="4"/>
        <v>3765243.1599533935</v>
      </c>
      <c r="AA17" s="23">
        <f t="shared" ca="1" si="3"/>
        <v>4.4265684540834233E-3</v>
      </c>
    </row>
    <row r="18" spans="1:27" x14ac:dyDescent="0.3">
      <c r="A18" s="22">
        <f>'Monthly Data'!A18</f>
        <v>39569</v>
      </c>
      <c r="B18" s="56">
        <f t="shared" si="2"/>
        <v>2008</v>
      </c>
      <c r="C18" s="20">
        <f ca="1">'Monthly Data'!H18</f>
        <v>3704971.2463033753</v>
      </c>
      <c r="D18" s="86">
        <f>'Monthly Data'!AC18</f>
        <v>1890</v>
      </c>
      <c r="E18" s="56">
        <f>'Monthly Data'!AK18</f>
        <v>208.8</v>
      </c>
      <c r="F18" s="56">
        <f>'Monthly Data'!AL18</f>
        <v>2.1</v>
      </c>
      <c r="G18" s="88">
        <f>'Monthly Data'!AQ18</f>
        <v>245.1</v>
      </c>
      <c r="H18" s="88">
        <f>'Monthly Data'!AT18</f>
        <v>17</v>
      </c>
      <c r="I18" s="88">
        <f>'Monthly Data'!AW18</f>
        <v>0</v>
      </c>
      <c r="J18" s="88">
        <f>'Monthly Data'!AZ18</f>
        <v>0</v>
      </c>
      <c r="K18" s="88">
        <f>'Monthly Data'!BA18</f>
        <v>0</v>
      </c>
      <c r="L18" s="88">
        <f>'Monthly Data'!BB18</f>
        <v>0</v>
      </c>
      <c r="M18" s="88">
        <f>'Monthly Data'!BC18</f>
        <v>0</v>
      </c>
      <c r="O18" s="20">
        <f>'GS &lt; 50 OLS model'!$B$5</f>
        <v>-11631489.5525492</v>
      </c>
      <c r="P18" s="20">
        <f>'GS &lt; 50 OLS model'!$B$6*D18</f>
        <v>12381631.892691465</v>
      </c>
      <c r="Q18" s="20">
        <f>'GS &lt; 50 OLS model'!$B$7*E18</f>
        <v>437242.47543642158</v>
      </c>
      <c r="R18" s="20">
        <f>'GS &lt; 50 OLS model'!$B$8*F18</f>
        <v>12442.200858125912</v>
      </c>
      <c r="S18" s="20">
        <f>'GS &lt; 50 OLS model'!$B$9*G18</f>
        <v>2554307.1559296064</v>
      </c>
      <c r="T18" s="20">
        <f>'GS &lt; 50 OLS model'!$B$10*H18</f>
        <v>-81985.79931437879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si="4"/>
        <v>3672148.3730520401</v>
      </c>
      <c r="AA18" s="23">
        <f t="shared" ca="1" si="3"/>
        <v>8.8591438554574912E-3</v>
      </c>
    </row>
    <row r="19" spans="1:27" x14ac:dyDescent="0.3">
      <c r="A19" s="22">
        <f>'Monthly Data'!A19</f>
        <v>39600</v>
      </c>
      <c r="B19" s="56">
        <f t="shared" si="2"/>
        <v>2008</v>
      </c>
      <c r="C19" s="20">
        <f ca="1">'Monthly Data'!H19</f>
        <v>3809792.8063033754</v>
      </c>
      <c r="D19" s="86">
        <f>'Monthly Data'!AC19</f>
        <v>1892</v>
      </c>
      <c r="E19" s="56">
        <f>'Monthly Data'!AK19</f>
        <v>24.1</v>
      </c>
      <c r="F19" s="56">
        <f>'Monthly Data'!AL19</f>
        <v>66.400000000000006</v>
      </c>
      <c r="G19" s="88">
        <f>'Monthly Data'!AQ19</f>
        <v>248</v>
      </c>
      <c r="H19" s="88">
        <f>'Monthly Data'!AT19</f>
        <v>18</v>
      </c>
      <c r="I19" s="88">
        <f>'Monthly Data'!AW19</f>
        <v>0</v>
      </c>
      <c r="J19" s="88">
        <f>'Monthly Data'!AZ19</f>
        <v>1</v>
      </c>
      <c r="K19" s="88">
        <f>'Monthly Data'!BA19</f>
        <v>0</v>
      </c>
      <c r="L19" s="88">
        <f>'Monthly Data'!BB19</f>
        <v>0</v>
      </c>
      <c r="M19" s="88">
        <f>'Monthly Data'!BC19</f>
        <v>0</v>
      </c>
      <c r="O19" s="20">
        <f>'GS &lt; 50 OLS model'!$B$5</f>
        <v>-11631489.5525492</v>
      </c>
      <c r="P19" s="20">
        <f>'GS &lt; 50 OLS model'!$B$6*D19</f>
        <v>12394734.148662567</v>
      </c>
      <c r="Q19" s="20">
        <f>'GS &lt; 50 OLS model'!$B$7*E19</f>
        <v>50467.163113111877</v>
      </c>
      <c r="R19" s="20">
        <f>'GS &lt; 50 OLS model'!$B$8*F19</f>
        <v>393410.54141883843</v>
      </c>
      <c r="S19" s="20">
        <f>'GS &lt; 50 OLS model'!$B$9*G19</f>
        <v>2584529.4764200016</v>
      </c>
      <c r="T19" s="20">
        <f>'GS &lt; 50 OLS model'!$B$10*H19</f>
        <v>-86808.4933916952</v>
      </c>
      <c r="U19" s="20">
        <f>'GS &lt; 50 OLS model'!$B$11*I19</f>
        <v>0</v>
      </c>
      <c r="V19" s="20">
        <f>'GS &lt; 50 OLS model'!$B$12*J19</f>
        <v>359272.711714848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si="4"/>
        <v>4064115.9953884715</v>
      </c>
      <c r="AA19" s="23">
        <f t="shared" ca="1" si="3"/>
        <v>6.6755123445115833E-2</v>
      </c>
    </row>
    <row r="20" spans="1:27" x14ac:dyDescent="0.3">
      <c r="A20" s="22">
        <f>'Monthly Data'!A20</f>
        <v>39630</v>
      </c>
      <c r="B20" s="56">
        <f t="shared" si="2"/>
        <v>2008</v>
      </c>
      <c r="C20" s="20">
        <f ca="1">'Monthly Data'!H20</f>
        <v>4272219.4863033751</v>
      </c>
      <c r="D20" s="86">
        <f>'Monthly Data'!AC20</f>
        <v>1892</v>
      </c>
      <c r="E20" s="56">
        <f>'Monthly Data'!AK20</f>
        <v>4</v>
      </c>
      <c r="F20" s="56">
        <f>'Monthly Data'!AL20</f>
        <v>97</v>
      </c>
      <c r="G20" s="88">
        <f>'Monthly Data'!AQ20</f>
        <v>251.1</v>
      </c>
      <c r="H20" s="88">
        <f>'Monthly Data'!AT20</f>
        <v>19</v>
      </c>
      <c r="I20" s="88">
        <f>'Monthly Data'!AW20</f>
        <v>0</v>
      </c>
      <c r="J20" s="88">
        <f>'Monthly Data'!AZ20</f>
        <v>0</v>
      </c>
      <c r="K20" s="88">
        <f>'Monthly Data'!BA20</f>
        <v>1</v>
      </c>
      <c r="L20" s="88">
        <f>'Monthly Data'!BB20</f>
        <v>0</v>
      </c>
      <c r="M20" s="88">
        <f>'Monthly Data'!BC20</f>
        <v>0</v>
      </c>
      <c r="O20" s="20">
        <f>'GS &lt; 50 OLS model'!$B$5</f>
        <v>-11631489.5525492</v>
      </c>
      <c r="P20" s="20">
        <f>'GS &lt; 50 OLS model'!$B$6*D20</f>
        <v>12394734.148662567</v>
      </c>
      <c r="Q20" s="20">
        <f>'GS &lt; 50 OLS model'!$B$7*E20</f>
        <v>8376.2926328816393</v>
      </c>
      <c r="R20" s="20">
        <f>'GS &lt; 50 OLS model'!$B$8*F20</f>
        <v>574711.18249438738</v>
      </c>
      <c r="S20" s="20">
        <f>'GS &lt; 50 OLS model'!$B$9*G20</f>
        <v>2616836.0948752514</v>
      </c>
      <c r="T20" s="20">
        <f>'GS &lt; 50 OLS model'!$B$10*H20</f>
        <v>-91631.187469011595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411098.30587285903</v>
      </c>
      <c r="X20" s="20">
        <f>'GS &lt; 50 OLS model'!$B$14*L20</f>
        <v>0</v>
      </c>
      <c r="Y20" s="20">
        <f>'GS &lt; 50 OLS model'!$B$15*M20</f>
        <v>0</v>
      </c>
      <c r="Z20" s="20">
        <f t="shared" si="4"/>
        <v>4282635.2845197348</v>
      </c>
      <c r="AA20" s="23">
        <f t="shared" ca="1" si="3"/>
        <v>2.4380297523927479E-3</v>
      </c>
    </row>
    <row r="21" spans="1:27" x14ac:dyDescent="0.3">
      <c r="A21" s="22">
        <f>'Monthly Data'!A21</f>
        <v>39661</v>
      </c>
      <c r="B21" s="56">
        <f t="shared" si="2"/>
        <v>2008</v>
      </c>
      <c r="C21" s="20">
        <f ca="1">'Monthly Data'!H21</f>
        <v>4005871.1463033753</v>
      </c>
      <c r="D21" s="86">
        <f>'Monthly Data'!AC21</f>
        <v>1892</v>
      </c>
      <c r="E21" s="56">
        <f>'Monthly Data'!AK21</f>
        <v>12.4</v>
      </c>
      <c r="F21" s="56">
        <f>'Monthly Data'!AL21</f>
        <v>53.2</v>
      </c>
      <c r="G21" s="88">
        <f>'Monthly Data'!AQ21</f>
        <v>253.3</v>
      </c>
      <c r="H21" s="88">
        <f>'Monthly Data'!AT21</f>
        <v>20</v>
      </c>
      <c r="I21" s="88">
        <f>'Monthly Data'!AW21</f>
        <v>0</v>
      </c>
      <c r="J21" s="88">
        <f>'Monthly Data'!AZ21</f>
        <v>0</v>
      </c>
      <c r="K21" s="88">
        <f>'Monthly Data'!BA21</f>
        <v>0</v>
      </c>
      <c r="L21" s="88">
        <f>'Monthly Data'!BB21</f>
        <v>1</v>
      </c>
      <c r="M21" s="88">
        <f>'Monthly Data'!BC21</f>
        <v>0</v>
      </c>
      <c r="O21" s="20">
        <f>'GS &lt; 50 OLS model'!$B$5</f>
        <v>-11631489.5525492</v>
      </c>
      <c r="P21" s="20">
        <f>'GS &lt; 50 OLS model'!$B$6*D21</f>
        <v>12394734.148662567</v>
      </c>
      <c r="Q21" s="20">
        <f>'GS &lt; 50 OLS model'!$B$7*E21</f>
        <v>25966.507161933081</v>
      </c>
      <c r="R21" s="20">
        <f>'GS &lt; 50 OLS model'!$B$8*F21</f>
        <v>315202.42173918977</v>
      </c>
      <c r="S21" s="20">
        <f>'GS &lt; 50 OLS model'!$B$9*G21</f>
        <v>2639763.3724886551</v>
      </c>
      <c r="T21" s="20">
        <f>'GS &lt; 50 OLS model'!$B$10*H21</f>
        <v>-96453.88154632799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494220.92313005403</v>
      </c>
      <c r="Y21" s="20">
        <f>'GS &lt; 50 OLS model'!$B$15*M21</f>
        <v>0</v>
      </c>
      <c r="Z21" s="20">
        <f t="shared" si="4"/>
        <v>4141943.9390868712</v>
      </c>
      <c r="AA21" s="23">
        <f t="shared" ca="1" si="3"/>
        <v>3.3968339922532002E-2</v>
      </c>
    </row>
    <row r="22" spans="1:27" x14ac:dyDescent="0.3">
      <c r="A22" s="22">
        <f>'Monthly Data'!A22</f>
        <v>39692</v>
      </c>
      <c r="B22" s="56">
        <f t="shared" si="2"/>
        <v>2008</v>
      </c>
      <c r="C22" s="20">
        <f ca="1">'Monthly Data'!H22</f>
        <v>3874520.8063033754</v>
      </c>
      <c r="D22" s="86">
        <f>'Monthly Data'!AC22</f>
        <v>1892</v>
      </c>
      <c r="E22" s="56">
        <f>'Monthly Data'!AK22</f>
        <v>56.7</v>
      </c>
      <c r="F22" s="56">
        <f>'Monthly Data'!AL22</f>
        <v>21.4</v>
      </c>
      <c r="G22" s="88">
        <f>'Monthly Data'!AQ22</f>
        <v>252.7</v>
      </c>
      <c r="H22" s="88">
        <f>'Monthly Data'!AT22</f>
        <v>21</v>
      </c>
      <c r="I22" s="88">
        <f>'Monthly Data'!AW22</f>
        <v>0</v>
      </c>
      <c r="J22" s="88">
        <f>'Monthly Data'!AZ22</f>
        <v>0</v>
      </c>
      <c r="K22" s="88">
        <f>'Monthly Data'!BA22</f>
        <v>0</v>
      </c>
      <c r="L22" s="88">
        <f>'Monthly Data'!BB22</f>
        <v>0</v>
      </c>
      <c r="M22" s="88">
        <f>'Monthly Data'!BC22</f>
        <v>1</v>
      </c>
      <c r="O22" s="20">
        <f>'GS &lt; 50 OLS model'!$B$5</f>
        <v>-11631489.5525492</v>
      </c>
      <c r="P22" s="20">
        <f>'GS &lt; 50 OLS model'!$B$6*D22</f>
        <v>12394734.148662567</v>
      </c>
      <c r="Q22" s="20">
        <f>'GS &lt; 50 OLS model'!$B$7*E22</f>
        <v>118733.94807109724</v>
      </c>
      <c r="R22" s="20">
        <f>'GS &lt; 50 OLS model'!$B$8*F22</f>
        <v>126791.95160185453</v>
      </c>
      <c r="S22" s="20">
        <f>'GS &lt; 50 OLS model'!$B$9*G22</f>
        <v>2633510.4785940903</v>
      </c>
      <c r="T22" s="20">
        <f>'GS &lt; 50 OLS model'!$B$10*H22</f>
        <v>-101276.5756236444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249265.131543444</v>
      </c>
      <c r="Z22" s="20">
        <f t="shared" si="4"/>
        <v>3790269.5303002088</v>
      </c>
      <c r="AA22" s="23">
        <f t="shared" ca="1" si="3"/>
        <v>2.1744953818830952E-2</v>
      </c>
    </row>
    <row r="23" spans="1:27" x14ac:dyDescent="0.3">
      <c r="A23" s="22">
        <f>'Monthly Data'!A23</f>
        <v>39722</v>
      </c>
      <c r="B23" s="56">
        <f t="shared" si="2"/>
        <v>2008</v>
      </c>
      <c r="C23" s="20">
        <f ca="1">'Monthly Data'!H23</f>
        <v>3746732.2963033756</v>
      </c>
      <c r="D23" s="86">
        <f>'Monthly Data'!AC23</f>
        <v>1894</v>
      </c>
      <c r="E23" s="56">
        <f>'Monthly Data'!AK23</f>
        <v>286.8</v>
      </c>
      <c r="F23" s="56">
        <f>'Monthly Data'!AL23</f>
        <v>0</v>
      </c>
      <c r="G23" s="88">
        <f>'Monthly Data'!AQ23</f>
        <v>252.3</v>
      </c>
      <c r="H23" s="88">
        <f>'Monthly Data'!AT23</f>
        <v>22</v>
      </c>
      <c r="I23" s="88">
        <f>'Monthly Data'!AW23</f>
        <v>0</v>
      </c>
      <c r="J23" s="88">
        <f>'Monthly Data'!AZ23</f>
        <v>0</v>
      </c>
      <c r="K23" s="88">
        <f>'Monthly Data'!BA23</f>
        <v>0</v>
      </c>
      <c r="L23" s="88">
        <f>'Monthly Data'!BB23</f>
        <v>0</v>
      </c>
      <c r="M23" s="88">
        <f>'Monthly Data'!BC23</f>
        <v>0</v>
      </c>
      <c r="O23" s="20">
        <f>'GS &lt; 50 OLS model'!$B$5</f>
        <v>-11631489.5525492</v>
      </c>
      <c r="P23" s="20">
        <f>'GS &lt; 50 OLS model'!$B$6*D23</f>
        <v>12407836.404633669</v>
      </c>
      <c r="Q23" s="20">
        <f>'GS &lt; 50 OLS model'!$B$7*E23</f>
        <v>600580.18177761359</v>
      </c>
      <c r="R23" s="20">
        <f>'GS &lt; 50 OLS model'!$B$8*F23</f>
        <v>0</v>
      </c>
      <c r="S23" s="20">
        <f>'GS &lt; 50 OLS model'!$B$9*G23</f>
        <v>2629341.8826643806</v>
      </c>
      <c r="T23" s="20">
        <f>'GS &lt; 50 OLS model'!$B$10*H23</f>
        <v>-106099.26970096079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si="4"/>
        <v>3900169.6468255026</v>
      </c>
      <c r="AA23" s="23">
        <f t="shared" ca="1" si="3"/>
        <v>4.0952312145042316E-2</v>
      </c>
    </row>
    <row r="24" spans="1:27" x14ac:dyDescent="0.3">
      <c r="A24" s="22">
        <f>'Monthly Data'!A24</f>
        <v>39753</v>
      </c>
      <c r="B24" s="56">
        <f t="shared" si="2"/>
        <v>2008</v>
      </c>
      <c r="C24" s="20">
        <f ca="1">'Monthly Data'!H24</f>
        <v>3849751.9163033753</v>
      </c>
      <c r="D24" s="86">
        <f>'Monthly Data'!AC24</f>
        <v>1892</v>
      </c>
      <c r="E24" s="56">
        <f>'Monthly Data'!AK24</f>
        <v>468.3</v>
      </c>
      <c r="F24" s="56">
        <f>'Monthly Data'!AL24</f>
        <v>0</v>
      </c>
      <c r="G24" s="88">
        <f>'Monthly Data'!AQ24</f>
        <v>250.5</v>
      </c>
      <c r="H24" s="88">
        <f>'Monthly Data'!AT24</f>
        <v>23</v>
      </c>
      <c r="I24" s="88">
        <f>'Monthly Data'!AW24</f>
        <v>0</v>
      </c>
      <c r="J24" s="88">
        <f>'Monthly Data'!AZ24</f>
        <v>0</v>
      </c>
      <c r="K24" s="88">
        <f>'Monthly Data'!BA24</f>
        <v>0</v>
      </c>
      <c r="L24" s="88">
        <f>'Monthly Data'!BB24</f>
        <v>0</v>
      </c>
      <c r="M24" s="88">
        <f>'Monthly Data'!BC24</f>
        <v>0</v>
      </c>
      <c r="O24" s="20">
        <f>'GS &lt; 50 OLS model'!$B$5</f>
        <v>-11631489.5525492</v>
      </c>
      <c r="P24" s="20">
        <f>'GS &lt; 50 OLS model'!$B$6*D24</f>
        <v>12394734.148662567</v>
      </c>
      <c r="Q24" s="20">
        <f>'GS &lt; 50 OLS model'!$B$7*E24</f>
        <v>980654.45999461797</v>
      </c>
      <c r="R24" s="20">
        <f>'GS &lt; 50 OLS model'!$B$8*F24</f>
        <v>0</v>
      </c>
      <c r="S24" s="20">
        <f>'GS &lt; 50 OLS model'!$B$9*G24</f>
        <v>2610583.200980687</v>
      </c>
      <c r="T24" s="20">
        <f>'GS &lt; 50 OLS model'!$B$10*H24</f>
        <v>-110921.96377827719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si="4"/>
        <v>4243560.2933103954</v>
      </c>
      <c r="AA24" s="23">
        <f t="shared" ca="1" si="3"/>
        <v>0.10229448171433458</v>
      </c>
    </row>
    <row r="25" spans="1:27" x14ac:dyDescent="0.3">
      <c r="A25" s="22">
        <f>'Monthly Data'!A25</f>
        <v>39783</v>
      </c>
      <c r="B25" s="56">
        <f t="shared" si="2"/>
        <v>2008</v>
      </c>
      <c r="C25" s="20">
        <f ca="1">'Monthly Data'!H25</f>
        <v>4512959.3163033752</v>
      </c>
      <c r="D25" s="86">
        <f>'Monthly Data'!AC25</f>
        <v>1892</v>
      </c>
      <c r="E25" s="56">
        <f>'Monthly Data'!AK25</f>
        <v>671</v>
      </c>
      <c r="F25" s="56">
        <f>'Monthly Data'!AL25</f>
        <v>0</v>
      </c>
      <c r="G25" s="88">
        <f>'Monthly Data'!AQ25</f>
        <v>248.2</v>
      </c>
      <c r="H25" s="88">
        <f>'Monthly Data'!AT25</f>
        <v>24</v>
      </c>
      <c r="I25" s="88">
        <f>'Monthly Data'!AW25</f>
        <v>0</v>
      </c>
      <c r="J25" s="88">
        <f>'Monthly Data'!AZ25</f>
        <v>0</v>
      </c>
      <c r="K25" s="88">
        <f>'Monthly Data'!BA25</f>
        <v>0</v>
      </c>
      <c r="L25" s="88">
        <f>'Monthly Data'!BB25</f>
        <v>0</v>
      </c>
      <c r="M25" s="88">
        <f>'Monthly Data'!BC25</f>
        <v>0</v>
      </c>
      <c r="O25" s="20">
        <f>'GS &lt; 50 OLS model'!$B$5</f>
        <v>-11631489.5525492</v>
      </c>
      <c r="P25" s="20">
        <f>'GS &lt; 50 OLS model'!$B$6*D25</f>
        <v>12394734.148662567</v>
      </c>
      <c r="Q25" s="20">
        <f>'GS &lt; 50 OLS model'!$B$7*E25</f>
        <v>1405123.089165895</v>
      </c>
      <c r="R25" s="20">
        <f>'GS &lt; 50 OLS model'!$B$8*F25</f>
        <v>0</v>
      </c>
      <c r="S25" s="20">
        <f>'GS &lt; 50 OLS model'!$B$9*G25</f>
        <v>2586613.7743848562</v>
      </c>
      <c r="T25" s="20">
        <f>'GS &lt; 50 OLS model'!$B$10*H25</f>
        <v>-115744.6578555936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si="4"/>
        <v>4639236.8018085249</v>
      </c>
      <c r="AA25" s="23">
        <f t="shared" ca="1" si="3"/>
        <v>2.7981082180148095E-2</v>
      </c>
    </row>
    <row r="26" spans="1:27" x14ac:dyDescent="0.3">
      <c r="A26" s="22">
        <f>'Monthly Data'!A26</f>
        <v>39814</v>
      </c>
      <c r="B26" s="56">
        <f t="shared" si="2"/>
        <v>2009</v>
      </c>
      <c r="C26" s="20">
        <f ca="1">'Monthly Data'!H26</f>
        <v>5264694.9925258188</v>
      </c>
      <c r="D26" s="86">
        <f>'Monthly Data'!AC26</f>
        <v>1895</v>
      </c>
      <c r="E26" s="56">
        <f>'Monthly Data'!AK26</f>
        <v>849.6</v>
      </c>
      <c r="F26" s="56">
        <f>'Monthly Data'!AL26</f>
        <v>0</v>
      </c>
      <c r="G26" s="88">
        <f>'Monthly Data'!AQ26</f>
        <v>245.8</v>
      </c>
      <c r="H26" s="88">
        <f>'Monthly Data'!AT26</f>
        <v>25</v>
      </c>
      <c r="I26" s="88">
        <f>'Monthly Data'!AW26</f>
        <v>0</v>
      </c>
      <c r="J26" s="88">
        <f>'Monthly Data'!AZ26</f>
        <v>0</v>
      </c>
      <c r="K26" s="88">
        <f>'Monthly Data'!BA26</f>
        <v>0</v>
      </c>
      <c r="L26" s="88">
        <f>'Monthly Data'!BB26</f>
        <v>0</v>
      </c>
      <c r="M26" s="88">
        <f>'Monthly Data'!BC26</f>
        <v>0</v>
      </c>
      <c r="O26" s="20">
        <f>'GS &lt; 50 OLS model'!$B$5</f>
        <v>-11631489.5525492</v>
      </c>
      <c r="P26" s="20">
        <f>'GS &lt; 50 OLS model'!$B$6*D26</f>
        <v>12414387.532619221</v>
      </c>
      <c r="Q26" s="20">
        <f>'GS &lt; 50 OLS model'!$B$7*E26</f>
        <v>1779124.5552240603</v>
      </c>
      <c r="R26" s="20">
        <f>'GS &lt; 50 OLS model'!$B$8*F26</f>
        <v>0</v>
      </c>
      <c r="S26" s="20">
        <f>'GS &lt; 50 OLS model'!$B$9*G26</f>
        <v>2561602.1988065983</v>
      </c>
      <c r="T26" s="20">
        <f>'GS &lt; 50 OLS model'!$B$10*H26</f>
        <v>-120567.35193290999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si="4"/>
        <v>5003057.3821677687</v>
      </c>
      <c r="AA26" s="23">
        <f t="shared" ca="1" si="3"/>
        <v>4.9696632137187766E-2</v>
      </c>
    </row>
    <row r="27" spans="1:27" x14ac:dyDescent="0.3">
      <c r="A27" s="22">
        <f>'Monthly Data'!A27</f>
        <v>39845</v>
      </c>
      <c r="B27" s="56">
        <f t="shared" si="2"/>
        <v>2009</v>
      </c>
      <c r="C27" s="20">
        <f ca="1">'Monthly Data'!H27</f>
        <v>4426769.6925258189</v>
      </c>
      <c r="D27" s="86">
        <f>'Monthly Data'!AC27</f>
        <v>1895</v>
      </c>
      <c r="E27" s="56">
        <f>'Monthly Data'!AK27</f>
        <v>612.70000000000005</v>
      </c>
      <c r="F27" s="56">
        <f>'Monthly Data'!AL27</f>
        <v>0</v>
      </c>
      <c r="G27" s="88">
        <f>'Monthly Data'!AQ27</f>
        <v>242.2</v>
      </c>
      <c r="H27" s="88">
        <f>'Monthly Data'!AT27</f>
        <v>26</v>
      </c>
      <c r="I27" s="88">
        <f>'Monthly Data'!AW27</f>
        <v>0</v>
      </c>
      <c r="J27" s="88">
        <f>'Monthly Data'!AZ27</f>
        <v>0</v>
      </c>
      <c r="K27" s="88">
        <f>'Monthly Data'!BA27</f>
        <v>0</v>
      </c>
      <c r="L27" s="88">
        <f>'Monthly Data'!BB27</f>
        <v>0</v>
      </c>
      <c r="M27" s="88">
        <f>'Monthly Data'!BC27</f>
        <v>0</v>
      </c>
      <c r="O27" s="20">
        <f>'GS &lt; 50 OLS model'!$B$5</f>
        <v>-11631489.5525492</v>
      </c>
      <c r="P27" s="20">
        <f>'GS &lt; 50 OLS model'!$B$6*D27</f>
        <v>12414387.532619221</v>
      </c>
      <c r="Q27" s="20">
        <f>'GS &lt; 50 OLS model'!$B$7*E27</f>
        <v>1283038.6240416451</v>
      </c>
      <c r="R27" s="20">
        <f>'GS &lt; 50 OLS model'!$B$8*F27</f>
        <v>0</v>
      </c>
      <c r="S27" s="20">
        <f>'GS &lt; 50 OLS model'!$B$9*G27</f>
        <v>2524084.8354392112</v>
      </c>
      <c r="T27" s="20">
        <f>'GS &lt; 50 OLS model'!$B$10*H27</f>
        <v>-125390.04601022639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si="4"/>
        <v>4464631.3935406515</v>
      </c>
      <c r="AA27" s="23">
        <f t="shared" ca="1" si="3"/>
        <v>8.5528960494056176E-3</v>
      </c>
    </row>
    <row r="28" spans="1:27" x14ac:dyDescent="0.3">
      <c r="A28" s="22">
        <f>'Monthly Data'!A28</f>
        <v>39873</v>
      </c>
      <c r="B28" s="56">
        <f t="shared" si="2"/>
        <v>2009</v>
      </c>
      <c r="C28" s="20">
        <f ca="1">'Monthly Data'!H28</f>
        <v>4207822.7925258186</v>
      </c>
      <c r="D28" s="86">
        <f>'Monthly Data'!AC28</f>
        <v>1896</v>
      </c>
      <c r="E28" s="56">
        <f>'Monthly Data'!AK28</f>
        <v>533.29999999999995</v>
      </c>
      <c r="F28" s="56">
        <f>'Monthly Data'!AL28</f>
        <v>0</v>
      </c>
      <c r="G28" s="88">
        <f>'Monthly Data'!AQ28</f>
        <v>238.1</v>
      </c>
      <c r="H28" s="88">
        <f>'Monthly Data'!AT28</f>
        <v>27</v>
      </c>
      <c r="I28" s="88">
        <f>'Monthly Data'!AW28</f>
        <v>1</v>
      </c>
      <c r="J28" s="88">
        <f>'Monthly Data'!AZ28</f>
        <v>0</v>
      </c>
      <c r="K28" s="88">
        <f>'Monthly Data'!BA28</f>
        <v>0</v>
      </c>
      <c r="L28" s="88">
        <f>'Monthly Data'!BB28</f>
        <v>0</v>
      </c>
      <c r="M28" s="88">
        <f>'Monthly Data'!BC28</f>
        <v>0</v>
      </c>
      <c r="O28" s="20">
        <f>'GS &lt; 50 OLS model'!$B$5</f>
        <v>-11631489.5525492</v>
      </c>
      <c r="P28" s="20">
        <f>'GS &lt; 50 OLS model'!$B$6*D28</f>
        <v>12420938.660604773</v>
      </c>
      <c r="Q28" s="20">
        <f>'GS &lt; 50 OLS model'!$B$7*E28</f>
        <v>1116769.2152789445</v>
      </c>
      <c r="R28" s="20">
        <f>'GS &lt; 50 OLS model'!$B$8*F28</f>
        <v>0</v>
      </c>
      <c r="S28" s="20">
        <f>'GS &lt; 50 OLS model'!$B$9*G28</f>
        <v>2481356.7271596869</v>
      </c>
      <c r="T28" s="20">
        <f>'GS &lt; 50 OLS model'!$B$10*H28</f>
        <v>-130212.74008754278</v>
      </c>
      <c r="U28" s="20">
        <f>'GS &lt; 50 OLS model'!$B$11*I28</f>
        <v>-156104.06645044801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si="4"/>
        <v>4101258.2439562138</v>
      </c>
      <c r="AA28" s="23">
        <f t="shared" ca="1" si="3"/>
        <v>2.5325341352038625E-2</v>
      </c>
    </row>
    <row r="29" spans="1:27" x14ac:dyDescent="0.3">
      <c r="A29" s="22">
        <f>'Monthly Data'!A29</f>
        <v>39904</v>
      </c>
      <c r="B29" s="56">
        <f t="shared" si="2"/>
        <v>2009</v>
      </c>
      <c r="C29" s="20">
        <f ca="1">'Monthly Data'!H29</f>
        <v>3915902.482525819</v>
      </c>
      <c r="D29" s="86">
        <f>'Monthly Data'!AC29</f>
        <v>1897</v>
      </c>
      <c r="E29" s="56">
        <f>'Monthly Data'!AK29</f>
        <v>307</v>
      </c>
      <c r="F29" s="56">
        <f>'Monthly Data'!AL29</f>
        <v>3.2</v>
      </c>
      <c r="G29" s="88">
        <f>'Monthly Data'!AQ29</f>
        <v>234.6</v>
      </c>
      <c r="H29" s="88">
        <f>'Monthly Data'!AT29</f>
        <v>28</v>
      </c>
      <c r="I29" s="88">
        <f>'Monthly Data'!AW29</f>
        <v>0</v>
      </c>
      <c r="J29" s="88">
        <f>'Monthly Data'!AZ29</f>
        <v>0</v>
      </c>
      <c r="K29" s="88">
        <f>'Monthly Data'!BA29</f>
        <v>0</v>
      </c>
      <c r="L29" s="88">
        <f>'Monthly Data'!BB29</f>
        <v>0</v>
      </c>
      <c r="M29" s="88">
        <f>'Monthly Data'!BC29</f>
        <v>0</v>
      </c>
      <c r="O29" s="20">
        <f>'GS &lt; 50 OLS model'!$B$5</f>
        <v>-11631489.5525492</v>
      </c>
      <c r="P29" s="20">
        <f>'GS &lt; 50 OLS model'!$B$6*D29</f>
        <v>12427489.788590323</v>
      </c>
      <c r="Q29" s="20">
        <f>'GS &lt; 50 OLS model'!$B$7*E29</f>
        <v>642880.45957366587</v>
      </c>
      <c r="R29" s="20">
        <f>'GS &lt; 50 OLS model'!$B$8*F29</f>
        <v>18959.544164763294</v>
      </c>
      <c r="S29" s="20">
        <f>'GS &lt; 50 OLS model'!$B$9*G29</f>
        <v>2444881.5127747273</v>
      </c>
      <c r="T29" s="20">
        <f>'GS &lt; 50 OLS model'!$B$10*H29</f>
        <v>-135035.43416485918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si="4"/>
        <v>3767686.3183894204</v>
      </c>
      <c r="AA29" s="23">
        <f t="shared" ca="1" si="3"/>
        <v>3.7849809794241046E-2</v>
      </c>
    </row>
    <row r="30" spans="1:27" x14ac:dyDescent="0.3">
      <c r="A30" s="22">
        <f>'Monthly Data'!A30</f>
        <v>39934</v>
      </c>
      <c r="B30" s="56">
        <f t="shared" si="2"/>
        <v>2009</v>
      </c>
      <c r="C30" s="20">
        <f ca="1">'Monthly Data'!H30</f>
        <v>3342046.7525258185</v>
      </c>
      <c r="D30" s="86">
        <f>'Monthly Data'!AC30</f>
        <v>1896</v>
      </c>
      <c r="E30" s="56">
        <f>'Monthly Data'!AK30</f>
        <v>156.9</v>
      </c>
      <c r="F30" s="56">
        <f>'Monthly Data'!AL30</f>
        <v>3.1</v>
      </c>
      <c r="G30" s="88">
        <f>'Monthly Data'!AQ30</f>
        <v>235</v>
      </c>
      <c r="H30" s="88">
        <f>'Monthly Data'!AT30</f>
        <v>29</v>
      </c>
      <c r="I30" s="88">
        <f>'Monthly Data'!AW30</f>
        <v>0</v>
      </c>
      <c r="J30" s="88">
        <f>'Monthly Data'!AZ30</f>
        <v>0</v>
      </c>
      <c r="K30" s="88">
        <f>'Monthly Data'!BA30</f>
        <v>0</v>
      </c>
      <c r="L30" s="88">
        <f>'Monthly Data'!BB30</f>
        <v>0</v>
      </c>
      <c r="M30" s="88">
        <f>'Monthly Data'!BC30</f>
        <v>0</v>
      </c>
      <c r="O30" s="20">
        <f>'GS &lt; 50 OLS model'!$B$5</f>
        <v>-11631489.5525492</v>
      </c>
      <c r="P30" s="20">
        <f>'GS &lt; 50 OLS model'!$B$6*D30</f>
        <v>12420938.660604773</v>
      </c>
      <c r="Q30" s="20">
        <f>'GS &lt; 50 OLS model'!$B$7*E30</f>
        <v>328560.07852478232</v>
      </c>
      <c r="R30" s="20">
        <f>'GS &lt; 50 OLS model'!$B$8*F30</f>
        <v>18367.058409614441</v>
      </c>
      <c r="S30" s="20">
        <f>'GS &lt; 50 OLS model'!$B$9*G30</f>
        <v>2449050.108704437</v>
      </c>
      <c r="T30" s="20">
        <f>'GS &lt; 50 OLS model'!$B$10*H30</f>
        <v>-139858.12824217559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si="4"/>
        <v>3445568.2254522312</v>
      </c>
      <c r="AA30" s="23">
        <f t="shared" ca="1" si="3"/>
        <v>3.0975471198353012E-2</v>
      </c>
    </row>
    <row r="31" spans="1:27" x14ac:dyDescent="0.3">
      <c r="A31" s="22">
        <f>'Monthly Data'!A31</f>
        <v>39965</v>
      </c>
      <c r="B31" s="56">
        <f t="shared" si="2"/>
        <v>2009</v>
      </c>
      <c r="C31" s="20">
        <f ca="1">'Monthly Data'!H31</f>
        <v>3660108.4125258187</v>
      </c>
      <c r="D31" s="86">
        <f>'Monthly Data'!AC31</f>
        <v>1896</v>
      </c>
      <c r="E31" s="56">
        <f>'Monthly Data'!AK31</f>
        <v>49.7</v>
      </c>
      <c r="F31" s="56">
        <f>'Monthly Data'!AL31</f>
        <v>35.5</v>
      </c>
      <c r="G31" s="88">
        <f>'Monthly Data'!AQ31</f>
        <v>237.3</v>
      </c>
      <c r="H31" s="88">
        <f>'Monthly Data'!AT31</f>
        <v>30</v>
      </c>
      <c r="I31" s="88">
        <f>'Monthly Data'!AW31</f>
        <v>0</v>
      </c>
      <c r="J31" s="88">
        <f>'Monthly Data'!AZ31</f>
        <v>1</v>
      </c>
      <c r="K31" s="88">
        <f>'Monthly Data'!BA31</f>
        <v>0</v>
      </c>
      <c r="L31" s="88">
        <f>'Monthly Data'!BB31</f>
        <v>0</v>
      </c>
      <c r="M31" s="88">
        <f>'Monthly Data'!BC31</f>
        <v>0</v>
      </c>
      <c r="O31" s="20">
        <f>'GS &lt; 50 OLS model'!$B$5</f>
        <v>-11631489.5525492</v>
      </c>
      <c r="P31" s="20">
        <f>'GS &lt; 50 OLS model'!$B$6*D31</f>
        <v>12420938.660604773</v>
      </c>
      <c r="Q31" s="20">
        <f>'GS &lt; 50 OLS model'!$B$7*E31</f>
        <v>104075.43596355438</v>
      </c>
      <c r="R31" s="20">
        <f>'GS &lt; 50 OLS model'!$B$8*F31</f>
        <v>210332.44307784279</v>
      </c>
      <c r="S31" s="20">
        <f>'GS &lt; 50 OLS model'!$B$9*G31</f>
        <v>2473019.5353002679</v>
      </c>
      <c r="T31" s="20">
        <f>'GS &lt; 50 OLS model'!$B$10*H31</f>
        <v>-144680.822319492</v>
      </c>
      <c r="U31" s="20">
        <f>'GS &lt; 50 OLS model'!$B$11*I31</f>
        <v>0</v>
      </c>
      <c r="V31" s="20">
        <f>'GS &lt; 50 OLS model'!$B$12*J31</f>
        <v>359272.711714848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si="4"/>
        <v>3791468.411792594</v>
      </c>
      <c r="AA31" s="23">
        <f t="shared" ca="1" si="3"/>
        <v>3.5889647098219304E-2</v>
      </c>
    </row>
    <row r="32" spans="1:27" x14ac:dyDescent="0.3">
      <c r="A32" s="22">
        <f>'Monthly Data'!A32</f>
        <v>39995</v>
      </c>
      <c r="B32" s="56">
        <f t="shared" si="2"/>
        <v>2009</v>
      </c>
      <c r="C32" s="20">
        <f ca="1">'Monthly Data'!H32</f>
        <v>3970794.0225258186</v>
      </c>
      <c r="D32" s="86">
        <f>'Monthly Data'!AC32</f>
        <v>1895</v>
      </c>
      <c r="E32" s="56">
        <f>'Monthly Data'!AK32</f>
        <v>20.2</v>
      </c>
      <c r="F32" s="56">
        <f>'Monthly Data'!AL32</f>
        <v>29.4</v>
      </c>
      <c r="G32" s="88">
        <f>'Monthly Data'!AQ32</f>
        <v>238.3</v>
      </c>
      <c r="H32" s="88">
        <f>'Monthly Data'!AT32</f>
        <v>31</v>
      </c>
      <c r="I32" s="88">
        <f>'Monthly Data'!AW32</f>
        <v>0</v>
      </c>
      <c r="J32" s="88">
        <f>'Monthly Data'!AZ32</f>
        <v>0</v>
      </c>
      <c r="K32" s="88">
        <f>'Monthly Data'!BA32</f>
        <v>1</v>
      </c>
      <c r="L32" s="88">
        <f>'Monthly Data'!BB32</f>
        <v>0</v>
      </c>
      <c r="M32" s="88">
        <f>'Monthly Data'!BC32</f>
        <v>0</v>
      </c>
      <c r="O32" s="20">
        <f>'GS &lt; 50 OLS model'!$B$5</f>
        <v>-11631489.5525492</v>
      </c>
      <c r="P32" s="20">
        <f>'GS &lt; 50 OLS model'!$B$6*D32</f>
        <v>12414387.532619221</v>
      </c>
      <c r="Q32" s="20">
        <f>'GS &lt; 50 OLS model'!$B$7*E32</f>
        <v>42300.27779605228</v>
      </c>
      <c r="R32" s="20">
        <f>'GS &lt; 50 OLS model'!$B$8*F32</f>
        <v>174190.81201376277</v>
      </c>
      <c r="S32" s="20">
        <f>'GS &lt; 50 OLS model'!$B$9*G32</f>
        <v>2483441.0251245419</v>
      </c>
      <c r="T32" s="20">
        <f>'GS &lt; 50 OLS model'!$B$10*H32</f>
        <v>-149503.51639680838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411098.30587285903</v>
      </c>
      <c r="X32" s="20">
        <f>'GS &lt; 50 OLS model'!$B$14*L32</f>
        <v>0</v>
      </c>
      <c r="Y32" s="20">
        <f>'GS &lt; 50 OLS model'!$B$15*M32</f>
        <v>0</v>
      </c>
      <c r="Z32" s="20">
        <f t="shared" si="4"/>
        <v>3744424.8844804284</v>
      </c>
      <c r="AA32" s="23">
        <f t="shared" ca="1" si="3"/>
        <v>5.7008531986606784E-2</v>
      </c>
    </row>
    <row r="33" spans="1:27" x14ac:dyDescent="0.3">
      <c r="A33" s="22">
        <f>'Monthly Data'!A33</f>
        <v>40026</v>
      </c>
      <c r="B33" s="56">
        <f t="shared" si="2"/>
        <v>2009</v>
      </c>
      <c r="C33" s="20">
        <f ca="1">'Monthly Data'!H33</f>
        <v>3932148.8625258189</v>
      </c>
      <c r="D33" s="86">
        <f>'Monthly Data'!AC33</f>
        <v>1895</v>
      </c>
      <c r="E33" s="56">
        <f>'Monthly Data'!AK33</f>
        <v>17.899999999999999</v>
      </c>
      <c r="F33" s="56">
        <f>'Monthly Data'!AL33</f>
        <v>71.900000000000006</v>
      </c>
      <c r="G33" s="88">
        <f>'Monthly Data'!AQ33</f>
        <v>236.8</v>
      </c>
      <c r="H33" s="88">
        <f>'Monthly Data'!AT33</f>
        <v>32</v>
      </c>
      <c r="I33" s="88">
        <f>'Monthly Data'!AW33</f>
        <v>0</v>
      </c>
      <c r="J33" s="88">
        <f>'Monthly Data'!AZ33</f>
        <v>0</v>
      </c>
      <c r="K33" s="88">
        <f>'Monthly Data'!BA33</f>
        <v>0</v>
      </c>
      <c r="L33" s="88">
        <f>'Monthly Data'!BB33</f>
        <v>1</v>
      </c>
      <c r="M33" s="88">
        <f>'Monthly Data'!BC33</f>
        <v>0</v>
      </c>
      <c r="O33" s="20">
        <f>'GS &lt; 50 OLS model'!$B$5</f>
        <v>-11631489.5525492</v>
      </c>
      <c r="P33" s="20">
        <f>'GS &lt; 50 OLS model'!$B$6*D33</f>
        <v>12414387.532619221</v>
      </c>
      <c r="Q33" s="20">
        <f>'GS &lt; 50 OLS model'!$B$7*E33</f>
        <v>37483.909532145335</v>
      </c>
      <c r="R33" s="20">
        <f>'GS &lt; 50 OLS model'!$B$8*F33</f>
        <v>425997.25795202533</v>
      </c>
      <c r="S33" s="20">
        <f>'GS &lt; 50 OLS model'!$B$9*G33</f>
        <v>2467808.7903881306</v>
      </c>
      <c r="T33" s="20">
        <f>'GS &lt; 50 OLS model'!$B$10*H33</f>
        <v>-154326.21047412479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494220.92313005403</v>
      </c>
      <c r="Y33" s="20">
        <f>'GS &lt; 50 OLS model'!$B$15*M33</f>
        <v>0</v>
      </c>
      <c r="Z33" s="20">
        <f t="shared" si="4"/>
        <v>4054082.6505982517</v>
      </c>
      <c r="AA33" s="23">
        <f t="shared" ca="1" si="3"/>
        <v>3.1009453694514657E-2</v>
      </c>
    </row>
    <row r="34" spans="1:27" x14ac:dyDescent="0.3">
      <c r="A34" s="22">
        <f>'Monthly Data'!A34</f>
        <v>40057</v>
      </c>
      <c r="B34" s="56">
        <f t="shared" si="2"/>
        <v>2009</v>
      </c>
      <c r="C34" s="20">
        <f ca="1">'Monthly Data'!H34</f>
        <v>3515083.4425258189</v>
      </c>
      <c r="D34" s="86">
        <f>'Monthly Data'!AC34</f>
        <v>1895</v>
      </c>
      <c r="E34" s="56">
        <f>'Monthly Data'!AK34</f>
        <v>71.2</v>
      </c>
      <c r="F34" s="56">
        <f>'Monthly Data'!AL34</f>
        <v>15.9</v>
      </c>
      <c r="G34" s="88">
        <f>'Monthly Data'!AQ34</f>
        <v>235.2</v>
      </c>
      <c r="H34" s="88">
        <f>'Monthly Data'!AT34</f>
        <v>33</v>
      </c>
      <c r="I34" s="88">
        <f>'Monthly Data'!AW34</f>
        <v>0</v>
      </c>
      <c r="J34" s="88">
        <f>'Monthly Data'!AZ34</f>
        <v>0</v>
      </c>
      <c r="K34" s="88">
        <f>'Monthly Data'!BA34</f>
        <v>0</v>
      </c>
      <c r="L34" s="88">
        <f>'Monthly Data'!BB34</f>
        <v>0</v>
      </c>
      <c r="M34" s="88">
        <f>'Monthly Data'!BC34</f>
        <v>1</v>
      </c>
      <c r="O34" s="20">
        <f>'GS &lt; 50 OLS model'!$B$5</f>
        <v>-11631489.5525492</v>
      </c>
      <c r="P34" s="20">
        <f>'GS &lt; 50 OLS model'!$B$6*D34</f>
        <v>12414387.532619221</v>
      </c>
      <c r="Q34" s="20">
        <f>'GS &lt; 50 OLS model'!$B$7*E34</f>
        <v>149098.00886529317</v>
      </c>
      <c r="R34" s="20">
        <f>'GS &lt; 50 OLS model'!$B$8*F34</f>
        <v>94205.235068667622</v>
      </c>
      <c r="S34" s="20">
        <f>'GS &lt; 50 OLS model'!$B$9*G34</f>
        <v>2451134.4066692917</v>
      </c>
      <c r="T34" s="20">
        <f>'GS &lt; 50 OLS model'!$B$10*H34</f>
        <v>-159148.9045514412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249265.131543444</v>
      </c>
      <c r="Z34" s="20">
        <f t="shared" si="4"/>
        <v>3567451.8576652762</v>
      </c>
      <c r="AA34" s="23">
        <f t="shared" ref="AA34:AA65" ca="1" si="5">ABS(Z34-C34)/C34</f>
        <v>1.4898199714379201E-2</v>
      </c>
    </row>
    <row r="35" spans="1:27" x14ac:dyDescent="0.3">
      <c r="A35" s="22">
        <f>'Monthly Data'!A35</f>
        <v>40087</v>
      </c>
      <c r="B35" s="56">
        <f t="shared" si="2"/>
        <v>2009</v>
      </c>
      <c r="C35" s="20">
        <f ca="1">'Monthly Data'!H35</f>
        <v>3471825.3125258191</v>
      </c>
      <c r="D35" s="86">
        <f>'Monthly Data'!AC35</f>
        <v>1894</v>
      </c>
      <c r="E35" s="56">
        <f>'Monthly Data'!AK35</f>
        <v>301.2</v>
      </c>
      <c r="F35" s="56">
        <f>'Monthly Data'!AL35</f>
        <v>0</v>
      </c>
      <c r="G35" s="88">
        <f>'Monthly Data'!AQ35</f>
        <v>237.4</v>
      </c>
      <c r="H35" s="88">
        <f>'Monthly Data'!AT35</f>
        <v>34</v>
      </c>
      <c r="I35" s="88">
        <f>'Monthly Data'!AW35</f>
        <v>0</v>
      </c>
      <c r="J35" s="88">
        <f>'Monthly Data'!AZ35</f>
        <v>0</v>
      </c>
      <c r="K35" s="88">
        <f>'Monthly Data'!BA35</f>
        <v>0</v>
      </c>
      <c r="L35" s="88">
        <f>'Monthly Data'!BB35</f>
        <v>0</v>
      </c>
      <c r="M35" s="88">
        <f>'Monthly Data'!BC35</f>
        <v>0</v>
      </c>
      <c r="O35" s="20">
        <f>'GS &lt; 50 OLS model'!$B$5</f>
        <v>-11631489.5525492</v>
      </c>
      <c r="P35" s="20">
        <f>'GS &lt; 50 OLS model'!$B$6*D35</f>
        <v>12407836.404633669</v>
      </c>
      <c r="Q35" s="20">
        <f>'GS &lt; 50 OLS model'!$B$7*E35</f>
        <v>630734.83525598736</v>
      </c>
      <c r="R35" s="20">
        <f>'GS &lt; 50 OLS model'!$B$8*F35</f>
        <v>0</v>
      </c>
      <c r="S35" s="20">
        <f>'GS &lt; 50 OLS model'!$B$9*G35</f>
        <v>2474061.6842826949</v>
      </c>
      <c r="T35" s="20">
        <f>'GS &lt; 50 OLS model'!$B$10*H35</f>
        <v>-163971.59862875758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si="4"/>
        <v>3717171.7729943939</v>
      </c>
      <c r="AA35" s="23">
        <f t="shared" ca="1" si="5"/>
        <v>7.0667858657347218E-2</v>
      </c>
    </row>
    <row r="36" spans="1:27" x14ac:dyDescent="0.3">
      <c r="A36" s="22">
        <f>'Monthly Data'!A36</f>
        <v>40118</v>
      </c>
      <c r="B36" s="56">
        <f t="shared" si="2"/>
        <v>2009</v>
      </c>
      <c r="C36" s="20">
        <f ca="1">'Monthly Data'!H36</f>
        <v>3874484.0325258188</v>
      </c>
      <c r="D36" s="86">
        <f>'Monthly Data'!AC36</f>
        <v>1894</v>
      </c>
      <c r="E36" s="56">
        <f>'Monthly Data'!AK36</f>
        <v>356.7</v>
      </c>
      <c r="F36" s="56">
        <f>'Monthly Data'!AL36</f>
        <v>0</v>
      </c>
      <c r="G36" s="88">
        <f>'Monthly Data'!AQ36</f>
        <v>241.3</v>
      </c>
      <c r="H36" s="88">
        <f>'Monthly Data'!AT36</f>
        <v>35</v>
      </c>
      <c r="I36" s="88">
        <f>'Monthly Data'!AW36</f>
        <v>0</v>
      </c>
      <c r="J36" s="88">
        <f>'Monthly Data'!AZ36</f>
        <v>0</v>
      </c>
      <c r="K36" s="88">
        <f>'Monthly Data'!BA36</f>
        <v>0</v>
      </c>
      <c r="L36" s="88">
        <f>'Monthly Data'!BB36</f>
        <v>0</v>
      </c>
      <c r="M36" s="88">
        <f>'Monthly Data'!BC36</f>
        <v>0</v>
      </c>
      <c r="O36" s="20">
        <f>'GS &lt; 50 OLS model'!$B$5</f>
        <v>-11631489.5525492</v>
      </c>
      <c r="P36" s="20">
        <f>'GS &lt; 50 OLS model'!$B$6*D36</f>
        <v>12407836.404633669</v>
      </c>
      <c r="Q36" s="20">
        <f>'GS &lt; 50 OLS model'!$B$7*E36</f>
        <v>746955.89553722017</v>
      </c>
      <c r="R36" s="20">
        <f>'GS &lt; 50 OLS model'!$B$8*F36</f>
        <v>0</v>
      </c>
      <c r="S36" s="20">
        <f>'GS &lt; 50 OLS model'!$B$9*G36</f>
        <v>2514705.4945973647</v>
      </c>
      <c r="T36" s="20">
        <f>'GS &lt; 50 OLS model'!$B$10*H36</f>
        <v>-168794.29270607399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si="4"/>
        <v>3869213.9495129799</v>
      </c>
      <c r="AA36" s="23">
        <f t="shared" ca="1" si="5"/>
        <v>1.3602025375758803E-3</v>
      </c>
    </row>
    <row r="37" spans="1:27" x14ac:dyDescent="0.3">
      <c r="A37" s="22">
        <f>'Monthly Data'!A37</f>
        <v>40148</v>
      </c>
      <c r="B37" s="56">
        <f t="shared" si="2"/>
        <v>2009</v>
      </c>
      <c r="C37" s="20">
        <f ca="1">'Monthly Data'!H37</f>
        <v>4458302.6525258189</v>
      </c>
      <c r="D37" s="86">
        <f>'Monthly Data'!AC37</f>
        <v>1895</v>
      </c>
      <c r="E37" s="56">
        <f>'Monthly Data'!AK37</f>
        <v>637.29999999999995</v>
      </c>
      <c r="F37" s="56">
        <f>'Monthly Data'!AL37</f>
        <v>0</v>
      </c>
      <c r="G37" s="88">
        <f>'Monthly Data'!AQ37</f>
        <v>244.6</v>
      </c>
      <c r="H37" s="88">
        <f>'Monthly Data'!AT37</f>
        <v>36</v>
      </c>
      <c r="I37" s="88">
        <f>'Monthly Data'!AW37</f>
        <v>0</v>
      </c>
      <c r="J37" s="88">
        <f>'Monthly Data'!AZ37</f>
        <v>0</v>
      </c>
      <c r="K37" s="88">
        <f>'Monthly Data'!BA37</f>
        <v>0</v>
      </c>
      <c r="L37" s="88">
        <f>'Monthly Data'!BB37</f>
        <v>0</v>
      </c>
      <c r="M37" s="88">
        <f>'Monthly Data'!BC37</f>
        <v>0</v>
      </c>
      <c r="O37" s="20">
        <f>'GS &lt; 50 OLS model'!$B$5</f>
        <v>-11631489.5525492</v>
      </c>
      <c r="P37" s="20">
        <f>'GS &lt; 50 OLS model'!$B$6*D37</f>
        <v>12414387.532619221</v>
      </c>
      <c r="Q37" s="20">
        <f>'GS &lt; 50 OLS model'!$B$7*E37</f>
        <v>1334552.8237338671</v>
      </c>
      <c r="R37" s="20">
        <f>'GS &lt; 50 OLS model'!$B$8*F37</f>
        <v>0</v>
      </c>
      <c r="S37" s="20">
        <f>'GS &lt; 50 OLS model'!$B$9*G37</f>
        <v>2549096.4110174691</v>
      </c>
      <c r="T37" s="20">
        <f>'GS &lt; 50 OLS model'!$B$10*H37</f>
        <v>-173616.9867833904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si="4"/>
        <v>4492930.2280379664</v>
      </c>
      <c r="AA37" s="23">
        <f t="shared" ca="1" si="5"/>
        <v>7.7669862750411323E-3</v>
      </c>
    </row>
    <row r="38" spans="1:27" x14ac:dyDescent="0.3">
      <c r="A38" s="22">
        <f>'Monthly Data'!A38</f>
        <v>40179</v>
      </c>
      <c r="B38" s="56">
        <f t="shared" si="2"/>
        <v>2010</v>
      </c>
      <c r="C38" s="20">
        <f ca="1">'Monthly Data'!H38</f>
        <v>4697417.7863541953</v>
      </c>
      <c r="D38" s="86">
        <f>'Monthly Data'!AC38</f>
        <v>1895</v>
      </c>
      <c r="E38" s="56">
        <f>'Monthly Data'!AK38</f>
        <v>733.1</v>
      </c>
      <c r="F38" s="56">
        <f>'Monthly Data'!AL38</f>
        <v>0</v>
      </c>
      <c r="G38" s="88">
        <f>'Monthly Data'!AQ38</f>
        <v>243.1</v>
      </c>
      <c r="H38" s="88">
        <f>'Monthly Data'!AT38</f>
        <v>37</v>
      </c>
      <c r="I38" s="88">
        <f>'Monthly Data'!AW38</f>
        <v>0</v>
      </c>
      <c r="J38" s="88">
        <f>'Monthly Data'!AZ38</f>
        <v>0</v>
      </c>
      <c r="K38" s="88">
        <f>'Monthly Data'!BA38</f>
        <v>0</v>
      </c>
      <c r="L38" s="88">
        <f>'Monthly Data'!BB38</f>
        <v>0</v>
      </c>
      <c r="M38" s="88">
        <f>'Monthly Data'!BC38</f>
        <v>0</v>
      </c>
      <c r="O38" s="20">
        <f>'GS &lt; 50 OLS model'!$B$5</f>
        <v>-11631489.5525492</v>
      </c>
      <c r="P38" s="20">
        <f>'GS &lt; 50 OLS model'!$B$6*D38</f>
        <v>12414387.532619221</v>
      </c>
      <c r="Q38" s="20">
        <f>'GS &lt; 50 OLS model'!$B$7*E38</f>
        <v>1535165.0322913826</v>
      </c>
      <c r="R38" s="20">
        <f>'GS &lt; 50 OLS model'!$B$8*F38</f>
        <v>0</v>
      </c>
      <c r="S38" s="20">
        <f>'GS &lt; 50 OLS model'!$B$9*G38</f>
        <v>2533464.1762810578</v>
      </c>
      <c r="T38" s="20">
        <f>'GS &lt; 50 OLS model'!$B$10*H38</f>
        <v>-178439.68086070678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si="4"/>
        <v>4673087.5077817542</v>
      </c>
      <c r="AA38" s="23">
        <f t="shared" ca="1" si="5"/>
        <v>5.1795006701595789E-3</v>
      </c>
    </row>
    <row r="39" spans="1:27" x14ac:dyDescent="0.3">
      <c r="A39" s="22">
        <f>'Monthly Data'!A39</f>
        <v>40210</v>
      </c>
      <c r="B39" s="56">
        <f t="shared" si="2"/>
        <v>2010</v>
      </c>
      <c r="C39" s="20">
        <f ca="1">'Monthly Data'!H39</f>
        <v>5008535.2563541951</v>
      </c>
      <c r="D39" s="86">
        <f>'Monthly Data'!AC39</f>
        <v>1895</v>
      </c>
      <c r="E39" s="56">
        <f>'Monthly Data'!AK39</f>
        <v>633.4</v>
      </c>
      <c r="F39" s="56">
        <f>'Monthly Data'!AL39</f>
        <v>0</v>
      </c>
      <c r="G39" s="88">
        <f>'Monthly Data'!AQ39</f>
        <v>240.7</v>
      </c>
      <c r="H39" s="88">
        <f>'Monthly Data'!AT39</f>
        <v>38</v>
      </c>
      <c r="I39" s="88">
        <f>'Monthly Data'!AW39</f>
        <v>0</v>
      </c>
      <c r="J39" s="88">
        <f>'Monthly Data'!AZ39</f>
        <v>0</v>
      </c>
      <c r="K39" s="88">
        <f>'Monthly Data'!BA39</f>
        <v>0</v>
      </c>
      <c r="L39" s="88">
        <f>'Monthly Data'!BB39</f>
        <v>0</v>
      </c>
      <c r="M39" s="88">
        <f>'Monthly Data'!BC39</f>
        <v>0</v>
      </c>
      <c r="O39" s="20">
        <f>'GS &lt; 50 OLS model'!$B$5</f>
        <v>-11631489.5525492</v>
      </c>
      <c r="P39" s="20">
        <f>'GS &lt; 50 OLS model'!$B$6*D39</f>
        <v>12414387.532619221</v>
      </c>
      <c r="Q39" s="20">
        <f>'GS &lt; 50 OLS model'!$B$7*E39</f>
        <v>1326385.9384168074</v>
      </c>
      <c r="R39" s="20">
        <f>'GS &lt; 50 OLS model'!$B$8*F39</f>
        <v>0</v>
      </c>
      <c r="S39" s="20">
        <f>'GS &lt; 50 OLS model'!$B$9*G39</f>
        <v>2508452.6007027999</v>
      </c>
      <c r="T39" s="20">
        <f>'GS &lt; 50 OLS model'!$B$10*H39</f>
        <v>-183262.37493802319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si="4"/>
        <v>4434474.1442516046</v>
      </c>
      <c r="AA39" s="23">
        <f t="shared" ca="1" si="5"/>
        <v>0.11461656606575635</v>
      </c>
    </row>
    <row r="40" spans="1:27" x14ac:dyDescent="0.3">
      <c r="A40" s="22">
        <f>'Monthly Data'!A40</f>
        <v>40238</v>
      </c>
      <c r="B40" s="56">
        <f t="shared" si="2"/>
        <v>2010</v>
      </c>
      <c r="C40" s="20">
        <f ca="1">'Monthly Data'!H40</f>
        <v>3573684.3163541961</v>
      </c>
      <c r="D40" s="86">
        <f>'Monthly Data'!AC40</f>
        <v>1897</v>
      </c>
      <c r="E40" s="56">
        <f>'Monthly Data'!AK40</f>
        <v>450.2</v>
      </c>
      <c r="F40" s="56">
        <f>'Monthly Data'!AL40</f>
        <v>0</v>
      </c>
      <c r="G40" s="88">
        <f>'Monthly Data'!AQ40</f>
        <v>238.3</v>
      </c>
      <c r="H40" s="88">
        <f>'Monthly Data'!AT40</f>
        <v>39</v>
      </c>
      <c r="I40" s="88">
        <f>'Monthly Data'!AW40</f>
        <v>1</v>
      </c>
      <c r="J40" s="88">
        <f>'Monthly Data'!AZ40</f>
        <v>0</v>
      </c>
      <c r="K40" s="88">
        <f>'Monthly Data'!BA40</f>
        <v>0</v>
      </c>
      <c r="L40" s="88">
        <f>'Monthly Data'!BB40</f>
        <v>0</v>
      </c>
      <c r="M40" s="88">
        <f>'Monthly Data'!BC40</f>
        <v>0</v>
      </c>
      <c r="O40" s="20">
        <f>'GS &lt; 50 OLS model'!$B$5</f>
        <v>-11631489.5525492</v>
      </c>
      <c r="P40" s="20">
        <f>'GS &lt; 50 OLS model'!$B$6*D40</f>
        <v>12427489.788590323</v>
      </c>
      <c r="Q40" s="20">
        <f>'GS &lt; 50 OLS model'!$B$7*E40</f>
        <v>942751.73583082843</v>
      </c>
      <c r="R40" s="20">
        <f>'GS &lt; 50 OLS model'!$B$8*F40</f>
        <v>0</v>
      </c>
      <c r="S40" s="20">
        <f>'GS &lt; 50 OLS model'!$B$9*G40</f>
        <v>2483441.0251245419</v>
      </c>
      <c r="T40" s="20">
        <f>'GS &lt; 50 OLS model'!$B$10*H40</f>
        <v>-188085.0690153396</v>
      </c>
      <c r="U40" s="20">
        <f>'GS &lt; 50 OLS model'!$B$11*I40</f>
        <v>-156104.06645044801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si="4"/>
        <v>3878003.8615307063</v>
      </c>
      <c r="AA40" s="23">
        <f t="shared" ca="1" si="5"/>
        <v>8.5155687586577641E-2</v>
      </c>
    </row>
    <row r="41" spans="1:27" x14ac:dyDescent="0.3">
      <c r="A41" s="22">
        <f>'Monthly Data'!A41</f>
        <v>40269</v>
      </c>
      <c r="B41" s="56">
        <f t="shared" si="2"/>
        <v>2010</v>
      </c>
      <c r="C41" s="20">
        <f ca="1">'Monthly Data'!H41</f>
        <v>3590208.1563541959</v>
      </c>
      <c r="D41" s="86">
        <f>'Monthly Data'!AC41</f>
        <v>1908</v>
      </c>
      <c r="E41" s="56">
        <f>'Monthly Data'!AK41</f>
        <v>236.4</v>
      </c>
      <c r="F41" s="56">
        <f>'Monthly Data'!AL41</f>
        <v>0</v>
      </c>
      <c r="G41" s="88">
        <f>'Monthly Data'!AQ41</f>
        <v>240.4</v>
      </c>
      <c r="H41" s="88">
        <f>'Monthly Data'!AT41</f>
        <v>40</v>
      </c>
      <c r="I41" s="88">
        <f>'Monthly Data'!AW41</f>
        <v>0</v>
      </c>
      <c r="J41" s="88">
        <f>'Monthly Data'!AZ41</f>
        <v>0</v>
      </c>
      <c r="K41" s="88">
        <f>'Monthly Data'!BA41</f>
        <v>0</v>
      </c>
      <c r="L41" s="88">
        <f>'Monthly Data'!BB41</f>
        <v>0</v>
      </c>
      <c r="M41" s="88">
        <f>'Monthly Data'!BC41</f>
        <v>0</v>
      </c>
      <c r="O41" s="20">
        <f>'GS &lt; 50 OLS model'!$B$5</f>
        <v>-11631489.5525492</v>
      </c>
      <c r="P41" s="20">
        <f>'GS &lt; 50 OLS model'!$B$6*D41</f>
        <v>12499552.196431385</v>
      </c>
      <c r="Q41" s="20">
        <f>'GS &lt; 50 OLS model'!$B$7*E41</f>
        <v>495038.89460330491</v>
      </c>
      <c r="R41" s="20">
        <f>'GS &lt; 50 OLS model'!$B$8*F41</f>
        <v>0</v>
      </c>
      <c r="S41" s="20">
        <f>'GS &lt; 50 OLS model'!$B$9*G41</f>
        <v>2505326.1537555177</v>
      </c>
      <c r="T41" s="20">
        <f>'GS &lt; 50 OLS model'!$B$10*H41</f>
        <v>-192907.76309265598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si="4"/>
        <v>3675519.9291483518</v>
      </c>
      <c r="AA41" s="23">
        <f t="shared" ca="1" si="5"/>
        <v>2.3762347217435083E-2</v>
      </c>
    </row>
    <row r="42" spans="1:27" x14ac:dyDescent="0.3">
      <c r="A42" s="22">
        <f>'Monthly Data'!A42</f>
        <v>40299</v>
      </c>
      <c r="B42" s="56">
        <f t="shared" si="2"/>
        <v>2010</v>
      </c>
      <c r="C42" s="20">
        <f ca="1">'Monthly Data'!H42</f>
        <v>3758722.0363541958</v>
      </c>
      <c r="D42" s="86">
        <f>'Monthly Data'!AC42</f>
        <v>1908</v>
      </c>
      <c r="E42" s="56">
        <f>'Monthly Data'!AK42</f>
        <v>121.1</v>
      </c>
      <c r="F42" s="56">
        <f>'Monthly Data'!AL42</f>
        <v>34.9</v>
      </c>
      <c r="G42" s="88">
        <f>'Monthly Data'!AQ42</f>
        <v>242</v>
      </c>
      <c r="H42" s="88">
        <f>'Monthly Data'!AT42</f>
        <v>41</v>
      </c>
      <c r="I42" s="88">
        <f>'Monthly Data'!AW42</f>
        <v>0</v>
      </c>
      <c r="J42" s="88">
        <f>'Monthly Data'!AZ42</f>
        <v>0</v>
      </c>
      <c r="K42" s="88">
        <f>'Monthly Data'!BA42</f>
        <v>0</v>
      </c>
      <c r="L42" s="88">
        <f>'Monthly Data'!BB42</f>
        <v>0</v>
      </c>
      <c r="M42" s="88">
        <f>'Monthly Data'!BC42</f>
        <v>0</v>
      </c>
      <c r="O42" s="20">
        <f>'GS &lt; 50 OLS model'!$B$5</f>
        <v>-11631489.5525492</v>
      </c>
      <c r="P42" s="20">
        <f>'GS &lt; 50 OLS model'!$B$6*D42</f>
        <v>12499552.196431385</v>
      </c>
      <c r="Q42" s="20">
        <f>'GS &lt; 50 OLS model'!$B$7*E42</f>
        <v>253592.25946049162</v>
      </c>
      <c r="R42" s="20">
        <f>'GS &lt; 50 OLS model'!$B$8*F42</f>
        <v>206777.52854694967</v>
      </c>
      <c r="S42" s="20">
        <f>'GS &lt; 50 OLS model'!$B$9*G42</f>
        <v>2522000.5374743566</v>
      </c>
      <c r="T42" s="20">
        <f>'GS &lt; 50 OLS model'!$B$10*H42</f>
        <v>-197730.45716997239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si="4"/>
        <v>3652702.5121940104</v>
      </c>
      <c r="AA42" s="23">
        <f t="shared" ca="1" si="5"/>
        <v>2.8206268815509406E-2</v>
      </c>
    </row>
    <row r="43" spans="1:27" x14ac:dyDescent="0.3">
      <c r="A43" s="22">
        <f>'Monthly Data'!A43</f>
        <v>40330</v>
      </c>
      <c r="B43" s="56">
        <f t="shared" si="2"/>
        <v>2010</v>
      </c>
      <c r="C43" s="20">
        <f ca="1">'Monthly Data'!H43</f>
        <v>4289252.2863541953</v>
      </c>
      <c r="D43" s="86">
        <f>'Monthly Data'!AC43</f>
        <v>1908</v>
      </c>
      <c r="E43" s="56">
        <f>'Monthly Data'!AK43</f>
        <v>23.6</v>
      </c>
      <c r="F43" s="56">
        <f>'Monthly Data'!AL43</f>
        <v>57.5</v>
      </c>
      <c r="G43" s="88">
        <f>'Monthly Data'!AQ43</f>
        <v>245</v>
      </c>
      <c r="H43" s="88">
        <f>'Monthly Data'!AT43</f>
        <v>42</v>
      </c>
      <c r="I43" s="88">
        <f>'Monthly Data'!AW43</f>
        <v>0</v>
      </c>
      <c r="J43" s="88">
        <f>'Monthly Data'!AZ43</f>
        <v>1</v>
      </c>
      <c r="K43" s="88">
        <f>'Monthly Data'!BA43</f>
        <v>0</v>
      </c>
      <c r="L43" s="88">
        <f>'Monthly Data'!BB43</f>
        <v>0</v>
      </c>
      <c r="M43" s="88">
        <f>'Monthly Data'!BC43</f>
        <v>0</v>
      </c>
      <c r="O43" s="20">
        <f>'GS &lt; 50 OLS model'!$B$5</f>
        <v>-11631489.5525492</v>
      </c>
      <c r="P43" s="20">
        <f>'GS &lt; 50 OLS model'!$B$6*D43</f>
        <v>12499552.196431385</v>
      </c>
      <c r="Q43" s="20">
        <f>'GS &lt; 50 OLS model'!$B$7*E43</f>
        <v>49420.126534001676</v>
      </c>
      <c r="R43" s="20">
        <f>'GS &lt; 50 OLS model'!$B$8*F43</f>
        <v>340679.30921059044</v>
      </c>
      <c r="S43" s="20">
        <f>'GS &lt; 50 OLS model'!$B$9*G43</f>
        <v>2553265.0069471789</v>
      </c>
      <c r="T43" s="20">
        <f>'GS &lt; 50 OLS model'!$B$10*H43</f>
        <v>-202553.1512472888</v>
      </c>
      <c r="U43" s="20">
        <f>'GS &lt; 50 OLS model'!$B$11*I43</f>
        <v>0</v>
      </c>
      <c r="V43" s="20">
        <f>'GS &lt; 50 OLS model'!$B$12*J43</f>
        <v>359272.711714848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si="4"/>
        <v>3968146.6470415154</v>
      </c>
      <c r="AA43" s="23">
        <f t="shared" ca="1" si="5"/>
        <v>7.4862847385835443E-2</v>
      </c>
    </row>
    <row r="44" spans="1:27" x14ac:dyDescent="0.3">
      <c r="A44" s="22">
        <f>'Monthly Data'!A44</f>
        <v>40360</v>
      </c>
      <c r="B44" s="56">
        <f t="shared" si="2"/>
        <v>2010</v>
      </c>
      <c r="C44" s="20">
        <f ca="1">'Monthly Data'!H44</f>
        <v>4318847.7063541953</v>
      </c>
      <c r="D44" s="86">
        <f>'Monthly Data'!AC44</f>
        <v>1908</v>
      </c>
      <c r="E44" s="56">
        <f>'Monthly Data'!AK44</f>
        <v>5.6</v>
      </c>
      <c r="F44" s="56">
        <f>'Monthly Data'!AL44</f>
        <v>129.69999999999999</v>
      </c>
      <c r="G44" s="88">
        <f>'Monthly Data'!AQ44</f>
        <v>243.3</v>
      </c>
      <c r="H44" s="88">
        <f>'Monthly Data'!AT44</f>
        <v>43</v>
      </c>
      <c r="I44" s="88">
        <f>'Monthly Data'!AW44</f>
        <v>0</v>
      </c>
      <c r="J44" s="88">
        <f>'Monthly Data'!AZ44</f>
        <v>0</v>
      </c>
      <c r="K44" s="88">
        <f>'Monthly Data'!BA44</f>
        <v>1</v>
      </c>
      <c r="L44" s="88">
        <f>'Monthly Data'!BB44</f>
        <v>0</v>
      </c>
      <c r="M44" s="88">
        <f>'Monthly Data'!BC44</f>
        <v>0</v>
      </c>
      <c r="O44" s="20">
        <f>'GS &lt; 50 OLS model'!$B$5</f>
        <v>-11631489.5525492</v>
      </c>
      <c r="P44" s="20">
        <f>'GS &lt; 50 OLS model'!$B$6*D44</f>
        <v>12499552.196431385</v>
      </c>
      <c r="Q44" s="20">
        <f>'GS &lt; 50 OLS model'!$B$7*E44</f>
        <v>11726.809686034294</v>
      </c>
      <c r="R44" s="20">
        <f>'GS &lt; 50 OLS model'!$B$8*F44</f>
        <v>768454.02442806226</v>
      </c>
      <c r="S44" s="20">
        <f>'GS &lt; 50 OLS model'!$B$9*G44</f>
        <v>2535548.4742459129</v>
      </c>
      <c r="T44" s="20">
        <f>'GS &lt; 50 OLS model'!$B$10*H44</f>
        <v>-207375.84532460518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411098.30587285903</v>
      </c>
      <c r="X44" s="20">
        <f>'GS &lt; 50 OLS model'!$B$14*L44</f>
        <v>0</v>
      </c>
      <c r="Y44" s="20">
        <f>'GS &lt; 50 OLS model'!$B$15*M44</f>
        <v>0</v>
      </c>
      <c r="Z44" s="20">
        <f t="shared" si="4"/>
        <v>4387514.4127904484</v>
      </c>
      <c r="AA44" s="23">
        <f t="shared" ca="1" si="5"/>
        <v>1.5899311831539191E-2</v>
      </c>
    </row>
    <row r="45" spans="1:27" x14ac:dyDescent="0.3">
      <c r="A45" s="22">
        <f>'Monthly Data'!A45</f>
        <v>40391</v>
      </c>
      <c r="B45" s="56">
        <f t="shared" si="2"/>
        <v>2010</v>
      </c>
      <c r="C45" s="20">
        <f ca="1">'Monthly Data'!H45</f>
        <v>4290762.7763541956</v>
      </c>
      <c r="D45" s="86">
        <f>'Monthly Data'!AC45</f>
        <v>1907</v>
      </c>
      <c r="E45" s="56">
        <f>'Monthly Data'!AK45</f>
        <v>6</v>
      </c>
      <c r="F45" s="56">
        <f>'Monthly Data'!AL45</f>
        <v>121.7</v>
      </c>
      <c r="G45" s="88">
        <f>'Monthly Data'!AQ45</f>
        <v>241.9</v>
      </c>
      <c r="H45" s="88">
        <f>'Monthly Data'!AT45</f>
        <v>44</v>
      </c>
      <c r="I45" s="88">
        <f>'Monthly Data'!AW45</f>
        <v>0</v>
      </c>
      <c r="J45" s="88">
        <f>'Monthly Data'!AZ45</f>
        <v>0</v>
      </c>
      <c r="K45" s="88">
        <f>'Monthly Data'!BA45</f>
        <v>0</v>
      </c>
      <c r="L45" s="88">
        <f>'Monthly Data'!BB45</f>
        <v>1</v>
      </c>
      <c r="M45" s="88">
        <f>'Monthly Data'!BC45</f>
        <v>0</v>
      </c>
      <c r="O45" s="20">
        <f>'GS &lt; 50 OLS model'!$B$5</f>
        <v>-11631489.5525492</v>
      </c>
      <c r="P45" s="20">
        <f>'GS &lt; 50 OLS model'!$B$6*D45</f>
        <v>12493001.068445833</v>
      </c>
      <c r="Q45" s="20">
        <f>'GS &lt; 50 OLS model'!$B$7*E45</f>
        <v>12564.438949322459</v>
      </c>
      <c r="R45" s="20">
        <f>'GS &lt; 50 OLS model'!$B$8*F45</f>
        <v>721055.16401615413</v>
      </c>
      <c r="S45" s="20">
        <f>'GS &lt; 50 OLS model'!$B$9*G45</f>
        <v>2520958.388491929</v>
      </c>
      <c r="T45" s="20">
        <f>'GS &lt; 50 OLS model'!$B$10*H45</f>
        <v>-212198.53940192159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494220.92313005403</v>
      </c>
      <c r="Y45" s="20">
        <f>'GS &lt; 50 OLS model'!$B$15*M45</f>
        <v>0</v>
      </c>
      <c r="Z45" s="20">
        <f t="shared" si="4"/>
        <v>4398111.8910821714</v>
      </c>
      <c r="AA45" s="23">
        <f t="shared" ca="1" si="5"/>
        <v>2.5018655265577026E-2</v>
      </c>
    </row>
    <row r="46" spans="1:27" x14ac:dyDescent="0.3">
      <c r="A46" s="22">
        <f>'Monthly Data'!A46</f>
        <v>40422</v>
      </c>
      <c r="B46" s="56">
        <f t="shared" si="2"/>
        <v>2010</v>
      </c>
      <c r="C46" s="20">
        <f ca="1">'Monthly Data'!H46</f>
        <v>3747124.8363541956</v>
      </c>
      <c r="D46" s="86">
        <f>'Monthly Data'!AC46</f>
        <v>1909</v>
      </c>
      <c r="E46" s="56">
        <f>'Monthly Data'!AK46</f>
        <v>87.9</v>
      </c>
      <c r="F46" s="56">
        <f>'Monthly Data'!AL46</f>
        <v>24.1</v>
      </c>
      <c r="G46" s="88">
        <f>'Monthly Data'!AQ46</f>
        <v>237.4</v>
      </c>
      <c r="H46" s="88">
        <f>'Monthly Data'!AT46</f>
        <v>45</v>
      </c>
      <c r="I46" s="88">
        <f>'Monthly Data'!AW46</f>
        <v>0</v>
      </c>
      <c r="J46" s="88">
        <f>'Monthly Data'!AZ46</f>
        <v>0</v>
      </c>
      <c r="K46" s="88">
        <f>'Monthly Data'!BA46</f>
        <v>0</v>
      </c>
      <c r="L46" s="88">
        <f>'Monthly Data'!BB46</f>
        <v>0</v>
      </c>
      <c r="M46" s="88">
        <f>'Monthly Data'!BC46</f>
        <v>1</v>
      </c>
      <c r="O46" s="20">
        <f>'GS &lt; 50 OLS model'!$B$5</f>
        <v>-11631489.5525492</v>
      </c>
      <c r="P46" s="20">
        <f>'GS &lt; 50 OLS model'!$B$6*D46</f>
        <v>12506103.324416935</v>
      </c>
      <c r="Q46" s="20">
        <f>'GS &lt; 50 OLS model'!$B$7*E46</f>
        <v>184069.03060757404</v>
      </c>
      <c r="R46" s="20">
        <f>'GS &lt; 50 OLS model'!$B$8*F46</f>
        <v>142789.06699087357</v>
      </c>
      <c r="S46" s="20">
        <f>'GS &lt; 50 OLS model'!$B$9*G46</f>
        <v>2474061.6842826949</v>
      </c>
      <c r="T46" s="20">
        <f>'GS &lt; 50 OLS model'!$B$10*H46</f>
        <v>-217021.233479238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249265.131543444</v>
      </c>
      <c r="Z46" s="20">
        <f t="shared" si="4"/>
        <v>3707777.4518130836</v>
      </c>
      <c r="AA46" s="23">
        <f t="shared" ca="1" si="5"/>
        <v>1.0500686862462647E-2</v>
      </c>
    </row>
    <row r="47" spans="1:27" x14ac:dyDescent="0.3">
      <c r="A47" s="22">
        <f>'Monthly Data'!A47</f>
        <v>40452</v>
      </c>
      <c r="B47" s="56">
        <f t="shared" si="2"/>
        <v>2010</v>
      </c>
      <c r="C47" s="20">
        <f ca="1">'Monthly Data'!H47</f>
        <v>3640387.4263541955</v>
      </c>
      <c r="D47" s="86">
        <f>'Monthly Data'!AC47</f>
        <v>1909</v>
      </c>
      <c r="E47" s="56">
        <f>'Monthly Data'!AK47</f>
        <v>239.5</v>
      </c>
      <c r="F47" s="56">
        <f>'Monthly Data'!AL47</f>
        <v>0</v>
      </c>
      <c r="G47" s="88">
        <f>'Monthly Data'!AQ47</f>
        <v>236.2</v>
      </c>
      <c r="H47" s="88">
        <f>'Monthly Data'!AT47</f>
        <v>46</v>
      </c>
      <c r="I47" s="88">
        <f>'Monthly Data'!AW47</f>
        <v>0</v>
      </c>
      <c r="J47" s="88">
        <f>'Monthly Data'!AZ47</f>
        <v>0</v>
      </c>
      <c r="K47" s="88">
        <f>'Monthly Data'!BA47</f>
        <v>0</v>
      </c>
      <c r="L47" s="88">
        <f>'Monthly Data'!BB47</f>
        <v>0</v>
      </c>
      <c r="M47" s="88">
        <f>'Monthly Data'!BC47</f>
        <v>0</v>
      </c>
      <c r="O47" s="20">
        <f>'GS &lt; 50 OLS model'!$B$5</f>
        <v>-11631489.5525492</v>
      </c>
      <c r="P47" s="20">
        <f>'GS &lt; 50 OLS model'!$B$6*D47</f>
        <v>12506103.324416935</v>
      </c>
      <c r="Q47" s="20">
        <f>'GS &lt; 50 OLS model'!$B$7*E47</f>
        <v>501530.52139378816</v>
      </c>
      <c r="R47" s="20">
        <f>'GS &lt; 50 OLS model'!$B$8*F47</f>
        <v>0</v>
      </c>
      <c r="S47" s="20">
        <f>'GS &lt; 50 OLS model'!$B$9*G47</f>
        <v>2461555.8964935658</v>
      </c>
      <c r="T47" s="20">
        <f>'GS &lt; 50 OLS model'!$B$10*H47</f>
        <v>-221843.92755655438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si="4"/>
        <v>3615856.2621985348</v>
      </c>
      <c r="AA47" s="23">
        <f t="shared" ca="1" si="5"/>
        <v>6.7386135821890609E-3</v>
      </c>
    </row>
    <row r="48" spans="1:27" x14ac:dyDescent="0.3">
      <c r="A48" s="22">
        <f>'Monthly Data'!A48</f>
        <v>40483</v>
      </c>
      <c r="B48" s="56">
        <f t="shared" si="2"/>
        <v>2010</v>
      </c>
      <c r="C48" s="20">
        <f ca="1">'Monthly Data'!H48</f>
        <v>4031309.7163541955</v>
      </c>
      <c r="D48" s="86">
        <f>'Monthly Data'!AC48</f>
        <v>1909</v>
      </c>
      <c r="E48" s="56">
        <f>'Monthly Data'!AK48</f>
        <v>413.6</v>
      </c>
      <c r="F48" s="56">
        <f>'Monthly Data'!AL48</f>
        <v>0</v>
      </c>
      <c r="G48" s="88">
        <f>'Monthly Data'!AQ48</f>
        <v>237.2</v>
      </c>
      <c r="H48" s="88">
        <f>'Monthly Data'!AT48</f>
        <v>47</v>
      </c>
      <c r="I48" s="88">
        <f>'Monthly Data'!AW48</f>
        <v>0</v>
      </c>
      <c r="J48" s="88">
        <f>'Monthly Data'!AZ48</f>
        <v>0</v>
      </c>
      <c r="K48" s="88">
        <f>'Monthly Data'!BA48</f>
        <v>0</v>
      </c>
      <c r="L48" s="88">
        <f>'Monthly Data'!BB48</f>
        <v>0</v>
      </c>
      <c r="M48" s="88">
        <f>'Monthly Data'!BC48</f>
        <v>0</v>
      </c>
      <c r="O48" s="20">
        <f>'GS &lt; 50 OLS model'!$B$5</f>
        <v>-11631489.5525492</v>
      </c>
      <c r="P48" s="20">
        <f>'GS &lt; 50 OLS model'!$B$6*D48</f>
        <v>12506103.324416935</v>
      </c>
      <c r="Q48" s="20">
        <f>'GS &lt; 50 OLS model'!$B$7*E48</f>
        <v>866108.6582399616</v>
      </c>
      <c r="R48" s="20">
        <f>'GS &lt; 50 OLS model'!$B$8*F48</f>
        <v>0</v>
      </c>
      <c r="S48" s="20">
        <f>'GS &lt; 50 OLS model'!$B$9*G48</f>
        <v>2471977.3863178403</v>
      </c>
      <c r="T48" s="20">
        <f>'GS &lt; 50 OLS model'!$B$10*H48</f>
        <v>-226666.62163387079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si="4"/>
        <v>3986033.1947916667</v>
      </c>
      <c r="AA48" s="23">
        <f t="shared" ca="1" si="5"/>
        <v>1.1231218821727154E-2</v>
      </c>
    </row>
    <row r="49" spans="1:27" x14ac:dyDescent="0.3">
      <c r="A49" s="22">
        <f>'Monthly Data'!A49</f>
        <v>40513</v>
      </c>
      <c r="B49" s="56">
        <f t="shared" si="2"/>
        <v>2010</v>
      </c>
      <c r="C49" s="20">
        <f ca="1">'Monthly Data'!H49</f>
        <v>4669941.6563541945</v>
      </c>
      <c r="D49" s="86">
        <f>'Monthly Data'!AC49</f>
        <v>1918</v>
      </c>
      <c r="E49" s="56">
        <f>'Monthly Data'!AK49</f>
        <v>713.5</v>
      </c>
      <c r="F49" s="56">
        <f>'Monthly Data'!AL49</f>
        <v>0</v>
      </c>
      <c r="G49" s="88">
        <f>'Monthly Data'!AQ49</f>
        <v>237.7</v>
      </c>
      <c r="H49" s="88">
        <f>'Monthly Data'!AT49</f>
        <v>48</v>
      </c>
      <c r="I49" s="88">
        <f>'Monthly Data'!AW49</f>
        <v>0</v>
      </c>
      <c r="J49" s="88">
        <f>'Monthly Data'!AZ49</f>
        <v>0</v>
      </c>
      <c r="K49" s="88">
        <f>'Monthly Data'!BA49</f>
        <v>0</v>
      </c>
      <c r="L49" s="88">
        <f>'Monthly Data'!BB49</f>
        <v>0</v>
      </c>
      <c r="M49" s="88">
        <f>'Monthly Data'!BC49</f>
        <v>0</v>
      </c>
      <c r="O49" s="20">
        <f>'GS &lt; 50 OLS model'!$B$5</f>
        <v>-11631489.5525492</v>
      </c>
      <c r="P49" s="20">
        <f>'GS &lt; 50 OLS model'!$B$6*D49</f>
        <v>12565063.476286896</v>
      </c>
      <c r="Q49" s="20">
        <f>'GS &lt; 50 OLS model'!$B$7*E49</f>
        <v>1494121.1983902624</v>
      </c>
      <c r="R49" s="20">
        <f>'GS &lt; 50 OLS model'!$B$8*F49</f>
        <v>0</v>
      </c>
      <c r="S49" s="20">
        <f>'GS &lt; 50 OLS model'!$B$9*G49</f>
        <v>2477188.1312299771</v>
      </c>
      <c r="T49" s="20">
        <f>'GS &lt; 50 OLS model'!$B$10*H49</f>
        <v>-231489.3157111872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si="4"/>
        <v>4673393.9376467476</v>
      </c>
      <c r="AA49" s="23">
        <f t="shared" ca="1" si="5"/>
        <v>7.3925576518834766E-4</v>
      </c>
    </row>
    <row r="50" spans="1:27" x14ac:dyDescent="0.3">
      <c r="A50" s="22">
        <f>'Monthly Data'!A50</f>
        <v>40544</v>
      </c>
      <c r="B50" s="56">
        <f t="shared" si="2"/>
        <v>2011</v>
      </c>
      <c r="C50" s="20">
        <f ca="1">'Monthly Data'!H50</f>
        <v>4809030.2226273539</v>
      </c>
      <c r="D50" s="86">
        <f>'Monthly Data'!AC50</f>
        <v>1920</v>
      </c>
      <c r="E50" s="56">
        <f>'Monthly Data'!AK50</f>
        <v>798.8</v>
      </c>
      <c r="F50" s="56">
        <f>'Monthly Data'!AL50</f>
        <v>0</v>
      </c>
      <c r="G50" s="88">
        <f>'Monthly Data'!AQ50</f>
        <v>236.6</v>
      </c>
      <c r="H50" s="88">
        <f>'Monthly Data'!AT50</f>
        <v>49</v>
      </c>
      <c r="I50" s="88">
        <f>'Monthly Data'!AW50</f>
        <v>0</v>
      </c>
      <c r="J50" s="88">
        <f>'Monthly Data'!AZ50</f>
        <v>0</v>
      </c>
      <c r="K50" s="88">
        <f>'Monthly Data'!BA50</f>
        <v>0</v>
      </c>
      <c r="L50" s="88">
        <f>'Monthly Data'!BB50</f>
        <v>0</v>
      </c>
      <c r="M50" s="88">
        <f>'Monthly Data'!BC50</f>
        <v>0</v>
      </c>
      <c r="O50" s="20">
        <f>'GS &lt; 50 OLS model'!$B$5</f>
        <v>-11631489.5525492</v>
      </c>
      <c r="P50" s="20">
        <f>'GS &lt; 50 OLS model'!$B$6*D50</f>
        <v>12578165.732257998</v>
      </c>
      <c r="Q50" s="20">
        <f>'GS &lt; 50 OLS model'!$B$7*E50</f>
        <v>1672745.6387864633</v>
      </c>
      <c r="R50" s="20">
        <f>'GS &lt; 50 OLS model'!$B$8*F50</f>
        <v>0</v>
      </c>
      <c r="S50" s="20">
        <f>'GS &lt; 50 OLS model'!$B$9*G50</f>
        <v>2465724.4924232755</v>
      </c>
      <c r="T50" s="20">
        <f>'GS &lt; 50 OLS model'!$B$10*H50</f>
        <v>-236312.00978850358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si="4"/>
        <v>4848834.3011300322</v>
      </c>
      <c r="AA50" s="23">
        <f t="shared" ca="1" si="5"/>
        <v>8.276944968112895E-3</v>
      </c>
    </row>
    <row r="51" spans="1:27" x14ac:dyDescent="0.3">
      <c r="A51" s="22">
        <f>'Monthly Data'!A51</f>
        <v>40575</v>
      </c>
      <c r="B51" s="56">
        <f t="shared" si="2"/>
        <v>2011</v>
      </c>
      <c r="C51" s="20">
        <f ca="1">'Monthly Data'!H51</f>
        <v>4234672.8526273537</v>
      </c>
      <c r="D51" s="86">
        <f>'Monthly Data'!AC51</f>
        <v>1919</v>
      </c>
      <c r="E51" s="56">
        <f>'Monthly Data'!AK51</f>
        <v>677.8</v>
      </c>
      <c r="F51" s="56">
        <f>'Monthly Data'!AL51</f>
        <v>0</v>
      </c>
      <c r="G51" s="88">
        <f>'Monthly Data'!AQ51</f>
        <v>235</v>
      </c>
      <c r="H51" s="88">
        <f>'Monthly Data'!AT51</f>
        <v>50</v>
      </c>
      <c r="I51" s="88">
        <f>'Monthly Data'!AW51</f>
        <v>0</v>
      </c>
      <c r="J51" s="88">
        <f>'Monthly Data'!AZ51</f>
        <v>0</v>
      </c>
      <c r="K51" s="88">
        <f>'Monthly Data'!BA51</f>
        <v>0</v>
      </c>
      <c r="L51" s="88">
        <f>'Monthly Data'!BB51</f>
        <v>0</v>
      </c>
      <c r="M51" s="88">
        <f>'Monthly Data'!BC51</f>
        <v>0</v>
      </c>
      <c r="O51" s="20">
        <f>'GS &lt; 50 OLS model'!$B$5</f>
        <v>-11631489.5525492</v>
      </c>
      <c r="P51" s="20">
        <f>'GS &lt; 50 OLS model'!$B$6*D51</f>
        <v>12571614.604272446</v>
      </c>
      <c r="Q51" s="20">
        <f>'GS &lt; 50 OLS model'!$B$7*E51</f>
        <v>1419362.7866417938</v>
      </c>
      <c r="R51" s="20">
        <f>'GS &lt; 50 OLS model'!$B$8*F51</f>
        <v>0</v>
      </c>
      <c r="S51" s="20">
        <f>'GS &lt; 50 OLS model'!$B$9*G51</f>
        <v>2449050.108704437</v>
      </c>
      <c r="T51" s="20">
        <f>'GS &lt; 50 OLS model'!$B$10*H51</f>
        <v>-241134.70386581999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si="4"/>
        <v>4567403.2432036567</v>
      </c>
      <c r="AA51" s="23">
        <f t="shared" ca="1" si="5"/>
        <v>7.8572867882784447E-2</v>
      </c>
    </row>
    <row r="52" spans="1:27" x14ac:dyDescent="0.3">
      <c r="A52" s="22">
        <f>'Monthly Data'!A52</f>
        <v>40603</v>
      </c>
      <c r="B52" s="56">
        <f t="shared" si="2"/>
        <v>2011</v>
      </c>
      <c r="C52" s="20">
        <f ca="1">'Monthly Data'!H52</f>
        <v>3764883.7426273539</v>
      </c>
      <c r="D52" s="86">
        <f>'Monthly Data'!AC52</f>
        <v>1919</v>
      </c>
      <c r="E52" s="56">
        <f>'Monthly Data'!AK52</f>
        <v>599.6</v>
      </c>
      <c r="F52" s="56">
        <f>'Monthly Data'!AL52</f>
        <v>0</v>
      </c>
      <c r="G52" s="88">
        <f>'Monthly Data'!AQ52</f>
        <v>235.9</v>
      </c>
      <c r="H52" s="88">
        <f>'Monthly Data'!AT52</f>
        <v>51</v>
      </c>
      <c r="I52" s="88">
        <f>'Monthly Data'!AW52</f>
        <v>1</v>
      </c>
      <c r="J52" s="88">
        <f>'Monthly Data'!AZ52</f>
        <v>0</v>
      </c>
      <c r="K52" s="88">
        <f>'Monthly Data'!BA52</f>
        <v>0</v>
      </c>
      <c r="L52" s="88">
        <f>'Monthly Data'!BB52</f>
        <v>0</v>
      </c>
      <c r="M52" s="88">
        <f>'Monthly Data'!BC52</f>
        <v>0</v>
      </c>
      <c r="O52" s="20">
        <f>'GS &lt; 50 OLS model'!$B$5</f>
        <v>-11631489.5525492</v>
      </c>
      <c r="P52" s="20">
        <f>'GS &lt; 50 OLS model'!$B$6*D52</f>
        <v>12571614.604272446</v>
      </c>
      <c r="Q52" s="20">
        <f>'GS &lt; 50 OLS model'!$B$7*E52</f>
        <v>1255606.2656689577</v>
      </c>
      <c r="R52" s="20">
        <f>'GS &lt; 50 OLS model'!$B$8*F52</f>
        <v>0</v>
      </c>
      <c r="S52" s="20">
        <f>'GS &lt; 50 OLS model'!$B$9*G52</f>
        <v>2458429.449546284</v>
      </c>
      <c r="T52" s="20">
        <f>'GS &lt; 50 OLS model'!$B$10*H52</f>
        <v>-245957.39794313637</v>
      </c>
      <c r="U52" s="20">
        <f>'GS &lt; 50 OLS model'!$B$11*I52</f>
        <v>-156104.06645044801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si="4"/>
        <v>4252099.302544903</v>
      </c>
      <c r="AA52" s="23">
        <f t="shared" ca="1" si="5"/>
        <v>0.12941051921500818</v>
      </c>
    </row>
    <row r="53" spans="1:27" x14ac:dyDescent="0.3">
      <c r="A53" s="22">
        <f>'Monthly Data'!A53</f>
        <v>40634</v>
      </c>
      <c r="B53" s="56">
        <f t="shared" si="2"/>
        <v>2011</v>
      </c>
      <c r="C53" s="20">
        <f ca="1">'Monthly Data'!H53</f>
        <v>3866987.8226273535</v>
      </c>
      <c r="D53" s="86">
        <f>'Monthly Data'!AC53</f>
        <v>1918</v>
      </c>
      <c r="E53" s="56">
        <f>'Monthly Data'!AK53</f>
        <v>330.4</v>
      </c>
      <c r="F53" s="56">
        <f>'Monthly Data'!AL53</f>
        <v>0</v>
      </c>
      <c r="G53" s="88">
        <f>'Monthly Data'!AQ53</f>
        <v>237.5</v>
      </c>
      <c r="H53" s="88">
        <f>'Monthly Data'!AT53</f>
        <v>52</v>
      </c>
      <c r="I53" s="88">
        <f>'Monthly Data'!AW53</f>
        <v>0</v>
      </c>
      <c r="J53" s="88">
        <f>'Monthly Data'!AZ53</f>
        <v>0</v>
      </c>
      <c r="K53" s="88">
        <f>'Monthly Data'!BA53</f>
        <v>0</v>
      </c>
      <c r="L53" s="88">
        <f>'Monthly Data'!BB53</f>
        <v>0</v>
      </c>
      <c r="M53" s="88">
        <f>'Monthly Data'!BC53</f>
        <v>0</v>
      </c>
      <c r="O53" s="20">
        <f>'GS &lt; 50 OLS model'!$B$5</f>
        <v>-11631489.5525492</v>
      </c>
      <c r="P53" s="20">
        <f>'GS &lt; 50 OLS model'!$B$6*D53</f>
        <v>12565063.476286896</v>
      </c>
      <c r="Q53" s="20">
        <f>'GS &lt; 50 OLS model'!$B$7*E53</f>
        <v>691881.77147602336</v>
      </c>
      <c r="R53" s="20">
        <f>'GS &lt; 50 OLS model'!$B$8*F53</f>
        <v>0</v>
      </c>
      <c r="S53" s="20">
        <f>'GS &lt; 50 OLS model'!$B$9*G53</f>
        <v>2475103.8332651225</v>
      </c>
      <c r="T53" s="20">
        <f>'GS &lt; 50 OLS model'!$B$10*H53</f>
        <v>-250780.09202045278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si="4"/>
        <v>3849779.4364583883</v>
      </c>
      <c r="AA53" s="23">
        <f t="shared" ca="1" si="5"/>
        <v>4.4500750864204216E-3</v>
      </c>
    </row>
    <row r="54" spans="1:27" x14ac:dyDescent="0.3">
      <c r="A54" s="22">
        <f>'Monthly Data'!A54</f>
        <v>40664</v>
      </c>
      <c r="B54" s="56">
        <f t="shared" si="2"/>
        <v>2011</v>
      </c>
      <c r="C54" s="20">
        <f ca="1">'Monthly Data'!H54</f>
        <v>3707027.2926273537</v>
      </c>
      <c r="D54" s="86">
        <f>'Monthly Data'!AC54</f>
        <v>1923</v>
      </c>
      <c r="E54" s="56">
        <f>'Monthly Data'!AK54</f>
        <v>126.4</v>
      </c>
      <c r="F54" s="56">
        <f>'Monthly Data'!AL54</f>
        <v>17.399999999999999</v>
      </c>
      <c r="G54" s="88">
        <f>'Monthly Data'!AQ54</f>
        <v>237.5</v>
      </c>
      <c r="H54" s="88">
        <f>'Monthly Data'!AT54</f>
        <v>53</v>
      </c>
      <c r="I54" s="88">
        <f>'Monthly Data'!AW54</f>
        <v>0</v>
      </c>
      <c r="J54" s="88">
        <f>'Monthly Data'!AZ54</f>
        <v>0</v>
      </c>
      <c r="K54" s="88">
        <f>'Monthly Data'!BA54</f>
        <v>0</v>
      </c>
      <c r="L54" s="88">
        <f>'Monthly Data'!BB54</f>
        <v>0</v>
      </c>
      <c r="M54" s="88">
        <f>'Monthly Data'!BC54</f>
        <v>0</v>
      </c>
      <c r="O54" s="20">
        <f>'GS &lt; 50 OLS model'!$B$5</f>
        <v>-11631489.5525492</v>
      </c>
      <c r="P54" s="20">
        <f>'GS &lt; 50 OLS model'!$B$6*D54</f>
        <v>12597819.11621465</v>
      </c>
      <c r="Q54" s="20">
        <f>'GS &lt; 50 OLS model'!$B$7*E54</f>
        <v>264690.84719905979</v>
      </c>
      <c r="R54" s="20">
        <f>'GS &lt; 50 OLS model'!$B$8*F54</f>
        <v>103092.5213959004</v>
      </c>
      <c r="S54" s="20">
        <f>'GS &lt; 50 OLS model'!$B$9*G54</f>
        <v>2475103.8332651225</v>
      </c>
      <c r="T54" s="20">
        <f>'GS &lt; 50 OLS model'!$B$10*H54</f>
        <v>-255602.78609776919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si="4"/>
        <v>3553613.9794277633</v>
      </c>
      <c r="AA54" s="23">
        <f t="shared" ca="1" si="5"/>
        <v>4.1384457434317623E-2</v>
      </c>
    </row>
    <row r="55" spans="1:27" x14ac:dyDescent="0.3">
      <c r="A55" s="22">
        <f>'Monthly Data'!A55</f>
        <v>40695</v>
      </c>
      <c r="B55" s="56">
        <f t="shared" si="2"/>
        <v>2011</v>
      </c>
      <c r="C55" s="20">
        <f ca="1">'Monthly Data'!H55</f>
        <v>3972068.8226273539</v>
      </c>
      <c r="D55" s="86">
        <f>'Monthly Data'!AC55</f>
        <v>1930</v>
      </c>
      <c r="E55" s="56">
        <f>'Monthly Data'!AK55</f>
        <v>27</v>
      </c>
      <c r="F55" s="56">
        <f>'Monthly Data'!AL55</f>
        <v>39.6</v>
      </c>
      <c r="G55" s="88">
        <f>'Monthly Data'!AQ55</f>
        <v>237.1</v>
      </c>
      <c r="H55" s="88">
        <f>'Monthly Data'!AT55</f>
        <v>54</v>
      </c>
      <c r="I55" s="88">
        <f>'Monthly Data'!AW55</f>
        <v>0</v>
      </c>
      <c r="J55" s="88">
        <f>'Monthly Data'!AZ55</f>
        <v>1</v>
      </c>
      <c r="K55" s="88">
        <f>'Monthly Data'!BA55</f>
        <v>0</v>
      </c>
      <c r="L55" s="88">
        <f>'Monthly Data'!BB55</f>
        <v>0</v>
      </c>
      <c r="M55" s="88">
        <f>'Monthly Data'!BC55</f>
        <v>0</v>
      </c>
      <c r="O55" s="20">
        <f>'GS &lt; 50 OLS model'!$B$5</f>
        <v>-11631489.5525492</v>
      </c>
      <c r="P55" s="20">
        <f>'GS &lt; 50 OLS model'!$B$6*D55</f>
        <v>12643677.012113508</v>
      </c>
      <c r="Q55" s="20">
        <f>'GS &lt; 50 OLS model'!$B$7*E55</f>
        <v>56539.975271951065</v>
      </c>
      <c r="R55" s="20">
        <f>'GS &lt; 50 OLS model'!$B$8*F55</f>
        <v>234624.35903894578</v>
      </c>
      <c r="S55" s="20">
        <f>'GS &lt; 50 OLS model'!$B$9*G55</f>
        <v>2470935.2373354128</v>
      </c>
      <c r="T55" s="20">
        <f>'GS &lt; 50 OLS model'!$B$10*H55</f>
        <v>-260425.48017508557</v>
      </c>
      <c r="U55" s="20">
        <f>'GS &lt; 50 OLS model'!$B$11*I55</f>
        <v>0</v>
      </c>
      <c r="V55" s="20">
        <f>'GS &lt; 50 OLS model'!$B$12*J55</f>
        <v>359272.711714848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si="4"/>
        <v>3873134.2627503797</v>
      </c>
      <c r="AA55" s="23">
        <f t="shared" ca="1" si="5"/>
        <v>2.4907564368820079E-2</v>
      </c>
    </row>
    <row r="56" spans="1:27" x14ac:dyDescent="0.3">
      <c r="A56" s="22">
        <f>'Monthly Data'!A56</f>
        <v>40725</v>
      </c>
      <c r="B56" s="56">
        <f t="shared" si="2"/>
        <v>2011</v>
      </c>
      <c r="C56" s="20">
        <f ca="1">'Monthly Data'!H56</f>
        <v>4809554.1926273536</v>
      </c>
      <c r="D56" s="86">
        <f>'Monthly Data'!AC56</f>
        <v>1930</v>
      </c>
      <c r="E56" s="56">
        <f>'Monthly Data'!AK56</f>
        <v>0</v>
      </c>
      <c r="F56" s="56">
        <f>'Monthly Data'!AL56</f>
        <v>160.9</v>
      </c>
      <c r="G56" s="88">
        <f>'Monthly Data'!AQ56</f>
        <v>237.9</v>
      </c>
      <c r="H56" s="88">
        <f>'Monthly Data'!AT56</f>
        <v>55</v>
      </c>
      <c r="I56" s="88">
        <f>'Monthly Data'!AW56</f>
        <v>0</v>
      </c>
      <c r="J56" s="88">
        <f>'Monthly Data'!AZ56</f>
        <v>0</v>
      </c>
      <c r="K56" s="88">
        <f>'Monthly Data'!BA56</f>
        <v>1</v>
      </c>
      <c r="L56" s="88">
        <f>'Monthly Data'!BB56</f>
        <v>0</v>
      </c>
      <c r="M56" s="88">
        <f>'Monthly Data'!BC56</f>
        <v>0</v>
      </c>
      <c r="O56" s="20">
        <f>'GS &lt; 50 OLS model'!$B$5</f>
        <v>-11631489.5525492</v>
      </c>
      <c r="P56" s="20">
        <f>'GS &lt; 50 OLS model'!$B$6*D56</f>
        <v>12643677.012113508</v>
      </c>
      <c r="Q56" s="20">
        <f>'GS &lt; 50 OLS model'!$B$7*E56</f>
        <v>0</v>
      </c>
      <c r="R56" s="20">
        <f>'GS &lt; 50 OLS model'!$B$8*F56</f>
        <v>953309.58003450441</v>
      </c>
      <c r="S56" s="20">
        <f>'GS &lt; 50 OLS model'!$B$9*G56</f>
        <v>2479272.4291948322</v>
      </c>
      <c r="T56" s="20">
        <f>'GS &lt; 50 OLS model'!$B$10*H56</f>
        <v>-265248.17425240198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411098.30587285903</v>
      </c>
      <c r="X56" s="20">
        <f>'GS &lt; 50 OLS model'!$B$14*L56</f>
        <v>0</v>
      </c>
      <c r="Y56" s="20">
        <f>'GS &lt; 50 OLS model'!$B$15*M56</f>
        <v>0</v>
      </c>
      <c r="Z56" s="20">
        <f t="shared" si="4"/>
        <v>4590619.600414102</v>
      </c>
      <c r="AA56" s="23">
        <f t="shared" ca="1" si="5"/>
        <v>4.5520766259138971E-2</v>
      </c>
    </row>
    <row r="57" spans="1:27" x14ac:dyDescent="0.3">
      <c r="A57" s="22">
        <f>'Monthly Data'!A57</f>
        <v>40756</v>
      </c>
      <c r="B57" s="56">
        <f t="shared" si="2"/>
        <v>2011</v>
      </c>
      <c r="C57" s="20">
        <f ca="1">'Monthly Data'!H57</f>
        <v>4444966.2726273537</v>
      </c>
      <c r="D57" s="86">
        <f>'Monthly Data'!AC57</f>
        <v>1939</v>
      </c>
      <c r="E57" s="56">
        <f>'Monthly Data'!AK57</f>
        <v>1.5</v>
      </c>
      <c r="F57" s="56">
        <f>'Monthly Data'!AL57</f>
        <v>82.9</v>
      </c>
      <c r="G57" s="88">
        <f>'Monthly Data'!AQ57</f>
        <v>240.8</v>
      </c>
      <c r="H57" s="88">
        <f>'Monthly Data'!AT57</f>
        <v>56</v>
      </c>
      <c r="I57" s="88">
        <f>'Monthly Data'!AW57</f>
        <v>0</v>
      </c>
      <c r="J57" s="88">
        <f>'Monthly Data'!AZ57</f>
        <v>0</v>
      </c>
      <c r="K57" s="88">
        <f>'Monthly Data'!BA57</f>
        <v>0</v>
      </c>
      <c r="L57" s="88">
        <f>'Monthly Data'!BB57</f>
        <v>1</v>
      </c>
      <c r="M57" s="88">
        <f>'Monthly Data'!BC57</f>
        <v>0</v>
      </c>
      <c r="O57" s="20">
        <f>'GS &lt; 50 OLS model'!$B$5</f>
        <v>-11631489.5525492</v>
      </c>
      <c r="P57" s="20">
        <f>'GS &lt; 50 OLS model'!$B$6*D57</f>
        <v>12702637.163983466</v>
      </c>
      <c r="Q57" s="20">
        <f>'GS &lt; 50 OLS model'!$B$7*E57</f>
        <v>3141.1097373306147</v>
      </c>
      <c r="R57" s="20">
        <f>'GS &lt; 50 OLS model'!$B$8*F57</f>
        <v>491170.69101839914</v>
      </c>
      <c r="S57" s="20">
        <f>'GS &lt; 50 OLS model'!$B$9*G57</f>
        <v>2509494.7496852274</v>
      </c>
      <c r="T57" s="20">
        <f>'GS &lt; 50 OLS model'!$B$10*H57</f>
        <v>-270070.86832971836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494220.92313005403</v>
      </c>
      <c r="Y57" s="20">
        <f>'GS &lt; 50 OLS model'!$B$15*M57</f>
        <v>0</v>
      </c>
      <c r="Z57" s="20">
        <f t="shared" si="4"/>
        <v>4299104.2166755591</v>
      </c>
      <c r="AA57" s="23">
        <f t="shared" ca="1" si="5"/>
        <v>3.2815109723111059E-2</v>
      </c>
    </row>
    <row r="58" spans="1:27" x14ac:dyDescent="0.3">
      <c r="A58" s="22">
        <f>'Monthly Data'!A58</f>
        <v>40787</v>
      </c>
      <c r="B58" s="56">
        <f t="shared" si="2"/>
        <v>2011</v>
      </c>
      <c r="C58" s="20">
        <f ca="1">'Monthly Data'!H58</f>
        <v>3611046.4826273536</v>
      </c>
      <c r="D58" s="86">
        <f>'Monthly Data'!AC58</f>
        <v>1937</v>
      </c>
      <c r="E58" s="56">
        <f>'Monthly Data'!AK58</f>
        <v>71.900000000000006</v>
      </c>
      <c r="F58" s="56">
        <f>'Monthly Data'!AL58</f>
        <v>29</v>
      </c>
      <c r="G58" s="88">
        <f>'Monthly Data'!AQ58</f>
        <v>240.7</v>
      </c>
      <c r="H58" s="88">
        <f>'Monthly Data'!AT58</f>
        <v>57</v>
      </c>
      <c r="I58" s="88">
        <f>'Monthly Data'!AW58</f>
        <v>0</v>
      </c>
      <c r="J58" s="88">
        <f>'Monthly Data'!AZ58</f>
        <v>0</v>
      </c>
      <c r="K58" s="88">
        <f>'Monthly Data'!BA58</f>
        <v>0</v>
      </c>
      <c r="L58" s="88">
        <f>'Monthly Data'!BB58</f>
        <v>0</v>
      </c>
      <c r="M58" s="88">
        <f>'Monthly Data'!BC58</f>
        <v>1</v>
      </c>
      <c r="O58" s="20">
        <f>'GS &lt; 50 OLS model'!$B$5</f>
        <v>-11631489.5525492</v>
      </c>
      <c r="P58" s="20">
        <f>'GS &lt; 50 OLS model'!$B$6*D58</f>
        <v>12689534.908012364</v>
      </c>
      <c r="Q58" s="20">
        <f>'GS &lt; 50 OLS model'!$B$7*E58</f>
        <v>150563.86007604748</v>
      </c>
      <c r="R58" s="20">
        <f>'GS &lt; 50 OLS model'!$B$8*F58</f>
        <v>171820.86899316736</v>
      </c>
      <c r="S58" s="20">
        <f>'GS &lt; 50 OLS model'!$B$9*G58</f>
        <v>2508452.6007027999</v>
      </c>
      <c r="T58" s="20">
        <f>'GS &lt; 50 OLS model'!$B$10*H58</f>
        <v>-274893.5624070348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249265.131543444</v>
      </c>
      <c r="Z58" s="20">
        <f t="shared" si="4"/>
        <v>3863254.2543715877</v>
      </c>
      <c r="AA58" s="23">
        <f t="shared" ca="1" si="5"/>
        <v>6.9843402170976954E-2</v>
      </c>
    </row>
    <row r="59" spans="1:27" x14ac:dyDescent="0.3">
      <c r="A59" s="22">
        <f>'Monthly Data'!A59</f>
        <v>40817</v>
      </c>
      <c r="B59" s="56">
        <f t="shared" si="2"/>
        <v>2011</v>
      </c>
      <c r="C59" s="20">
        <f ca="1">'Monthly Data'!H59</f>
        <v>3816942.2326273532</v>
      </c>
      <c r="D59" s="86">
        <f>'Monthly Data'!AC59</f>
        <v>1941</v>
      </c>
      <c r="E59" s="56">
        <f>'Monthly Data'!AK59</f>
        <v>234.6</v>
      </c>
      <c r="F59" s="56">
        <f>'Monthly Data'!AL59</f>
        <v>0</v>
      </c>
      <c r="G59" s="88">
        <f>'Monthly Data'!AQ59</f>
        <v>239.8</v>
      </c>
      <c r="H59" s="88">
        <f>'Monthly Data'!AT59</f>
        <v>58</v>
      </c>
      <c r="I59" s="88">
        <f>'Monthly Data'!AW59</f>
        <v>0</v>
      </c>
      <c r="J59" s="88">
        <f>'Monthly Data'!AZ59</f>
        <v>0</v>
      </c>
      <c r="K59" s="88">
        <f>'Monthly Data'!BA59</f>
        <v>0</v>
      </c>
      <c r="L59" s="88">
        <f>'Monthly Data'!BB59</f>
        <v>0</v>
      </c>
      <c r="M59" s="88">
        <f>'Monthly Data'!BC59</f>
        <v>0</v>
      </c>
      <c r="O59" s="20">
        <f>'GS &lt; 50 OLS model'!$B$5</f>
        <v>-11631489.5525492</v>
      </c>
      <c r="P59" s="20">
        <f>'GS &lt; 50 OLS model'!$B$6*D59</f>
        <v>12715739.419954568</v>
      </c>
      <c r="Q59" s="20">
        <f>'GS &lt; 50 OLS model'!$B$7*E59</f>
        <v>491269.56291850813</v>
      </c>
      <c r="R59" s="20">
        <f>'GS &lt; 50 OLS model'!$B$8*F59</f>
        <v>0</v>
      </c>
      <c r="S59" s="20">
        <f>'GS &lt; 50 OLS model'!$B$9*G59</f>
        <v>2499073.2598609533</v>
      </c>
      <c r="T59" s="20">
        <f>'GS &lt; 50 OLS model'!$B$10*H59</f>
        <v>-279716.25648435118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si="4"/>
        <v>3794876.4337004786</v>
      </c>
      <c r="AA59" s="23">
        <f t="shared" ca="1" si="5"/>
        <v>5.7810146400056371E-3</v>
      </c>
    </row>
    <row r="60" spans="1:27" x14ac:dyDescent="0.3">
      <c r="A60" s="22">
        <f>'Monthly Data'!A60</f>
        <v>40848</v>
      </c>
      <c r="B60" s="56">
        <f t="shared" si="2"/>
        <v>2011</v>
      </c>
      <c r="C60" s="20">
        <f ca="1">'Monthly Data'!H60</f>
        <v>3883653.5526273521</v>
      </c>
      <c r="D60" s="86">
        <f>'Monthly Data'!AC60</f>
        <v>1944</v>
      </c>
      <c r="E60" s="56">
        <f>'Monthly Data'!AK60</f>
        <v>347.9</v>
      </c>
      <c r="F60" s="56">
        <f>'Monthly Data'!AL60</f>
        <v>0</v>
      </c>
      <c r="G60" s="88">
        <f>'Monthly Data'!AQ60</f>
        <v>236.7</v>
      </c>
      <c r="H60" s="88">
        <f>'Monthly Data'!AT60</f>
        <v>59</v>
      </c>
      <c r="I60" s="88">
        <f>'Monthly Data'!AW60</f>
        <v>0</v>
      </c>
      <c r="J60" s="88">
        <f>'Monthly Data'!AZ60</f>
        <v>0</v>
      </c>
      <c r="K60" s="88">
        <f>'Monthly Data'!BA60</f>
        <v>0</v>
      </c>
      <c r="L60" s="88">
        <f>'Monthly Data'!BB60</f>
        <v>0</v>
      </c>
      <c r="M60" s="88">
        <f>'Monthly Data'!BC60</f>
        <v>0</v>
      </c>
      <c r="O60" s="20">
        <f>'GS &lt; 50 OLS model'!$B$5</f>
        <v>-11631489.5525492</v>
      </c>
      <c r="P60" s="20">
        <f>'GS &lt; 50 OLS model'!$B$6*D60</f>
        <v>12735392.803911222</v>
      </c>
      <c r="Q60" s="20">
        <f>'GS &lt; 50 OLS model'!$B$7*E60</f>
        <v>728528.0517448805</v>
      </c>
      <c r="R60" s="20">
        <f>'GS &lt; 50 OLS model'!$B$8*F60</f>
        <v>0</v>
      </c>
      <c r="S60" s="20">
        <f>'GS &lt; 50 OLS model'!$B$9*G60</f>
        <v>2466766.641405703</v>
      </c>
      <c r="T60" s="20">
        <f>'GS &lt; 50 OLS model'!$B$10*H60</f>
        <v>-284538.95056166756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si="4"/>
        <v>4014658.9939509379</v>
      </c>
      <c r="AA60" s="23">
        <f t="shared" ca="1" si="5"/>
        <v>3.3732525197814979E-2</v>
      </c>
    </row>
    <row r="61" spans="1:27" x14ac:dyDescent="0.3">
      <c r="A61" s="22">
        <f>'Monthly Data'!A61</f>
        <v>40878</v>
      </c>
      <c r="B61" s="56">
        <f t="shared" si="2"/>
        <v>2011</v>
      </c>
      <c r="C61" s="20">
        <f ca="1">'Monthly Data'!H61</f>
        <v>4353083.5526273539</v>
      </c>
      <c r="D61" s="86">
        <f>'Monthly Data'!AC61</f>
        <v>1946</v>
      </c>
      <c r="E61" s="56">
        <f>'Monthly Data'!AK61</f>
        <v>548.4</v>
      </c>
      <c r="F61" s="56">
        <f>'Monthly Data'!AL61</f>
        <v>0</v>
      </c>
      <c r="G61" s="88">
        <f>'Monthly Data'!AQ61</f>
        <v>237</v>
      </c>
      <c r="H61" s="88">
        <f>'Monthly Data'!AT61</f>
        <v>60</v>
      </c>
      <c r="I61" s="88">
        <f>'Monthly Data'!AW61</f>
        <v>0</v>
      </c>
      <c r="J61" s="88">
        <f>'Monthly Data'!AZ61</f>
        <v>0</v>
      </c>
      <c r="K61" s="88">
        <f>'Monthly Data'!BA61</f>
        <v>0</v>
      </c>
      <c r="L61" s="88">
        <f>'Monthly Data'!BB61</f>
        <v>0</v>
      </c>
      <c r="M61" s="88">
        <f>'Monthly Data'!BC61</f>
        <v>0</v>
      </c>
      <c r="O61" s="20">
        <f>'GS &lt; 50 OLS model'!$B$5</f>
        <v>-11631489.5525492</v>
      </c>
      <c r="P61" s="20">
        <f>'GS &lt; 50 OLS model'!$B$6*D61</f>
        <v>12748495.059882324</v>
      </c>
      <c r="Q61" s="20">
        <f>'GS &lt; 50 OLS model'!$B$7*E61</f>
        <v>1148389.7199680726</v>
      </c>
      <c r="R61" s="20">
        <f>'GS &lt; 50 OLS model'!$B$8*F61</f>
        <v>0</v>
      </c>
      <c r="S61" s="20">
        <f>'GS &lt; 50 OLS model'!$B$9*G61</f>
        <v>2469893.0883529852</v>
      </c>
      <c r="T61" s="20">
        <f>'GS &lt; 50 OLS model'!$B$10*H61</f>
        <v>-289361.644638984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si="4"/>
        <v>4445926.6710151974</v>
      </c>
      <c r="AA61" s="23">
        <f t="shared" ca="1" si="5"/>
        <v>2.132812689336205E-2</v>
      </c>
    </row>
    <row r="62" spans="1:27" x14ac:dyDescent="0.3">
      <c r="A62" s="22">
        <f>'Monthly Data'!A62</f>
        <v>40909</v>
      </c>
      <c r="B62" s="56">
        <f t="shared" si="2"/>
        <v>2012</v>
      </c>
      <c r="C62" s="20">
        <f ca="1">'Monthly Data'!H62</f>
        <v>4638394.9996786648</v>
      </c>
      <c r="D62" s="86">
        <f>'Monthly Data'!AC62</f>
        <v>1946</v>
      </c>
      <c r="E62" s="56">
        <f>'Monthly Data'!AK62</f>
        <v>644.79999999999995</v>
      </c>
      <c r="F62" s="56">
        <f>'Monthly Data'!AL62</f>
        <v>0</v>
      </c>
      <c r="G62" s="88">
        <f>'Monthly Data'!AQ62</f>
        <v>235.8</v>
      </c>
      <c r="H62" s="88">
        <f>'Monthly Data'!AT62</f>
        <v>61</v>
      </c>
      <c r="I62" s="88">
        <f>'Monthly Data'!AW62</f>
        <v>0</v>
      </c>
      <c r="J62" s="88">
        <f>'Monthly Data'!AZ62</f>
        <v>0</v>
      </c>
      <c r="K62" s="88">
        <f>'Monthly Data'!BA62</f>
        <v>0</v>
      </c>
      <c r="L62" s="88">
        <f>'Monthly Data'!BB62</f>
        <v>0</v>
      </c>
      <c r="M62" s="88">
        <f>'Monthly Data'!BC62</f>
        <v>0</v>
      </c>
      <c r="O62" s="20">
        <f>'GS &lt; 50 OLS model'!$B$5</f>
        <v>-11631489.5525492</v>
      </c>
      <c r="P62" s="20">
        <f>'GS &lt; 50 OLS model'!$B$6*D62</f>
        <v>12748495.059882324</v>
      </c>
      <c r="Q62" s="20">
        <f>'GS &lt; 50 OLS model'!$B$7*E62</f>
        <v>1350258.3724205201</v>
      </c>
      <c r="R62" s="20">
        <f>'GS &lt; 50 OLS model'!$B$8*F62</f>
        <v>0</v>
      </c>
      <c r="S62" s="20">
        <f>'GS &lt; 50 OLS model'!$B$9*G62</f>
        <v>2457387.3005638565</v>
      </c>
      <c r="T62" s="20">
        <f>'GS &lt; 50 OLS model'!$B$10*H62</f>
        <v>-294184.33871630038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si="4"/>
        <v>4630466.8416012004</v>
      </c>
      <c r="AA62" s="23">
        <f t="shared" ca="1" si="5"/>
        <v>1.7092459952232786E-3</v>
      </c>
    </row>
    <row r="63" spans="1:27" x14ac:dyDescent="0.3">
      <c r="A63" s="22">
        <f>'Monthly Data'!A63</f>
        <v>40940</v>
      </c>
      <c r="B63" s="56">
        <f t="shared" si="2"/>
        <v>2012</v>
      </c>
      <c r="C63" s="20">
        <f ca="1">'Monthly Data'!H63</f>
        <v>4352407.2496786667</v>
      </c>
      <c r="D63" s="86">
        <f>'Monthly Data'!AC63</f>
        <v>1951</v>
      </c>
      <c r="E63" s="56">
        <f>'Monthly Data'!AK63</f>
        <v>553</v>
      </c>
      <c r="F63" s="56">
        <f>'Monthly Data'!AL63</f>
        <v>0</v>
      </c>
      <c r="G63" s="88">
        <f>'Monthly Data'!AQ63</f>
        <v>234</v>
      </c>
      <c r="H63" s="88">
        <f>'Monthly Data'!AT63</f>
        <v>62</v>
      </c>
      <c r="I63" s="88">
        <f>'Monthly Data'!AW63</f>
        <v>0</v>
      </c>
      <c r="J63" s="88">
        <f>'Monthly Data'!AZ63</f>
        <v>0</v>
      </c>
      <c r="K63" s="88">
        <f>'Monthly Data'!BA63</f>
        <v>0</v>
      </c>
      <c r="L63" s="88">
        <f>'Monthly Data'!BB63</f>
        <v>0</v>
      </c>
      <c r="M63" s="88">
        <f>'Monthly Data'!BC63</f>
        <v>0</v>
      </c>
      <c r="O63" s="20">
        <f>'GS &lt; 50 OLS model'!$B$5</f>
        <v>-11631489.5525492</v>
      </c>
      <c r="P63" s="20">
        <f>'GS &lt; 50 OLS model'!$B$6*D63</f>
        <v>12781250.69981008</v>
      </c>
      <c r="Q63" s="20">
        <f>'GS &lt; 50 OLS model'!$B$7*E63</f>
        <v>1158022.4564958867</v>
      </c>
      <c r="R63" s="20">
        <f>'GS &lt; 50 OLS model'!$B$8*F63</f>
        <v>0</v>
      </c>
      <c r="S63" s="20">
        <f>'GS &lt; 50 OLS model'!$B$9*G63</f>
        <v>2438628.6188801629</v>
      </c>
      <c r="T63" s="20">
        <f>'GS &lt; 50 OLS model'!$B$10*H63</f>
        <v>-299007.03279361676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si="4"/>
        <v>4447405.1898433128</v>
      </c>
      <c r="AA63" s="23">
        <f t="shared" ca="1" si="5"/>
        <v>2.1826528335936332E-2</v>
      </c>
    </row>
    <row r="64" spans="1:27" x14ac:dyDescent="0.3">
      <c r="A64" s="22">
        <f>'Monthly Data'!A64</f>
        <v>40969</v>
      </c>
      <c r="B64" s="56">
        <f t="shared" si="2"/>
        <v>2012</v>
      </c>
      <c r="C64" s="20">
        <f ca="1">'Monthly Data'!H64</f>
        <v>3741681.2696786644</v>
      </c>
      <c r="D64" s="86">
        <f>'Monthly Data'!AC64</f>
        <v>1912</v>
      </c>
      <c r="E64" s="56">
        <f>'Monthly Data'!AK64</f>
        <v>331.1</v>
      </c>
      <c r="F64" s="56">
        <f>'Monthly Data'!AL64</f>
        <v>2.2000000000000002</v>
      </c>
      <c r="G64" s="88">
        <f>'Monthly Data'!AQ64</f>
        <v>232.9</v>
      </c>
      <c r="H64" s="88">
        <f>'Monthly Data'!AT64</f>
        <v>63</v>
      </c>
      <c r="I64" s="88">
        <f>'Monthly Data'!AW64</f>
        <v>1</v>
      </c>
      <c r="J64" s="88">
        <f>'Monthly Data'!AZ64</f>
        <v>0</v>
      </c>
      <c r="K64" s="88">
        <f>'Monthly Data'!BA64</f>
        <v>0</v>
      </c>
      <c r="L64" s="88">
        <f>'Monthly Data'!BB64</f>
        <v>0</v>
      </c>
      <c r="M64" s="88">
        <f>'Monthly Data'!BC64</f>
        <v>0</v>
      </c>
      <c r="O64" s="20">
        <f>'GS &lt; 50 OLS model'!$B$5</f>
        <v>-11631489.5525492</v>
      </c>
      <c r="P64" s="20">
        <f>'GS &lt; 50 OLS model'!$B$6*D64</f>
        <v>12525756.708373589</v>
      </c>
      <c r="Q64" s="20">
        <f>'GS &lt; 50 OLS model'!$B$7*E64</f>
        <v>693347.62268677773</v>
      </c>
      <c r="R64" s="20">
        <f>'GS &lt; 50 OLS model'!$B$8*F64</f>
        <v>13034.686613274765</v>
      </c>
      <c r="S64" s="20">
        <f>'GS &lt; 50 OLS model'!$B$9*G64</f>
        <v>2427164.9800734613</v>
      </c>
      <c r="T64" s="20">
        <f>'GS &lt; 50 OLS model'!$B$10*H64</f>
        <v>-303829.7268709332</v>
      </c>
      <c r="U64" s="20">
        <f>'GS &lt; 50 OLS model'!$B$11*I64</f>
        <v>-156104.06645044801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si="4"/>
        <v>3567880.6518765222</v>
      </c>
      <c r="AA64" s="23">
        <f t="shared" ca="1" si="5"/>
        <v>4.6449872470582763E-2</v>
      </c>
    </row>
    <row r="65" spans="1:27" x14ac:dyDescent="0.3">
      <c r="A65" s="22">
        <f>'Monthly Data'!A65</f>
        <v>41000</v>
      </c>
      <c r="B65" s="56">
        <f t="shared" si="2"/>
        <v>2012</v>
      </c>
      <c r="C65" s="20">
        <f ca="1">'Monthly Data'!H65</f>
        <v>3577054.1996786655</v>
      </c>
      <c r="D65" s="86">
        <f>'Monthly Data'!AC65</f>
        <v>1909</v>
      </c>
      <c r="E65" s="56">
        <f>'Monthly Data'!AK65</f>
        <v>334.6</v>
      </c>
      <c r="F65" s="56">
        <f>'Monthly Data'!AL65</f>
        <v>0</v>
      </c>
      <c r="G65" s="88">
        <f>'Monthly Data'!AQ65</f>
        <v>238</v>
      </c>
      <c r="H65" s="88">
        <f>'Monthly Data'!AT65</f>
        <v>64</v>
      </c>
      <c r="I65" s="88">
        <f>'Monthly Data'!AW65</f>
        <v>0</v>
      </c>
      <c r="J65" s="88">
        <f>'Monthly Data'!AZ65</f>
        <v>0</v>
      </c>
      <c r="K65" s="88">
        <f>'Monthly Data'!BA65</f>
        <v>0</v>
      </c>
      <c r="L65" s="88">
        <f>'Monthly Data'!BB65</f>
        <v>0</v>
      </c>
      <c r="M65" s="88">
        <f>'Monthly Data'!BC65</f>
        <v>0</v>
      </c>
      <c r="O65" s="20">
        <f>'GS &lt; 50 OLS model'!$B$5</f>
        <v>-11631489.5525492</v>
      </c>
      <c r="P65" s="20">
        <f>'GS &lt; 50 OLS model'!$B$6*D65</f>
        <v>12506103.324416935</v>
      </c>
      <c r="Q65" s="20">
        <f>'GS &lt; 50 OLS model'!$B$7*E65</f>
        <v>700676.8787405492</v>
      </c>
      <c r="R65" s="20">
        <f>'GS &lt; 50 OLS model'!$B$8*F65</f>
        <v>0</v>
      </c>
      <c r="S65" s="20">
        <f>'GS &lt; 50 OLS model'!$B$9*G65</f>
        <v>2480314.5781772598</v>
      </c>
      <c r="T65" s="20">
        <f>'GS &lt; 50 OLS model'!$B$10*H65</f>
        <v>-308652.42094824958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si="4"/>
        <v>3746952.8078372944</v>
      </c>
      <c r="AA65" s="23">
        <f t="shared" ca="1" si="5"/>
        <v>4.7496794477950958E-2</v>
      </c>
    </row>
    <row r="66" spans="1:27" x14ac:dyDescent="0.3">
      <c r="A66" s="22">
        <f>'Monthly Data'!A66</f>
        <v>41030</v>
      </c>
      <c r="B66" s="56">
        <f t="shared" ref="B66:B97" si="6">YEAR(A66)</f>
        <v>2012</v>
      </c>
      <c r="C66" s="20">
        <f ca="1">'Monthly Data'!H66</f>
        <v>3254036.6896786643</v>
      </c>
      <c r="D66" s="86">
        <f>'Monthly Data'!AC66</f>
        <v>1910</v>
      </c>
      <c r="E66" s="56">
        <f>'Monthly Data'!AK66</f>
        <v>87.2</v>
      </c>
      <c r="F66" s="56">
        <f>'Monthly Data'!AL66</f>
        <v>28.5</v>
      </c>
      <c r="G66" s="88">
        <f>'Monthly Data'!AQ66</f>
        <v>243.3</v>
      </c>
      <c r="H66" s="88">
        <f>'Monthly Data'!AT66</f>
        <v>65</v>
      </c>
      <c r="I66" s="88">
        <f>'Monthly Data'!AW66</f>
        <v>0</v>
      </c>
      <c r="J66" s="88">
        <f>'Monthly Data'!AZ66</f>
        <v>0</v>
      </c>
      <c r="K66" s="88">
        <f>'Monthly Data'!BA66</f>
        <v>0</v>
      </c>
      <c r="L66" s="88">
        <f>'Monthly Data'!BB66</f>
        <v>0</v>
      </c>
      <c r="M66" s="88">
        <f>'Monthly Data'!BC66</f>
        <v>0</v>
      </c>
      <c r="O66" s="20">
        <f>'GS &lt; 50 OLS model'!$B$5</f>
        <v>-11631489.5525492</v>
      </c>
      <c r="P66" s="20">
        <f>'GS &lt; 50 OLS model'!$B$6*D66</f>
        <v>12512654.452402487</v>
      </c>
      <c r="Q66" s="20">
        <f>'GS &lt; 50 OLS model'!$B$7*E66</f>
        <v>182603.17939681973</v>
      </c>
      <c r="R66" s="20">
        <f>'GS &lt; 50 OLS model'!$B$8*F66</f>
        <v>168858.44021742311</v>
      </c>
      <c r="S66" s="20">
        <f>'GS &lt; 50 OLS model'!$B$9*G66</f>
        <v>2535548.4742459129</v>
      </c>
      <c r="T66" s="20">
        <f>'GS &lt; 50 OLS model'!$B$10*H66</f>
        <v>-313475.11502556596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si="4"/>
        <v>3454699.8786878772</v>
      </c>
      <c r="AA66" s="23">
        <f t="shared" ref="AA66:AA97" ca="1" si="7">ABS(Z66-C66)/C66</f>
        <v>6.1665927014802148E-2</v>
      </c>
    </row>
    <row r="67" spans="1:27" x14ac:dyDescent="0.3">
      <c r="A67" s="22">
        <f>'Monthly Data'!A67</f>
        <v>41061</v>
      </c>
      <c r="B67" s="56">
        <f t="shared" si="6"/>
        <v>2012</v>
      </c>
      <c r="C67" s="20">
        <f ca="1">'Monthly Data'!H67</f>
        <v>3829766.4996786648</v>
      </c>
      <c r="D67" s="86">
        <f>'Monthly Data'!AC67</f>
        <v>1913</v>
      </c>
      <c r="E67" s="56">
        <f>'Monthly Data'!AK67</f>
        <v>28.2</v>
      </c>
      <c r="F67" s="56">
        <f>'Monthly Data'!AL67</f>
        <v>81.7</v>
      </c>
      <c r="G67" s="88">
        <f>'Monthly Data'!AQ67</f>
        <v>247.1</v>
      </c>
      <c r="H67" s="88">
        <f>'Monthly Data'!AT67</f>
        <v>66</v>
      </c>
      <c r="I67" s="88">
        <f>'Monthly Data'!AW67</f>
        <v>0</v>
      </c>
      <c r="J67" s="88">
        <f>'Monthly Data'!AZ67</f>
        <v>1</v>
      </c>
      <c r="K67" s="88">
        <f>'Monthly Data'!BA67</f>
        <v>0</v>
      </c>
      <c r="L67" s="88">
        <f>'Monthly Data'!BB67</f>
        <v>0</v>
      </c>
      <c r="M67" s="88">
        <f>'Monthly Data'!BC67</f>
        <v>0</v>
      </c>
      <c r="O67" s="20">
        <f>'GS &lt; 50 OLS model'!$B$5</f>
        <v>-11631489.5525492</v>
      </c>
      <c r="P67" s="20">
        <f>'GS &lt; 50 OLS model'!$B$6*D67</f>
        <v>12532307.83635914</v>
      </c>
      <c r="Q67" s="20">
        <f>'GS &lt; 50 OLS model'!$B$7*E67</f>
        <v>59052.863061815558</v>
      </c>
      <c r="R67" s="20">
        <f>'GS &lt; 50 OLS model'!$B$8*F67</f>
        <v>484060.86195661291</v>
      </c>
      <c r="S67" s="20">
        <f>'GS &lt; 50 OLS model'!$B$9*G67</f>
        <v>2575150.1355781546</v>
      </c>
      <c r="T67" s="20">
        <f>'GS &lt; 50 OLS model'!$B$10*H67</f>
        <v>-318297.8091028824</v>
      </c>
      <c r="U67" s="20">
        <f>'GS &lt; 50 OLS model'!$B$11*I67</f>
        <v>0</v>
      </c>
      <c r="V67" s="20">
        <f>'GS &lt; 50 OLS model'!$B$12*J67</f>
        <v>359272.711714848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21" si="8">SUM(O67:Y67)</f>
        <v>4060057.0470184879</v>
      </c>
      <c r="AA67" s="23">
        <f t="shared" ca="1" si="7"/>
        <v>6.0131746245925315E-2</v>
      </c>
    </row>
    <row r="68" spans="1:27" x14ac:dyDescent="0.3">
      <c r="A68" s="22">
        <f>'Monthly Data'!A68</f>
        <v>41091</v>
      </c>
      <c r="B68" s="56">
        <f t="shared" si="6"/>
        <v>2012</v>
      </c>
      <c r="C68" s="20">
        <f ca="1">'Monthly Data'!H68</f>
        <v>4522721.659678665</v>
      </c>
      <c r="D68" s="86">
        <f>'Monthly Data'!AC68</f>
        <v>1911</v>
      </c>
      <c r="E68" s="56">
        <f>'Monthly Data'!AK68</f>
        <v>0</v>
      </c>
      <c r="F68" s="56">
        <f>'Monthly Data'!AL68</f>
        <v>161</v>
      </c>
      <c r="G68" s="88">
        <f>'Monthly Data'!AQ68</f>
        <v>248.4</v>
      </c>
      <c r="H68" s="88">
        <f>'Monthly Data'!AT68</f>
        <v>67</v>
      </c>
      <c r="I68" s="88">
        <f>'Monthly Data'!AW68</f>
        <v>0</v>
      </c>
      <c r="J68" s="88">
        <f>'Monthly Data'!AZ68</f>
        <v>0</v>
      </c>
      <c r="K68" s="88">
        <f>'Monthly Data'!BA68</f>
        <v>1</v>
      </c>
      <c r="L68" s="88">
        <f>'Monthly Data'!BB68</f>
        <v>0</v>
      </c>
      <c r="M68" s="88">
        <f>'Monthly Data'!BC68</f>
        <v>0</v>
      </c>
      <c r="O68" s="20">
        <f>'GS &lt; 50 OLS model'!$B$5</f>
        <v>-11631489.5525492</v>
      </c>
      <c r="P68" s="20">
        <f>'GS &lt; 50 OLS model'!$B$6*D68</f>
        <v>12519205.580388037</v>
      </c>
      <c r="Q68" s="20">
        <f>'GS &lt; 50 OLS model'!$B$7*E68</f>
        <v>0</v>
      </c>
      <c r="R68" s="20">
        <f>'GS &lt; 50 OLS model'!$B$8*F68</f>
        <v>953902.06578965322</v>
      </c>
      <c r="S68" s="20">
        <f>'GS &lt; 50 OLS model'!$B$9*G68</f>
        <v>2588698.0723497113</v>
      </c>
      <c r="T68" s="20">
        <f>'GS &lt; 50 OLS model'!$B$10*H68</f>
        <v>-323120.50318019878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411098.30587285903</v>
      </c>
      <c r="X68" s="20">
        <f>'GS &lt; 50 OLS model'!$B$14*L68</f>
        <v>0</v>
      </c>
      <c r="Y68" s="20">
        <f>'GS &lt; 50 OLS model'!$B$15*M68</f>
        <v>0</v>
      </c>
      <c r="Z68" s="20">
        <f t="shared" si="8"/>
        <v>4518293.9686708618</v>
      </c>
      <c r="AA68" s="23">
        <f t="shared" ca="1" si="7"/>
        <v>9.7898817149799514E-4</v>
      </c>
    </row>
    <row r="69" spans="1:27" x14ac:dyDescent="0.3">
      <c r="A69" s="22">
        <f>'Monthly Data'!A69</f>
        <v>41122</v>
      </c>
      <c r="B69" s="56">
        <f t="shared" si="6"/>
        <v>2012</v>
      </c>
      <c r="C69" s="20">
        <f ca="1">'Monthly Data'!H69</f>
        <v>4924951.3196786642</v>
      </c>
      <c r="D69" s="86">
        <f>'Monthly Data'!AC69</f>
        <v>1916</v>
      </c>
      <c r="E69" s="56">
        <f>'Monthly Data'!AK69</f>
        <v>7.8</v>
      </c>
      <c r="F69" s="56">
        <f>'Monthly Data'!AL69</f>
        <v>79.599999999999994</v>
      </c>
      <c r="G69" s="88">
        <f>'Monthly Data'!AQ69</f>
        <v>249.7</v>
      </c>
      <c r="H69" s="88">
        <f>'Monthly Data'!AT69</f>
        <v>68</v>
      </c>
      <c r="I69" s="88">
        <f>'Monthly Data'!AW69</f>
        <v>0</v>
      </c>
      <c r="J69" s="88">
        <f>'Monthly Data'!AZ69</f>
        <v>0</v>
      </c>
      <c r="K69" s="88">
        <f>'Monthly Data'!BA69</f>
        <v>0</v>
      </c>
      <c r="L69" s="88">
        <f>'Monthly Data'!BB69</f>
        <v>1</v>
      </c>
      <c r="M69" s="88">
        <f>'Monthly Data'!BC69</f>
        <v>0</v>
      </c>
      <c r="O69" s="20">
        <f>'GS &lt; 50 OLS model'!$B$5</f>
        <v>-11631489.5525492</v>
      </c>
      <c r="P69" s="20">
        <f>'GS &lt; 50 OLS model'!$B$6*D69</f>
        <v>12551961.220315794</v>
      </c>
      <c r="Q69" s="20">
        <f>'GS &lt; 50 OLS model'!$B$7*E69</f>
        <v>16333.770634119197</v>
      </c>
      <c r="R69" s="20">
        <f>'GS &lt; 50 OLS model'!$B$8*F69</f>
        <v>471618.66109848692</v>
      </c>
      <c r="S69" s="20">
        <f>'GS &lt; 50 OLS model'!$B$9*G69</f>
        <v>2602246.0091212676</v>
      </c>
      <c r="T69" s="20">
        <f>'GS &lt; 50 OLS model'!$B$10*H69</f>
        <v>-327943.19725751516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494220.92313005403</v>
      </c>
      <c r="Y69" s="20">
        <f>'GS &lt; 50 OLS model'!$B$15*M69</f>
        <v>0</v>
      </c>
      <c r="Z69" s="20">
        <f t="shared" si="8"/>
        <v>4176947.8344930061</v>
      </c>
      <c r="AA69" s="23">
        <f t="shared" ca="1" si="7"/>
        <v>0.1518803814764331</v>
      </c>
    </row>
    <row r="70" spans="1:27" x14ac:dyDescent="0.3">
      <c r="A70" s="22">
        <f>'Monthly Data'!A70</f>
        <v>41153</v>
      </c>
      <c r="B70" s="56">
        <f t="shared" si="6"/>
        <v>2012</v>
      </c>
      <c r="C70" s="20">
        <f ca="1">'Monthly Data'!H70</f>
        <v>3928254.3996786643</v>
      </c>
      <c r="D70" s="86">
        <f>'Monthly Data'!AC70</f>
        <v>1916</v>
      </c>
      <c r="E70" s="56">
        <f>'Monthly Data'!AK70</f>
        <v>103.4</v>
      </c>
      <c r="F70" s="56">
        <f>'Monthly Data'!AL70</f>
        <v>27.7</v>
      </c>
      <c r="G70" s="88">
        <f>'Monthly Data'!AQ70</f>
        <v>248.8</v>
      </c>
      <c r="H70" s="88">
        <f>'Monthly Data'!AT70</f>
        <v>69</v>
      </c>
      <c r="I70" s="88">
        <f>'Monthly Data'!AW70</f>
        <v>0</v>
      </c>
      <c r="J70" s="88">
        <f>'Monthly Data'!AZ70</f>
        <v>0</v>
      </c>
      <c r="K70" s="88">
        <f>'Monthly Data'!BA70</f>
        <v>0</v>
      </c>
      <c r="L70" s="88">
        <f>'Monthly Data'!BB70</f>
        <v>0</v>
      </c>
      <c r="M70" s="88">
        <f>'Monthly Data'!BC70</f>
        <v>1</v>
      </c>
      <c r="O70" s="20">
        <f>'GS &lt; 50 OLS model'!$B$5</f>
        <v>-11631489.5525492</v>
      </c>
      <c r="P70" s="20">
        <f>'GS &lt; 50 OLS model'!$B$6*D70</f>
        <v>12551961.220315794</v>
      </c>
      <c r="Q70" s="20">
        <f>'GS &lt; 50 OLS model'!$B$7*E70</f>
        <v>216527.1645599904</v>
      </c>
      <c r="R70" s="20">
        <f>'GS &lt; 50 OLS model'!$B$8*F70</f>
        <v>164118.55417623225</v>
      </c>
      <c r="S70" s="20">
        <f>'GS &lt; 50 OLS model'!$B$9*G70</f>
        <v>2592866.6682794211</v>
      </c>
      <c r="T70" s="20">
        <f>'GS &lt; 50 OLS model'!$B$10*H70</f>
        <v>-332765.8913348316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249265.131543444</v>
      </c>
      <c r="Z70" s="20">
        <f t="shared" si="8"/>
        <v>3810483.2949908492</v>
      </c>
      <c r="AA70" s="23">
        <f t="shared" ca="1" si="7"/>
        <v>2.9980518750885605E-2</v>
      </c>
    </row>
    <row r="71" spans="1:27" x14ac:dyDescent="0.3">
      <c r="A71" s="22">
        <f>'Monthly Data'!A71</f>
        <v>41183</v>
      </c>
      <c r="B71" s="56">
        <f t="shared" si="6"/>
        <v>2012</v>
      </c>
      <c r="C71" s="20">
        <f ca="1">'Monthly Data'!H71</f>
        <v>3893427.8796786643</v>
      </c>
      <c r="D71" s="86">
        <f>'Monthly Data'!AC71</f>
        <v>1919</v>
      </c>
      <c r="E71" s="56">
        <f>'Monthly Data'!AK71</f>
        <v>250.5</v>
      </c>
      <c r="F71" s="56">
        <f>'Monthly Data'!AL71</f>
        <v>0.7</v>
      </c>
      <c r="G71" s="88">
        <f>'Monthly Data'!AQ71</f>
        <v>244.5</v>
      </c>
      <c r="H71" s="88">
        <f>'Monthly Data'!AT71</f>
        <v>70</v>
      </c>
      <c r="I71" s="88">
        <f>'Monthly Data'!AW71</f>
        <v>0</v>
      </c>
      <c r="J71" s="88">
        <f>'Monthly Data'!AZ71</f>
        <v>0</v>
      </c>
      <c r="K71" s="88">
        <f>'Monthly Data'!BA71</f>
        <v>0</v>
      </c>
      <c r="L71" s="88">
        <f>'Monthly Data'!BB71</f>
        <v>0</v>
      </c>
      <c r="M71" s="88">
        <f>'Monthly Data'!BC71</f>
        <v>0</v>
      </c>
      <c r="O71" s="20">
        <f>'GS &lt; 50 OLS model'!$B$5</f>
        <v>-11631489.5525492</v>
      </c>
      <c r="P71" s="20">
        <f>'GS &lt; 50 OLS model'!$B$6*D71</f>
        <v>12571614.604272446</v>
      </c>
      <c r="Q71" s="20">
        <f>'GS &lt; 50 OLS model'!$B$7*E71</f>
        <v>524565.32613421266</v>
      </c>
      <c r="R71" s="20">
        <f>'GS &lt; 50 OLS model'!$B$8*F71</f>
        <v>4147.4002860419705</v>
      </c>
      <c r="S71" s="20">
        <f>'GS &lt; 50 OLS model'!$B$9*G71</f>
        <v>2548054.262035042</v>
      </c>
      <c r="T71" s="20">
        <f>'GS &lt; 50 OLS model'!$B$10*H71</f>
        <v>-337588.58541214798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si="8"/>
        <v>3679303.4547663941</v>
      </c>
      <c r="AA71" s="23">
        <f t="shared" ca="1" si="7"/>
        <v>5.4996376337126979E-2</v>
      </c>
    </row>
    <row r="72" spans="1:27" x14ac:dyDescent="0.3">
      <c r="A72" s="22">
        <f>'Monthly Data'!A72</f>
        <v>41214</v>
      </c>
      <c r="B72" s="56">
        <f t="shared" si="6"/>
        <v>2012</v>
      </c>
      <c r="C72" s="20">
        <f ca="1">'Monthly Data'!H72</f>
        <v>3872779.7996786651</v>
      </c>
      <c r="D72" s="86">
        <f>'Monthly Data'!AC72</f>
        <v>1923</v>
      </c>
      <c r="E72" s="56">
        <f>'Monthly Data'!AK72</f>
        <v>458.5</v>
      </c>
      <c r="F72" s="56">
        <f>'Monthly Data'!AL72</f>
        <v>0</v>
      </c>
      <c r="G72" s="88">
        <f>'Monthly Data'!AQ72</f>
        <v>242</v>
      </c>
      <c r="H72" s="88">
        <f>'Monthly Data'!AT72</f>
        <v>71</v>
      </c>
      <c r="I72" s="88">
        <f>'Monthly Data'!AW72</f>
        <v>0</v>
      </c>
      <c r="J72" s="88">
        <f>'Monthly Data'!AZ72</f>
        <v>0</v>
      </c>
      <c r="K72" s="88">
        <f>'Monthly Data'!BA72</f>
        <v>0</v>
      </c>
      <c r="L72" s="88">
        <f>'Monthly Data'!BB72</f>
        <v>0</v>
      </c>
      <c r="M72" s="88">
        <f>'Monthly Data'!BC72</f>
        <v>0</v>
      </c>
      <c r="O72" s="20">
        <f>'GS &lt; 50 OLS model'!$B$5</f>
        <v>-11631489.5525492</v>
      </c>
      <c r="P72" s="20">
        <f>'GS &lt; 50 OLS model'!$B$6*D72</f>
        <v>12597819.11621465</v>
      </c>
      <c r="Q72" s="20">
        <f>'GS &lt; 50 OLS model'!$B$7*E72</f>
        <v>960132.54304405791</v>
      </c>
      <c r="R72" s="20">
        <f>'GS &lt; 50 OLS model'!$B$8*F72</f>
        <v>0</v>
      </c>
      <c r="S72" s="20">
        <f>'GS &lt; 50 OLS model'!$B$9*G72</f>
        <v>2522000.5374743566</v>
      </c>
      <c r="T72" s="20">
        <f>'GS &lt; 50 OLS model'!$B$10*H72</f>
        <v>-342411.27948946436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si="8"/>
        <v>4106051.3646943998</v>
      </c>
      <c r="AA72" s="23">
        <f t="shared" ca="1" si="7"/>
        <v>6.0233624704169805E-2</v>
      </c>
    </row>
    <row r="73" spans="1:27" x14ac:dyDescent="0.3">
      <c r="A73" s="22">
        <f>'Monthly Data'!A73</f>
        <v>41244</v>
      </c>
      <c r="B73" s="56">
        <f t="shared" si="6"/>
        <v>2012</v>
      </c>
      <c r="C73" s="20">
        <f ca="1">'Monthly Data'!H73</f>
        <v>4163615.9996786653</v>
      </c>
      <c r="D73" s="86">
        <f>'Monthly Data'!AC73</f>
        <v>1926</v>
      </c>
      <c r="E73" s="56">
        <f>'Monthly Data'!AK73</f>
        <v>535.9</v>
      </c>
      <c r="F73" s="56">
        <f>'Monthly Data'!AL73</f>
        <v>0</v>
      </c>
      <c r="G73" s="88">
        <f>'Monthly Data'!AQ73</f>
        <v>240.2</v>
      </c>
      <c r="H73" s="88">
        <f>'Monthly Data'!AT73</f>
        <v>72</v>
      </c>
      <c r="I73" s="88">
        <f>'Monthly Data'!AW73</f>
        <v>0</v>
      </c>
      <c r="J73" s="88">
        <f>'Monthly Data'!AZ73</f>
        <v>0</v>
      </c>
      <c r="K73" s="88">
        <f>'Monthly Data'!BA73</f>
        <v>0</v>
      </c>
      <c r="L73" s="88">
        <f>'Monthly Data'!BB73</f>
        <v>0</v>
      </c>
      <c r="M73" s="88">
        <f>'Monthly Data'!BC73</f>
        <v>0</v>
      </c>
      <c r="O73" s="20">
        <f>'GS &lt; 50 OLS model'!$B$5</f>
        <v>-11631489.5525492</v>
      </c>
      <c r="P73" s="20">
        <f>'GS &lt; 50 OLS model'!$B$6*D73</f>
        <v>12617472.500171304</v>
      </c>
      <c r="Q73" s="20">
        <f>'GS &lt; 50 OLS model'!$B$7*E73</f>
        <v>1122213.8054903175</v>
      </c>
      <c r="R73" s="20">
        <f>'GS &lt; 50 OLS model'!$B$8*F73</f>
        <v>0</v>
      </c>
      <c r="S73" s="20">
        <f>'GS &lt; 50 OLS model'!$B$9*G73</f>
        <v>2503241.8557906626</v>
      </c>
      <c r="T73" s="20">
        <f>'GS &lt; 50 OLS model'!$B$10*H73</f>
        <v>-347233.9735667808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si="8"/>
        <v>4264204.6353363032</v>
      </c>
      <c r="AA73" s="23">
        <f t="shared" ca="1" si="7"/>
        <v>2.4158960784424154E-2</v>
      </c>
    </row>
    <row r="74" spans="1:27" x14ac:dyDescent="0.3">
      <c r="A74" s="22">
        <f>'Monthly Data'!A74</f>
        <v>41275</v>
      </c>
      <c r="B74" s="56">
        <f t="shared" si="6"/>
        <v>2013</v>
      </c>
      <c r="C74" s="20">
        <f ca="1">'Monthly Data'!H74</f>
        <v>4507142.1120230034</v>
      </c>
      <c r="D74" s="86">
        <f>'Monthly Data'!AC74</f>
        <v>1931</v>
      </c>
      <c r="E74" s="56">
        <f>'Monthly Data'!AK74</f>
        <v>657.4</v>
      </c>
      <c r="F74" s="56">
        <f>'Monthly Data'!AL74</f>
        <v>0</v>
      </c>
      <c r="G74" s="88">
        <f>'Monthly Data'!AQ74</f>
        <v>241.3</v>
      </c>
      <c r="H74" s="88">
        <f>'Monthly Data'!AT74</f>
        <v>73</v>
      </c>
      <c r="I74" s="88">
        <f>'Monthly Data'!AW74</f>
        <v>0</v>
      </c>
      <c r="J74" s="88">
        <f>'Monthly Data'!AZ74</f>
        <v>0</v>
      </c>
      <c r="K74" s="88">
        <f>'Monthly Data'!BA74</f>
        <v>0</v>
      </c>
      <c r="L74" s="88">
        <f>'Monthly Data'!BB74</f>
        <v>0</v>
      </c>
      <c r="M74" s="88">
        <f>'Monthly Data'!BC74</f>
        <v>0</v>
      </c>
      <c r="O74" s="20">
        <f>'GS &lt; 50 OLS model'!$B$5</f>
        <v>-11631489.5525492</v>
      </c>
      <c r="P74" s="20">
        <f>'GS &lt; 50 OLS model'!$B$6*D74</f>
        <v>12650228.140099058</v>
      </c>
      <c r="Q74" s="20">
        <f>'GS &lt; 50 OLS model'!$B$7*E74</f>
        <v>1376643.6942140975</v>
      </c>
      <c r="R74" s="20">
        <f>'GS &lt; 50 OLS model'!$B$8*F74</f>
        <v>0</v>
      </c>
      <c r="S74" s="20">
        <f>'GS &lt; 50 OLS model'!$B$9*G74</f>
        <v>2514705.4945973647</v>
      </c>
      <c r="T74" s="20">
        <f>'GS &lt; 50 OLS model'!$B$10*H74</f>
        <v>-352056.66764409718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si="8"/>
        <v>4558031.1087172227</v>
      </c>
      <c r="AA74" s="23">
        <f t="shared" ca="1" si="7"/>
        <v>1.1290745982575215E-2</v>
      </c>
    </row>
    <row r="75" spans="1:27" x14ac:dyDescent="0.3">
      <c r="A75" s="22">
        <f>'Monthly Data'!A75</f>
        <v>41306</v>
      </c>
      <c r="B75" s="56">
        <f t="shared" si="6"/>
        <v>2013</v>
      </c>
      <c r="C75" s="20">
        <f ca="1">'Monthly Data'!H75</f>
        <v>4563104.3620230034</v>
      </c>
      <c r="D75" s="86">
        <f>'Monthly Data'!AC75</f>
        <v>1934</v>
      </c>
      <c r="E75" s="56">
        <f>'Monthly Data'!AK75</f>
        <v>657</v>
      </c>
      <c r="F75" s="56">
        <f>'Monthly Data'!AL75</f>
        <v>0</v>
      </c>
      <c r="G75" s="88">
        <f>'Monthly Data'!AQ75</f>
        <v>238.3</v>
      </c>
      <c r="H75" s="88">
        <f>'Monthly Data'!AT75</f>
        <v>74</v>
      </c>
      <c r="I75" s="88">
        <f>'Monthly Data'!AW75</f>
        <v>0</v>
      </c>
      <c r="J75" s="88">
        <f>'Monthly Data'!AZ75</f>
        <v>0</v>
      </c>
      <c r="K75" s="88">
        <f>'Monthly Data'!BA75</f>
        <v>0</v>
      </c>
      <c r="L75" s="88">
        <f>'Monthly Data'!BB75</f>
        <v>0</v>
      </c>
      <c r="M75" s="88">
        <f>'Monthly Data'!BC75</f>
        <v>0</v>
      </c>
      <c r="O75" s="20">
        <f>'GS &lt; 50 OLS model'!$B$5</f>
        <v>-11631489.5525492</v>
      </c>
      <c r="P75" s="20">
        <f>'GS &lt; 50 OLS model'!$B$6*D75</f>
        <v>12669881.524055712</v>
      </c>
      <c r="Q75" s="20">
        <f>'GS &lt; 50 OLS model'!$B$7*E75</f>
        <v>1375806.0649508093</v>
      </c>
      <c r="R75" s="20">
        <f>'GS &lt; 50 OLS model'!$B$8*F75</f>
        <v>0</v>
      </c>
      <c r="S75" s="20">
        <f>'GS &lt; 50 OLS model'!$B$9*G75</f>
        <v>2483441.0251245419</v>
      </c>
      <c r="T75" s="20">
        <f>'GS &lt; 50 OLS model'!$B$10*H75</f>
        <v>-356879.36172141356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si="8"/>
        <v>4540759.6998604499</v>
      </c>
      <c r="AA75" s="23">
        <f t="shared" ca="1" si="7"/>
        <v>4.8968115541077068E-3</v>
      </c>
    </row>
    <row r="76" spans="1:27" x14ac:dyDescent="0.3">
      <c r="A76" s="22">
        <f>'Monthly Data'!A76</f>
        <v>41334</v>
      </c>
      <c r="B76" s="56">
        <f t="shared" si="6"/>
        <v>2013</v>
      </c>
      <c r="C76" s="20">
        <f ca="1">'Monthly Data'!H76</f>
        <v>4317259.0320230033</v>
      </c>
      <c r="D76" s="86">
        <f>'Monthly Data'!AC76</f>
        <v>1938</v>
      </c>
      <c r="E76" s="56">
        <f>'Monthly Data'!AK76</f>
        <v>581.9</v>
      </c>
      <c r="F76" s="56">
        <f>'Monthly Data'!AL76</f>
        <v>0</v>
      </c>
      <c r="G76" s="88">
        <f>'Monthly Data'!AQ76</f>
        <v>237.7</v>
      </c>
      <c r="H76" s="88">
        <f>'Monthly Data'!AT76</f>
        <v>75</v>
      </c>
      <c r="I76" s="88">
        <f>'Monthly Data'!AW76</f>
        <v>1</v>
      </c>
      <c r="J76" s="88">
        <f>'Monthly Data'!AZ76</f>
        <v>0</v>
      </c>
      <c r="K76" s="88">
        <f>'Monthly Data'!BA76</f>
        <v>0</v>
      </c>
      <c r="L76" s="88">
        <f>'Monthly Data'!BB76</f>
        <v>0</v>
      </c>
      <c r="M76" s="88">
        <f>'Monthly Data'!BC76</f>
        <v>0</v>
      </c>
      <c r="O76" s="20">
        <f>'GS &lt; 50 OLS model'!$B$5</f>
        <v>-11631489.5525492</v>
      </c>
      <c r="P76" s="20">
        <f>'GS &lt; 50 OLS model'!$B$6*D76</f>
        <v>12696086.035997916</v>
      </c>
      <c r="Q76" s="20">
        <f>'GS &lt; 50 OLS model'!$B$7*E76</f>
        <v>1218541.1707684565</v>
      </c>
      <c r="R76" s="20">
        <f>'GS &lt; 50 OLS model'!$B$8*F76</f>
        <v>0</v>
      </c>
      <c r="S76" s="20">
        <f>'GS &lt; 50 OLS model'!$B$9*G76</f>
        <v>2477188.1312299771</v>
      </c>
      <c r="T76" s="20">
        <f>'GS &lt; 50 OLS model'!$B$10*H76</f>
        <v>-361702.05579873</v>
      </c>
      <c r="U76" s="20">
        <f>'GS &lt; 50 OLS model'!$B$11*I76</f>
        <v>-156104.06645044801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si="8"/>
        <v>4242519.6631979719</v>
      </c>
      <c r="AA76" s="23">
        <f t="shared" ca="1" si="7"/>
        <v>1.731176384614793E-2</v>
      </c>
    </row>
    <row r="77" spans="1:27" x14ac:dyDescent="0.3">
      <c r="A77" s="22">
        <f>'Monthly Data'!A77</f>
        <v>41365</v>
      </c>
      <c r="B77" s="56">
        <f t="shared" si="6"/>
        <v>2013</v>
      </c>
      <c r="C77" s="20">
        <f ca="1">'Monthly Data'!H77</f>
        <v>3826343.9020230039</v>
      </c>
      <c r="D77" s="86">
        <f>'Monthly Data'!AC77</f>
        <v>1937</v>
      </c>
      <c r="E77" s="56">
        <f>'Monthly Data'!AK77</f>
        <v>362.2</v>
      </c>
      <c r="F77" s="56">
        <f>'Monthly Data'!AL77</f>
        <v>0</v>
      </c>
      <c r="G77" s="88">
        <f>'Monthly Data'!AQ77</f>
        <v>236.8</v>
      </c>
      <c r="H77" s="88">
        <f>'Monthly Data'!AT77</f>
        <v>76</v>
      </c>
      <c r="I77" s="88">
        <f>'Monthly Data'!AW77</f>
        <v>0</v>
      </c>
      <c r="J77" s="88">
        <f>'Monthly Data'!AZ77</f>
        <v>0</v>
      </c>
      <c r="K77" s="88">
        <f>'Monthly Data'!BA77</f>
        <v>0</v>
      </c>
      <c r="L77" s="88">
        <f>'Monthly Data'!BB77</f>
        <v>0</v>
      </c>
      <c r="M77" s="88">
        <f>'Monthly Data'!BC77</f>
        <v>0</v>
      </c>
      <c r="O77" s="20">
        <f>'GS &lt; 50 OLS model'!$B$5</f>
        <v>-11631489.5525492</v>
      </c>
      <c r="P77" s="20">
        <f>'GS &lt; 50 OLS model'!$B$6*D77</f>
        <v>12689534.908012364</v>
      </c>
      <c r="Q77" s="20">
        <f>'GS &lt; 50 OLS model'!$B$7*E77</f>
        <v>758473.29790743242</v>
      </c>
      <c r="R77" s="20">
        <f>'GS &lt; 50 OLS model'!$B$8*F77</f>
        <v>0</v>
      </c>
      <c r="S77" s="20">
        <f>'GS &lt; 50 OLS model'!$B$9*G77</f>
        <v>2467808.7903881306</v>
      </c>
      <c r="T77" s="20">
        <f>'GS &lt; 50 OLS model'!$B$10*H77</f>
        <v>-366524.74987604638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si="8"/>
        <v>3917802.6938826805</v>
      </c>
      <c r="AA77" s="23">
        <f t="shared" ca="1" si="7"/>
        <v>2.3902397223449244E-2</v>
      </c>
    </row>
    <row r="78" spans="1:27" x14ac:dyDescent="0.3">
      <c r="A78" s="22">
        <f>'Monthly Data'!A78</f>
        <v>41395</v>
      </c>
      <c r="B78" s="56">
        <f t="shared" si="6"/>
        <v>2013</v>
      </c>
      <c r="C78" s="20">
        <f ca="1">'Monthly Data'!H78</f>
        <v>3732528.9220230044</v>
      </c>
      <c r="D78" s="86">
        <f>'Monthly Data'!AC78</f>
        <v>1939</v>
      </c>
      <c r="E78" s="56">
        <f>'Monthly Data'!AK78</f>
        <v>122.2</v>
      </c>
      <c r="F78" s="56">
        <f>'Monthly Data'!AL78</f>
        <v>27</v>
      </c>
      <c r="G78" s="88">
        <f>'Monthly Data'!AQ78</f>
        <v>238.9</v>
      </c>
      <c r="H78" s="88">
        <f>'Monthly Data'!AT78</f>
        <v>77</v>
      </c>
      <c r="I78" s="88">
        <f>'Monthly Data'!AW78</f>
        <v>0</v>
      </c>
      <c r="J78" s="88">
        <f>'Monthly Data'!AZ78</f>
        <v>0</v>
      </c>
      <c r="K78" s="88">
        <f>'Monthly Data'!BA78</f>
        <v>0</v>
      </c>
      <c r="L78" s="88">
        <f>'Monthly Data'!BB78</f>
        <v>0</v>
      </c>
      <c r="M78" s="88">
        <f>'Monthly Data'!BC78</f>
        <v>0</v>
      </c>
      <c r="O78" s="20">
        <f>'GS &lt; 50 OLS model'!$B$5</f>
        <v>-11631489.5525492</v>
      </c>
      <c r="P78" s="20">
        <f>'GS &lt; 50 OLS model'!$B$6*D78</f>
        <v>12702637.163983466</v>
      </c>
      <c r="Q78" s="20">
        <f>'GS &lt; 50 OLS model'!$B$7*E78</f>
        <v>255895.7399345341</v>
      </c>
      <c r="R78" s="20">
        <f>'GS &lt; 50 OLS model'!$B$8*F78</f>
        <v>159971.1538901903</v>
      </c>
      <c r="S78" s="20">
        <f>'GS &lt; 50 OLS model'!$B$9*G78</f>
        <v>2489693.9190191063</v>
      </c>
      <c r="T78" s="20">
        <f>'GS &lt; 50 OLS model'!$B$10*H78</f>
        <v>-371347.44395336276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si="8"/>
        <v>3605360.980324734</v>
      </c>
      <c r="AA78" s="23">
        <f t="shared" ca="1" si="7"/>
        <v>3.4070182537084333E-2</v>
      </c>
    </row>
    <row r="79" spans="1:27" x14ac:dyDescent="0.3">
      <c r="A79" s="22">
        <f>'Monthly Data'!A79</f>
        <v>41426</v>
      </c>
      <c r="B79" s="56">
        <f t="shared" si="6"/>
        <v>2013</v>
      </c>
      <c r="C79" s="20">
        <f ca="1">'Monthly Data'!H79</f>
        <v>3967515.4020230034</v>
      </c>
      <c r="D79" s="86">
        <f>'Monthly Data'!AC79</f>
        <v>1942</v>
      </c>
      <c r="E79" s="56">
        <f>'Monthly Data'!AK79</f>
        <v>41.1</v>
      </c>
      <c r="F79" s="56">
        <f>'Monthly Data'!AL79</f>
        <v>56.800000000000004</v>
      </c>
      <c r="G79" s="88">
        <f>'Monthly Data'!AQ79</f>
        <v>242.6</v>
      </c>
      <c r="H79" s="88">
        <f>'Monthly Data'!AT79</f>
        <v>78</v>
      </c>
      <c r="I79" s="88">
        <f>'Monthly Data'!AW79</f>
        <v>0</v>
      </c>
      <c r="J79" s="88">
        <f>'Monthly Data'!AZ79</f>
        <v>1</v>
      </c>
      <c r="K79" s="88">
        <f>'Monthly Data'!BA79</f>
        <v>0</v>
      </c>
      <c r="L79" s="88">
        <f>'Monthly Data'!BB79</f>
        <v>0</v>
      </c>
      <c r="M79" s="88">
        <f>'Monthly Data'!BC79</f>
        <v>0</v>
      </c>
      <c r="O79" s="20">
        <f>'GS &lt; 50 OLS model'!$B$5</f>
        <v>-11631489.5525492</v>
      </c>
      <c r="P79" s="20">
        <f>'GS &lt; 50 OLS model'!$B$6*D79</f>
        <v>12722290.54794012</v>
      </c>
      <c r="Q79" s="20">
        <f>'GS &lt; 50 OLS model'!$B$7*E79</f>
        <v>86066.406802858852</v>
      </c>
      <c r="R79" s="20">
        <f>'GS &lt; 50 OLS model'!$B$8*F79</f>
        <v>336531.90892454854</v>
      </c>
      <c r="S79" s="20">
        <f>'GS &lt; 50 OLS model'!$B$9*G79</f>
        <v>2528253.431368921</v>
      </c>
      <c r="T79" s="20">
        <f>'GS &lt; 50 OLS model'!$B$10*H79</f>
        <v>-376170.1380306792</v>
      </c>
      <c r="U79" s="20">
        <f>'GS &lt; 50 OLS model'!$B$11*I79</f>
        <v>0</v>
      </c>
      <c r="V79" s="20">
        <f>'GS &lt; 50 OLS model'!$B$12*J79</f>
        <v>359272.711714848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si="8"/>
        <v>4024755.316171417</v>
      </c>
      <c r="AA79" s="23">
        <f t="shared" ca="1" si="7"/>
        <v>1.4427143526456737E-2</v>
      </c>
    </row>
    <row r="80" spans="1:27" x14ac:dyDescent="0.3">
      <c r="A80" s="22">
        <f>'Monthly Data'!A80</f>
        <v>41456</v>
      </c>
      <c r="B80" s="56">
        <f t="shared" si="6"/>
        <v>2013</v>
      </c>
      <c r="C80" s="20">
        <f ca="1">'Monthly Data'!H80</f>
        <v>4325652.3520230027</v>
      </c>
      <c r="D80" s="86">
        <f>'Monthly Data'!AC80</f>
        <v>1941</v>
      </c>
      <c r="E80" s="56">
        <f>'Monthly Data'!AK80</f>
        <v>7.1</v>
      </c>
      <c r="F80" s="56">
        <f>'Monthly Data'!AL80</f>
        <v>108.8</v>
      </c>
      <c r="G80" s="88">
        <f>'Monthly Data'!AQ80</f>
        <v>244.6</v>
      </c>
      <c r="H80" s="88">
        <f>'Monthly Data'!AT80</f>
        <v>79</v>
      </c>
      <c r="I80" s="88">
        <f>'Monthly Data'!AW80</f>
        <v>0</v>
      </c>
      <c r="J80" s="88">
        <f>'Monthly Data'!AZ80</f>
        <v>0</v>
      </c>
      <c r="K80" s="88">
        <f>'Monthly Data'!BA80</f>
        <v>1</v>
      </c>
      <c r="L80" s="88">
        <f>'Monthly Data'!BB80</f>
        <v>0</v>
      </c>
      <c r="M80" s="88">
        <f>'Monthly Data'!BC80</f>
        <v>0</v>
      </c>
      <c r="O80" s="20">
        <f>'GS &lt; 50 OLS model'!$B$5</f>
        <v>-11631489.5525492</v>
      </c>
      <c r="P80" s="20">
        <f>'GS &lt; 50 OLS model'!$B$6*D80</f>
        <v>12715739.419954568</v>
      </c>
      <c r="Q80" s="20">
        <f>'GS &lt; 50 OLS model'!$B$7*E80</f>
        <v>14867.919423364909</v>
      </c>
      <c r="R80" s="20">
        <f>'GS &lt; 50 OLS model'!$B$8*F80</f>
        <v>644624.50160195201</v>
      </c>
      <c r="S80" s="20">
        <f>'GS &lt; 50 OLS model'!$B$9*G80</f>
        <v>2549096.4110174691</v>
      </c>
      <c r="T80" s="20">
        <f>'GS &lt; 50 OLS model'!$B$10*H80</f>
        <v>-380992.83210799558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411098.30587285903</v>
      </c>
      <c r="X80" s="20">
        <f>'GS &lt; 50 OLS model'!$B$14*L80</f>
        <v>0</v>
      </c>
      <c r="Y80" s="20">
        <f>'GS &lt; 50 OLS model'!$B$15*M80</f>
        <v>0</v>
      </c>
      <c r="Z80" s="20">
        <f t="shared" si="8"/>
        <v>4322944.1732130172</v>
      </c>
      <c r="AA80" s="23">
        <f t="shared" ca="1" si="7"/>
        <v>6.2607407844945484E-4</v>
      </c>
    </row>
    <row r="81" spans="1:27" x14ac:dyDescent="0.3">
      <c r="A81" s="22">
        <f>'Monthly Data'!A81</f>
        <v>41487</v>
      </c>
      <c r="B81" s="56">
        <f t="shared" si="6"/>
        <v>2013</v>
      </c>
      <c r="C81" s="20">
        <f ca="1">'Monthly Data'!H81</f>
        <v>4153807.3820230048</v>
      </c>
      <c r="D81" s="86">
        <f>'Monthly Data'!AC81</f>
        <v>1940</v>
      </c>
      <c r="E81" s="56">
        <f>'Monthly Data'!AK81</f>
        <v>18.399999999999999</v>
      </c>
      <c r="F81" s="56">
        <f>'Monthly Data'!AL81</f>
        <v>57.5</v>
      </c>
      <c r="G81" s="88">
        <f>'Monthly Data'!AQ81</f>
        <v>245.6</v>
      </c>
      <c r="H81" s="88">
        <f>'Monthly Data'!AT81</f>
        <v>80</v>
      </c>
      <c r="I81" s="88">
        <f>'Monthly Data'!AW81</f>
        <v>0</v>
      </c>
      <c r="J81" s="88">
        <f>'Monthly Data'!AZ81</f>
        <v>0</v>
      </c>
      <c r="K81" s="88">
        <f>'Monthly Data'!BA81</f>
        <v>0</v>
      </c>
      <c r="L81" s="88">
        <f>'Monthly Data'!BB81</f>
        <v>1</v>
      </c>
      <c r="M81" s="88">
        <f>'Monthly Data'!BC81</f>
        <v>0</v>
      </c>
      <c r="O81" s="20">
        <f>'GS &lt; 50 OLS model'!$B$5</f>
        <v>-11631489.5525492</v>
      </c>
      <c r="P81" s="20">
        <f>'GS &lt; 50 OLS model'!$B$6*D81</f>
        <v>12709188.291969018</v>
      </c>
      <c r="Q81" s="20">
        <f>'GS &lt; 50 OLS model'!$B$7*E81</f>
        <v>38530.946111255536</v>
      </c>
      <c r="R81" s="20">
        <f>'GS &lt; 50 OLS model'!$B$8*F81</f>
        <v>340679.30921059044</v>
      </c>
      <c r="S81" s="20">
        <f>'GS &lt; 50 OLS model'!$B$9*G81</f>
        <v>2559517.9008417437</v>
      </c>
      <c r="T81" s="20">
        <f>'GS &lt; 50 OLS model'!$B$10*H81</f>
        <v>-385815.52618531196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494220.92313005403</v>
      </c>
      <c r="Y81" s="20">
        <f>'GS &lt; 50 OLS model'!$B$15*M81</f>
        <v>0</v>
      </c>
      <c r="Z81" s="20">
        <f t="shared" si="8"/>
        <v>4124832.2925281497</v>
      </c>
      <c r="AA81" s="23">
        <f t="shared" ca="1" si="7"/>
        <v>6.9755496175038269E-3</v>
      </c>
    </row>
    <row r="82" spans="1:27" x14ac:dyDescent="0.3">
      <c r="A82" s="22">
        <f>'Monthly Data'!A82</f>
        <v>41518</v>
      </c>
      <c r="B82" s="56">
        <f t="shared" si="6"/>
        <v>2013</v>
      </c>
      <c r="C82" s="20">
        <f ca="1">'Monthly Data'!H82</f>
        <v>3880420.8520230046</v>
      </c>
      <c r="D82" s="86">
        <f>'Monthly Data'!AC82</f>
        <v>1943</v>
      </c>
      <c r="E82" s="56">
        <f>'Monthly Data'!AK82</f>
        <v>94.9</v>
      </c>
      <c r="F82" s="56">
        <f>'Monthly Data'!AL82</f>
        <v>26</v>
      </c>
      <c r="G82" s="88">
        <f>'Monthly Data'!AQ82</f>
        <v>243.4</v>
      </c>
      <c r="H82" s="88">
        <f>'Monthly Data'!AT82</f>
        <v>81</v>
      </c>
      <c r="I82" s="88">
        <f>'Monthly Data'!AW82</f>
        <v>0</v>
      </c>
      <c r="J82" s="88">
        <f>'Monthly Data'!AZ82</f>
        <v>0</v>
      </c>
      <c r="K82" s="88">
        <f>'Monthly Data'!BA82</f>
        <v>0</v>
      </c>
      <c r="L82" s="88">
        <f>'Monthly Data'!BB82</f>
        <v>0</v>
      </c>
      <c r="M82" s="88">
        <f>'Monthly Data'!BC82</f>
        <v>1</v>
      </c>
      <c r="O82" s="20">
        <f>'GS &lt; 50 OLS model'!$B$5</f>
        <v>-11631489.5525492</v>
      </c>
      <c r="P82" s="20">
        <f>'GS &lt; 50 OLS model'!$B$6*D82</f>
        <v>12728841.67592567</v>
      </c>
      <c r="Q82" s="20">
        <f>'GS &lt; 50 OLS model'!$B$7*E82</f>
        <v>198727.5427151169</v>
      </c>
      <c r="R82" s="20">
        <f>'GS &lt; 50 OLS model'!$B$8*F82</f>
        <v>154046.29633870177</v>
      </c>
      <c r="S82" s="20">
        <f>'GS &lt; 50 OLS model'!$B$9*G82</f>
        <v>2536590.6232283404</v>
      </c>
      <c r="T82" s="20">
        <f>'GS &lt; 50 OLS model'!$B$10*H82</f>
        <v>-390638.2202626284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249265.131543444</v>
      </c>
      <c r="Z82" s="20">
        <f t="shared" si="8"/>
        <v>3845343.4969394449</v>
      </c>
      <c r="AA82" s="23">
        <f t="shared" ca="1" si="7"/>
        <v>9.039574938185517E-3</v>
      </c>
    </row>
    <row r="83" spans="1:27" x14ac:dyDescent="0.3">
      <c r="A83" s="22">
        <f>'Monthly Data'!A83</f>
        <v>41548</v>
      </c>
      <c r="B83" s="56">
        <f t="shared" si="6"/>
        <v>2013</v>
      </c>
      <c r="C83" s="20">
        <f ca="1">'Monthly Data'!H83</f>
        <v>3774400.1020230036</v>
      </c>
      <c r="D83" s="86">
        <f>'Monthly Data'!AC83</f>
        <v>1943</v>
      </c>
      <c r="E83" s="56">
        <f>'Monthly Data'!AK83</f>
        <v>226.6</v>
      </c>
      <c r="F83" s="56">
        <f>'Monthly Data'!AL83</f>
        <v>2.6</v>
      </c>
      <c r="G83" s="88">
        <f>'Monthly Data'!AQ83</f>
        <v>241.6</v>
      </c>
      <c r="H83" s="88">
        <f>'Monthly Data'!AT83</f>
        <v>82</v>
      </c>
      <c r="I83" s="88">
        <f>'Monthly Data'!AW83</f>
        <v>0</v>
      </c>
      <c r="J83" s="88">
        <f>'Monthly Data'!AZ83</f>
        <v>0</v>
      </c>
      <c r="K83" s="88">
        <f>'Monthly Data'!BA83</f>
        <v>0</v>
      </c>
      <c r="L83" s="88">
        <f>'Monthly Data'!BB83</f>
        <v>0</v>
      </c>
      <c r="M83" s="88">
        <f>'Monthly Data'!BC83</f>
        <v>0</v>
      </c>
      <c r="O83" s="20">
        <f>'GS &lt; 50 OLS model'!$B$5</f>
        <v>-11631489.5525492</v>
      </c>
      <c r="P83" s="20">
        <f>'GS &lt; 50 OLS model'!$B$6*D83</f>
        <v>12728841.67592567</v>
      </c>
      <c r="Q83" s="20">
        <f>'GS &lt; 50 OLS model'!$B$7*E83</f>
        <v>474516.97765274486</v>
      </c>
      <c r="R83" s="20">
        <f>'GS &lt; 50 OLS model'!$B$8*F83</f>
        <v>15404.629633870178</v>
      </c>
      <c r="S83" s="20">
        <f>'GS &lt; 50 OLS model'!$B$9*G83</f>
        <v>2517831.9415446469</v>
      </c>
      <c r="T83" s="20">
        <f>'GS &lt; 50 OLS model'!$B$10*H83</f>
        <v>-395460.91433994478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si="8"/>
        <v>3709644.757867787</v>
      </c>
      <c r="AA83" s="23">
        <f t="shared" ca="1" si="7"/>
        <v>1.7156459941941239E-2</v>
      </c>
    </row>
    <row r="84" spans="1:27" x14ac:dyDescent="0.3">
      <c r="A84" s="22">
        <f>'Monthly Data'!A84</f>
        <v>41579</v>
      </c>
      <c r="B84" s="56">
        <f t="shared" si="6"/>
        <v>2013</v>
      </c>
      <c r="C84" s="20">
        <f ca="1">'Monthly Data'!H84</f>
        <v>4293209.9120230032</v>
      </c>
      <c r="D84" s="86">
        <f>'Monthly Data'!AC84</f>
        <v>1946</v>
      </c>
      <c r="E84" s="56">
        <f>'Monthly Data'!AK84</f>
        <v>492.1</v>
      </c>
      <c r="F84" s="56">
        <f>'Monthly Data'!AL84</f>
        <v>0</v>
      </c>
      <c r="G84" s="88">
        <f>'Monthly Data'!AQ84</f>
        <v>238.8</v>
      </c>
      <c r="H84" s="88">
        <f>'Monthly Data'!AT84</f>
        <v>83</v>
      </c>
      <c r="I84" s="88">
        <f>'Monthly Data'!AW84</f>
        <v>0</v>
      </c>
      <c r="J84" s="88">
        <f>'Monthly Data'!AZ84</f>
        <v>0</v>
      </c>
      <c r="K84" s="88">
        <f>'Monthly Data'!BA84</f>
        <v>0</v>
      </c>
      <c r="L84" s="88">
        <f>'Monthly Data'!BB84</f>
        <v>0</v>
      </c>
      <c r="M84" s="88">
        <f>'Monthly Data'!BC84</f>
        <v>0</v>
      </c>
      <c r="O84" s="20">
        <f>'GS &lt; 50 OLS model'!$B$5</f>
        <v>-11631489.5525492</v>
      </c>
      <c r="P84" s="20">
        <f>'GS &lt; 50 OLS model'!$B$6*D84</f>
        <v>12748495.059882324</v>
      </c>
      <c r="Q84" s="20">
        <f>'GS &lt; 50 OLS model'!$B$7*E84</f>
        <v>1030493.4011602637</v>
      </c>
      <c r="R84" s="20">
        <f>'GS &lt; 50 OLS model'!$B$8*F84</f>
        <v>0</v>
      </c>
      <c r="S84" s="20">
        <f>'GS &lt; 50 OLS model'!$B$9*G84</f>
        <v>2488651.7700366792</v>
      </c>
      <c r="T84" s="20">
        <f>'GS &lt; 50 OLS model'!$B$10*H84</f>
        <v>-400283.60841726116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si="8"/>
        <v>4235867.0701128058</v>
      </c>
      <c r="AA84" s="23">
        <f t="shared" ca="1" si="7"/>
        <v>1.3356635963596963E-2</v>
      </c>
    </row>
    <row r="85" spans="1:27" x14ac:dyDescent="0.3">
      <c r="A85" s="22">
        <f>'Monthly Data'!A85</f>
        <v>41609</v>
      </c>
      <c r="B85" s="56">
        <f t="shared" si="6"/>
        <v>2013</v>
      </c>
      <c r="C85" s="20">
        <f ca="1">'Monthly Data'!H85</f>
        <v>4562789.712023003</v>
      </c>
      <c r="D85" s="86">
        <f>'Monthly Data'!AC85</f>
        <v>1946</v>
      </c>
      <c r="E85" s="56">
        <f>'Monthly Data'!AK85</f>
        <v>687.7</v>
      </c>
      <c r="F85" s="56">
        <f>'Monthly Data'!AL85</f>
        <v>0</v>
      </c>
      <c r="G85" s="88">
        <f>'Monthly Data'!AQ85</f>
        <v>237.8</v>
      </c>
      <c r="H85" s="88">
        <f>'Monthly Data'!AT85</f>
        <v>84</v>
      </c>
      <c r="I85" s="88">
        <f>'Monthly Data'!AW85</f>
        <v>0</v>
      </c>
      <c r="J85" s="88">
        <f>'Monthly Data'!AZ85</f>
        <v>0</v>
      </c>
      <c r="K85" s="88">
        <f>'Monthly Data'!BA85</f>
        <v>0</v>
      </c>
      <c r="L85" s="88">
        <f>'Monthly Data'!BB85</f>
        <v>0</v>
      </c>
      <c r="M85" s="88">
        <f>'Monthly Data'!BC85</f>
        <v>0</v>
      </c>
      <c r="O85" s="20">
        <f>'GS &lt; 50 OLS model'!$B$5</f>
        <v>-11631489.5525492</v>
      </c>
      <c r="P85" s="20">
        <f>'GS &lt; 50 OLS model'!$B$6*D85</f>
        <v>12748495.059882324</v>
      </c>
      <c r="Q85" s="20">
        <f>'GS &lt; 50 OLS model'!$B$7*E85</f>
        <v>1440094.1109081758</v>
      </c>
      <c r="R85" s="20">
        <f>'GS &lt; 50 OLS model'!$B$8*F85</f>
        <v>0</v>
      </c>
      <c r="S85" s="20">
        <f>'GS &lt; 50 OLS model'!$B$9*G85</f>
        <v>2478230.2802124051</v>
      </c>
      <c r="T85" s="20">
        <f>'GS &lt; 50 OLS model'!$B$10*H85</f>
        <v>-405106.3024945776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si="8"/>
        <v>4630223.5959591269</v>
      </c>
      <c r="AA85" s="23">
        <f t="shared" ca="1" si="7"/>
        <v>1.477909090538073E-2</v>
      </c>
    </row>
    <row r="86" spans="1:27" x14ac:dyDescent="0.3">
      <c r="A86" s="22">
        <f>'Monthly Data'!A86</f>
        <v>41640</v>
      </c>
      <c r="B86" s="56">
        <f t="shared" si="6"/>
        <v>2014</v>
      </c>
      <c r="C86" s="20">
        <f ca="1">'Monthly Data'!H86</f>
        <v>4988179.5083069578</v>
      </c>
      <c r="D86" s="86">
        <f>'Monthly Data'!AC86</f>
        <v>1949</v>
      </c>
      <c r="E86" s="56">
        <f>'Monthly Data'!AK86</f>
        <v>810.4</v>
      </c>
      <c r="F86" s="56">
        <f>'Monthly Data'!AL86</f>
        <v>0</v>
      </c>
      <c r="G86" s="88">
        <f>'Monthly Data'!AQ86</f>
        <v>234.8</v>
      </c>
      <c r="H86" s="88">
        <f>'Monthly Data'!AT86</f>
        <v>85</v>
      </c>
      <c r="I86" s="88">
        <f>'Monthly Data'!AW86</f>
        <v>0</v>
      </c>
      <c r="J86" s="88">
        <f>'Monthly Data'!AZ86</f>
        <v>0</v>
      </c>
      <c r="K86" s="88">
        <f>'Monthly Data'!BA86</f>
        <v>0</v>
      </c>
      <c r="L86" s="88">
        <f>'Monthly Data'!BB86</f>
        <v>0</v>
      </c>
      <c r="M86" s="88">
        <f>'Monthly Data'!BC86</f>
        <v>0</v>
      </c>
      <c r="O86" s="20">
        <f>'GS &lt; 50 OLS model'!$B$5</f>
        <v>-11631489.5525492</v>
      </c>
      <c r="P86" s="20">
        <f>'GS &lt; 50 OLS model'!$B$6*D86</f>
        <v>12768148.443838978</v>
      </c>
      <c r="Q86" s="20">
        <f>'GS &lt; 50 OLS model'!$B$7*E86</f>
        <v>1697036.8874218201</v>
      </c>
      <c r="R86" s="20">
        <f>'GS &lt; 50 OLS model'!$B$8*F86</f>
        <v>0</v>
      </c>
      <c r="S86" s="20">
        <f>'GS &lt; 50 OLS model'!$B$9*G86</f>
        <v>2446965.8107395824</v>
      </c>
      <c r="T86" s="20">
        <f>'GS &lt; 50 OLS model'!$B$10*H86</f>
        <v>-409928.99657189398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si="8"/>
        <v>4870732.592879287</v>
      </c>
      <c r="AA86" s="23">
        <f t="shared" ca="1" si="7"/>
        <v>2.3545045889403763E-2</v>
      </c>
    </row>
    <row r="87" spans="1:27" x14ac:dyDescent="0.3">
      <c r="A87" s="22">
        <f>'Monthly Data'!A87</f>
        <v>41671</v>
      </c>
      <c r="B87" s="56">
        <f t="shared" si="6"/>
        <v>2014</v>
      </c>
      <c r="C87" s="20">
        <f ca="1">'Monthly Data'!H87</f>
        <v>4723861.3583069593</v>
      </c>
      <c r="D87" s="86">
        <f>'Monthly Data'!AC87</f>
        <v>1950</v>
      </c>
      <c r="E87" s="56">
        <f>'Monthly Data'!AK87</f>
        <v>730</v>
      </c>
      <c r="F87" s="56">
        <f>'Monthly Data'!AL87</f>
        <v>0</v>
      </c>
      <c r="G87" s="88">
        <f>'Monthly Data'!AQ87</f>
        <v>233.9</v>
      </c>
      <c r="H87" s="88">
        <f>'Monthly Data'!AT87</f>
        <v>86</v>
      </c>
      <c r="I87" s="88">
        <f>'Monthly Data'!AW87</f>
        <v>0</v>
      </c>
      <c r="J87" s="88">
        <f>'Monthly Data'!AZ87</f>
        <v>0</v>
      </c>
      <c r="K87" s="88">
        <f>'Monthly Data'!BA87</f>
        <v>0</v>
      </c>
      <c r="L87" s="88">
        <f>'Monthly Data'!BB87</f>
        <v>0</v>
      </c>
      <c r="M87" s="88">
        <f>'Monthly Data'!BC87</f>
        <v>0</v>
      </c>
      <c r="O87" s="20">
        <f>'GS &lt; 50 OLS model'!$B$5</f>
        <v>-11631489.5525492</v>
      </c>
      <c r="P87" s="20">
        <f>'GS &lt; 50 OLS model'!$B$6*D87</f>
        <v>12774699.571824528</v>
      </c>
      <c r="Q87" s="20">
        <f>'GS &lt; 50 OLS model'!$B$7*E87</f>
        <v>1528673.4055008991</v>
      </c>
      <c r="R87" s="20">
        <f>'GS &lt; 50 OLS model'!$B$8*F87</f>
        <v>0</v>
      </c>
      <c r="S87" s="20">
        <f>'GS &lt; 50 OLS model'!$B$9*G87</f>
        <v>2437586.4698977354</v>
      </c>
      <c r="T87" s="20">
        <f>'GS &lt; 50 OLS model'!$B$10*H87</f>
        <v>-414751.69064921036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si="8"/>
        <v>4694718.2040247517</v>
      </c>
      <c r="AA87" s="23">
        <f t="shared" ca="1" si="7"/>
        <v>6.1693500447380957E-3</v>
      </c>
    </row>
    <row r="88" spans="1:27" x14ac:dyDescent="0.3">
      <c r="A88" s="22">
        <f>'Monthly Data'!A88</f>
        <v>41699</v>
      </c>
      <c r="B88" s="56">
        <f t="shared" si="6"/>
        <v>2014</v>
      </c>
      <c r="C88" s="20">
        <f ca="1">'Monthly Data'!H88</f>
        <v>4365203.4383069584</v>
      </c>
      <c r="D88" s="86">
        <f>'Monthly Data'!AC88</f>
        <v>1948</v>
      </c>
      <c r="E88" s="56">
        <f>'Monthly Data'!AK88</f>
        <v>696.3</v>
      </c>
      <c r="F88" s="56">
        <f>'Monthly Data'!AL88</f>
        <v>0</v>
      </c>
      <c r="G88" s="88">
        <f>'Monthly Data'!AQ88</f>
        <v>232.7</v>
      </c>
      <c r="H88" s="88">
        <f>'Monthly Data'!AT88</f>
        <v>87</v>
      </c>
      <c r="I88" s="88">
        <f>'Monthly Data'!AW88</f>
        <v>1</v>
      </c>
      <c r="J88" s="88">
        <f>'Monthly Data'!AZ88</f>
        <v>0</v>
      </c>
      <c r="K88" s="88">
        <f>'Monthly Data'!BA88</f>
        <v>0</v>
      </c>
      <c r="L88" s="88">
        <f>'Monthly Data'!BB88</f>
        <v>0</v>
      </c>
      <c r="M88" s="88">
        <f>'Monthly Data'!BC88</f>
        <v>0</v>
      </c>
      <c r="O88" s="20">
        <f>'GS &lt; 50 OLS model'!$B$5</f>
        <v>-11631489.5525492</v>
      </c>
      <c r="P88" s="20">
        <f>'GS &lt; 50 OLS model'!$B$6*D88</f>
        <v>12761597.315853426</v>
      </c>
      <c r="Q88" s="20">
        <f>'GS &lt; 50 OLS model'!$B$7*E88</f>
        <v>1458103.1400688712</v>
      </c>
      <c r="R88" s="20">
        <f>'GS &lt; 50 OLS model'!$B$8*F88</f>
        <v>0</v>
      </c>
      <c r="S88" s="20">
        <f>'GS &lt; 50 OLS model'!$B$9*G88</f>
        <v>2425080.6821086062</v>
      </c>
      <c r="T88" s="20">
        <f>'GS &lt; 50 OLS model'!$B$10*H88</f>
        <v>-419574.3847265268</v>
      </c>
      <c r="U88" s="20">
        <f>'GS &lt; 50 OLS model'!$B$11*I88</f>
        <v>-156104.06645044801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si="8"/>
        <v>4437613.1343047284</v>
      </c>
      <c r="AA88" s="23">
        <f t="shared" ca="1" si="7"/>
        <v>1.6587931586953483E-2</v>
      </c>
    </row>
    <row r="89" spans="1:27" x14ac:dyDescent="0.3">
      <c r="A89" s="22">
        <f>'Monthly Data'!A89</f>
        <v>41730</v>
      </c>
      <c r="B89" s="56">
        <f t="shared" si="6"/>
        <v>2014</v>
      </c>
      <c r="C89" s="20">
        <f ca="1">'Monthly Data'!H89</f>
        <v>3766948.9683069587</v>
      </c>
      <c r="D89" s="86">
        <f>'Monthly Data'!AC89</f>
        <v>1947</v>
      </c>
      <c r="E89" s="56">
        <f>'Monthly Data'!AK89</f>
        <v>353.8</v>
      </c>
      <c r="F89" s="56">
        <f>'Monthly Data'!AL89</f>
        <v>0</v>
      </c>
      <c r="G89" s="88">
        <f>'Monthly Data'!AQ89</f>
        <v>236</v>
      </c>
      <c r="H89" s="88">
        <f>'Monthly Data'!AT89</f>
        <v>88</v>
      </c>
      <c r="I89" s="88">
        <f>'Monthly Data'!AW89</f>
        <v>0</v>
      </c>
      <c r="J89" s="88">
        <f>'Monthly Data'!AZ89</f>
        <v>0</v>
      </c>
      <c r="K89" s="88">
        <f>'Monthly Data'!BA89</f>
        <v>0</v>
      </c>
      <c r="L89" s="88">
        <f>'Monthly Data'!BB89</f>
        <v>0</v>
      </c>
      <c r="M89" s="88">
        <f>'Monthly Data'!BC89</f>
        <v>0</v>
      </c>
      <c r="O89" s="20">
        <f>'GS &lt; 50 OLS model'!$B$5</f>
        <v>-11631489.5525492</v>
      </c>
      <c r="P89" s="20">
        <f>'GS &lt; 50 OLS model'!$B$6*D89</f>
        <v>12755046.187867876</v>
      </c>
      <c r="Q89" s="20">
        <f>'GS &lt; 50 OLS model'!$B$7*E89</f>
        <v>740883.08337838098</v>
      </c>
      <c r="R89" s="20">
        <f>'GS &lt; 50 OLS model'!$B$8*F89</f>
        <v>0</v>
      </c>
      <c r="S89" s="20">
        <f>'GS &lt; 50 OLS model'!$B$9*G89</f>
        <v>2459471.5985287111</v>
      </c>
      <c r="T89" s="20">
        <f>'GS &lt; 50 OLS model'!$B$10*H89</f>
        <v>-424397.07880384318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si="8"/>
        <v>3899514.2384219249</v>
      </c>
      <c r="AA89" s="23">
        <f t="shared" ca="1" si="7"/>
        <v>3.5191681976660061E-2</v>
      </c>
    </row>
    <row r="90" spans="1:27" x14ac:dyDescent="0.3">
      <c r="A90" s="22">
        <f>'Monthly Data'!A90</f>
        <v>41760</v>
      </c>
      <c r="B90" s="56">
        <f t="shared" si="6"/>
        <v>2014</v>
      </c>
      <c r="C90" s="20">
        <f ca="1">'Monthly Data'!H90</f>
        <v>3605187.9783069585</v>
      </c>
      <c r="D90" s="86">
        <f>'Monthly Data'!AC90</f>
        <v>1950</v>
      </c>
      <c r="E90" s="56">
        <f>'Monthly Data'!AK90</f>
        <v>142.5</v>
      </c>
      <c r="F90" s="56">
        <f>'Monthly Data'!AL90</f>
        <v>12.2</v>
      </c>
      <c r="G90" s="88">
        <f>'Monthly Data'!AQ90</f>
        <v>239.7</v>
      </c>
      <c r="H90" s="88">
        <f>'Monthly Data'!AT90</f>
        <v>89</v>
      </c>
      <c r="I90" s="88">
        <f>'Monthly Data'!AW90</f>
        <v>0</v>
      </c>
      <c r="J90" s="88">
        <f>'Monthly Data'!AZ90</f>
        <v>0</v>
      </c>
      <c r="K90" s="88">
        <f>'Monthly Data'!BA90</f>
        <v>0</v>
      </c>
      <c r="L90" s="88">
        <f>'Monthly Data'!BB90</f>
        <v>0</v>
      </c>
      <c r="M90" s="88">
        <f>'Monthly Data'!BC90</f>
        <v>0</v>
      </c>
      <c r="O90" s="20">
        <f>'GS &lt; 50 OLS model'!$B$5</f>
        <v>-11631489.5525492</v>
      </c>
      <c r="P90" s="20">
        <f>'GS &lt; 50 OLS model'!$B$6*D90</f>
        <v>12774699.571824528</v>
      </c>
      <c r="Q90" s="20">
        <f>'GS &lt; 50 OLS model'!$B$7*E90</f>
        <v>298405.42504640837</v>
      </c>
      <c r="R90" s="20">
        <f>'GS &lt; 50 OLS model'!$B$8*F90</f>
        <v>72283.262128160059</v>
      </c>
      <c r="S90" s="20">
        <f>'GS &lt; 50 OLS model'!$B$9*G90</f>
        <v>2498031.1108785258</v>
      </c>
      <c r="T90" s="20">
        <f>'GS &lt; 50 OLS model'!$B$10*H90</f>
        <v>-429219.77288115956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si="8"/>
        <v>3582710.0444472628</v>
      </c>
      <c r="AA90" s="23">
        <f t="shared" ca="1" si="7"/>
        <v>6.2348853915383355E-3</v>
      </c>
    </row>
    <row r="91" spans="1:27" x14ac:dyDescent="0.3">
      <c r="A91" s="22">
        <f>'Monthly Data'!A91</f>
        <v>41791</v>
      </c>
      <c r="B91" s="56">
        <f t="shared" si="6"/>
        <v>2014</v>
      </c>
      <c r="C91" s="20">
        <f ca="1">'Monthly Data'!H91</f>
        <v>4050140.2383069587</v>
      </c>
      <c r="D91" s="86">
        <f>'Monthly Data'!AC91</f>
        <v>1950</v>
      </c>
      <c r="E91" s="56">
        <f>'Monthly Data'!AK91</f>
        <v>19.7</v>
      </c>
      <c r="F91" s="56">
        <f>'Monthly Data'!AL91</f>
        <v>71.900000000000006</v>
      </c>
      <c r="G91" s="88">
        <f>'Monthly Data'!AQ91</f>
        <v>245.2</v>
      </c>
      <c r="H91" s="88">
        <f>'Monthly Data'!AT91</f>
        <v>90</v>
      </c>
      <c r="I91" s="88">
        <f>'Monthly Data'!AW91</f>
        <v>0</v>
      </c>
      <c r="J91" s="88">
        <f>'Monthly Data'!AZ91</f>
        <v>1</v>
      </c>
      <c r="K91" s="88">
        <f>'Monthly Data'!BA91</f>
        <v>0</v>
      </c>
      <c r="L91" s="88">
        <f>'Monthly Data'!BB91</f>
        <v>0</v>
      </c>
      <c r="M91" s="88">
        <f>'Monthly Data'!BC91</f>
        <v>0</v>
      </c>
      <c r="O91" s="20">
        <f>'GS &lt; 50 OLS model'!$B$5</f>
        <v>-11631489.5525492</v>
      </c>
      <c r="P91" s="20">
        <f>'GS &lt; 50 OLS model'!$B$6*D91</f>
        <v>12774699.571824528</v>
      </c>
      <c r="Q91" s="20">
        <f>'GS &lt; 50 OLS model'!$B$7*E91</f>
        <v>41253.241216942071</v>
      </c>
      <c r="R91" s="20">
        <f>'GS &lt; 50 OLS model'!$B$8*F91</f>
        <v>425997.25795202533</v>
      </c>
      <c r="S91" s="20">
        <f>'GS &lt; 50 OLS model'!$B$9*G91</f>
        <v>2555349.304912034</v>
      </c>
      <c r="T91" s="20">
        <f>'GS &lt; 50 OLS model'!$B$10*H91</f>
        <v>-434042.466958476</v>
      </c>
      <c r="U91" s="20">
        <f>'GS &lt; 50 OLS model'!$B$11*I91</f>
        <v>0</v>
      </c>
      <c r="V91" s="20">
        <f>'GS &lt; 50 OLS model'!$B$12*J91</f>
        <v>359272.711714848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si="8"/>
        <v>4091040.0681127012</v>
      </c>
      <c r="AA91" s="23">
        <f t="shared" ca="1" si="7"/>
        <v>1.0098373735038727E-2</v>
      </c>
    </row>
    <row r="92" spans="1:27" x14ac:dyDescent="0.3">
      <c r="A92" s="22">
        <f>'Monthly Data'!A92</f>
        <v>41821</v>
      </c>
      <c r="B92" s="56">
        <f t="shared" si="6"/>
        <v>2014</v>
      </c>
      <c r="C92" s="20">
        <f ca="1">'Monthly Data'!H92</f>
        <v>4025113.7683069585</v>
      </c>
      <c r="D92" s="86">
        <f>'Monthly Data'!AC92</f>
        <v>1949</v>
      </c>
      <c r="E92" s="56">
        <f>'Monthly Data'!AK92</f>
        <v>21.5</v>
      </c>
      <c r="F92" s="56">
        <f>'Monthly Data'!AL92</f>
        <v>47.6</v>
      </c>
      <c r="G92" s="88">
        <f>'Monthly Data'!AQ92</f>
        <v>249.4</v>
      </c>
      <c r="H92" s="88">
        <f>'Monthly Data'!AT92</f>
        <v>91</v>
      </c>
      <c r="I92" s="88">
        <f>'Monthly Data'!AW92</f>
        <v>0</v>
      </c>
      <c r="J92" s="88">
        <f>'Monthly Data'!AZ92</f>
        <v>0</v>
      </c>
      <c r="K92" s="88">
        <f>'Monthly Data'!BA92</f>
        <v>1</v>
      </c>
      <c r="L92" s="88">
        <f>'Monthly Data'!BB92</f>
        <v>0</v>
      </c>
      <c r="M92" s="88">
        <f>'Monthly Data'!BC92</f>
        <v>0</v>
      </c>
      <c r="O92" s="20">
        <f>'GS &lt; 50 OLS model'!$B$5</f>
        <v>-11631489.5525492</v>
      </c>
      <c r="P92" s="20">
        <f>'GS &lt; 50 OLS model'!$B$6*D92</f>
        <v>12768148.443838978</v>
      </c>
      <c r="Q92" s="20">
        <f>'GS &lt; 50 OLS model'!$B$7*E92</f>
        <v>45022.572901738808</v>
      </c>
      <c r="R92" s="20">
        <f>'GS &lt; 50 OLS model'!$B$8*F92</f>
        <v>282023.219450854</v>
      </c>
      <c r="S92" s="20">
        <f>'GS &lt; 50 OLS model'!$B$9*G92</f>
        <v>2599119.5621739854</v>
      </c>
      <c r="T92" s="20">
        <f>'GS &lt; 50 OLS model'!$B$10*H92</f>
        <v>-438865.16103579238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411098.30587285903</v>
      </c>
      <c r="X92" s="20">
        <f>'GS &lt; 50 OLS model'!$B$14*L92</f>
        <v>0</v>
      </c>
      <c r="Y92" s="20">
        <f>'GS &lt; 50 OLS model'!$B$15*M92</f>
        <v>0</v>
      </c>
      <c r="Z92" s="20">
        <f t="shared" si="8"/>
        <v>4035057.390653423</v>
      </c>
      <c r="AA92" s="23">
        <f t="shared" ca="1" si="7"/>
        <v>2.4703953524888877E-3</v>
      </c>
    </row>
    <row r="93" spans="1:27" x14ac:dyDescent="0.3">
      <c r="A93" s="22">
        <f>'Monthly Data'!A93</f>
        <v>41852</v>
      </c>
      <c r="B93" s="56">
        <f t="shared" si="6"/>
        <v>2014</v>
      </c>
      <c r="C93" s="20">
        <f ca="1">'Monthly Data'!H93</f>
        <v>4111661.3483069586</v>
      </c>
      <c r="D93" s="86">
        <f>'Monthly Data'!AC93</f>
        <v>1948</v>
      </c>
      <c r="E93" s="56">
        <f>'Monthly Data'!AK93</f>
        <v>14.5</v>
      </c>
      <c r="F93" s="56">
        <f>'Monthly Data'!AL93</f>
        <v>53.4</v>
      </c>
      <c r="G93" s="88">
        <f>'Monthly Data'!AQ93</f>
        <v>251.5</v>
      </c>
      <c r="H93" s="88">
        <f>'Monthly Data'!AT93</f>
        <v>92</v>
      </c>
      <c r="I93" s="88">
        <f>'Monthly Data'!AW93</f>
        <v>0</v>
      </c>
      <c r="J93" s="88">
        <f>'Monthly Data'!AZ93</f>
        <v>0</v>
      </c>
      <c r="K93" s="88">
        <f>'Monthly Data'!BA93</f>
        <v>0</v>
      </c>
      <c r="L93" s="88">
        <f>'Monthly Data'!BB93</f>
        <v>1</v>
      </c>
      <c r="M93" s="88">
        <f>'Monthly Data'!BC93</f>
        <v>0</v>
      </c>
      <c r="O93" s="20">
        <f>'GS &lt; 50 OLS model'!$B$5</f>
        <v>-11631489.5525492</v>
      </c>
      <c r="P93" s="20">
        <f>'GS &lt; 50 OLS model'!$B$6*D93</f>
        <v>12761597.315853426</v>
      </c>
      <c r="Q93" s="20">
        <f>'GS &lt; 50 OLS model'!$B$7*E93</f>
        <v>30364.060794195942</v>
      </c>
      <c r="R93" s="20">
        <f>'GS &lt; 50 OLS model'!$B$8*F93</f>
        <v>316387.3932494875</v>
      </c>
      <c r="S93" s="20">
        <f>'GS &lt; 50 OLS model'!$B$9*G93</f>
        <v>2621004.6908049611</v>
      </c>
      <c r="T93" s="20">
        <f>'GS &lt; 50 OLS model'!$B$10*H93</f>
        <v>-443687.85511310876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494220.92313005403</v>
      </c>
      <c r="Y93" s="20">
        <f>'GS &lt; 50 OLS model'!$B$15*M93</f>
        <v>0</v>
      </c>
      <c r="Z93" s="20">
        <f t="shared" si="8"/>
        <v>4148396.9761698162</v>
      </c>
      <c r="AA93" s="23">
        <f t="shared" ca="1" si="7"/>
        <v>8.9344974575749359E-3</v>
      </c>
    </row>
    <row r="94" spans="1:27" x14ac:dyDescent="0.3">
      <c r="A94" s="22">
        <f>'Monthly Data'!A94</f>
        <v>41883</v>
      </c>
      <c r="B94" s="56">
        <f t="shared" si="6"/>
        <v>2014</v>
      </c>
      <c r="C94" s="20">
        <f ca="1">'Monthly Data'!H94</f>
        <v>3802027.328306959</v>
      </c>
      <c r="D94" s="86">
        <f>'Monthly Data'!AC94</f>
        <v>1948</v>
      </c>
      <c r="E94" s="56">
        <f>'Monthly Data'!AK94</f>
        <v>86.2</v>
      </c>
      <c r="F94" s="56">
        <f>'Monthly Data'!AL94</f>
        <v>17.600000000000001</v>
      </c>
      <c r="G94" s="88">
        <f>'Monthly Data'!AQ94</f>
        <v>248.2</v>
      </c>
      <c r="H94" s="88">
        <f>'Monthly Data'!AT94</f>
        <v>93</v>
      </c>
      <c r="I94" s="88">
        <f>'Monthly Data'!AW94</f>
        <v>0</v>
      </c>
      <c r="J94" s="88">
        <f>'Monthly Data'!AZ94</f>
        <v>0</v>
      </c>
      <c r="K94" s="88">
        <f>'Monthly Data'!BA94</f>
        <v>0</v>
      </c>
      <c r="L94" s="88">
        <f>'Monthly Data'!BB94</f>
        <v>0</v>
      </c>
      <c r="M94" s="88">
        <f>'Monthly Data'!BC94</f>
        <v>1</v>
      </c>
      <c r="O94" s="20">
        <f>'GS &lt; 50 OLS model'!$B$5</f>
        <v>-11631489.5525492</v>
      </c>
      <c r="P94" s="20">
        <f>'GS &lt; 50 OLS model'!$B$6*D94</f>
        <v>12761597.315853426</v>
      </c>
      <c r="Q94" s="20">
        <f>'GS &lt; 50 OLS model'!$B$7*E94</f>
        <v>180509.10623859934</v>
      </c>
      <c r="R94" s="20">
        <f>'GS &lt; 50 OLS model'!$B$8*F94</f>
        <v>104277.49290619812</v>
      </c>
      <c r="S94" s="20">
        <f>'GS &lt; 50 OLS model'!$B$9*G94</f>
        <v>2586613.7743848562</v>
      </c>
      <c r="T94" s="20">
        <f>'GS &lt; 50 OLS model'!$B$10*H94</f>
        <v>-448510.5491904252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249265.131543444</v>
      </c>
      <c r="Z94" s="20">
        <f t="shared" si="8"/>
        <v>3802262.7191868988</v>
      </c>
      <c r="AA94" s="23">
        <f t="shared" ca="1" si="7"/>
        <v>6.1911937925126736E-5</v>
      </c>
    </row>
    <row r="95" spans="1:27" x14ac:dyDescent="0.3">
      <c r="A95" s="22">
        <f>'Monthly Data'!A95</f>
        <v>41913</v>
      </c>
      <c r="B95" s="56">
        <f t="shared" si="6"/>
        <v>2014</v>
      </c>
      <c r="C95" s="20">
        <f ca="1">'Monthly Data'!H95</f>
        <v>3630927.0783069585</v>
      </c>
      <c r="D95" s="86">
        <f>'Monthly Data'!AC95</f>
        <v>1950</v>
      </c>
      <c r="E95" s="56">
        <f>'Monthly Data'!AK95</f>
        <v>247.1</v>
      </c>
      <c r="F95" s="56">
        <f>'Monthly Data'!AL95</f>
        <v>0</v>
      </c>
      <c r="G95" s="88">
        <f>'Monthly Data'!AQ95</f>
        <v>245.7</v>
      </c>
      <c r="H95" s="88">
        <f>'Monthly Data'!AT95</f>
        <v>94</v>
      </c>
      <c r="I95" s="88">
        <f>'Monthly Data'!AW95</f>
        <v>0</v>
      </c>
      <c r="J95" s="88">
        <f>'Monthly Data'!AZ95</f>
        <v>0</v>
      </c>
      <c r="K95" s="88">
        <f>'Monthly Data'!BA95</f>
        <v>0</v>
      </c>
      <c r="L95" s="88">
        <f>'Monthly Data'!BB95</f>
        <v>0</v>
      </c>
      <c r="M95" s="88">
        <f>'Monthly Data'!BC95</f>
        <v>0</v>
      </c>
      <c r="O95" s="20">
        <f>'GS &lt; 50 OLS model'!$B$5</f>
        <v>-11631489.5525492</v>
      </c>
      <c r="P95" s="20">
        <f>'GS &lt; 50 OLS model'!$B$6*D95</f>
        <v>12774699.571824528</v>
      </c>
      <c r="Q95" s="20">
        <f>'GS &lt; 50 OLS model'!$B$7*E95</f>
        <v>517445.47739626328</v>
      </c>
      <c r="R95" s="20">
        <f>'GS &lt; 50 OLS model'!$B$8*F95</f>
        <v>0</v>
      </c>
      <c r="S95" s="20">
        <f>'GS &lt; 50 OLS model'!$B$9*G95</f>
        <v>2560560.0498241708</v>
      </c>
      <c r="T95" s="20">
        <f>'GS &lt; 50 OLS model'!$B$10*H95</f>
        <v>-453333.24326774158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si="8"/>
        <v>3767882.3032280202</v>
      </c>
      <c r="AA95" s="23">
        <f t="shared" ca="1" si="7"/>
        <v>3.7719078892909527E-2</v>
      </c>
    </row>
    <row r="96" spans="1:27" x14ac:dyDescent="0.3">
      <c r="A96" s="22">
        <f>'Monthly Data'!A96</f>
        <v>41944</v>
      </c>
      <c r="B96" s="56">
        <f t="shared" si="6"/>
        <v>2014</v>
      </c>
      <c r="C96" s="20">
        <f ca="1">'Monthly Data'!H96</f>
        <v>4650784.3883069586</v>
      </c>
      <c r="D96" s="86">
        <f>'Monthly Data'!AC96</f>
        <v>1970</v>
      </c>
      <c r="E96" s="56">
        <f>'Monthly Data'!AK96</f>
        <v>503.7</v>
      </c>
      <c r="F96" s="56">
        <f>'Monthly Data'!AL96</f>
        <v>0</v>
      </c>
      <c r="G96" s="88">
        <f>'Monthly Data'!AQ96</f>
        <v>244.2</v>
      </c>
      <c r="H96" s="88">
        <f>'Monthly Data'!AT96</f>
        <v>95</v>
      </c>
      <c r="I96" s="88">
        <f>'Monthly Data'!AW96</f>
        <v>0</v>
      </c>
      <c r="J96" s="88">
        <f>'Monthly Data'!AZ96</f>
        <v>0</v>
      </c>
      <c r="K96" s="88">
        <f>'Monthly Data'!BA96</f>
        <v>0</v>
      </c>
      <c r="L96" s="88">
        <f>'Monthly Data'!BB96</f>
        <v>0</v>
      </c>
      <c r="M96" s="88">
        <f>'Monthly Data'!BC96</f>
        <v>0</v>
      </c>
      <c r="O96" s="20">
        <f>'GS &lt; 50 OLS model'!$B$5</f>
        <v>-11631489.5525492</v>
      </c>
      <c r="P96" s="20">
        <f>'GS &lt; 50 OLS model'!$B$6*D96</f>
        <v>12905722.131535549</v>
      </c>
      <c r="Q96" s="20">
        <f>'GS &lt; 50 OLS model'!$B$7*E96</f>
        <v>1054784.6497956205</v>
      </c>
      <c r="R96" s="20">
        <f>'GS &lt; 50 OLS model'!$B$8*F96</f>
        <v>0</v>
      </c>
      <c r="S96" s="20">
        <f>'GS &lt; 50 OLS model'!$B$9*G96</f>
        <v>2544927.8150877594</v>
      </c>
      <c r="T96" s="20">
        <f>'GS &lt; 50 OLS model'!$B$10*H96</f>
        <v>-458155.93734505796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si="8"/>
        <v>4415789.1065246705</v>
      </c>
      <c r="AA96" s="23">
        <f t="shared" ca="1" si="7"/>
        <v>5.0528096372972099E-2</v>
      </c>
    </row>
    <row r="97" spans="1:27" x14ac:dyDescent="0.3">
      <c r="A97" s="22">
        <f>'Monthly Data'!A97</f>
        <v>41974</v>
      </c>
      <c r="B97" s="56">
        <f t="shared" si="6"/>
        <v>2014</v>
      </c>
      <c r="C97" s="20">
        <f ca="1">'Monthly Data'!H97</f>
        <v>4868518.578306959</v>
      </c>
      <c r="D97" s="86">
        <f>'Monthly Data'!AC97</f>
        <v>1976</v>
      </c>
      <c r="E97" s="56">
        <f>'Monthly Data'!AK97</f>
        <v>567.5</v>
      </c>
      <c r="F97" s="56">
        <f>'Monthly Data'!AL97</f>
        <v>0</v>
      </c>
      <c r="G97" s="88">
        <f>'Monthly Data'!AQ97</f>
        <v>246</v>
      </c>
      <c r="H97" s="88">
        <f>'Monthly Data'!AT97</f>
        <v>96</v>
      </c>
      <c r="I97" s="88">
        <f>'Monthly Data'!AW97</f>
        <v>0</v>
      </c>
      <c r="J97" s="88">
        <f>'Monthly Data'!AZ97</f>
        <v>0</v>
      </c>
      <c r="K97" s="88">
        <f>'Monthly Data'!BA97</f>
        <v>0</v>
      </c>
      <c r="L97" s="88">
        <f>'Monthly Data'!BB97</f>
        <v>0</v>
      </c>
      <c r="M97" s="88">
        <f>'Monthly Data'!BC97</f>
        <v>0</v>
      </c>
      <c r="O97" s="20">
        <f>'GS &lt; 50 OLS model'!$B$5</f>
        <v>-11631489.5525492</v>
      </c>
      <c r="P97" s="20">
        <f>'GS &lt; 50 OLS model'!$B$6*D97</f>
        <v>12945028.899448855</v>
      </c>
      <c r="Q97" s="20">
        <f>'GS &lt; 50 OLS model'!$B$7*E97</f>
        <v>1188386.5172900825</v>
      </c>
      <c r="R97" s="20">
        <f>'GS &lt; 50 OLS model'!$B$8*F97</f>
        <v>0</v>
      </c>
      <c r="S97" s="20">
        <f>'GS &lt; 50 OLS model'!$B$9*G97</f>
        <v>2563686.4967714534</v>
      </c>
      <c r="T97" s="20">
        <f>'GS &lt; 50 OLS model'!$B$10*H97</f>
        <v>-462978.6314223744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si="8"/>
        <v>4602633.729538817</v>
      </c>
      <c r="AA97" s="23">
        <f t="shared" ca="1" si="7"/>
        <v>5.4613091126501208E-2</v>
      </c>
    </row>
    <row r="98" spans="1:27" s="80" customFormat="1" x14ac:dyDescent="0.3">
      <c r="A98" s="22">
        <f>'Monthly Data'!A98</f>
        <v>42005</v>
      </c>
      <c r="B98" s="80">
        <f t="shared" ref="B98:B121" si="9">YEAR(A98)</f>
        <v>2015</v>
      </c>
      <c r="C98" s="20">
        <f ca="1">'Monthly Data'!H98</f>
        <v>5465130.6709063211</v>
      </c>
      <c r="D98" s="86">
        <f>'Monthly Data'!AC98</f>
        <v>1988</v>
      </c>
      <c r="E98" s="80">
        <f>'Monthly Data'!AK98</f>
        <v>812.90000000000009</v>
      </c>
      <c r="F98" s="80">
        <f>'Monthly Data'!AL98</f>
        <v>0</v>
      </c>
      <c r="G98" s="88">
        <f>'Monthly Data'!AQ98</f>
        <v>247.2</v>
      </c>
      <c r="H98" s="88">
        <f>'Monthly Data'!AT98</f>
        <v>97</v>
      </c>
      <c r="I98" s="88">
        <f>'Monthly Data'!AW98</f>
        <v>0</v>
      </c>
      <c r="J98" s="88">
        <f>'Monthly Data'!AZ98</f>
        <v>0</v>
      </c>
      <c r="K98" s="88">
        <f>'Monthly Data'!BA98</f>
        <v>0</v>
      </c>
      <c r="L98" s="88">
        <f>'Monthly Data'!BB98</f>
        <v>0</v>
      </c>
      <c r="M98" s="88">
        <f>'Monthly Data'!BC98</f>
        <v>0</v>
      </c>
      <c r="O98" s="20">
        <f>'GS &lt; 50 OLS model'!$B$5</f>
        <v>-11631489.5525492</v>
      </c>
      <c r="P98" s="20">
        <f>'GS &lt; 50 OLS model'!$B$6*D98</f>
        <v>13023642.435275467</v>
      </c>
      <c r="Q98" s="20">
        <f>'GS &lt; 50 OLS model'!$B$7*E98</f>
        <v>1702272.0703173713</v>
      </c>
      <c r="R98" s="20">
        <f>'GS &lt; 50 OLS model'!$B$8*F98</f>
        <v>0</v>
      </c>
      <c r="S98" s="20">
        <f>'GS &lt; 50 OLS model'!$B$9*G98</f>
        <v>2576192.2845605821</v>
      </c>
      <c r="T98" s="20">
        <f>'GS &lt; 50 OLS model'!$B$10*H98</f>
        <v>-467801.32549969078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si="8"/>
        <v>5202815.9121045293</v>
      </c>
      <c r="AA98" s="23">
        <f t="shared" ref="AA98:AA121" ca="1" si="10">ABS(Z98-C98)/C98</f>
        <v>4.7997893298000562E-2</v>
      </c>
    </row>
    <row r="99" spans="1:27" s="80" customFormat="1" x14ac:dyDescent="0.3">
      <c r="A99" s="22">
        <f>'Monthly Data'!A99</f>
        <v>42036</v>
      </c>
      <c r="B99" s="80">
        <f t="shared" si="9"/>
        <v>2015</v>
      </c>
      <c r="C99" s="20">
        <f ca="1">'Monthly Data'!H99</f>
        <v>5405912.5809063204</v>
      </c>
      <c r="D99" s="86">
        <f>'Monthly Data'!AC99</f>
        <v>1991</v>
      </c>
      <c r="E99" s="80">
        <f>'Monthly Data'!AK99</f>
        <v>871.4</v>
      </c>
      <c r="F99" s="80">
        <f>'Monthly Data'!AL99</f>
        <v>0</v>
      </c>
      <c r="G99" s="88">
        <f>'Monthly Data'!AQ99</f>
        <v>246.5</v>
      </c>
      <c r="H99" s="88">
        <f>'Monthly Data'!AT99</f>
        <v>98</v>
      </c>
      <c r="I99" s="88">
        <f>'Monthly Data'!AW99</f>
        <v>0</v>
      </c>
      <c r="J99" s="88">
        <f>'Monthly Data'!AZ99</f>
        <v>0</v>
      </c>
      <c r="K99" s="88">
        <f>'Monthly Data'!BA99</f>
        <v>0</v>
      </c>
      <c r="L99" s="88">
        <f>'Monthly Data'!BB99</f>
        <v>0</v>
      </c>
      <c r="M99" s="88">
        <f>'Monthly Data'!BC99</f>
        <v>0</v>
      </c>
      <c r="O99" s="20">
        <f>'GS &lt; 50 OLS model'!$B$5</f>
        <v>-11631489.5525492</v>
      </c>
      <c r="P99" s="20">
        <f>'GS &lt; 50 OLS model'!$B$6*D99</f>
        <v>13043295.819232121</v>
      </c>
      <c r="Q99" s="20">
        <f>'GS &lt; 50 OLS model'!$B$7*E99</f>
        <v>1824775.3500732651</v>
      </c>
      <c r="R99" s="20">
        <f>'GS &lt; 50 OLS model'!$B$8*F99</f>
        <v>0</v>
      </c>
      <c r="S99" s="20">
        <f>'GS &lt; 50 OLS model'!$B$9*G99</f>
        <v>2568897.2416835902</v>
      </c>
      <c r="T99" s="20">
        <f>'GS &lt; 50 OLS model'!$B$10*H99</f>
        <v>-472624.01957700716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si="8"/>
        <v>5332854.8388627693</v>
      </c>
      <c r="AA99" s="23">
        <f t="shared" ca="1" si="10"/>
        <v>1.3514414254790386E-2</v>
      </c>
    </row>
    <row r="100" spans="1:27" s="80" customFormat="1" x14ac:dyDescent="0.3">
      <c r="A100" s="22">
        <f>'Monthly Data'!A100</f>
        <v>42064</v>
      </c>
      <c r="B100" s="80">
        <f t="shared" si="9"/>
        <v>2015</v>
      </c>
      <c r="C100" s="20">
        <f ca="1">'Monthly Data'!H100</f>
        <v>4793328.4009063197</v>
      </c>
      <c r="D100" s="86">
        <f>'Monthly Data'!AC100</f>
        <v>1990</v>
      </c>
      <c r="E100" s="80">
        <f>'Monthly Data'!AK100</f>
        <v>640.1</v>
      </c>
      <c r="F100" s="80">
        <f>'Monthly Data'!AL100</f>
        <v>0</v>
      </c>
      <c r="G100" s="88">
        <f>'Monthly Data'!AQ100</f>
        <v>244.5</v>
      </c>
      <c r="H100" s="88">
        <f>'Monthly Data'!AT100</f>
        <v>99</v>
      </c>
      <c r="I100" s="88">
        <f>'Monthly Data'!AW100</f>
        <v>1</v>
      </c>
      <c r="J100" s="88">
        <f>'Monthly Data'!AZ100</f>
        <v>0</v>
      </c>
      <c r="K100" s="88">
        <f>'Monthly Data'!BA100</f>
        <v>0</v>
      </c>
      <c r="L100" s="88">
        <f>'Monthly Data'!BB100</f>
        <v>0</v>
      </c>
      <c r="M100" s="88">
        <f>'Monthly Data'!BC100</f>
        <v>0</v>
      </c>
      <c r="O100" s="20">
        <f>'GS &lt; 50 OLS model'!$B$5</f>
        <v>-11631489.5525492</v>
      </c>
      <c r="P100" s="20">
        <f>'GS &lt; 50 OLS model'!$B$6*D100</f>
        <v>13036744.691246569</v>
      </c>
      <c r="Q100" s="20">
        <f>'GS &lt; 50 OLS model'!$B$7*E100</f>
        <v>1340416.2285768844</v>
      </c>
      <c r="R100" s="20">
        <f>'GS &lt; 50 OLS model'!$B$8*F100</f>
        <v>0</v>
      </c>
      <c r="S100" s="20">
        <f>'GS &lt; 50 OLS model'!$B$9*G100</f>
        <v>2548054.262035042</v>
      </c>
      <c r="T100" s="20">
        <f>'GS &lt; 50 OLS model'!$B$10*H100</f>
        <v>-477446.71365432354</v>
      </c>
      <c r="U100" s="20">
        <f>'GS &lt; 50 OLS model'!$B$11*I100</f>
        <v>-156104.06645044801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si="8"/>
        <v>4660174.8492045244</v>
      </c>
      <c r="AA100" s="23">
        <f t="shared" ca="1" si="10"/>
        <v>2.7778933668850796E-2</v>
      </c>
    </row>
    <row r="101" spans="1:27" s="80" customFormat="1" x14ac:dyDescent="0.3">
      <c r="A101" s="22">
        <f>'Monthly Data'!A101</f>
        <v>42095</v>
      </c>
      <c r="B101" s="80">
        <f t="shared" si="9"/>
        <v>2015</v>
      </c>
      <c r="C101" s="20">
        <f ca="1">'Monthly Data'!H101</f>
        <v>4101859.6609063204</v>
      </c>
      <c r="D101" s="86">
        <f>'Monthly Data'!AC101</f>
        <v>1989</v>
      </c>
      <c r="E101" s="80">
        <f>'Monthly Data'!AK101</f>
        <v>336.59999999999997</v>
      </c>
      <c r="F101" s="80">
        <f>'Monthly Data'!AL101</f>
        <v>0</v>
      </c>
      <c r="G101" s="88">
        <f>'Monthly Data'!AQ101</f>
        <v>241.6</v>
      </c>
      <c r="H101" s="88">
        <f>'Monthly Data'!AT101</f>
        <v>100</v>
      </c>
      <c r="I101" s="88">
        <f>'Monthly Data'!AW101</f>
        <v>0</v>
      </c>
      <c r="J101" s="88">
        <f>'Monthly Data'!AZ101</f>
        <v>0</v>
      </c>
      <c r="K101" s="88">
        <f>'Monthly Data'!BA101</f>
        <v>0</v>
      </c>
      <c r="L101" s="88">
        <f>'Monthly Data'!BB101</f>
        <v>0</v>
      </c>
      <c r="M101" s="88">
        <f>'Monthly Data'!BC101</f>
        <v>0</v>
      </c>
      <c r="O101" s="20">
        <f>'GS &lt; 50 OLS model'!$B$5</f>
        <v>-11631489.5525492</v>
      </c>
      <c r="P101" s="20">
        <f>'GS &lt; 50 OLS model'!$B$6*D101</f>
        <v>13030193.563261019</v>
      </c>
      <c r="Q101" s="20">
        <f>'GS &lt; 50 OLS model'!$B$7*E101</f>
        <v>704865.02505698986</v>
      </c>
      <c r="R101" s="20">
        <f>'GS &lt; 50 OLS model'!$B$8*F101</f>
        <v>0</v>
      </c>
      <c r="S101" s="20">
        <f>'GS &lt; 50 OLS model'!$B$9*G101</f>
        <v>2517831.9415446469</v>
      </c>
      <c r="T101" s="20">
        <f>'GS &lt; 50 OLS model'!$B$10*H101</f>
        <v>-482269.40773163998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si="8"/>
        <v>4139131.569581815</v>
      </c>
      <c r="AA101" s="23">
        <f t="shared" ca="1" si="10"/>
        <v>9.0865879763568618E-3</v>
      </c>
    </row>
    <row r="102" spans="1:27" s="80" customFormat="1" x14ac:dyDescent="0.3">
      <c r="A102" s="22">
        <f>'Monthly Data'!A102</f>
        <v>42125</v>
      </c>
      <c r="B102" s="80">
        <f t="shared" si="9"/>
        <v>2015</v>
      </c>
      <c r="C102" s="20">
        <f ca="1">'Monthly Data'!H102</f>
        <v>3978663.1209063213</v>
      </c>
      <c r="D102" s="86">
        <f>'Monthly Data'!AC102</f>
        <v>1989</v>
      </c>
      <c r="E102" s="80">
        <f>'Monthly Data'!AK102</f>
        <v>104.7</v>
      </c>
      <c r="F102" s="80">
        <f>'Monthly Data'!AL102</f>
        <v>34.9</v>
      </c>
      <c r="G102" s="88">
        <f>'Monthly Data'!AQ102</f>
        <v>243.2</v>
      </c>
      <c r="H102" s="88">
        <f>'Monthly Data'!AT102</f>
        <v>101</v>
      </c>
      <c r="I102" s="88">
        <f>'Monthly Data'!AW102</f>
        <v>0</v>
      </c>
      <c r="J102" s="88">
        <f>'Monthly Data'!AZ102</f>
        <v>0</v>
      </c>
      <c r="K102" s="88">
        <f>'Monthly Data'!BA102</f>
        <v>0</v>
      </c>
      <c r="L102" s="88">
        <f>'Monthly Data'!BB102</f>
        <v>0</v>
      </c>
      <c r="M102" s="88">
        <f>'Monthly Data'!BC102</f>
        <v>0</v>
      </c>
      <c r="O102" s="20">
        <f>'GS &lt; 50 OLS model'!$B$5</f>
        <v>-11631489.5525492</v>
      </c>
      <c r="P102" s="20">
        <f>'GS &lt; 50 OLS model'!$B$6*D102</f>
        <v>13030193.563261019</v>
      </c>
      <c r="Q102" s="20">
        <f>'GS &lt; 50 OLS model'!$B$7*E102</f>
        <v>219249.45966567693</v>
      </c>
      <c r="R102" s="20">
        <f>'GS &lt; 50 OLS model'!$B$8*F102</f>
        <v>206777.52854694967</v>
      </c>
      <c r="S102" s="20">
        <f>'GS &lt; 50 OLS model'!$B$9*G102</f>
        <v>2534506.3252634853</v>
      </c>
      <c r="T102" s="20">
        <f>'GS &lt; 50 OLS model'!$B$10*H102</f>
        <v>-487092.10180895636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si="8"/>
        <v>3872145.2223789743</v>
      </c>
      <c r="AA102" s="23">
        <f t="shared" ca="1" si="10"/>
        <v>2.6772283877877733E-2</v>
      </c>
    </row>
    <row r="103" spans="1:27" s="80" customFormat="1" x14ac:dyDescent="0.3">
      <c r="A103" s="22">
        <f>'Monthly Data'!A103</f>
        <v>42156</v>
      </c>
      <c r="B103" s="80">
        <f t="shared" si="9"/>
        <v>2015</v>
      </c>
      <c r="C103" s="20">
        <f ca="1">'Monthly Data'!H103</f>
        <v>4185557.47090632</v>
      </c>
      <c r="D103" s="86">
        <f>'Monthly Data'!AC103</f>
        <v>1990</v>
      </c>
      <c r="E103" s="80">
        <f>'Monthly Data'!AK103</f>
        <v>29.7</v>
      </c>
      <c r="F103" s="80">
        <f>'Monthly Data'!AL103</f>
        <v>30.4</v>
      </c>
      <c r="G103" s="88">
        <f>'Monthly Data'!AQ103</f>
        <v>251.7</v>
      </c>
      <c r="H103" s="88">
        <f>'Monthly Data'!AT103</f>
        <v>102</v>
      </c>
      <c r="I103" s="88">
        <f>'Monthly Data'!AW103</f>
        <v>0</v>
      </c>
      <c r="J103" s="88">
        <f>'Monthly Data'!AZ103</f>
        <v>1</v>
      </c>
      <c r="K103" s="88">
        <f>'Monthly Data'!BA103</f>
        <v>0</v>
      </c>
      <c r="L103" s="88">
        <f>'Monthly Data'!BB103</f>
        <v>0</v>
      </c>
      <c r="M103" s="88">
        <f>'Monthly Data'!BC103</f>
        <v>0</v>
      </c>
      <c r="O103" s="20">
        <f>'GS &lt; 50 OLS model'!$B$5</f>
        <v>-11631489.5525492</v>
      </c>
      <c r="P103" s="20">
        <f>'GS &lt; 50 OLS model'!$B$6*D103</f>
        <v>13036744.691246569</v>
      </c>
      <c r="Q103" s="20">
        <f>'GS &lt; 50 OLS model'!$B$7*E103</f>
        <v>62193.97279914617</v>
      </c>
      <c r="R103" s="20">
        <f>'GS &lt; 50 OLS model'!$B$8*F103</f>
        <v>180115.6695652513</v>
      </c>
      <c r="S103" s="20">
        <f>'GS &lt; 50 OLS model'!$B$9*G103</f>
        <v>2623088.9887698162</v>
      </c>
      <c r="T103" s="20">
        <f>'GS &lt; 50 OLS model'!$B$10*H103</f>
        <v>-491914.79588627274</v>
      </c>
      <c r="U103" s="20">
        <f>'GS &lt; 50 OLS model'!$B$11*I103</f>
        <v>0</v>
      </c>
      <c r="V103" s="20">
        <f>'GS &lt; 50 OLS model'!$B$12*J103</f>
        <v>359272.711714848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si="8"/>
        <v>4138011.6856601583</v>
      </c>
      <c r="AA103" s="23">
        <f t="shared" ca="1" si="10"/>
        <v>1.1359486896703968E-2</v>
      </c>
    </row>
    <row r="104" spans="1:27" s="80" customFormat="1" x14ac:dyDescent="0.3">
      <c r="A104" s="22">
        <f>'Monthly Data'!A104</f>
        <v>42186</v>
      </c>
      <c r="B104" s="80">
        <f t="shared" si="9"/>
        <v>2015</v>
      </c>
      <c r="C104" s="20">
        <f ca="1">'Monthly Data'!H104</f>
        <v>4473730.8109063208</v>
      </c>
      <c r="D104" s="86">
        <f>'Monthly Data'!AC104</f>
        <v>1989</v>
      </c>
      <c r="E104" s="80">
        <f>'Monthly Data'!AK104</f>
        <v>7</v>
      </c>
      <c r="F104" s="80">
        <f>'Monthly Data'!AL104</f>
        <v>76.400000000000006</v>
      </c>
      <c r="G104" s="88">
        <f>'Monthly Data'!AQ104</f>
        <v>257.2</v>
      </c>
      <c r="H104" s="88">
        <f>'Monthly Data'!AT104</f>
        <v>103</v>
      </c>
      <c r="I104" s="88">
        <f>'Monthly Data'!AW104</f>
        <v>0</v>
      </c>
      <c r="J104" s="88">
        <f>'Monthly Data'!AZ104</f>
        <v>0</v>
      </c>
      <c r="K104" s="88">
        <f>'Monthly Data'!BA104</f>
        <v>1</v>
      </c>
      <c r="L104" s="88">
        <f>'Monthly Data'!BB104</f>
        <v>0</v>
      </c>
      <c r="M104" s="88">
        <f>'Monthly Data'!BC104</f>
        <v>0</v>
      </c>
      <c r="O104" s="20">
        <f>'GS &lt; 50 OLS model'!$B$5</f>
        <v>-11631489.5525492</v>
      </c>
      <c r="P104" s="20">
        <f>'GS &lt; 50 OLS model'!$B$6*D104</f>
        <v>13030193.563261019</v>
      </c>
      <c r="Q104" s="20">
        <f>'GS &lt; 50 OLS model'!$B$7*E104</f>
        <v>14658.512107542869</v>
      </c>
      <c r="R104" s="20">
        <f>'GS &lt; 50 OLS model'!$B$8*F104</f>
        <v>452659.11693372368</v>
      </c>
      <c r="S104" s="20">
        <f>'GS &lt; 50 OLS model'!$B$9*G104</f>
        <v>2680407.182803324</v>
      </c>
      <c r="T104" s="20">
        <f>'GS &lt; 50 OLS model'!$B$10*H104</f>
        <v>-496737.48996358918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411098.30587285903</v>
      </c>
      <c r="X104" s="20">
        <f>'GS &lt; 50 OLS model'!$B$14*L104</f>
        <v>0</v>
      </c>
      <c r="Y104" s="20">
        <f>'GS &lt; 50 OLS model'!$B$15*M104</f>
        <v>0</v>
      </c>
      <c r="Z104" s="20">
        <f t="shared" si="8"/>
        <v>4460789.6384656802</v>
      </c>
      <c r="AA104" s="23">
        <f t="shared" ca="1" si="10"/>
        <v>2.8927025312054733E-3</v>
      </c>
    </row>
    <row r="105" spans="1:27" s="80" customFormat="1" x14ac:dyDescent="0.3">
      <c r="A105" s="22">
        <f>'Monthly Data'!A105</f>
        <v>42217</v>
      </c>
      <c r="B105" s="80">
        <f t="shared" si="9"/>
        <v>2015</v>
      </c>
      <c r="C105" s="20">
        <f ca="1">'Monthly Data'!H105</f>
        <v>4421161.6909063198</v>
      </c>
      <c r="D105" s="86">
        <f>'Monthly Data'!AC105</f>
        <v>1991</v>
      </c>
      <c r="E105" s="80">
        <f>'Monthly Data'!AK105</f>
        <v>14</v>
      </c>
      <c r="F105" s="80">
        <f>'Monthly Data'!AL105</f>
        <v>61.6</v>
      </c>
      <c r="G105" s="88">
        <f>'Monthly Data'!AQ105</f>
        <v>262.10000000000002</v>
      </c>
      <c r="H105" s="88">
        <f>'Monthly Data'!AT105</f>
        <v>104</v>
      </c>
      <c r="I105" s="88">
        <f>'Monthly Data'!AW105</f>
        <v>0</v>
      </c>
      <c r="J105" s="88">
        <f>'Monthly Data'!AZ105</f>
        <v>0</v>
      </c>
      <c r="K105" s="88">
        <f>'Monthly Data'!BA105</f>
        <v>0</v>
      </c>
      <c r="L105" s="88">
        <f>'Monthly Data'!BB105</f>
        <v>1</v>
      </c>
      <c r="M105" s="88">
        <f>'Monthly Data'!BC105</f>
        <v>0</v>
      </c>
      <c r="O105" s="20">
        <f>'GS &lt; 50 OLS model'!$B$5</f>
        <v>-11631489.5525492</v>
      </c>
      <c r="P105" s="20">
        <f>'GS &lt; 50 OLS model'!$B$6*D105</f>
        <v>13043295.819232121</v>
      </c>
      <c r="Q105" s="20">
        <f>'GS &lt; 50 OLS model'!$B$7*E105</f>
        <v>29317.024215085738</v>
      </c>
      <c r="R105" s="20">
        <f>'GS &lt; 50 OLS model'!$B$8*F105</f>
        <v>364971.22517169343</v>
      </c>
      <c r="S105" s="20">
        <f>'GS &lt; 50 OLS model'!$B$9*G105</f>
        <v>2731472.4829422683</v>
      </c>
      <c r="T105" s="20">
        <f>'GS &lt; 50 OLS model'!$B$10*H105</f>
        <v>-501560.18404090556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494220.92313005403</v>
      </c>
      <c r="Y105" s="20">
        <f>'GS &lt; 50 OLS model'!$B$15*M105</f>
        <v>0</v>
      </c>
      <c r="Z105" s="20">
        <f t="shared" si="8"/>
        <v>4530227.7381011173</v>
      </c>
      <c r="AA105" s="23">
        <f t="shared" ca="1" si="10"/>
        <v>2.4669092609557887E-2</v>
      </c>
    </row>
    <row r="106" spans="1:27" s="80" customFormat="1" x14ac:dyDescent="0.3">
      <c r="A106" s="22">
        <f>'Monthly Data'!A106</f>
        <v>42248</v>
      </c>
      <c r="B106" s="80">
        <f t="shared" si="9"/>
        <v>2015</v>
      </c>
      <c r="C106" s="20">
        <f ca="1">'Monthly Data'!H106</f>
        <v>4253621.7809063196</v>
      </c>
      <c r="D106" s="86">
        <f>'Monthly Data'!AC106</f>
        <v>1989</v>
      </c>
      <c r="E106" s="80">
        <f>'Monthly Data'!AK106</f>
        <v>34.6</v>
      </c>
      <c r="F106" s="80">
        <f>'Monthly Data'!AL106</f>
        <v>54.2</v>
      </c>
      <c r="G106" s="88">
        <f>'Monthly Data'!AQ106</f>
        <v>256.39999999999998</v>
      </c>
      <c r="H106" s="88">
        <f>'Monthly Data'!AT106</f>
        <v>105</v>
      </c>
      <c r="I106" s="88">
        <f>'Monthly Data'!AW106</f>
        <v>0</v>
      </c>
      <c r="J106" s="88">
        <f>'Monthly Data'!AZ106</f>
        <v>0</v>
      </c>
      <c r="K106" s="88">
        <f>'Monthly Data'!BA106</f>
        <v>0</v>
      </c>
      <c r="L106" s="88">
        <f>'Monthly Data'!BB106</f>
        <v>0</v>
      </c>
      <c r="M106" s="88">
        <f>'Monthly Data'!BC106</f>
        <v>1</v>
      </c>
      <c r="O106" s="20">
        <f>'GS &lt; 50 OLS model'!$B$5</f>
        <v>-11631489.5525492</v>
      </c>
      <c r="P106" s="20">
        <f>'GS &lt; 50 OLS model'!$B$6*D106</f>
        <v>13030193.563261019</v>
      </c>
      <c r="Q106" s="20">
        <f>'GS &lt; 50 OLS model'!$B$7*E106</f>
        <v>72454.931274426184</v>
      </c>
      <c r="R106" s="20">
        <f>'GS &lt; 50 OLS model'!$B$8*F106</f>
        <v>321127.27929067833</v>
      </c>
      <c r="S106" s="20">
        <f>'GS &lt; 50 OLS model'!$B$9*G106</f>
        <v>2672069.9909439045</v>
      </c>
      <c r="T106" s="20">
        <f>'GS &lt; 50 OLS model'!$B$10*H106</f>
        <v>-506382.87811822194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249265.131543444</v>
      </c>
      <c r="Z106" s="20">
        <f t="shared" si="8"/>
        <v>4207238.4656460499</v>
      </c>
      <c r="AA106" s="23">
        <f t="shared" ca="1" si="10"/>
        <v>1.0904428660882676E-2</v>
      </c>
    </row>
    <row r="107" spans="1:27" s="80" customFormat="1" x14ac:dyDescent="0.3">
      <c r="A107" s="22">
        <f>'Monthly Data'!A107</f>
        <v>42278</v>
      </c>
      <c r="B107" s="80">
        <f t="shared" si="9"/>
        <v>2015</v>
      </c>
      <c r="C107" s="20">
        <f ca="1">'Monthly Data'!H107</f>
        <v>3879620.5809063204</v>
      </c>
      <c r="D107" s="86">
        <f>'Monthly Data'!AC107</f>
        <v>1987</v>
      </c>
      <c r="E107" s="80">
        <f>'Monthly Data'!AK107</f>
        <v>254.9</v>
      </c>
      <c r="F107" s="80">
        <f>'Monthly Data'!AL107</f>
        <v>0</v>
      </c>
      <c r="G107" s="88">
        <f>'Monthly Data'!AQ107</f>
        <v>257.10000000000002</v>
      </c>
      <c r="H107" s="88">
        <f>'Monthly Data'!AT107</f>
        <v>106</v>
      </c>
      <c r="I107" s="88">
        <f>'Monthly Data'!AW107</f>
        <v>0</v>
      </c>
      <c r="J107" s="88">
        <f>'Monthly Data'!AZ107</f>
        <v>0</v>
      </c>
      <c r="K107" s="88">
        <f>'Monthly Data'!BA107</f>
        <v>0</v>
      </c>
      <c r="L107" s="88">
        <f>'Monthly Data'!BB107</f>
        <v>0</v>
      </c>
      <c r="M107" s="88">
        <f>'Monthly Data'!BC107</f>
        <v>0</v>
      </c>
      <c r="O107" s="20">
        <f>'GS &lt; 50 OLS model'!$B$5</f>
        <v>-11631489.5525492</v>
      </c>
      <c r="P107" s="20">
        <f>'GS &lt; 50 OLS model'!$B$6*D107</f>
        <v>13017091.307289917</v>
      </c>
      <c r="Q107" s="20">
        <f>'GS &lt; 50 OLS model'!$B$7*E107</f>
        <v>533779.24803038244</v>
      </c>
      <c r="R107" s="20">
        <f>'GS &lt; 50 OLS model'!$B$8*F107</f>
        <v>0</v>
      </c>
      <c r="S107" s="20">
        <f>'GS &lt; 50 OLS model'!$B$9*G107</f>
        <v>2679365.0338208969</v>
      </c>
      <c r="T107" s="20">
        <f>'GS &lt; 50 OLS model'!$B$10*H107</f>
        <v>-511205.57219553838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si="8"/>
        <v>4087540.4643964581</v>
      </c>
      <c r="AA107" s="23">
        <f t="shared" ca="1" si="10"/>
        <v>5.3592839597104487E-2</v>
      </c>
    </row>
    <row r="108" spans="1:27" s="80" customFormat="1" x14ac:dyDescent="0.3">
      <c r="A108" s="22">
        <f>'Monthly Data'!A108</f>
        <v>42309</v>
      </c>
      <c r="B108" s="80">
        <f t="shared" si="9"/>
        <v>2015</v>
      </c>
      <c r="C108" s="20">
        <f ca="1">'Monthly Data'!H108</f>
        <v>4136697.9909063196</v>
      </c>
      <c r="D108" s="86">
        <f>'Monthly Data'!AC108</f>
        <v>1990</v>
      </c>
      <c r="E108" s="80">
        <f>'Monthly Data'!AK108</f>
        <v>349.79999999999995</v>
      </c>
      <c r="F108" s="80">
        <f>'Monthly Data'!AL108</f>
        <v>0</v>
      </c>
      <c r="G108" s="88">
        <f>'Monthly Data'!AQ108</f>
        <v>253.9</v>
      </c>
      <c r="H108" s="88">
        <f>'Monthly Data'!AT108</f>
        <v>107</v>
      </c>
      <c r="I108" s="88">
        <f>'Monthly Data'!AW108</f>
        <v>0</v>
      </c>
      <c r="J108" s="88">
        <f>'Monthly Data'!AZ108</f>
        <v>0</v>
      </c>
      <c r="K108" s="88">
        <f>'Monthly Data'!BA108</f>
        <v>0</v>
      </c>
      <c r="L108" s="88">
        <f>'Monthly Data'!BB108</f>
        <v>0</v>
      </c>
      <c r="M108" s="88">
        <f>'Monthly Data'!BC108</f>
        <v>0</v>
      </c>
      <c r="O108" s="20">
        <f>'GS &lt; 50 OLS model'!$B$5</f>
        <v>-11631489.5525492</v>
      </c>
      <c r="P108" s="20">
        <f>'GS &lt; 50 OLS model'!$B$6*D108</f>
        <v>13036744.691246569</v>
      </c>
      <c r="Q108" s="20">
        <f>'GS &lt; 50 OLS model'!$B$7*E108</f>
        <v>732506.79074549931</v>
      </c>
      <c r="R108" s="20">
        <f>'GS &lt; 50 OLS model'!$B$8*F108</f>
        <v>0</v>
      </c>
      <c r="S108" s="20">
        <f>'GS &lt; 50 OLS model'!$B$9*G108</f>
        <v>2646016.2663832195</v>
      </c>
      <c r="T108" s="20">
        <f>'GS &lt; 50 OLS model'!$B$10*H108</f>
        <v>-516028.26627285476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si="8"/>
        <v>4267749.9295532331</v>
      </c>
      <c r="AA108" s="23">
        <f t="shared" ca="1" si="10"/>
        <v>3.1680325451605186E-2</v>
      </c>
    </row>
    <row r="109" spans="1:27" s="80" customFormat="1" x14ac:dyDescent="0.3">
      <c r="A109" s="22">
        <f>'Monthly Data'!A109</f>
        <v>42339</v>
      </c>
      <c r="B109" s="80">
        <f t="shared" si="9"/>
        <v>2015</v>
      </c>
      <c r="C109" s="20">
        <f ca="1">'Monthly Data'!H109</f>
        <v>4318344.3209063206</v>
      </c>
      <c r="D109" s="86">
        <f>'Monthly Data'!AC109</f>
        <v>1989</v>
      </c>
      <c r="E109" s="80">
        <f>'Monthly Data'!AK109</f>
        <v>447.8</v>
      </c>
      <c r="F109" s="80">
        <f>'Monthly Data'!AL109</f>
        <v>0</v>
      </c>
      <c r="G109" s="88">
        <f>'Monthly Data'!AQ109</f>
        <v>255.3</v>
      </c>
      <c r="H109" s="88">
        <f>'Monthly Data'!AT109</f>
        <v>108</v>
      </c>
      <c r="I109" s="88">
        <f>'Monthly Data'!AW109</f>
        <v>0</v>
      </c>
      <c r="J109" s="88">
        <f>'Monthly Data'!AZ109</f>
        <v>0</v>
      </c>
      <c r="K109" s="88">
        <f>'Monthly Data'!BA109</f>
        <v>0</v>
      </c>
      <c r="L109" s="88">
        <f>'Monthly Data'!BB109</f>
        <v>0</v>
      </c>
      <c r="M109" s="88">
        <f>'Monthly Data'!BC109</f>
        <v>0</v>
      </c>
      <c r="O109" s="20">
        <f>'GS &lt; 50 OLS model'!$B$5</f>
        <v>-11631489.5525492</v>
      </c>
      <c r="P109" s="20">
        <f>'GS &lt; 50 OLS model'!$B$6*D109</f>
        <v>13030193.563261019</v>
      </c>
      <c r="Q109" s="20">
        <f>'GS &lt; 50 OLS model'!$B$7*E109</f>
        <v>937725.96025109955</v>
      </c>
      <c r="R109" s="20">
        <f>'GS &lt; 50 OLS model'!$B$8*F109</f>
        <v>0</v>
      </c>
      <c r="S109" s="20">
        <f>'GS &lt; 50 OLS model'!$B$9*G109</f>
        <v>2660606.3521372033</v>
      </c>
      <c r="T109" s="20">
        <f>'GS &lt; 50 OLS model'!$B$10*H109</f>
        <v>-520850.96035017114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si="8"/>
        <v>4476185.362749951</v>
      </c>
      <c r="AA109" s="23">
        <f t="shared" ca="1" si="10"/>
        <v>3.6551286815985809E-2</v>
      </c>
    </row>
    <row r="110" spans="1:27" s="80" customFormat="1" x14ac:dyDescent="0.3">
      <c r="A110" s="22">
        <f>'Monthly Data'!A110</f>
        <v>42370</v>
      </c>
      <c r="B110" s="80">
        <f t="shared" si="9"/>
        <v>2016</v>
      </c>
      <c r="C110" s="20">
        <f ca="1">'Monthly Data'!H110</f>
        <v>4894772.1616346641</v>
      </c>
      <c r="D110" s="86">
        <f>'Monthly Data'!AC110</f>
        <v>1989</v>
      </c>
      <c r="E110" s="80">
        <f>'Monthly Data'!AK110</f>
        <v>693.9</v>
      </c>
      <c r="F110" s="80">
        <f>'Monthly Data'!AL110</f>
        <v>0</v>
      </c>
      <c r="G110" s="88">
        <f>'Monthly Data'!AQ110</f>
        <v>253.1</v>
      </c>
      <c r="H110" s="88">
        <f>'Monthly Data'!AT110</f>
        <v>109</v>
      </c>
      <c r="I110" s="88">
        <f>'Monthly Data'!AW110</f>
        <v>0</v>
      </c>
      <c r="J110" s="88">
        <f>'Monthly Data'!AZ110</f>
        <v>0</v>
      </c>
      <c r="K110" s="88">
        <f>'Monthly Data'!BA110</f>
        <v>0</v>
      </c>
      <c r="L110" s="88">
        <f>'Monthly Data'!BB110</f>
        <v>0</v>
      </c>
      <c r="M110" s="88">
        <f>'Monthly Data'!BC110</f>
        <v>0</v>
      </c>
      <c r="O110" s="20">
        <f>'GS &lt; 50 OLS model'!$B$5</f>
        <v>-11631489.5525492</v>
      </c>
      <c r="P110" s="20">
        <f>'GS &lt; 50 OLS model'!$B$6*D110</f>
        <v>13030193.563261019</v>
      </c>
      <c r="Q110" s="20">
        <f>'GS &lt; 50 OLS model'!$B$7*E110</f>
        <v>1453077.3644891423</v>
      </c>
      <c r="R110" s="20">
        <f>'GS &lt; 50 OLS model'!$B$8*F110</f>
        <v>0</v>
      </c>
      <c r="S110" s="20">
        <f>'GS &lt; 50 OLS model'!$B$9*G110</f>
        <v>2637679.0745238001</v>
      </c>
      <c r="T110" s="20">
        <f>'GS &lt; 50 OLS model'!$B$10*H110</f>
        <v>-525673.65442748752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si="8"/>
        <v>4963786.7952972744</v>
      </c>
      <c r="AA110" s="23">
        <f t="shared" ca="1" si="10"/>
        <v>1.4099662125961365E-2</v>
      </c>
    </row>
    <row r="111" spans="1:27" s="80" customFormat="1" x14ac:dyDescent="0.3">
      <c r="A111" s="22">
        <f>'Monthly Data'!A111</f>
        <v>42401</v>
      </c>
      <c r="B111" s="80">
        <f t="shared" si="9"/>
        <v>2016</v>
      </c>
      <c r="C111" s="20">
        <f ca="1">'Monthly Data'!H111</f>
        <v>4646896.3716346631</v>
      </c>
      <c r="D111" s="86">
        <f>'Monthly Data'!AC111</f>
        <v>1989</v>
      </c>
      <c r="E111" s="80">
        <f>'Monthly Data'!AK111</f>
        <v>599.1</v>
      </c>
      <c r="F111" s="80">
        <f>'Monthly Data'!AL111</f>
        <v>0</v>
      </c>
      <c r="G111" s="88">
        <f>'Monthly Data'!AQ111</f>
        <v>250</v>
      </c>
      <c r="H111" s="88">
        <f>'Monthly Data'!AT111</f>
        <v>110</v>
      </c>
      <c r="I111" s="88">
        <f>'Monthly Data'!AW111</f>
        <v>0</v>
      </c>
      <c r="J111" s="88">
        <f>'Monthly Data'!AZ111</f>
        <v>0</v>
      </c>
      <c r="K111" s="88">
        <f>'Monthly Data'!BA111</f>
        <v>0</v>
      </c>
      <c r="L111" s="88">
        <f>'Monthly Data'!BB111</f>
        <v>0</v>
      </c>
      <c r="M111" s="88">
        <f>'Monthly Data'!BC111</f>
        <v>0</v>
      </c>
      <c r="O111" s="20">
        <f>'GS &lt; 50 OLS model'!$B$5</f>
        <v>-11631489.5525492</v>
      </c>
      <c r="P111" s="20">
        <f>'GS &lt; 50 OLS model'!$B$6*D111</f>
        <v>13030193.563261019</v>
      </c>
      <c r="Q111" s="20">
        <f>'GS &lt; 50 OLS model'!$B$7*E111</f>
        <v>1254559.2290898475</v>
      </c>
      <c r="R111" s="20">
        <f>'GS &lt; 50 OLS model'!$B$8*F111</f>
        <v>0</v>
      </c>
      <c r="S111" s="20">
        <f>'GS &lt; 50 OLS model'!$B$9*G111</f>
        <v>2605372.4560685502</v>
      </c>
      <c r="T111" s="20">
        <f>'GS &lt; 50 OLS model'!$B$10*H111</f>
        <v>-530496.34850480396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si="8"/>
        <v>4728139.3473654129</v>
      </c>
      <c r="AA111" s="23">
        <f t="shared" ca="1" si="10"/>
        <v>1.7483276844017615E-2</v>
      </c>
    </row>
    <row r="112" spans="1:27" s="80" customFormat="1" x14ac:dyDescent="0.3">
      <c r="A112" s="22">
        <f>'Monthly Data'!A112</f>
        <v>42430</v>
      </c>
      <c r="B112" s="80">
        <f t="shared" si="9"/>
        <v>2016</v>
      </c>
      <c r="C112" s="20">
        <f ca="1">'Monthly Data'!H112</f>
        <v>4418409.7216346655</v>
      </c>
      <c r="D112" s="86">
        <f>'Monthly Data'!AC112</f>
        <v>1988</v>
      </c>
      <c r="E112" s="80">
        <f>'Monthly Data'!AK112</f>
        <v>460.90000000000003</v>
      </c>
      <c r="F112" s="80">
        <f>'Monthly Data'!AL112</f>
        <v>0</v>
      </c>
      <c r="G112" s="88">
        <f>'Monthly Data'!AQ112</f>
        <v>246.4</v>
      </c>
      <c r="H112" s="88">
        <f>'Monthly Data'!AT112</f>
        <v>111</v>
      </c>
      <c r="I112" s="88">
        <f>'Monthly Data'!AW112</f>
        <v>1</v>
      </c>
      <c r="J112" s="88">
        <f>'Monthly Data'!AZ112</f>
        <v>0</v>
      </c>
      <c r="K112" s="88">
        <f>'Monthly Data'!BA112</f>
        <v>0</v>
      </c>
      <c r="L112" s="88">
        <f>'Monthly Data'!BB112</f>
        <v>0</v>
      </c>
      <c r="M112" s="88">
        <f>'Monthly Data'!BC112</f>
        <v>0</v>
      </c>
      <c r="O112" s="20">
        <f>'GS &lt; 50 OLS model'!$B$5</f>
        <v>-11631489.5525492</v>
      </c>
      <c r="P112" s="20">
        <f>'GS &lt; 50 OLS model'!$B$6*D112</f>
        <v>13023642.435275467</v>
      </c>
      <c r="Q112" s="20">
        <f>'GS &lt; 50 OLS model'!$B$7*E112</f>
        <v>965158.31862378691</v>
      </c>
      <c r="R112" s="20">
        <f>'GS &lt; 50 OLS model'!$B$8*F112</f>
        <v>0</v>
      </c>
      <c r="S112" s="20">
        <f>'GS &lt; 50 OLS model'!$B$9*G112</f>
        <v>2567855.0927011631</v>
      </c>
      <c r="T112" s="20">
        <f>'GS &lt; 50 OLS model'!$B$10*H112</f>
        <v>-535319.0425821204</v>
      </c>
      <c r="U112" s="20">
        <f>'GS &lt; 50 OLS model'!$B$11*I112</f>
        <v>-156104.06645044801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si="8"/>
        <v>4233743.1850186484</v>
      </c>
      <c r="AA112" s="23">
        <f t="shared" ca="1" si="10"/>
        <v>4.1794796827419753E-2</v>
      </c>
    </row>
    <row r="113" spans="1:27" s="80" customFormat="1" x14ac:dyDescent="0.3">
      <c r="A113" s="22">
        <f>'Monthly Data'!A113</f>
        <v>42461</v>
      </c>
      <c r="B113" s="80">
        <f t="shared" si="9"/>
        <v>2016</v>
      </c>
      <c r="C113" s="20">
        <f ca="1">'Monthly Data'!H113</f>
        <v>4147092.0016346639</v>
      </c>
      <c r="D113" s="86">
        <f>'Monthly Data'!AC113</f>
        <v>1989</v>
      </c>
      <c r="E113" s="80">
        <f>'Monthly Data'!AK113</f>
        <v>383.99999999999994</v>
      </c>
      <c r="F113" s="80">
        <f>'Monthly Data'!AL113</f>
        <v>0</v>
      </c>
      <c r="G113" s="88">
        <f>'Monthly Data'!AQ113</f>
        <v>243.7</v>
      </c>
      <c r="H113" s="88">
        <f>'Monthly Data'!AT113</f>
        <v>112</v>
      </c>
      <c r="I113" s="88">
        <f>'Monthly Data'!AW113</f>
        <v>0</v>
      </c>
      <c r="J113" s="88">
        <f>'Monthly Data'!AZ113</f>
        <v>0</v>
      </c>
      <c r="K113" s="88">
        <f>'Monthly Data'!BA113</f>
        <v>0</v>
      </c>
      <c r="L113" s="88">
        <f>'Monthly Data'!BB113</f>
        <v>0</v>
      </c>
      <c r="M113" s="88">
        <f>'Monthly Data'!BC113</f>
        <v>0</v>
      </c>
      <c r="O113" s="20">
        <f>'GS &lt; 50 OLS model'!$B$5</f>
        <v>-11631489.5525492</v>
      </c>
      <c r="P113" s="20">
        <f>'GS &lt; 50 OLS model'!$B$6*D113</f>
        <v>13030193.563261019</v>
      </c>
      <c r="Q113" s="20">
        <f>'GS &lt; 50 OLS model'!$B$7*E113</f>
        <v>804124.09275663726</v>
      </c>
      <c r="R113" s="20">
        <f>'GS &lt; 50 OLS model'!$B$8*F113</f>
        <v>0</v>
      </c>
      <c r="S113" s="20">
        <f>'GS &lt; 50 OLS model'!$B$9*G113</f>
        <v>2539717.0701756226</v>
      </c>
      <c r="T113" s="20">
        <f>'GS &lt; 50 OLS model'!$B$10*H113</f>
        <v>-540141.73665943672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si="8"/>
        <v>4202403.4369846424</v>
      </c>
      <c r="AA113" s="23">
        <f t="shared" ca="1" si="10"/>
        <v>1.3337402528850659E-2</v>
      </c>
    </row>
    <row r="114" spans="1:27" s="80" customFormat="1" x14ac:dyDescent="0.3">
      <c r="A114" s="22">
        <f>'Monthly Data'!A114</f>
        <v>42491</v>
      </c>
      <c r="B114" s="80">
        <f t="shared" si="9"/>
        <v>2016</v>
      </c>
      <c r="C114" s="20">
        <f ca="1">'Monthly Data'!H114</f>
        <v>3955061.6316346633</v>
      </c>
      <c r="D114" s="86">
        <f>'Monthly Data'!AC114</f>
        <v>1990</v>
      </c>
      <c r="E114" s="80">
        <f>'Monthly Data'!AK114</f>
        <v>143.1</v>
      </c>
      <c r="F114" s="80">
        <f>'Monthly Data'!AL114</f>
        <v>26.1</v>
      </c>
      <c r="G114" s="88">
        <f>'Monthly Data'!AQ114</f>
        <v>245.7</v>
      </c>
      <c r="H114" s="88">
        <f>'Monthly Data'!AT114</f>
        <v>113</v>
      </c>
      <c r="I114" s="88">
        <f>'Monthly Data'!AW114</f>
        <v>0</v>
      </c>
      <c r="J114" s="88">
        <f>'Monthly Data'!AZ114</f>
        <v>0</v>
      </c>
      <c r="K114" s="88">
        <f>'Monthly Data'!BA114</f>
        <v>0</v>
      </c>
      <c r="L114" s="88">
        <f>'Monthly Data'!BB114</f>
        <v>0</v>
      </c>
      <c r="M114" s="88">
        <f>'Monthly Data'!BC114</f>
        <v>0</v>
      </c>
      <c r="O114" s="20">
        <f>'GS &lt; 50 OLS model'!$B$5</f>
        <v>-11631489.5525492</v>
      </c>
      <c r="P114" s="20">
        <f>'GS &lt; 50 OLS model'!$B$6*D114</f>
        <v>13036744.691246569</v>
      </c>
      <c r="Q114" s="20">
        <f>'GS &lt; 50 OLS model'!$B$7*E114</f>
        <v>299661.86894134065</v>
      </c>
      <c r="R114" s="20">
        <f>'GS &lt; 50 OLS model'!$B$8*F114</f>
        <v>154638.78209385063</v>
      </c>
      <c r="S114" s="20">
        <f>'GS &lt; 50 OLS model'!$B$9*G114</f>
        <v>2560560.0498241708</v>
      </c>
      <c r="T114" s="20">
        <f>'GS &lt; 50 OLS model'!$B$10*H114</f>
        <v>-544964.43073675316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si="8"/>
        <v>3875151.4088199781</v>
      </c>
      <c r="AA114" s="23">
        <f t="shared" ca="1" si="10"/>
        <v>2.0204545531104044E-2</v>
      </c>
    </row>
    <row r="115" spans="1:27" s="80" customFormat="1" x14ac:dyDescent="0.3">
      <c r="A115" s="22">
        <f>'Monthly Data'!A115</f>
        <v>42522</v>
      </c>
      <c r="B115" s="80">
        <f t="shared" si="9"/>
        <v>2016</v>
      </c>
      <c r="C115" s="20">
        <f ca="1">'Monthly Data'!H115</f>
        <v>4241251.4016346633</v>
      </c>
      <c r="D115" s="86">
        <f>'Monthly Data'!AC115</f>
        <v>1992</v>
      </c>
      <c r="E115" s="80">
        <f>'Monthly Data'!AK115</f>
        <v>38</v>
      </c>
      <c r="F115" s="80">
        <f>'Monthly Data'!AL115</f>
        <v>51.3</v>
      </c>
      <c r="G115" s="88">
        <f>'Monthly Data'!AQ115</f>
        <v>248</v>
      </c>
      <c r="H115" s="88">
        <f>'Monthly Data'!AT115</f>
        <v>114</v>
      </c>
      <c r="I115" s="88">
        <f>'Monthly Data'!AW115</f>
        <v>0</v>
      </c>
      <c r="J115" s="88">
        <f>'Monthly Data'!AZ115</f>
        <v>1</v>
      </c>
      <c r="K115" s="88">
        <f>'Monthly Data'!BA115</f>
        <v>0</v>
      </c>
      <c r="L115" s="88">
        <f>'Monthly Data'!BB115</f>
        <v>0</v>
      </c>
      <c r="M115" s="88">
        <f>'Monthly Data'!BC115</f>
        <v>0</v>
      </c>
      <c r="O115" s="20">
        <f>'GS &lt; 50 OLS model'!$B$5</f>
        <v>-11631489.5525492</v>
      </c>
      <c r="P115" s="20">
        <f>'GS &lt; 50 OLS model'!$B$6*D115</f>
        <v>13049846.947217671</v>
      </c>
      <c r="Q115" s="20">
        <f>'GS &lt; 50 OLS model'!$B$7*E115</f>
        <v>79574.780012375573</v>
      </c>
      <c r="R115" s="20">
        <f>'GS &lt; 50 OLS model'!$B$8*F115</f>
        <v>303945.19239136158</v>
      </c>
      <c r="S115" s="20">
        <f>'GS &lt; 50 OLS model'!$B$9*G115</f>
        <v>2584529.4764200016</v>
      </c>
      <c r="T115" s="20">
        <f>'GS &lt; 50 OLS model'!$B$10*H115</f>
        <v>-549787.1248140696</v>
      </c>
      <c r="U115" s="20">
        <f>'GS &lt; 50 OLS model'!$B$11*I115</f>
        <v>0</v>
      </c>
      <c r="V115" s="20">
        <f>'GS &lt; 50 OLS model'!$B$12*J115</f>
        <v>359272.711714848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si="8"/>
        <v>4195892.430392988</v>
      </c>
      <c r="AA115" s="23">
        <f t="shared" ca="1" si="10"/>
        <v>1.0694714117675991E-2</v>
      </c>
    </row>
    <row r="116" spans="1:27" s="80" customFormat="1" x14ac:dyDescent="0.3">
      <c r="A116" s="22">
        <f>'Monthly Data'!A116</f>
        <v>42552</v>
      </c>
      <c r="B116" s="80">
        <f t="shared" si="9"/>
        <v>2016</v>
      </c>
      <c r="C116" s="20">
        <f ca="1">'Monthly Data'!H116</f>
        <v>3983218.2316346639</v>
      </c>
      <c r="D116" s="86">
        <f>'Monthly Data'!AC116</f>
        <v>1996</v>
      </c>
      <c r="E116" s="80">
        <f>'Monthly Data'!AK116</f>
        <v>1.8</v>
      </c>
      <c r="F116" s="80">
        <f>'Monthly Data'!AL116</f>
        <v>117.4</v>
      </c>
      <c r="G116" s="88">
        <f>'Monthly Data'!AQ116</f>
        <v>249.5</v>
      </c>
      <c r="H116" s="88">
        <f>'Monthly Data'!AT116</f>
        <v>115</v>
      </c>
      <c r="I116" s="88">
        <f>'Monthly Data'!AW116</f>
        <v>0</v>
      </c>
      <c r="J116" s="88">
        <f>'Monthly Data'!AZ116</f>
        <v>0</v>
      </c>
      <c r="K116" s="88">
        <f>'Monthly Data'!BA116</f>
        <v>1</v>
      </c>
      <c r="L116" s="88">
        <f>'Monthly Data'!BB116</f>
        <v>0</v>
      </c>
      <c r="M116" s="88">
        <f>'Monthly Data'!BC116</f>
        <v>0</v>
      </c>
      <c r="O116" s="20">
        <f>'GS &lt; 50 OLS model'!$B$5</f>
        <v>-11631489.5525492</v>
      </c>
      <c r="P116" s="20">
        <f>'GS &lt; 50 OLS model'!$B$6*D116</f>
        <v>13076051.459159875</v>
      </c>
      <c r="Q116" s="20">
        <f>'GS &lt; 50 OLS model'!$B$7*E116</f>
        <v>3769.3316847967376</v>
      </c>
      <c r="R116" s="20">
        <f>'GS &lt; 50 OLS model'!$B$8*F116</f>
        <v>695578.27654475346</v>
      </c>
      <c r="S116" s="20">
        <f>'GS &lt; 50 OLS model'!$B$9*G116</f>
        <v>2600161.711156413</v>
      </c>
      <c r="T116" s="20">
        <f>'GS &lt; 50 OLS model'!$B$10*H116</f>
        <v>-554609.81889138592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411098.30587285903</v>
      </c>
      <c r="X116" s="20">
        <f>'GS &lt; 50 OLS model'!$B$14*L116</f>
        <v>0</v>
      </c>
      <c r="Y116" s="20">
        <f>'GS &lt; 50 OLS model'!$B$15*M116</f>
        <v>0</v>
      </c>
      <c r="Z116" s="20">
        <f t="shared" si="8"/>
        <v>4600559.7129781116</v>
      </c>
      <c r="AA116" s="23">
        <f t="shared" ca="1" si="10"/>
        <v>0.15498560346016951</v>
      </c>
    </row>
    <row r="117" spans="1:27" s="80" customFormat="1" x14ac:dyDescent="0.3">
      <c r="A117" s="22">
        <f>'Monthly Data'!A117</f>
        <v>42583</v>
      </c>
      <c r="B117" s="80">
        <f t="shared" si="9"/>
        <v>2016</v>
      </c>
      <c r="C117" s="20">
        <f ca="1">'Monthly Data'!H117</f>
        <v>4839669.2816346632</v>
      </c>
      <c r="D117" s="86">
        <f>'Monthly Data'!AC117</f>
        <v>1995</v>
      </c>
      <c r="E117" s="80">
        <f>'Monthly Data'!AK117</f>
        <v>0.3</v>
      </c>
      <c r="F117" s="80">
        <f>'Monthly Data'!AL117</f>
        <v>131</v>
      </c>
      <c r="G117" s="88">
        <f>'Monthly Data'!AQ117</f>
        <v>250.2</v>
      </c>
      <c r="H117" s="88">
        <f>'Monthly Data'!AT117</f>
        <v>116</v>
      </c>
      <c r="I117" s="88">
        <f>'Monthly Data'!AW117</f>
        <v>0</v>
      </c>
      <c r="J117" s="88">
        <f>'Monthly Data'!AZ117</f>
        <v>0</v>
      </c>
      <c r="K117" s="88">
        <f>'Monthly Data'!BA117</f>
        <v>0</v>
      </c>
      <c r="L117" s="88">
        <f>'Monthly Data'!BB117</f>
        <v>1</v>
      </c>
      <c r="M117" s="88">
        <f>'Monthly Data'!BC117</f>
        <v>0</v>
      </c>
      <c r="O117" s="20">
        <f>'GS &lt; 50 OLS model'!$B$5</f>
        <v>-11631489.5525492</v>
      </c>
      <c r="P117" s="20">
        <f>'GS &lt; 50 OLS model'!$B$6*D117</f>
        <v>13069500.331174325</v>
      </c>
      <c r="Q117" s="20">
        <f>'GS &lt; 50 OLS model'!$B$7*E117</f>
        <v>628.22194746612297</v>
      </c>
      <c r="R117" s="20">
        <f>'GS &lt; 50 OLS model'!$B$8*F117</f>
        <v>776156.33924499736</v>
      </c>
      <c r="S117" s="20">
        <f>'GS &lt; 50 OLS model'!$B$9*G117</f>
        <v>2607456.7540334049</v>
      </c>
      <c r="T117" s="20">
        <f>'GS &lt; 50 OLS model'!$B$10*H117</f>
        <v>-559432.51296870236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494220.92313005403</v>
      </c>
      <c r="Y117" s="20">
        <f>'GS &lt; 50 OLS model'!$B$15*M117</f>
        <v>0</v>
      </c>
      <c r="Z117" s="20">
        <f t="shared" si="8"/>
        <v>4757040.5040123444</v>
      </c>
      <c r="AA117" s="23">
        <f t="shared" ca="1" si="10"/>
        <v>1.7073228110002146E-2</v>
      </c>
    </row>
    <row r="118" spans="1:27" s="80" customFormat="1" x14ac:dyDescent="0.3">
      <c r="A118" s="22">
        <f>'Monthly Data'!A118</f>
        <v>42614</v>
      </c>
      <c r="B118" s="80">
        <f t="shared" si="9"/>
        <v>2016</v>
      </c>
      <c r="C118" s="20">
        <f ca="1">'Monthly Data'!H118</f>
        <v>4164554.6516346638</v>
      </c>
      <c r="D118" s="86">
        <f>'Monthly Data'!AC118</f>
        <v>1997</v>
      </c>
      <c r="E118" s="80">
        <f>'Monthly Data'!AK118</f>
        <v>38</v>
      </c>
      <c r="F118" s="80">
        <f>'Monthly Data'!AL118</f>
        <v>43.4</v>
      </c>
      <c r="G118" s="88">
        <f>'Monthly Data'!AQ118</f>
        <v>248.7</v>
      </c>
      <c r="H118" s="88">
        <f>'Monthly Data'!AT118</f>
        <v>117</v>
      </c>
      <c r="I118" s="88">
        <f>'Monthly Data'!AW118</f>
        <v>0</v>
      </c>
      <c r="J118" s="88">
        <f>'Monthly Data'!AZ118</f>
        <v>0</v>
      </c>
      <c r="K118" s="88">
        <f>'Monthly Data'!BA118</f>
        <v>0</v>
      </c>
      <c r="L118" s="88">
        <f>'Monthly Data'!BB118</f>
        <v>0</v>
      </c>
      <c r="M118" s="88">
        <f>'Monthly Data'!BC118</f>
        <v>1</v>
      </c>
      <c r="O118" s="20">
        <f>'GS &lt; 50 OLS model'!$B$5</f>
        <v>-11631489.5525492</v>
      </c>
      <c r="P118" s="20">
        <f>'GS &lt; 50 OLS model'!$B$6*D118</f>
        <v>13082602.587145427</v>
      </c>
      <c r="Q118" s="20">
        <f>'GS &lt; 50 OLS model'!$B$7*E118</f>
        <v>79574.780012375573</v>
      </c>
      <c r="R118" s="20">
        <f>'GS &lt; 50 OLS model'!$B$8*F118</f>
        <v>257138.81773460217</v>
      </c>
      <c r="S118" s="20">
        <f>'GS &lt; 50 OLS model'!$B$9*G118</f>
        <v>2591824.5192969935</v>
      </c>
      <c r="T118" s="20">
        <f>'GS &lt; 50 OLS model'!$B$10*H118</f>
        <v>-564255.2070460188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249265.131543444</v>
      </c>
      <c r="Z118" s="20">
        <f t="shared" si="8"/>
        <v>4064661.0761376233</v>
      </c>
      <c r="AA118" s="23">
        <f t="shared" ca="1" si="10"/>
        <v>2.3986616542018599E-2</v>
      </c>
    </row>
    <row r="119" spans="1:27" s="80" customFormat="1" x14ac:dyDescent="0.3">
      <c r="A119" s="22">
        <f>'Monthly Data'!A119</f>
        <v>42644</v>
      </c>
      <c r="B119" s="80">
        <f t="shared" si="9"/>
        <v>2016</v>
      </c>
      <c r="C119" s="20">
        <f ca="1">'Monthly Data'!H119</f>
        <v>4075336.0316346637</v>
      </c>
      <c r="D119" s="86">
        <f>'Monthly Data'!AC119</f>
        <v>1998</v>
      </c>
      <c r="E119" s="80">
        <f>'Monthly Data'!AK119</f>
        <v>220.4</v>
      </c>
      <c r="F119" s="80">
        <f>'Monthly Data'!AL119</f>
        <v>3.9</v>
      </c>
      <c r="G119" s="88">
        <f>'Monthly Data'!AQ119</f>
        <v>247.6</v>
      </c>
      <c r="H119" s="88">
        <f>'Monthly Data'!AT119</f>
        <v>118</v>
      </c>
      <c r="I119" s="88">
        <f>'Monthly Data'!AW119</f>
        <v>0</v>
      </c>
      <c r="J119" s="88">
        <f>'Monthly Data'!AZ119</f>
        <v>0</v>
      </c>
      <c r="K119" s="88">
        <f>'Monthly Data'!BA119</f>
        <v>0</v>
      </c>
      <c r="L119" s="88">
        <f>'Monthly Data'!BB119</f>
        <v>0</v>
      </c>
      <c r="M119" s="88">
        <f>'Monthly Data'!BC119</f>
        <v>0</v>
      </c>
      <c r="O119" s="20">
        <f>'GS &lt; 50 OLS model'!$B$5</f>
        <v>-11631489.5525492</v>
      </c>
      <c r="P119" s="20">
        <f>'GS &lt; 50 OLS model'!$B$6*D119</f>
        <v>13089153.715130979</v>
      </c>
      <c r="Q119" s="20">
        <f>'GS &lt; 50 OLS model'!$B$7*E119</f>
        <v>461533.72407177836</v>
      </c>
      <c r="R119" s="20">
        <f>'GS &lt; 50 OLS model'!$B$8*F119</f>
        <v>23106.944450805266</v>
      </c>
      <c r="S119" s="20">
        <f>'GS &lt; 50 OLS model'!$B$9*G119</f>
        <v>2580360.8804902919</v>
      </c>
      <c r="T119" s="20">
        <f>'GS &lt; 50 OLS model'!$B$10*H119</f>
        <v>-569077.90112333512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si="8"/>
        <v>3953587.8104713191</v>
      </c>
      <c r="AA119" s="23">
        <f t="shared" ca="1" si="10"/>
        <v>2.987440059378612E-2</v>
      </c>
    </row>
    <row r="120" spans="1:27" s="80" customFormat="1" x14ac:dyDescent="0.3">
      <c r="A120" s="22">
        <f>'Monthly Data'!A120</f>
        <v>42675</v>
      </c>
      <c r="B120" s="80">
        <f t="shared" si="9"/>
        <v>2016</v>
      </c>
      <c r="C120" s="20">
        <f ca="1">'Monthly Data'!H120</f>
        <v>4106267.7516346634</v>
      </c>
      <c r="D120" s="86">
        <f>'Monthly Data'!AC120</f>
        <v>1997</v>
      </c>
      <c r="E120" s="80">
        <f>'Monthly Data'!AK120</f>
        <v>355.9</v>
      </c>
      <c r="F120" s="80">
        <f>'Monthly Data'!AL120</f>
        <v>0</v>
      </c>
      <c r="G120" s="88">
        <f>'Monthly Data'!AQ120</f>
        <v>242.3</v>
      </c>
      <c r="H120" s="88">
        <f>'Monthly Data'!AT120</f>
        <v>119</v>
      </c>
      <c r="I120" s="88">
        <f>'Monthly Data'!AW120</f>
        <v>0</v>
      </c>
      <c r="J120" s="88">
        <f>'Monthly Data'!AZ120</f>
        <v>0</v>
      </c>
      <c r="K120" s="88">
        <f>'Monthly Data'!BA120</f>
        <v>0</v>
      </c>
      <c r="L120" s="88">
        <f>'Monthly Data'!BB120</f>
        <v>0</v>
      </c>
      <c r="M120" s="88">
        <f>'Monthly Data'!BC120</f>
        <v>0</v>
      </c>
      <c r="O120" s="20">
        <f>'GS &lt; 50 OLS model'!$B$5</f>
        <v>-11631489.5525492</v>
      </c>
      <c r="P120" s="20">
        <f>'GS &lt; 50 OLS model'!$B$6*D120</f>
        <v>13082602.587145427</v>
      </c>
      <c r="Q120" s="20">
        <f>'GS &lt; 50 OLS model'!$B$7*E120</f>
        <v>745280.63701064384</v>
      </c>
      <c r="R120" s="20">
        <f>'GS &lt; 50 OLS model'!$B$8*F120</f>
        <v>0</v>
      </c>
      <c r="S120" s="20">
        <f>'GS &lt; 50 OLS model'!$B$9*G120</f>
        <v>2525126.9844216388</v>
      </c>
      <c r="T120" s="20">
        <f>'GS &lt; 50 OLS model'!$B$10*H120</f>
        <v>-573900.59520065156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si="8"/>
        <v>4147620.0608278578</v>
      </c>
      <c r="AA120" s="23">
        <f t="shared" ca="1" si="10"/>
        <v>1.0070534045601981E-2</v>
      </c>
    </row>
    <row r="121" spans="1:27" s="80" customFormat="1" x14ac:dyDescent="0.3">
      <c r="A121" s="22">
        <f>'Monthly Data'!A121</f>
        <v>42705</v>
      </c>
      <c r="B121" s="80">
        <f t="shared" si="9"/>
        <v>2016</v>
      </c>
      <c r="C121" s="20">
        <f ca="1">'Monthly Data'!H121</f>
        <v>4854513.1416346636</v>
      </c>
      <c r="D121" s="86">
        <f>'Monthly Data'!AC121</f>
        <v>2000</v>
      </c>
      <c r="E121" s="80">
        <f>'Monthly Data'!AK121</f>
        <v>639.5</v>
      </c>
      <c r="F121" s="80">
        <f>'Monthly Data'!AL121</f>
        <v>0</v>
      </c>
      <c r="G121" s="88">
        <f>'Monthly Data'!AQ121</f>
        <v>240.6</v>
      </c>
      <c r="H121" s="88">
        <f>'Monthly Data'!AT121</f>
        <v>120</v>
      </c>
      <c r="I121" s="88">
        <f>'Monthly Data'!AW121</f>
        <v>0</v>
      </c>
      <c r="J121" s="88">
        <f>'Monthly Data'!AZ121</f>
        <v>0</v>
      </c>
      <c r="K121" s="88">
        <f>'Monthly Data'!BA121</f>
        <v>0</v>
      </c>
      <c r="L121" s="88">
        <f>'Monthly Data'!BB121</f>
        <v>0</v>
      </c>
      <c r="M121" s="88">
        <f>'Monthly Data'!BC121</f>
        <v>0</v>
      </c>
      <c r="O121" s="20">
        <f>'GS &lt; 50 OLS model'!$B$5</f>
        <v>-11631489.5525492</v>
      </c>
      <c r="P121" s="20">
        <f>'GS &lt; 50 OLS model'!$B$6*D121</f>
        <v>13102255.971102081</v>
      </c>
      <c r="Q121" s="20">
        <f>'GS &lt; 50 OLS model'!$B$7*E121</f>
        <v>1339159.7846819521</v>
      </c>
      <c r="R121" s="20">
        <f>'GS &lt; 50 OLS model'!$B$8*F121</f>
        <v>0</v>
      </c>
      <c r="S121" s="20">
        <f>'GS &lt; 50 OLS model'!$B$9*G121</f>
        <v>2507410.4517203723</v>
      </c>
      <c r="T121" s="20">
        <f>'GS &lt; 50 OLS model'!$B$10*H121</f>
        <v>-578723.289277968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si="8"/>
        <v>4738613.3656772375</v>
      </c>
      <c r="AA121" s="23">
        <f t="shared" ca="1" si="10"/>
        <v>2.3874644598943045E-2</v>
      </c>
    </row>
    <row r="122" spans="1:27" x14ac:dyDescent="0.3">
      <c r="AA122" s="24">
        <f ca="1">AVERAGE(AA2:AA121)</f>
        <v>3.2953340911104745E-2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45" sqref="B45"/>
    </sheetView>
  </sheetViews>
  <sheetFormatPr defaultColWidth="9.109375" defaultRowHeight="13.2" x14ac:dyDescent="0.25"/>
  <cols>
    <col min="1" max="1" width="19.3320312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7" width="9.109375" style="4"/>
    <col min="8" max="8" width="16.6640625" style="4" customWidth="1"/>
    <col min="9" max="9" width="11" style="4" bestFit="1" customWidth="1"/>
    <col min="10" max="10" width="16.5546875" style="4" bestFit="1" customWidth="1"/>
    <col min="11" max="11" width="11" style="4" bestFit="1" customWidth="1"/>
    <col min="12" max="12" width="10.44140625" style="4" bestFit="1" customWidth="1"/>
    <col min="13" max="16384" width="9.109375" style="4"/>
  </cols>
  <sheetData>
    <row r="1" spans="1:12" x14ac:dyDescent="0.25">
      <c r="A1" s="4" t="s">
        <v>182</v>
      </c>
      <c r="H1" s="4" t="s">
        <v>185</v>
      </c>
    </row>
    <row r="2" spans="1:12" x14ac:dyDescent="0.25">
      <c r="A2" s="4" t="s">
        <v>183</v>
      </c>
      <c r="H2" s="4" t="s">
        <v>183</v>
      </c>
    </row>
    <row r="4" spans="1:12" x14ac:dyDescent="0.25">
      <c r="B4" s="4" t="s">
        <v>70</v>
      </c>
      <c r="C4" s="4" t="s">
        <v>71</v>
      </c>
      <c r="D4" s="4" t="s">
        <v>72</v>
      </c>
      <c r="E4" s="4" t="s">
        <v>73</v>
      </c>
      <c r="I4" s="4" t="s">
        <v>70</v>
      </c>
      <c r="J4" s="4" t="s">
        <v>71</v>
      </c>
      <c r="K4" s="4" t="s">
        <v>72</v>
      </c>
      <c r="L4" s="4" t="s">
        <v>73</v>
      </c>
    </row>
    <row r="5" spans="1:12" x14ac:dyDescent="0.25">
      <c r="A5" s="4" t="s">
        <v>74</v>
      </c>
      <c r="B5" s="4">
        <v>-8197773.48100283</v>
      </c>
      <c r="C5" s="4">
        <v>5231828.5860336404</v>
      </c>
      <c r="D5" s="4">
        <v>-1.56690406541353</v>
      </c>
      <c r="E5" s="19">
        <v>0.119908791024321</v>
      </c>
      <c r="H5" s="4" t="s">
        <v>74</v>
      </c>
      <c r="I5" s="4">
        <v>-16961164.693300899</v>
      </c>
      <c r="J5" s="4">
        <v>5917298.86077567</v>
      </c>
      <c r="K5" s="4">
        <v>-2.8663694520708201</v>
      </c>
      <c r="L5" s="4">
        <v>5.1938474834624599E-3</v>
      </c>
    </row>
    <row r="6" spans="1:12" x14ac:dyDescent="0.25">
      <c r="A6" s="4" t="s">
        <v>133</v>
      </c>
      <c r="B6" s="4">
        <v>662.00894346835003</v>
      </c>
      <c r="C6" s="4">
        <v>298.41011900928999</v>
      </c>
      <c r="D6" s="4">
        <v>2.2184534011989698</v>
      </c>
      <c r="E6" s="19">
        <v>2.8505187444868098E-2</v>
      </c>
      <c r="H6" s="4" t="s">
        <v>134</v>
      </c>
      <c r="I6" s="4">
        <v>4070.1720814190498</v>
      </c>
      <c r="J6" s="4">
        <v>1953.0804050468</v>
      </c>
      <c r="K6" s="4">
        <v>2.0839756883032798</v>
      </c>
      <c r="L6" s="4">
        <v>4.0061737824978703E-2</v>
      </c>
    </row>
    <row r="7" spans="1:12" x14ac:dyDescent="0.25">
      <c r="A7" s="4" t="s">
        <v>136</v>
      </c>
      <c r="B7" s="4">
        <v>2833.8509463095902</v>
      </c>
      <c r="C7" s="4">
        <v>807.12337923813095</v>
      </c>
      <c r="D7" s="4">
        <v>3.5110505025694398</v>
      </c>
      <c r="E7" s="4">
        <v>6.4042936246591696E-4</v>
      </c>
      <c r="H7" s="4" t="s">
        <v>138</v>
      </c>
      <c r="I7" s="4">
        <v>380464.30941739201</v>
      </c>
      <c r="J7" s="4">
        <v>149360.52695683899</v>
      </c>
      <c r="K7" s="4">
        <v>2.5472882104073999</v>
      </c>
      <c r="L7" s="4">
        <v>1.2593457777265E-2</v>
      </c>
    </row>
    <row r="8" spans="1:12" x14ac:dyDescent="0.25">
      <c r="A8" s="4" t="s">
        <v>75</v>
      </c>
      <c r="B8" s="4">
        <v>-10967.4332089941</v>
      </c>
      <c r="C8" s="4">
        <v>4270.1953658399098</v>
      </c>
      <c r="D8" s="4">
        <v>-2.5683680181777602</v>
      </c>
      <c r="E8" s="4">
        <v>1.15102501879727E-2</v>
      </c>
      <c r="H8" s="4" t="s">
        <v>136</v>
      </c>
      <c r="I8" s="4">
        <v>1858.7429239089399</v>
      </c>
      <c r="J8" s="4">
        <v>486.41773333818799</v>
      </c>
      <c r="K8" s="4">
        <v>3.8212893908138499</v>
      </c>
      <c r="L8" s="4">
        <v>2.4704277873464599E-4</v>
      </c>
    </row>
    <row r="9" spans="1:12" x14ac:dyDescent="0.25">
      <c r="A9" s="4" t="s">
        <v>49</v>
      </c>
      <c r="B9" s="4">
        <v>-568190.53314882901</v>
      </c>
      <c r="C9" s="4">
        <v>251053.86361318399</v>
      </c>
      <c r="D9" s="4">
        <v>-2.2632216249190198</v>
      </c>
      <c r="E9" s="19">
        <v>2.5515032616317001E-2</v>
      </c>
      <c r="H9" s="4" t="s">
        <v>43</v>
      </c>
      <c r="I9" s="4">
        <v>714989.336488234</v>
      </c>
      <c r="J9" s="4">
        <v>177338.86556369701</v>
      </c>
      <c r="K9" s="4">
        <v>4.0317689763918301</v>
      </c>
      <c r="L9" s="4">
        <v>1.17456623150491E-4</v>
      </c>
    </row>
    <row r="10" spans="1:12" x14ac:dyDescent="0.25">
      <c r="A10" s="4" t="s">
        <v>57</v>
      </c>
      <c r="B10" s="4">
        <v>-637648.00517727702</v>
      </c>
      <c r="C10" s="4">
        <v>259349.68428310001</v>
      </c>
      <c r="D10" s="4">
        <v>-2.4586419179181802</v>
      </c>
      <c r="E10" s="4">
        <v>1.5449808277382E-2</v>
      </c>
      <c r="H10" s="4" t="s">
        <v>46</v>
      </c>
      <c r="I10" s="4">
        <v>665807.22887881799</v>
      </c>
      <c r="J10" s="4">
        <v>253660.86501986501</v>
      </c>
      <c r="K10" s="4">
        <v>2.6247928659656599</v>
      </c>
      <c r="L10" s="4">
        <v>1.02219601394804E-2</v>
      </c>
    </row>
    <row r="11" spans="1:12" x14ac:dyDescent="0.25">
      <c r="H11" s="4" t="s">
        <v>47</v>
      </c>
      <c r="I11" s="4">
        <v>1683490.93847816</v>
      </c>
      <c r="J11" s="4">
        <v>439841.63425416499</v>
      </c>
      <c r="K11" s="4">
        <v>3.8274933689095501</v>
      </c>
      <c r="L11" s="4">
        <v>2.4177152328709001E-4</v>
      </c>
    </row>
    <row r="12" spans="1:12" x14ac:dyDescent="0.25">
      <c r="A12" s="4" t="s">
        <v>76</v>
      </c>
      <c r="B12" s="4">
        <v>10253647.9204758</v>
      </c>
      <c r="C12" s="4" t="s">
        <v>77</v>
      </c>
      <c r="D12" s="4">
        <v>790798.08264752501</v>
      </c>
      <c r="H12" s="4" t="s">
        <v>168</v>
      </c>
      <c r="I12" s="4">
        <v>14445.207139292799</v>
      </c>
      <c r="J12" s="4">
        <v>6896.1004568254803</v>
      </c>
      <c r="K12" s="4">
        <v>2.0946920987781499</v>
      </c>
      <c r="L12" s="4">
        <v>3.9072970342200697E-2</v>
      </c>
    </row>
    <row r="13" spans="1:12" x14ac:dyDescent="0.25">
      <c r="A13" s="4" t="s">
        <v>78</v>
      </c>
      <c r="B13" s="4">
        <v>59807164423242.102</v>
      </c>
      <c r="C13" s="4" t="s">
        <v>79</v>
      </c>
      <c r="D13" s="4">
        <v>724309.49829937005</v>
      </c>
    </row>
    <row r="14" spans="1:12" x14ac:dyDescent="0.25">
      <c r="A14" s="4" t="s">
        <v>80</v>
      </c>
      <c r="B14" s="4">
        <v>0.19633503624458301</v>
      </c>
      <c r="C14" s="4" t="s">
        <v>81</v>
      </c>
      <c r="D14" s="88">
        <v>0.16108657292197701</v>
      </c>
      <c r="H14" s="4" t="s">
        <v>76</v>
      </c>
      <c r="I14" s="4">
        <v>10220616.405354399</v>
      </c>
      <c r="J14" s="4" t="s">
        <v>77</v>
      </c>
      <c r="K14" s="4">
        <v>777016.26191893802</v>
      </c>
    </row>
    <row r="15" spans="1:12" x14ac:dyDescent="0.25">
      <c r="A15" s="4" t="s">
        <v>184</v>
      </c>
      <c r="B15" s="4">
        <v>5.5700310804374498</v>
      </c>
      <c r="C15" s="4" t="s">
        <v>82</v>
      </c>
      <c r="D15" s="4">
        <v>1.25362435000964E-4</v>
      </c>
      <c r="H15" s="4" t="s">
        <v>78</v>
      </c>
      <c r="I15" s="4">
        <v>35335550605760.398</v>
      </c>
      <c r="J15" s="4" t="s">
        <v>79</v>
      </c>
      <c r="K15" s="4">
        <v>633672.11378814199</v>
      </c>
    </row>
    <row r="16" spans="1:12" x14ac:dyDescent="0.25">
      <c r="A16" s="4" t="s">
        <v>83</v>
      </c>
      <c r="B16" s="4">
        <v>-1786.3519139847001</v>
      </c>
      <c r="C16" s="4" t="s">
        <v>84</v>
      </c>
      <c r="D16" s="4">
        <v>3584.7038279693902</v>
      </c>
      <c r="H16" s="4" t="s">
        <v>80</v>
      </c>
      <c r="I16" s="4">
        <v>0.38393286480827099</v>
      </c>
      <c r="J16" s="4" t="s">
        <v>81</v>
      </c>
      <c r="K16" s="4">
        <v>0.33492752450892899</v>
      </c>
    </row>
    <row r="17" spans="1:11" x14ac:dyDescent="0.25">
      <c r="A17" s="4" t="s">
        <v>85</v>
      </c>
      <c r="B17" s="4">
        <v>3601.42877842609</v>
      </c>
      <c r="C17" s="4" t="s">
        <v>86</v>
      </c>
      <c r="D17" s="4">
        <v>3591.4959075265101</v>
      </c>
      <c r="H17" s="4" t="s">
        <v>186</v>
      </c>
      <c r="I17" s="4">
        <v>7.8345107382800396</v>
      </c>
      <c r="J17" s="4" t="s">
        <v>82</v>
      </c>
      <c r="K17" s="19">
        <v>2.3579422787919101E-7</v>
      </c>
    </row>
    <row r="18" spans="1:11" x14ac:dyDescent="0.25">
      <c r="A18" s="4" t="s">
        <v>87</v>
      </c>
      <c r="B18" s="4">
        <v>0.205116762835478</v>
      </c>
      <c r="C18" s="4" t="s">
        <v>88</v>
      </c>
      <c r="D18" s="4">
        <v>1.5654126941807101</v>
      </c>
      <c r="H18" s="4" t="s">
        <v>83</v>
      </c>
      <c r="I18" s="4">
        <v>-1414.5330982722401</v>
      </c>
      <c r="J18" s="4" t="s">
        <v>84</v>
      </c>
      <c r="K18" s="4">
        <v>2845.0661965444801</v>
      </c>
    </row>
    <row r="19" spans="1:11" x14ac:dyDescent="0.25">
      <c r="H19" s="4" t="s">
        <v>85</v>
      </c>
      <c r="I19" s="4">
        <v>2865.5809820762202</v>
      </c>
      <c r="J19" s="4" t="s">
        <v>86</v>
      </c>
      <c r="K19" s="4">
        <v>2853.3586080636201</v>
      </c>
    </row>
    <row r="20" spans="1:11" x14ac:dyDescent="0.25">
      <c r="H20" s="4" t="s">
        <v>87</v>
      </c>
      <c r="I20" s="4">
        <v>-4.2325682237124998E-3</v>
      </c>
      <c r="J20" s="4" t="s">
        <v>88</v>
      </c>
      <c r="K20" s="4">
        <v>2.00724598399266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workbookViewId="0">
      <selection activeCell="I30" sqref="I30"/>
    </sheetView>
  </sheetViews>
  <sheetFormatPr defaultColWidth="9.109375" defaultRowHeight="13.2" x14ac:dyDescent="0.25"/>
  <cols>
    <col min="1" max="1" width="10.33203125" style="4" bestFit="1" customWidth="1"/>
    <col min="2" max="2" width="5" style="4" bestFit="1" customWidth="1"/>
    <col min="3" max="3" width="18.109375" style="4" bestFit="1" customWidth="1"/>
    <col min="4" max="4" width="11.77734375" style="4" bestFit="1" customWidth="1"/>
    <col min="5" max="5" width="10.88671875" style="4" bestFit="1" customWidth="1"/>
    <col min="6" max="6" width="5.33203125" style="4" bestFit="1" customWidth="1"/>
    <col min="7" max="7" width="3.77734375" style="86" bestFit="1" customWidth="1"/>
    <col min="8" max="8" width="4.109375" style="86" bestFit="1" customWidth="1"/>
    <col min="9" max="9" width="9.109375" style="4"/>
    <col min="10" max="10" width="10.5546875" style="4" bestFit="1" customWidth="1"/>
    <col min="11" max="11" width="12.88671875" style="4" bestFit="1" customWidth="1"/>
    <col min="12" max="12" width="12.21875" style="4" bestFit="1" customWidth="1"/>
    <col min="13" max="13" width="10.5546875" style="4" bestFit="1" customWidth="1"/>
    <col min="14" max="15" width="9.109375" style="86" bestFit="1" customWidth="1"/>
    <col min="16" max="16" width="14" style="4" bestFit="1" customWidth="1"/>
    <col min="17" max="17" width="10.5546875" style="4" bestFit="1" customWidth="1"/>
    <col min="18" max="16384" width="9.109375" style="4"/>
  </cols>
  <sheetData>
    <row r="1" spans="1:17" ht="14.4" x14ac:dyDescent="0.3">
      <c r="A1" s="4" t="str">
        <f>'Monthly Data'!A1</f>
        <v>Date</v>
      </c>
      <c r="B1" s="4" t="s">
        <v>89</v>
      </c>
      <c r="C1" s="20" t="str">
        <f>'Monthly Data'!K1</f>
        <v>GS_gt_50_no_CDM</v>
      </c>
      <c r="D1" s="56" t="str">
        <f>'Monthly Data'!AK1</f>
        <v>London_HDD</v>
      </c>
      <c r="E1" s="56" t="str">
        <f>'Monthly Data'!AP1</f>
        <v>Ontario_FTE</v>
      </c>
      <c r="F1" s="56" t="str">
        <f>'Monthly Data'!AT1</f>
        <v>Trend</v>
      </c>
      <c r="G1" s="86" t="str">
        <f>'Monthly Data'!AX1</f>
        <v>Apr</v>
      </c>
      <c r="H1" s="86" t="str">
        <f>'Monthly Data'!BF1</f>
        <v>Dec</v>
      </c>
      <c r="J1" s="20" t="s">
        <v>74</v>
      </c>
      <c r="K1" s="20" t="str">
        <f>D1</f>
        <v>London_HDD</v>
      </c>
      <c r="L1" s="20" t="str">
        <f>E1</f>
        <v>Ontario_FTE</v>
      </c>
      <c r="M1" s="20" t="str">
        <f>F1</f>
        <v>Trend</v>
      </c>
      <c r="N1" s="20" t="str">
        <f t="shared" ref="N1:O1" si="0">G1</f>
        <v>Apr</v>
      </c>
      <c r="O1" s="20" t="str">
        <f t="shared" si="0"/>
        <v>Dec</v>
      </c>
      <c r="P1" s="20" t="s">
        <v>90</v>
      </c>
      <c r="Q1" s="21" t="s">
        <v>91</v>
      </c>
    </row>
    <row r="2" spans="1:17" ht="14.4" x14ac:dyDescent="0.3">
      <c r="A2" s="22">
        <f>'Monthly Data'!A2</f>
        <v>39083</v>
      </c>
      <c r="B2" s="4">
        <f t="shared" ref="B2:B48" si="1">YEAR(A2)</f>
        <v>2007</v>
      </c>
      <c r="C2" s="20">
        <f ca="1">'Monthly Data'!K2</f>
        <v>9311865.0802443437</v>
      </c>
      <c r="D2" s="56">
        <f>'Monthly Data'!AK2</f>
        <v>655.6</v>
      </c>
      <c r="E2" s="86">
        <f>'Monthly Data'!AP2</f>
        <v>6454.7</v>
      </c>
      <c r="F2" s="86">
        <f>'Monthly Data'!AT2</f>
        <v>1</v>
      </c>
      <c r="G2" s="86">
        <f>'Monthly Data'!AX2</f>
        <v>0</v>
      </c>
      <c r="H2" s="86">
        <f>'Monthly Data'!BF2</f>
        <v>0</v>
      </c>
      <c r="J2" s="20">
        <f>'GS &gt; 50 OLS model'!$B$5</f>
        <v>-8197773.48100283</v>
      </c>
      <c r="K2" s="20">
        <f>'GS &gt; 50 OLS model'!$B$6*D2</f>
        <v>434013.06333785027</v>
      </c>
      <c r="L2" s="20">
        <f>'GS &gt; 50 OLS model'!$B$7*E2</f>
        <v>18291657.703144513</v>
      </c>
      <c r="M2" s="20">
        <f>'GS &gt; 50 OLS model'!$B$8*F2</f>
        <v>-10967.4332089941</v>
      </c>
      <c r="N2" s="20">
        <f>'GS &gt; 50 OLS model'!$B$9*G2</f>
        <v>0</v>
      </c>
      <c r="O2" s="20">
        <f>'GS &gt; 50 OLS model'!$B$10*H2</f>
        <v>0</v>
      </c>
      <c r="P2" s="20">
        <f>SUM(J2:O2)</f>
        <v>10516929.85227054</v>
      </c>
      <c r="Q2" s="23">
        <f t="shared" ref="Q2:Q33" ca="1" si="2">ABS(P2-C2)/C2</f>
        <v>0.12941175174271052</v>
      </c>
    </row>
    <row r="3" spans="1:17" ht="14.4" x14ac:dyDescent="0.3">
      <c r="A3" s="22">
        <f>'Monthly Data'!A3</f>
        <v>39114</v>
      </c>
      <c r="B3" s="4">
        <f t="shared" si="1"/>
        <v>2007</v>
      </c>
      <c r="C3" s="20">
        <f ca="1">'Monthly Data'!K3</f>
        <v>11210961.490244342</v>
      </c>
      <c r="D3" s="56">
        <f>'Monthly Data'!AK3</f>
        <v>758.7</v>
      </c>
      <c r="E3" s="86">
        <f>'Monthly Data'!AP3</f>
        <v>6435.8</v>
      </c>
      <c r="F3" s="86">
        <f>'Monthly Data'!AT3</f>
        <v>2</v>
      </c>
      <c r="G3" s="86">
        <f>'Monthly Data'!AX3</f>
        <v>0</v>
      </c>
      <c r="H3" s="86">
        <f>'Monthly Data'!BF3</f>
        <v>0</v>
      </c>
      <c r="J3" s="20">
        <f>'GS &gt; 50 OLS model'!$B$5</f>
        <v>-8197773.48100283</v>
      </c>
      <c r="K3" s="20">
        <f>'GS &gt; 50 OLS model'!$B$6*D3</f>
        <v>502266.18540943717</v>
      </c>
      <c r="L3" s="20">
        <f>'GS &gt; 50 OLS model'!$B$7*E3</f>
        <v>18238097.92025926</v>
      </c>
      <c r="M3" s="20">
        <f>'GS &gt; 50 OLS model'!$B$8*F3</f>
        <v>-21934.8664179882</v>
      </c>
      <c r="N3" s="20">
        <f>'GS &gt; 50 OLS model'!$B$9*G3</f>
        <v>0</v>
      </c>
      <c r="O3" s="20">
        <f>'GS &gt; 50 OLS model'!$B$10*H3</f>
        <v>0</v>
      </c>
      <c r="P3" s="20">
        <f t="shared" ref="P3:P66" si="3">SUM(J3:O3)</f>
        <v>10520655.75824788</v>
      </c>
      <c r="Q3" s="23">
        <f t="shared" ca="1" si="2"/>
        <v>6.1574177433145083E-2</v>
      </c>
    </row>
    <row r="4" spans="1:17" ht="14.4" x14ac:dyDescent="0.3">
      <c r="A4" s="22">
        <f>'Monthly Data'!A4</f>
        <v>39142</v>
      </c>
      <c r="B4" s="4">
        <f t="shared" si="1"/>
        <v>2007</v>
      </c>
      <c r="C4" s="20">
        <f ca="1">'Monthly Data'!K4</f>
        <v>9820458.3602443449</v>
      </c>
      <c r="D4" s="56">
        <f>'Monthly Data'!AK4</f>
        <v>527</v>
      </c>
      <c r="E4" s="86">
        <f>'Monthly Data'!AP4</f>
        <v>6409.9</v>
      </c>
      <c r="F4" s="86">
        <f>'Monthly Data'!AT4</f>
        <v>3</v>
      </c>
      <c r="G4" s="86">
        <f>'Monthly Data'!AX4</f>
        <v>0</v>
      </c>
      <c r="H4" s="86">
        <f>'Monthly Data'!BF4</f>
        <v>0</v>
      </c>
      <c r="J4" s="20">
        <f>'GS &gt; 50 OLS model'!$B$5</f>
        <v>-8197773.48100283</v>
      </c>
      <c r="K4" s="20">
        <f>'GS &gt; 50 OLS model'!$B$6*D4</f>
        <v>348878.71320782049</v>
      </c>
      <c r="L4" s="20">
        <f>'GS &gt; 50 OLS model'!$B$7*E4</f>
        <v>18164701.180749841</v>
      </c>
      <c r="M4" s="20">
        <f>'GS &gt; 50 OLS model'!$B$8*F4</f>
        <v>-32902.299626982298</v>
      </c>
      <c r="N4" s="20">
        <f>'GS &gt; 50 OLS model'!$B$9*G4</f>
        <v>0</v>
      </c>
      <c r="O4" s="20">
        <f>'GS &gt; 50 OLS model'!$B$10*H4</f>
        <v>0</v>
      </c>
      <c r="P4" s="20">
        <f t="shared" si="3"/>
        <v>10282904.11332785</v>
      </c>
      <c r="Q4" s="23">
        <f t="shared" ca="1" si="2"/>
        <v>4.7090037564397204E-2</v>
      </c>
    </row>
    <row r="5" spans="1:17" ht="14.4" x14ac:dyDescent="0.3">
      <c r="A5" s="22">
        <f>'Monthly Data'!A5</f>
        <v>39173</v>
      </c>
      <c r="B5" s="4">
        <f t="shared" si="1"/>
        <v>2007</v>
      </c>
      <c r="C5" s="20">
        <f ca="1">'Monthly Data'!K5</f>
        <v>11510005.750244344</v>
      </c>
      <c r="D5" s="56">
        <f>'Monthly Data'!AK5</f>
        <v>371.1</v>
      </c>
      <c r="E5" s="86">
        <f>'Monthly Data'!AP5</f>
        <v>6427.5</v>
      </c>
      <c r="F5" s="86">
        <f>'Monthly Data'!AT5</f>
        <v>4</v>
      </c>
      <c r="G5" s="86">
        <f>'Monthly Data'!AX5</f>
        <v>1</v>
      </c>
      <c r="H5" s="86">
        <f>'Monthly Data'!BF5</f>
        <v>0</v>
      </c>
      <c r="J5" s="20">
        <f>'GS &gt; 50 OLS model'!$B$5</f>
        <v>-8197773.48100283</v>
      </c>
      <c r="K5" s="20">
        <f>'GS &gt; 50 OLS model'!$B$6*D5</f>
        <v>245671.5189211047</v>
      </c>
      <c r="L5" s="20">
        <f>'GS &gt; 50 OLS model'!$B$7*E5</f>
        <v>18214576.957404889</v>
      </c>
      <c r="M5" s="20">
        <f>'GS &gt; 50 OLS model'!$B$8*F5</f>
        <v>-43869.7328359764</v>
      </c>
      <c r="N5" s="20">
        <f>'GS &gt; 50 OLS model'!$B$9*G5</f>
        <v>-568190.53314882901</v>
      </c>
      <c r="O5" s="20">
        <f>'GS &gt; 50 OLS model'!$B$10*H5</f>
        <v>0</v>
      </c>
      <c r="P5" s="20">
        <f t="shared" si="3"/>
        <v>9650414.7293383572</v>
      </c>
      <c r="Q5" s="23">
        <f t="shared" ca="1" si="2"/>
        <v>0.16156299668803462</v>
      </c>
    </row>
    <row r="6" spans="1:17" ht="14.4" x14ac:dyDescent="0.3">
      <c r="A6" s="22">
        <f>'Monthly Data'!A6</f>
        <v>39203</v>
      </c>
      <c r="B6" s="4">
        <f t="shared" si="1"/>
        <v>2007</v>
      </c>
      <c r="C6" s="20">
        <f ca="1">'Monthly Data'!K6</f>
        <v>12805693.300244344</v>
      </c>
      <c r="D6" s="56">
        <f>'Monthly Data'!AK6</f>
        <v>131.9</v>
      </c>
      <c r="E6" s="86">
        <f>'Monthly Data'!AP6</f>
        <v>6484.1</v>
      </c>
      <c r="F6" s="86">
        <f>'Monthly Data'!AT6</f>
        <v>5</v>
      </c>
      <c r="G6" s="86">
        <f>'Monthly Data'!AX6</f>
        <v>0</v>
      </c>
      <c r="H6" s="86">
        <f>'Monthly Data'!BF6</f>
        <v>0</v>
      </c>
      <c r="J6" s="20">
        <f>'GS &gt; 50 OLS model'!$B$5</f>
        <v>-8197773.48100283</v>
      </c>
      <c r="K6" s="20">
        <f>'GS &gt; 50 OLS model'!$B$6*D6</f>
        <v>87318.979643475366</v>
      </c>
      <c r="L6" s="20">
        <f>'GS &gt; 50 OLS model'!$B$7*E6</f>
        <v>18374972.920966014</v>
      </c>
      <c r="M6" s="20">
        <f>'GS &gt; 50 OLS model'!$B$8*F6</f>
        <v>-54837.166044970501</v>
      </c>
      <c r="N6" s="20">
        <f>'GS &gt; 50 OLS model'!$B$9*G6</f>
        <v>0</v>
      </c>
      <c r="O6" s="20">
        <f>'GS &gt; 50 OLS model'!$B$10*H6</f>
        <v>0</v>
      </c>
      <c r="P6" s="20">
        <f t="shared" si="3"/>
        <v>10209681.253561689</v>
      </c>
      <c r="Q6" s="23">
        <f t="shared" ca="1" si="2"/>
        <v>0.20272327204909096</v>
      </c>
    </row>
    <row r="7" spans="1:17" ht="14.4" x14ac:dyDescent="0.3">
      <c r="A7" s="22">
        <f>'Monthly Data'!A7</f>
        <v>39234</v>
      </c>
      <c r="B7" s="4">
        <f t="shared" si="1"/>
        <v>2007</v>
      </c>
      <c r="C7" s="20">
        <f ca="1">'Monthly Data'!K7</f>
        <v>10529475.410244344</v>
      </c>
      <c r="D7" s="56">
        <f>'Monthly Data'!AK7</f>
        <v>23.2</v>
      </c>
      <c r="E7" s="86">
        <f>'Monthly Data'!AP7</f>
        <v>6557.6</v>
      </c>
      <c r="F7" s="86">
        <f>'Monthly Data'!AT7</f>
        <v>6</v>
      </c>
      <c r="G7" s="86">
        <f>'Monthly Data'!AX7</f>
        <v>0</v>
      </c>
      <c r="H7" s="86">
        <f>'Monthly Data'!BF7</f>
        <v>0</v>
      </c>
      <c r="J7" s="20">
        <f>'GS &gt; 50 OLS model'!$B$5</f>
        <v>-8197773.48100283</v>
      </c>
      <c r="K7" s="20">
        <f>'GS &gt; 50 OLS model'!$B$6*D7</f>
        <v>15358.607488465721</v>
      </c>
      <c r="L7" s="20">
        <f>'GS &gt; 50 OLS model'!$B$7*E7</f>
        <v>18583260.965519771</v>
      </c>
      <c r="M7" s="20">
        <f>'GS &gt; 50 OLS model'!$B$8*F7</f>
        <v>-65804.599253964596</v>
      </c>
      <c r="N7" s="20">
        <f>'GS &gt; 50 OLS model'!$B$9*G7</f>
        <v>0</v>
      </c>
      <c r="O7" s="20">
        <f>'GS &gt; 50 OLS model'!$B$10*H7</f>
        <v>0</v>
      </c>
      <c r="P7" s="20">
        <f t="shared" si="3"/>
        <v>10335041.492751442</v>
      </c>
      <c r="Q7" s="23">
        <f t="shared" ca="1" si="2"/>
        <v>1.8465679430119866E-2</v>
      </c>
    </row>
    <row r="8" spans="1:17" ht="14.4" x14ac:dyDescent="0.3">
      <c r="A8" s="22">
        <f>'Monthly Data'!A8</f>
        <v>39264</v>
      </c>
      <c r="B8" s="4">
        <f t="shared" si="1"/>
        <v>2007</v>
      </c>
      <c r="C8" s="20">
        <f ca="1">'Monthly Data'!K8</f>
        <v>10775703.490244344</v>
      </c>
      <c r="D8" s="56">
        <f>'Monthly Data'!AK8</f>
        <v>11.3</v>
      </c>
      <c r="E8" s="86">
        <f>'Monthly Data'!AP8</f>
        <v>6623.6</v>
      </c>
      <c r="F8" s="86">
        <f>'Monthly Data'!AT8</f>
        <v>7</v>
      </c>
      <c r="G8" s="86">
        <f>'Monthly Data'!AX8</f>
        <v>0</v>
      </c>
      <c r="H8" s="86">
        <f>'Monthly Data'!BF8</f>
        <v>0</v>
      </c>
      <c r="J8" s="20">
        <f>'GS &gt; 50 OLS model'!$B$5</f>
        <v>-8197773.48100283</v>
      </c>
      <c r="K8" s="20">
        <f>'GS &gt; 50 OLS model'!$B$6*D8</f>
        <v>7480.7010611923561</v>
      </c>
      <c r="L8" s="20">
        <f>'GS &gt; 50 OLS model'!$B$7*E8</f>
        <v>18770295.127976201</v>
      </c>
      <c r="M8" s="20">
        <f>'GS &gt; 50 OLS model'!$B$8*F8</f>
        <v>-76772.032462958698</v>
      </c>
      <c r="N8" s="20">
        <f>'GS &gt; 50 OLS model'!$B$9*G8</f>
        <v>0</v>
      </c>
      <c r="O8" s="20">
        <f>'GS &gt; 50 OLS model'!$B$10*H8</f>
        <v>0</v>
      </c>
      <c r="P8" s="20">
        <f t="shared" si="3"/>
        <v>10503230.315571606</v>
      </c>
      <c r="Q8" s="23">
        <f t="shared" ca="1" si="2"/>
        <v>2.528588271934339E-2</v>
      </c>
    </row>
    <row r="9" spans="1:17" ht="14.4" x14ac:dyDescent="0.3">
      <c r="A9" s="22">
        <f>'Monthly Data'!A9</f>
        <v>39295</v>
      </c>
      <c r="B9" s="4">
        <f t="shared" si="1"/>
        <v>2007</v>
      </c>
      <c r="C9" s="20">
        <f ca="1">'Monthly Data'!K9</f>
        <v>10399433.130244343</v>
      </c>
      <c r="D9" s="56">
        <f>'Monthly Data'!AK9</f>
        <v>11.5</v>
      </c>
      <c r="E9" s="86">
        <f>'Monthly Data'!AP9</f>
        <v>6646.3</v>
      </c>
      <c r="F9" s="86">
        <f>'Monthly Data'!AT9</f>
        <v>8</v>
      </c>
      <c r="G9" s="86">
        <f>'Monthly Data'!AX9</f>
        <v>0</v>
      </c>
      <c r="H9" s="86">
        <f>'Monthly Data'!BF9</f>
        <v>0</v>
      </c>
      <c r="J9" s="20">
        <f>'GS &gt; 50 OLS model'!$B$5</f>
        <v>-8197773.48100283</v>
      </c>
      <c r="K9" s="20">
        <f>'GS &gt; 50 OLS model'!$B$6*D9</f>
        <v>7613.1028498860251</v>
      </c>
      <c r="L9" s="20">
        <f>'GS &gt; 50 OLS model'!$B$7*E9</f>
        <v>18834623.544457428</v>
      </c>
      <c r="M9" s="20">
        <f>'GS &gt; 50 OLS model'!$B$8*F9</f>
        <v>-87739.465671952799</v>
      </c>
      <c r="N9" s="20">
        <f>'GS &gt; 50 OLS model'!$B$9*G9</f>
        <v>0</v>
      </c>
      <c r="O9" s="20">
        <f>'GS &gt; 50 OLS model'!$B$10*H9</f>
        <v>0</v>
      </c>
      <c r="P9" s="20">
        <f t="shared" si="3"/>
        <v>10556723.700632531</v>
      </c>
      <c r="Q9" s="23">
        <f t="shared" ca="1" si="2"/>
        <v>1.5124917716019096E-2</v>
      </c>
    </row>
    <row r="10" spans="1:17" ht="14.4" x14ac:dyDescent="0.3">
      <c r="A10" s="22">
        <f>'Monthly Data'!A10</f>
        <v>39326</v>
      </c>
      <c r="B10" s="4">
        <f t="shared" si="1"/>
        <v>2007</v>
      </c>
      <c r="C10" s="20">
        <f ca="1">'Monthly Data'!K10</f>
        <v>10706833.280244341</v>
      </c>
      <c r="D10" s="56">
        <f>'Monthly Data'!AK10</f>
        <v>61</v>
      </c>
      <c r="E10" s="86">
        <f>'Monthly Data'!AP10</f>
        <v>6618.1</v>
      </c>
      <c r="F10" s="86">
        <f>'Monthly Data'!AT10</f>
        <v>9</v>
      </c>
      <c r="G10" s="86">
        <f>'Monthly Data'!AX10</f>
        <v>0</v>
      </c>
      <c r="H10" s="86">
        <f>'Monthly Data'!BF10</f>
        <v>0</v>
      </c>
      <c r="J10" s="20">
        <f>'GS &gt; 50 OLS model'!$B$5</f>
        <v>-8197773.48100283</v>
      </c>
      <c r="K10" s="20">
        <f>'GS &gt; 50 OLS model'!$B$6*D10</f>
        <v>40382.545551569354</v>
      </c>
      <c r="L10" s="20">
        <f>'GS &gt; 50 OLS model'!$B$7*E10</f>
        <v>18754708.947771501</v>
      </c>
      <c r="M10" s="20">
        <f>'GS &gt; 50 OLS model'!$B$8*F10</f>
        <v>-98706.898880946901</v>
      </c>
      <c r="N10" s="20">
        <f>'GS &gt; 50 OLS model'!$B$9*G10</f>
        <v>0</v>
      </c>
      <c r="O10" s="20">
        <f>'GS &gt; 50 OLS model'!$B$10*H10</f>
        <v>0</v>
      </c>
      <c r="P10" s="20">
        <f t="shared" si="3"/>
        <v>10498611.113439292</v>
      </c>
      <c r="Q10" s="23">
        <f t="shared" ca="1" si="2"/>
        <v>1.9447595881524511E-2</v>
      </c>
    </row>
    <row r="11" spans="1:17" ht="14.4" x14ac:dyDescent="0.3">
      <c r="A11" s="22">
        <f>'Monthly Data'!A11</f>
        <v>39356</v>
      </c>
      <c r="B11" s="4">
        <f t="shared" si="1"/>
        <v>2007</v>
      </c>
      <c r="C11" s="20">
        <f ca="1">'Monthly Data'!K11</f>
        <v>11385253.550244344</v>
      </c>
      <c r="D11" s="56">
        <f>'Monthly Data'!AK11</f>
        <v>149.9</v>
      </c>
      <c r="E11" s="86">
        <f>'Monthly Data'!AP11</f>
        <v>6613</v>
      </c>
      <c r="F11" s="86">
        <f>'Monthly Data'!AT11</f>
        <v>10</v>
      </c>
      <c r="G11" s="86">
        <f>'Monthly Data'!AX11</f>
        <v>0</v>
      </c>
      <c r="H11" s="86">
        <f>'Monthly Data'!BF11</f>
        <v>0</v>
      </c>
      <c r="J11" s="20">
        <f>'GS &gt; 50 OLS model'!$B$5</f>
        <v>-8197773.48100283</v>
      </c>
      <c r="K11" s="20">
        <f>'GS &gt; 50 OLS model'!$B$6*D11</f>
        <v>99235.140625905668</v>
      </c>
      <c r="L11" s="20">
        <f>'GS &gt; 50 OLS model'!$B$7*E11</f>
        <v>18740256.307945319</v>
      </c>
      <c r="M11" s="20">
        <f>'GS &gt; 50 OLS model'!$B$8*F11</f>
        <v>-109674.332089941</v>
      </c>
      <c r="N11" s="20">
        <f>'GS &gt; 50 OLS model'!$B$9*G11</f>
        <v>0</v>
      </c>
      <c r="O11" s="20">
        <f>'GS &gt; 50 OLS model'!$B$10*H11</f>
        <v>0</v>
      </c>
      <c r="P11" s="20">
        <f t="shared" si="3"/>
        <v>10532043.635478454</v>
      </c>
      <c r="Q11" s="23">
        <f t="shared" ca="1" si="2"/>
        <v>7.49399133713258E-2</v>
      </c>
    </row>
    <row r="12" spans="1:17" ht="14.4" x14ac:dyDescent="0.3">
      <c r="A12" s="22">
        <f>'Monthly Data'!A12</f>
        <v>39387</v>
      </c>
      <c r="B12" s="4">
        <f t="shared" si="1"/>
        <v>2007</v>
      </c>
      <c r="C12" s="20">
        <f ca="1">'Monthly Data'!K12</f>
        <v>10933348.290244343</v>
      </c>
      <c r="D12" s="56">
        <f>'Monthly Data'!AK12</f>
        <v>468.7</v>
      </c>
      <c r="E12" s="86">
        <f>'Monthly Data'!AP12</f>
        <v>6593.3</v>
      </c>
      <c r="F12" s="86">
        <f>'Monthly Data'!AT12</f>
        <v>11</v>
      </c>
      <c r="G12" s="86">
        <f>'Monthly Data'!AX12</f>
        <v>0</v>
      </c>
      <c r="H12" s="86">
        <f>'Monthly Data'!BF12</f>
        <v>0</v>
      </c>
      <c r="J12" s="20">
        <f>'GS &gt; 50 OLS model'!$B$5</f>
        <v>-8197773.48100283</v>
      </c>
      <c r="K12" s="20">
        <f>'GS &gt; 50 OLS model'!$B$6*D12</f>
        <v>310283.59180361562</v>
      </c>
      <c r="L12" s="20">
        <f>'GS &gt; 50 OLS model'!$B$7*E12</f>
        <v>18684429.444303021</v>
      </c>
      <c r="M12" s="20">
        <f>'GS &gt; 50 OLS model'!$B$8*F12</f>
        <v>-120641.7652989351</v>
      </c>
      <c r="N12" s="20">
        <f>'GS &gt; 50 OLS model'!$B$9*G12</f>
        <v>0</v>
      </c>
      <c r="O12" s="20">
        <f>'GS &gt; 50 OLS model'!$B$10*H12</f>
        <v>0</v>
      </c>
      <c r="P12" s="20">
        <f t="shared" si="3"/>
        <v>10676297.789804872</v>
      </c>
      <c r="Q12" s="23">
        <f t="shared" ca="1" si="2"/>
        <v>2.351068434075523E-2</v>
      </c>
    </row>
    <row r="13" spans="1:17" ht="14.4" x14ac:dyDescent="0.3">
      <c r="A13" s="22">
        <f>'Monthly Data'!A13</f>
        <v>39417</v>
      </c>
      <c r="B13" s="4">
        <f t="shared" si="1"/>
        <v>2007</v>
      </c>
      <c r="C13" s="20">
        <f ca="1">'Monthly Data'!K13</f>
        <v>10240594.410244342</v>
      </c>
      <c r="D13" s="56">
        <f>'Monthly Data'!AK13</f>
        <v>657</v>
      </c>
      <c r="E13" s="86">
        <f>'Monthly Data'!AP13</f>
        <v>6596.3</v>
      </c>
      <c r="F13" s="86">
        <f>'Monthly Data'!AT13</f>
        <v>12</v>
      </c>
      <c r="G13" s="86">
        <f>'Monthly Data'!AX13</f>
        <v>0</v>
      </c>
      <c r="H13" s="86">
        <f>'Monthly Data'!BF13</f>
        <v>1</v>
      </c>
      <c r="J13" s="20">
        <f>'GS &gt; 50 OLS model'!$B$5</f>
        <v>-8197773.48100283</v>
      </c>
      <c r="K13" s="20">
        <f>'GS &gt; 50 OLS model'!$B$6*D13</f>
        <v>434939.87585870596</v>
      </c>
      <c r="L13" s="20">
        <f>'GS &gt; 50 OLS model'!$B$7*E13</f>
        <v>18692930.99714195</v>
      </c>
      <c r="M13" s="20">
        <f>'GS &gt; 50 OLS model'!$B$8*F13</f>
        <v>-131609.19850792919</v>
      </c>
      <c r="N13" s="20">
        <f>'GS &gt; 50 OLS model'!$B$9*G13</f>
        <v>0</v>
      </c>
      <c r="O13" s="20">
        <f>'GS &gt; 50 OLS model'!$B$10*H13</f>
        <v>-637648.00517727702</v>
      </c>
      <c r="P13" s="20">
        <f t="shared" si="3"/>
        <v>10160840.18831262</v>
      </c>
      <c r="Q13" s="23">
        <f t="shared" ca="1" si="2"/>
        <v>7.7880461559866688E-3</v>
      </c>
    </row>
    <row r="14" spans="1:17" ht="14.4" x14ac:dyDescent="0.3">
      <c r="A14" s="22">
        <f>'Monthly Data'!A14</f>
        <v>39448</v>
      </c>
      <c r="B14" s="4">
        <f t="shared" si="1"/>
        <v>2008</v>
      </c>
      <c r="C14" s="20">
        <f ca="1">'Monthly Data'!K14</f>
        <v>9806104.3065819051</v>
      </c>
      <c r="D14" s="56">
        <f>'Monthly Data'!AK14</f>
        <v>639</v>
      </c>
      <c r="E14" s="86">
        <f>'Monthly Data'!AP14</f>
        <v>6544</v>
      </c>
      <c r="F14" s="86">
        <f>'Monthly Data'!AT14</f>
        <v>13</v>
      </c>
      <c r="G14" s="86">
        <f>'Monthly Data'!AX14</f>
        <v>0</v>
      </c>
      <c r="H14" s="86">
        <f>'Monthly Data'!BF14</f>
        <v>0</v>
      </c>
      <c r="J14" s="20">
        <f>'GS &gt; 50 OLS model'!$B$5</f>
        <v>-8197773.48100283</v>
      </c>
      <c r="K14" s="20">
        <f>'GS &gt; 50 OLS model'!$B$6*D14</f>
        <v>423023.71487627568</v>
      </c>
      <c r="L14" s="20">
        <f>'GS &gt; 50 OLS model'!$B$7*E14</f>
        <v>18544720.592649959</v>
      </c>
      <c r="M14" s="20">
        <f>'GS &gt; 50 OLS model'!$B$8*F14</f>
        <v>-142576.63171692329</v>
      </c>
      <c r="N14" s="20">
        <f>'GS &gt; 50 OLS model'!$B$9*G14</f>
        <v>0</v>
      </c>
      <c r="O14" s="20">
        <f>'GS &gt; 50 OLS model'!$B$10*H14</f>
        <v>0</v>
      </c>
      <c r="P14" s="20">
        <f t="shared" si="3"/>
        <v>10627394.194806481</v>
      </c>
      <c r="Q14" s="23">
        <f t="shared" ca="1" si="2"/>
        <v>8.3752921909399008E-2</v>
      </c>
    </row>
    <row r="15" spans="1:17" ht="14.4" x14ac:dyDescent="0.3">
      <c r="A15" s="22">
        <f>'Monthly Data'!A15</f>
        <v>39479</v>
      </c>
      <c r="B15" s="4">
        <f t="shared" si="1"/>
        <v>2008</v>
      </c>
      <c r="C15" s="20">
        <f ca="1">'Monthly Data'!K15</f>
        <v>10825528.636581907</v>
      </c>
      <c r="D15" s="56">
        <f>'Monthly Data'!AK15</f>
        <v>692.5</v>
      </c>
      <c r="E15" s="86">
        <f>'Monthly Data'!AP15</f>
        <v>6522.8</v>
      </c>
      <c r="F15" s="86">
        <f>'Monthly Data'!AT15</f>
        <v>14</v>
      </c>
      <c r="G15" s="86">
        <f>'Monthly Data'!AX15</f>
        <v>0</v>
      </c>
      <c r="H15" s="86">
        <f>'Monthly Data'!BF15</f>
        <v>0</v>
      </c>
      <c r="J15" s="20">
        <f>'GS &gt; 50 OLS model'!$B$5</f>
        <v>-8197773.48100283</v>
      </c>
      <c r="K15" s="20">
        <f>'GS &gt; 50 OLS model'!$B$6*D15</f>
        <v>458441.19335183239</v>
      </c>
      <c r="L15" s="20">
        <f>'GS &gt; 50 OLS model'!$B$7*E15</f>
        <v>18484642.952588197</v>
      </c>
      <c r="M15" s="20">
        <f>'GS &gt; 50 OLS model'!$B$8*F15</f>
        <v>-153544.0649259174</v>
      </c>
      <c r="N15" s="20">
        <f>'GS &gt; 50 OLS model'!$B$9*G15</f>
        <v>0</v>
      </c>
      <c r="O15" s="20">
        <f>'GS &gt; 50 OLS model'!$B$10*H15</f>
        <v>0</v>
      </c>
      <c r="P15" s="20">
        <f t="shared" si="3"/>
        <v>10591766.600011282</v>
      </c>
      <c r="Q15" s="23">
        <f t="shared" ca="1" si="2"/>
        <v>2.1593590892244344E-2</v>
      </c>
    </row>
    <row r="16" spans="1:17" ht="14.4" x14ac:dyDescent="0.3">
      <c r="A16" s="22">
        <f>'Monthly Data'!A16</f>
        <v>39508</v>
      </c>
      <c r="B16" s="4">
        <f t="shared" si="1"/>
        <v>2008</v>
      </c>
      <c r="C16" s="20">
        <f ca="1">'Monthly Data'!K16</f>
        <v>10843117.946581906</v>
      </c>
      <c r="D16" s="56">
        <f>'Monthly Data'!AK16</f>
        <v>627.29999999999995</v>
      </c>
      <c r="E16" s="86">
        <f>'Monthly Data'!AP16</f>
        <v>6505.5</v>
      </c>
      <c r="F16" s="86">
        <f>'Monthly Data'!AT16</f>
        <v>15</v>
      </c>
      <c r="G16" s="86">
        <f>'Monthly Data'!AX16</f>
        <v>0</v>
      </c>
      <c r="H16" s="86">
        <f>'Monthly Data'!BF16</f>
        <v>0</v>
      </c>
      <c r="J16" s="20">
        <f>'GS &gt; 50 OLS model'!$B$5</f>
        <v>-8197773.48100283</v>
      </c>
      <c r="K16" s="20">
        <f>'GS &gt; 50 OLS model'!$B$6*D16</f>
        <v>415278.21023769595</v>
      </c>
      <c r="L16" s="20">
        <f>'GS &gt; 50 OLS model'!$B$7*E16</f>
        <v>18435617.331217039</v>
      </c>
      <c r="M16" s="20">
        <f>'GS &gt; 50 OLS model'!$B$8*F16</f>
        <v>-164511.4981349115</v>
      </c>
      <c r="N16" s="20">
        <f>'GS &gt; 50 OLS model'!$B$9*G16</f>
        <v>0</v>
      </c>
      <c r="O16" s="20">
        <f>'GS &gt; 50 OLS model'!$B$10*H16</f>
        <v>0</v>
      </c>
      <c r="P16" s="20">
        <f t="shared" si="3"/>
        <v>10488610.562316995</v>
      </c>
      <c r="Q16" s="23">
        <f t="shared" ca="1" si="2"/>
        <v>3.2694229280855747E-2</v>
      </c>
    </row>
    <row r="17" spans="1:17" ht="14.4" x14ac:dyDescent="0.3">
      <c r="A17" s="22">
        <f>'Monthly Data'!A17</f>
        <v>39539</v>
      </c>
      <c r="B17" s="4">
        <f t="shared" si="1"/>
        <v>2008</v>
      </c>
      <c r="C17" s="20">
        <f ca="1">'Monthly Data'!K17</f>
        <v>9880775.5965819042</v>
      </c>
      <c r="D17" s="56">
        <f>'Monthly Data'!AK17</f>
        <v>265</v>
      </c>
      <c r="E17" s="86">
        <f>'Monthly Data'!AP17</f>
        <v>6535.8</v>
      </c>
      <c r="F17" s="86">
        <f>'Monthly Data'!AT17</f>
        <v>16</v>
      </c>
      <c r="G17" s="86">
        <f>'Monthly Data'!AX17</f>
        <v>1</v>
      </c>
      <c r="H17" s="86">
        <f>'Monthly Data'!BF17</f>
        <v>0</v>
      </c>
      <c r="J17" s="20">
        <f>'GS &gt; 50 OLS model'!$B$5</f>
        <v>-8197773.48100283</v>
      </c>
      <c r="K17" s="20">
        <f>'GS &gt; 50 OLS model'!$B$6*D17</f>
        <v>175432.37001911274</v>
      </c>
      <c r="L17" s="20">
        <f>'GS &gt; 50 OLS model'!$B$7*E17</f>
        <v>18521483.01489022</v>
      </c>
      <c r="M17" s="20">
        <f>'GS &gt; 50 OLS model'!$B$8*F17</f>
        <v>-175478.9313439056</v>
      </c>
      <c r="N17" s="20">
        <f>'GS &gt; 50 OLS model'!$B$9*G17</f>
        <v>-568190.53314882901</v>
      </c>
      <c r="O17" s="20">
        <f>'GS &gt; 50 OLS model'!$B$10*H17</f>
        <v>0</v>
      </c>
      <c r="P17" s="20">
        <f t="shared" si="3"/>
        <v>9755472.4394137673</v>
      </c>
      <c r="Q17" s="23">
        <f t="shared" ca="1" si="2"/>
        <v>1.2681510266408997E-2</v>
      </c>
    </row>
    <row r="18" spans="1:17" ht="14.4" x14ac:dyDescent="0.3">
      <c r="A18" s="22">
        <f>'Monthly Data'!A18</f>
        <v>39569</v>
      </c>
      <c r="B18" s="4">
        <f t="shared" si="1"/>
        <v>2008</v>
      </c>
      <c r="C18" s="20">
        <f ca="1">'Monthly Data'!K18</f>
        <v>10167202.836581906</v>
      </c>
      <c r="D18" s="56">
        <f>'Monthly Data'!AK18</f>
        <v>208.8</v>
      </c>
      <c r="E18" s="86">
        <f>'Monthly Data'!AP18</f>
        <v>6590.4</v>
      </c>
      <c r="F18" s="86">
        <f>'Monthly Data'!AT18</f>
        <v>17</v>
      </c>
      <c r="G18" s="86">
        <f>'Monthly Data'!AX18</f>
        <v>0</v>
      </c>
      <c r="H18" s="86">
        <f>'Monthly Data'!BF18</f>
        <v>0</v>
      </c>
      <c r="J18" s="20">
        <f>'GS &gt; 50 OLS model'!$B$5</f>
        <v>-8197773.48100283</v>
      </c>
      <c r="K18" s="20">
        <f>'GS &gt; 50 OLS model'!$B$6*D18</f>
        <v>138227.4673961915</v>
      </c>
      <c r="L18" s="20">
        <f>'GS &gt; 50 OLS model'!$B$7*E18</f>
        <v>18676211.276558723</v>
      </c>
      <c r="M18" s="20">
        <f>'GS &gt; 50 OLS model'!$B$8*F18</f>
        <v>-186446.3645528997</v>
      </c>
      <c r="N18" s="20">
        <f>'GS &gt; 50 OLS model'!$B$9*G18</f>
        <v>0</v>
      </c>
      <c r="O18" s="20">
        <f>'GS &gt; 50 OLS model'!$B$10*H18</f>
        <v>0</v>
      </c>
      <c r="P18" s="20">
        <f t="shared" si="3"/>
        <v>10430218.898399185</v>
      </c>
      <c r="Q18" s="23">
        <f t="shared" ca="1" si="2"/>
        <v>2.5869068026354237E-2</v>
      </c>
    </row>
    <row r="19" spans="1:17" ht="14.4" x14ac:dyDescent="0.3">
      <c r="A19" s="22">
        <f>'Monthly Data'!A19</f>
        <v>39600</v>
      </c>
      <c r="B19" s="4">
        <f t="shared" si="1"/>
        <v>2008</v>
      </c>
      <c r="C19" s="20">
        <f ca="1">'Monthly Data'!K19</f>
        <v>9848591.4865819048</v>
      </c>
      <c r="D19" s="56">
        <f>'Monthly Data'!AK19</f>
        <v>24.1</v>
      </c>
      <c r="E19" s="86">
        <f>'Monthly Data'!AP19</f>
        <v>6658</v>
      </c>
      <c r="F19" s="86">
        <f>'Monthly Data'!AT19</f>
        <v>18</v>
      </c>
      <c r="G19" s="86">
        <f>'Monthly Data'!AX19</f>
        <v>0</v>
      </c>
      <c r="H19" s="86">
        <f>'Monthly Data'!BF19</f>
        <v>0</v>
      </c>
      <c r="J19" s="20">
        <f>'GS &gt; 50 OLS model'!$B$5</f>
        <v>-8197773.48100283</v>
      </c>
      <c r="K19" s="20">
        <f>'GS &gt; 50 OLS model'!$B$6*D19</f>
        <v>15954.415537587236</v>
      </c>
      <c r="L19" s="20">
        <f>'GS &gt; 50 OLS model'!$B$7*E19</f>
        <v>18867779.60052925</v>
      </c>
      <c r="M19" s="20">
        <f>'GS &gt; 50 OLS model'!$B$8*F19</f>
        <v>-197413.7977618938</v>
      </c>
      <c r="N19" s="20">
        <f>'GS &gt; 50 OLS model'!$B$9*G19</f>
        <v>0</v>
      </c>
      <c r="O19" s="20">
        <f>'GS &gt; 50 OLS model'!$B$10*H19</f>
        <v>0</v>
      </c>
      <c r="P19" s="20">
        <f t="shared" si="3"/>
        <v>10488546.737302115</v>
      </c>
      <c r="Q19" s="23">
        <f t="shared" ca="1" si="2"/>
        <v>6.4979368023550338E-2</v>
      </c>
    </row>
    <row r="20" spans="1:17" ht="14.4" x14ac:dyDescent="0.3">
      <c r="A20" s="22">
        <f>'Monthly Data'!A20</f>
        <v>39630</v>
      </c>
      <c r="B20" s="4">
        <f t="shared" si="1"/>
        <v>2008</v>
      </c>
      <c r="C20" s="20">
        <f ca="1">'Monthly Data'!K20</f>
        <v>9599234.3165819049</v>
      </c>
      <c r="D20" s="56">
        <f>'Monthly Data'!AK20</f>
        <v>4</v>
      </c>
      <c r="E20" s="86">
        <f>'Monthly Data'!AP20</f>
        <v>6696.5</v>
      </c>
      <c r="F20" s="86">
        <f>'Monthly Data'!AT20</f>
        <v>19</v>
      </c>
      <c r="G20" s="86">
        <f>'Monthly Data'!AX20</f>
        <v>0</v>
      </c>
      <c r="H20" s="86">
        <f>'Monthly Data'!BF20</f>
        <v>0</v>
      </c>
      <c r="J20" s="20">
        <f>'GS &gt; 50 OLS model'!$B$5</f>
        <v>-8197773.48100283</v>
      </c>
      <c r="K20" s="20">
        <f>'GS &gt; 50 OLS model'!$B$6*D20</f>
        <v>2648.0357738734001</v>
      </c>
      <c r="L20" s="20">
        <f>'GS &gt; 50 OLS model'!$B$7*E20</f>
        <v>18976882.861962169</v>
      </c>
      <c r="M20" s="20">
        <f>'GS &gt; 50 OLS model'!$B$8*F20</f>
        <v>-208381.2309708879</v>
      </c>
      <c r="N20" s="20">
        <f>'GS &gt; 50 OLS model'!$B$9*G20</f>
        <v>0</v>
      </c>
      <c r="O20" s="20">
        <f>'GS &gt; 50 OLS model'!$B$10*H20</f>
        <v>0</v>
      </c>
      <c r="P20" s="20">
        <f t="shared" si="3"/>
        <v>10573376.185762325</v>
      </c>
      <c r="Q20" s="23">
        <f t="shared" ca="1" si="2"/>
        <v>0.10148120538089885</v>
      </c>
    </row>
    <row r="21" spans="1:17" ht="14.4" x14ac:dyDescent="0.3">
      <c r="A21" s="22">
        <f>'Monthly Data'!A21</f>
        <v>39661</v>
      </c>
      <c r="B21" s="4">
        <f t="shared" si="1"/>
        <v>2008</v>
      </c>
      <c r="C21" s="20">
        <f ca="1">'Monthly Data'!K21</f>
        <v>10270703.446581906</v>
      </c>
      <c r="D21" s="56">
        <f>'Monthly Data'!AK21</f>
        <v>12.4</v>
      </c>
      <c r="E21" s="86">
        <f>'Monthly Data'!AP21</f>
        <v>6700.1</v>
      </c>
      <c r="F21" s="86">
        <f>'Monthly Data'!AT21</f>
        <v>20</v>
      </c>
      <c r="G21" s="86">
        <f>'Monthly Data'!AX21</f>
        <v>0</v>
      </c>
      <c r="H21" s="86">
        <f>'Monthly Data'!BF21</f>
        <v>0</v>
      </c>
      <c r="J21" s="20">
        <f>'GS &gt; 50 OLS model'!$B$5</f>
        <v>-8197773.48100283</v>
      </c>
      <c r="K21" s="20">
        <f>'GS &gt; 50 OLS model'!$B$6*D21</f>
        <v>8208.9108990075401</v>
      </c>
      <c r="L21" s="20">
        <f>'GS &gt; 50 OLS model'!$B$7*E21</f>
        <v>18987084.725368887</v>
      </c>
      <c r="M21" s="20">
        <f>'GS &gt; 50 OLS model'!$B$8*F21</f>
        <v>-219348.66417988201</v>
      </c>
      <c r="N21" s="20">
        <f>'GS &gt; 50 OLS model'!$B$9*G21</f>
        <v>0</v>
      </c>
      <c r="O21" s="20">
        <f>'GS &gt; 50 OLS model'!$B$10*H21</f>
        <v>0</v>
      </c>
      <c r="P21" s="20">
        <f t="shared" si="3"/>
        <v>10578171.491085183</v>
      </c>
      <c r="Q21" s="23">
        <f t="shared" ca="1" si="2"/>
        <v>2.9936415368472417E-2</v>
      </c>
    </row>
    <row r="22" spans="1:17" ht="14.4" x14ac:dyDescent="0.3">
      <c r="A22" s="22">
        <f>'Monthly Data'!A22</f>
        <v>39692</v>
      </c>
      <c r="B22" s="4">
        <f t="shared" si="1"/>
        <v>2008</v>
      </c>
      <c r="C22" s="20">
        <f ca="1">'Monthly Data'!K22</f>
        <v>9184875.726581905</v>
      </c>
      <c r="D22" s="56">
        <f>'Monthly Data'!AK22</f>
        <v>56.7</v>
      </c>
      <c r="E22" s="86">
        <f>'Monthly Data'!AP22</f>
        <v>6670.4</v>
      </c>
      <c r="F22" s="86">
        <f>'Monthly Data'!AT22</f>
        <v>21</v>
      </c>
      <c r="G22" s="86">
        <f>'Monthly Data'!AX22</f>
        <v>0</v>
      </c>
      <c r="H22" s="86">
        <f>'Monthly Data'!BF22</f>
        <v>0</v>
      </c>
      <c r="J22" s="20">
        <f>'GS &gt; 50 OLS model'!$B$5</f>
        <v>-8197773.48100283</v>
      </c>
      <c r="K22" s="20">
        <f>'GS &gt; 50 OLS model'!$B$6*D22</f>
        <v>37535.907094655449</v>
      </c>
      <c r="L22" s="20">
        <f>'GS &gt; 50 OLS model'!$B$7*E22</f>
        <v>18902919.352263488</v>
      </c>
      <c r="M22" s="20">
        <f>'GS &gt; 50 OLS model'!$B$8*F22</f>
        <v>-230316.09738887611</v>
      </c>
      <c r="N22" s="20">
        <f>'GS &gt; 50 OLS model'!$B$9*G22</f>
        <v>0</v>
      </c>
      <c r="O22" s="20">
        <f>'GS &gt; 50 OLS model'!$B$10*H22</f>
        <v>0</v>
      </c>
      <c r="P22" s="20">
        <f t="shared" si="3"/>
        <v>10512365.680966437</v>
      </c>
      <c r="Q22" s="23">
        <f t="shared" ca="1" si="2"/>
        <v>0.14452998536960598</v>
      </c>
    </row>
    <row r="23" spans="1:17" ht="14.4" x14ac:dyDescent="0.3">
      <c r="A23" s="22">
        <f>'Monthly Data'!A23</f>
        <v>39722</v>
      </c>
      <c r="B23" s="4">
        <f t="shared" si="1"/>
        <v>2008</v>
      </c>
      <c r="C23" s="20">
        <f ca="1">'Monthly Data'!K23</f>
        <v>10277726.956581905</v>
      </c>
      <c r="D23" s="56">
        <f>'Monthly Data'!AK23</f>
        <v>286.8</v>
      </c>
      <c r="E23" s="86">
        <f>'Monthly Data'!AP23</f>
        <v>6670.2</v>
      </c>
      <c r="F23" s="86">
        <f>'Monthly Data'!AT23</f>
        <v>22</v>
      </c>
      <c r="G23" s="86">
        <f>'Monthly Data'!AX23</f>
        <v>0</v>
      </c>
      <c r="H23" s="86">
        <f>'Monthly Data'!BF23</f>
        <v>0</v>
      </c>
      <c r="J23" s="20">
        <f>'GS &gt; 50 OLS model'!$B$5</f>
        <v>-8197773.48100283</v>
      </c>
      <c r="K23" s="20">
        <f>'GS &gt; 50 OLS model'!$B$6*D23</f>
        <v>189864.16498672278</v>
      </c>
      <c r="L23" s="20">
        <f>'GS &gt; 50 OLS model'!$B$7*E23</f>
        <v>18902352.582074229</v>
      </c>
      <c r="M23" s="20">
        <f>'GS &gt; 50 OLS model'!$B$8*F23</f>
        <v>-241283.53059787021</v>
      </c>
      <c r="N23" s="20">
        <f>'GS &gt; 50 OLS model'!$B$9*G23</f>
        <v>0</v>
      </c>
      <c r="O23" s="20">
        <f>'GS &gt; 50 OLS model'!$B$10*H23</f>
        <v>0</v>
      </c>
      <c r="P23" s="20">
        <f t="shared" si="3"/>
        <v>10653159.735460252</v>
      </c>
      <c r="Q23" s="23">
        <f t="shared" ca="1" si="2"/>
        <v>3.6528775327886787E-2</v>
      </c>
    </row>
    <row r="24" spans="1:17" ht="14.4" x14ac:dyDescent="0.3">
      <c r="A24" s="22">
        <f>'Monthly Data'!A24</f>
        <v>39753</v>
      </c>
      <c r="B24" s="4">
        <f t="shared" si="1"/>
        <v>2008</v>
      </c>
      <c r="C24" s="20">
        <f ca="1">'Monthly Data'!K24</f>
        <v>9446029.9265819062</v>
      </c>
      <c r="D24" s="56">
        <f>'Monthly Data'!AK24</f>
        <v>468.3</v>
      </c>
      <c r="E24" s="86">
        <f>'Monthly Data'!AP24</f>
        <v>6627.6</v>
      </c>
      <c r="F24" s="86">
        <f>'Monthly Data'!AT24</f>
        <v>23</v>
      </c>
      <c r="G24" s="86">
        <f>'Monthly Data'!AX24</f>
        <v>0</v>
      </c>
      <c r="H24" s="86">
        <f>'Monthly Data'!BF24</f>
        <v>0</v>
      </c>
      <c r="J24" s="20">
        <f>'GS &gt; 50 OLS model'!$B$5</f>
        <v>-8197773.48100283</v>
      </c>
      <c r="K24" s="20">
        <f>'GS &gt; 50 OLS model'!$B$6*D24</f>
        <v>310018.78822622832</v>
      </c>
      <c r="L24" s="20">
        <f>'GS &gt; 50 OLS model'!$B$7*E24</f>
        <v>18781630.531761441</v>
      </c>
      <c r="M24" s="20">
        <f>'GS &gt; 50 OLS model'!$B$8*F24</f>
        <v>-252250.96380686431</v>
      </c>
      <c r="N24" s="20">
        <f>'GS &gt; 50 OLS model'!$B$9*G24</f>
        <v>0</v>
      </c>
      <c r="O24" s="20">
        <f>'GS &gt; 50 OLS model'!$B$10*H24</f>
        <v>0</v>
      </c>
      <c r="P24" s="20">
        <f t="shared" si="3"/>
        <v>10641624.875177976</v>
      </c>
      <c r="Q24" s="23">
        <f t="shared" ca="1" si="2"/>
        <v>0.12657115824200038</v>
      </c>
    </row>
    <row r="25" spans="1:17" ht="14.4" x14ac:dyDescent="0.3">
      <c r="A25" s="22">
        <f>'Monthly Data'!A25</f>
        <v>39783</v>
      </c>
      <c r="B25" s="4">
        <f t="shared" si="1"/>
        <v>2008</v>
      </c>
      <c r="C25" s="20">
        <f ca="1">'Monthly Data'!K25</f>
        <v>9206544.2565819062</v>
      </c>
      <c r="D25" s="56">
        <f>'Monthly Data'!AK25</f>
        <v>671</v>
      </c>
      <c r="E25" s="86">
        <f>'Monthly Data'!AP25</f>
        <v>6607.1</v>
      </c>
      <c r="F25" s="86">
        <f>'Monthly Data'!AT25</f>
        <v>24</v>
      </c>
      <c r="G25" s="86">
        <f>'Monthly Data'!AX25</f>
        <v>0</v>
      </c>
      <c r="H25" s="86">
        <f>'Monthly Data'!BF25</f>
        <v>1</v>
      </c>
      <c r="J25" s="20">
        <f>'GS &gt; 50 OLS model'!$B$5</f>
        <v>-8197773.48100283</v>
      </c>
      <c r="K25" s="20">
        <f>'GS &gt; 50 OLS model'!$B$6*D25</f>
        <v>444208.00106726284</v>
      </c>
      <c r="L25" s="20">
        <f>'GS &gt; 50 OLS model'!$B$7*E25</f>
        <v>18723536.587362096</v>
      </c>
      <c r="M25" s="20">
        <f>'GS &gt; 50 OLS model'!$B$8*F25</f>
        <v>-263218.39701585838</v>
      </c>
      <c r="N25" s="20">
        <f>'GS &gt; 50 OLS model'!$B$9*G25</f>
        <v>0</v>
      </c>
      <c r="O25" s="20">
        <f>'GS &gt; 50 OLS model'!$B$10*H25</f>
        <v>-637648.00517727702</v>
      </c>
      <c r="P25" s="20">
        <f t="shared" si="3"/>
        <v>10069104.705233393</v>
      </c>
      <c r="Q25" s="23">
        <f t="shared" ca="1" si="2"/>
        <v>9.3689925841048197E-2</v>
      </c>
    </row>
    <row r="26" spans="1:17" ht="14.4" x14ac:dyDescent="0.3">
      <c r="A26" s="22">
        <f>'Monthly Data'!A26</f>
        <v>39814</v>
      </c>
      <c r="B26" s="4">
        <f t="shared" si="1"/>
        <v>2009</v>
      </c>
      <c r="C26" s="20">
        <f ca="1">'Monthly Data'!K26</f>
        <v>10115013.960461708</v>
      </c>
      <c r="D26" s="56">
        <f>'Monthly Data'!AK26</f>
        <v>849.6</v>
      </c>
      <c r="E26" s="86">
        <f>'Monthly Data'!AP26</f>
        <v>6506.5</v>
      </c>
      <c r="F26" s="86">
        <f>'Monthly Data'!AT26</f>
        <v>25</v>
      </c>
      <c r="G26" s="86">
        <f>'Monthly Data'!AX26</f>
        <v>0</v>
      </c>
      <c r="H26" s="86">
        <f>'Monthly Data'!BF26</f>
        <v>0</v>
      </c>
      <c r="J26" s="20">
        <f>'GS &gt; 50 OLS model'!$B$5</f>
        <v>-8197773.48100283</v>
      </c>
      <c r="K26" s="20">
        <f>'GS &gt; 50 OLS model'!$B$6*D26</f>
        <v>562442.79837071022</v>
      </c>
      <c r="L26" s="20">
        <f>'GS &gt; 50 OLS model'!$B$7*E26</f>
        <v>18438451.18216335</v>
      </c>
      <c r="M26" s="20">
        <f>'GS &gt; 50 OLS model'!$B$8*F26</f>
        <v>-274185.83022485249</v>
      </c>
      <c r="N26" s="20">
        <f>'GS &gt; 50 OLS model'!$B$9*G26</f>
        <v>0</v>
      </c>
      <c r="O26" s="20">
        <f>'GS &gt; 50 OLS model'!$B$10*H26</f>
        <v>0</v>
      </c>
      <c r="P26" s="20">
        <f t="shared" si="3"/>
        <v>10528934.669306379</v>
      </c>
      <c r="Q26" s="23">
        <f t="shared" ca="1" si="2"/>
        <v>4.0921417455540246E-2</v>
      </c>
    </row>
    <row r="27" spans="1:17" ht="14.4" x14ac:dyDescent="0.3">
      <c r="A27" s="22">
        <f>'Monthly Data'!A27</f>
        <v>39845</v>
      </c>
      <c r="B27" s="4">
        <f t="shared" si="1"/>
        <v>2009</v>
      </c>
      <c r="C27" s="20">
        <f ca="1">'Monthly Data'!K27</f>
        <v>9525587.2104617096</v>
      </c>
      <c r="D27" s="56">
        <f>'Monthly Data'!AK27</f>
        <v>612.70000000000005</v>
      </c>
      <c r="E27" s="86">
        <f>'Monthly Data'!AP27</f>
        <v>6436.2</v>
      </c>
      <c r="F27" s="86">
        <f>'Monthly Data'!AT27</f>
        <v>26</v>
      </c>
      <c r="G27" s="86">
        <f>'Monthly Data'!AX27</f>
        <v>0</v>
      </c>
      <c r="H27" s="86">
        <f>'Monthly Data'!BF27</f>
        <v>0</v>
      </c>
      <c r="J27" s="20">
        <f>'GS &gt; 50 OLS model'!$B$5</f>
        <v>-8197773.48100283</v>
      </c>
      <c r="K27" s="20">
        <f>'GS &gt; 50 OLS model'!$B$6*D27</f>
        <v>405612.87966305809</v>
      </c>
      <c r="L27" s="20">
        <f>'GS &gt; 50 OLS model'!$B$7*E27</f>
        <v>18239231.460637785</v>
      </c>
      <c r="M27" s="20">
        <f>'GS &gt; 50 OLS model'!$B$8*F27</f>
        <v>-285153.26343384659</v>
      </c>
      <c r="N27" s="20">
        <f>'GS &gt; 50 OLS model'!$B$9*G27</f>
        <v>0</v>
      </c>
      <c r="O27" s="20">
        <f>'GS &gt; 50 OLS model'!$B$10*H27</f>
        <v>0</v>
      </c>
      <c r="P27" s="20">
        <f t="shared" si="3"/>
        <v>10161917.595864167</v>
      </c>
      <c r="Q27" s="23">
        <f t="shared" ca="1" si="2"/>
        <v>6.6802221358447308E-2</v>
      </c>
    </row>
    <row r="28" spans="1:17" ht="14.4" x14ac:dyDescent="0.3">
      <c r="A28" s="22">
        <f>'Monthly Data'!A28</f>
        <v>39873</v>
      </c>
      <c r="B28" s="4">
        <f t="shared" si="1"/>
        <v>2009</v>
      </c>
      <c r="C28" s="20">
        <f ca="1">'Monthly Data'!K28</f>
        <v>10224994.770461708</v>
      </c>
      <c r="D28" s="56">
        <f>'Monthly Data'!AK28</f>
        <v>533.29999999999995</v>
      </c>
      <c r="E28" s="86">
        <f>'Monthly Data'!AP28</f>
        <v>6363.8</v>
      </c>
      <c r="F28" s="86">
        <f>'Monthly Data'!AT28</f>
        <v>27</v>
      </c>
      <c r="G28" s="86">
        <f>'Monthly Data'!AX28</f>
        <v>0</v>
      </c>
      <c r="H28" s="86">
        <f>'Monthly Data'!BF28</f>
        <v>0</v>
      </c>
      <c r="J28" s="20">
        <f>'GS &gt; 50 OLS model'!$B$5</f>
        <v>-8197773.48100283</v>
      </c>
      <c r="K28" s="20">
        <f>'GS &gt; 50 OLS model'!$B$6*D28</f>
        <v>353049.36955167103</v>
      </c>
      <c r="L28" s="20">
        <f>'GS &gt; 50 OLS model'!$B$7*E28</f>
        <v>18034060.652124971</v>
      </c>
      <c r="M28" s="20">
        <f>'GS &gt; 50 OLS model'!$B$8*F28</f>
        <v>-296120.69664284069</v>
      </c>
      <c r="N28" s="20">
        <f>'GS &gt; 50 OLS model'!$B$9*G28</f>
        <v>0</v>
      </c>
      <c r="O28" s="20">
        <f>'GS &gt; 50 OLS model'!$B$10*H28</f>
        <v>0</v>
      </c>
      <c r="P28" s="20">
        <f t="shared" si="3"/>
        <v>9893215.8440309707</v>
      </c>
      <c r="Q28" s="23">
        <f t="shared" ca="1" si="2"/>
        <v>3.2447833361166224E-2</v>
      </c>
    </row>
    <row r="29" spans="1:17" ht="14.4" x14ac:dyDescent="0.3">
      <c r="A29" s="22">
        <f>'Monthly Data'!A29</f>
        <v>39904</v>
      </c>
      <c r="B29" s="4">
        <f t="shared" si="1"/>
        <v>2009</v>
      </c>
      <c r="C29" s="20">
        <f ca="1">'Monthly Data'!K29</f>
        <v>9206992.1804617085</v>
      </c>
      <c r="D29" s="56">
        <f>'Monthly Data'!AK29</f>
        <v>307</v>
      </c>
      <c r="E29" s="86">
        <f>'Monthly Data'!AP29</f>
        <v>6359.6</v>
      </c>
      <c r="F29" s="86">
        <f>'Monthly Data'!AT29</f>
        <v>28</v>
      </c>
      <c r="G29" s="86">
        <f>'Monthly Data'!AX29</f>
        <v>1</v>
      </c>
      <c r="H29" s="86">
        <f>'Monthly Data'!BF29</f>
        <v>0</v>
      </c>
      <c r="J29" s="20">
        <f>'GS &gt; 50 OLS model'!$B$5</f>
        <v>-8197773.48100283</v>
      </c>
      <c r="K29" s="20">
        <f>'GS &gt; 50 OLS model'!$B$6*D29</f>
        <v>203236.74564478346</v>
      </c>
      <c r="L29" s="20">
        <f>'GS &gt; 50 OLS model'!$B$7*E29</f>
        <v>18022158.478150472</v>
      </c>
      <c r="M29" s="20">
        <f>'GS &gt; 50 OLS model'!$B$8*F29</f>
        <v>-307088.12985183479</v>
      </c>
      <c r="N29" s="20">
        <f>'GS &gt; 50 OLS model'!$B$9*G29</f>
        <v>-568190.53314882901</v>
      </c>
      <c r="O29" s="20">
        <f>'GS &gt; 50 OLS model'!$B$10*H29</f>
        <v>0</v>
      </c>
      <c r="P29" s="20">
        <f t="shared" si="3"/>
        <v>9152343.0797917619</v>
      </c>
      <c r="Q29" s="23">
        <f t="shared" ca="1" si="2"/>
        <v>5.9356084591793363E-3</v>
      </c>
    </row>
    <row r="30" spans="1:17" ht="14.4" x14ac:dyDescent="0.3">
      <c r="A30" s="22">
        <f>'Monthly Data'!A30</f>
        <v>39934</v>
      </c>
      <c r="B30" s="4">
        <f t="shared" si="1"/>
        <v>2009</v>
      </c>
      <c r="C30" s="20">
        <f ca="1">'Monthly Data'!K30</f>
        <v>8820058.6604617089</v>
      </c>
      <c r="D30" s="56">
        <f>'Monthly Data'!AK30</f>
        <v>156.9</v>
      </c>
      <c r="E30" s="86">
        <f>'Monthly Data'!AP30</f>
        <v>6382.1</v>
      </c>
      <c r="F30" s="86">
        <f>'Monthly Data'!AT30</f>
        <v>29</v>
      </c>
      <c r="G30" s="86">
        <f>'Monthly Data'!AX30</f>
        <v>0</v>
      </c>
      <c r="H30" s="86">
        <f>'Monthly Data'!BF30</f>
        <v>0</v>
      </c>
      <c r="J30" s="20">
        <f>'GS &gt; 50 OLS model'!$B$5</f>
        <v>-8197773.48100283</v>
      </c>
      <c r="K30" s="20">
        <f>'GS &gt; 50 OLS model'!$B$6*D30</f>
        <v>103869.20323018412</v>
      </c>
      <c r="L30" s="20">
        <f>'GS &gt; 50 OLS model'!$B$7*E30</f>
        <v>18085920.124442436</v>
      </c>
      <c r="M30" s="20">
        <f>'GS &gt; 50 OLS model'!$B$8*F30</f>
        <v>-318055.56306082889</v>
      </c>
      <c r="N30" s="20">
        <f>'GS &gt; 50 OLS model'!$B$9*G30</f>
        <v>0</v>
      </c>
      <c r="O30" s="20">
        <f>'GS &gt; 50 OLS model'!$B$10*H30</f>
        <v>0</v>
      </c>
      <c r="P30" s="20">
        <f t="shared" si="3"/>
        <v>9673960.28360896</v>
      </c>
      <c r="Q30" s="23">
        <f t="shared" ca="1" si="2"/>
        <v>9.6813599094878508E-2</v>
      </c>
    </row>
    <row r="31" spans="1:17" ht="14.4" x14ac:dyDescent="0.3">
      <c r="A31" s="22">
        <f>'Monthly Data'!A31</f>
        <v>39965</v>
      </c>
      <c r="B31" s="4">
        <f t="shared" si="1"/>
        <v>2009</v>
      </c>
      <c r="C31" s="20">
        <f ca="1">'Monthly Data'!K31</f>
        <v>8320243.3404617086</v>
      </c>
      <c r="D31" s="56">
        <f>'Monthly Data'!AK31</f>
        <v>49.7</v>
      </c>
      <c r="E31" s="86">
        <f>'Monthly Data'!AP31</f>
        <v>6429.4</v>
      </c>
      <c r="F31" s="86">
        <f>'Monthly Data'!AT31</f>
        <v>30</v>
      </c>
      <c r="G31" s="86">
        <f>'Monthly Data'!AX31</f>
        <v>0</v>
      </c>
      <c r="H31" s="86">
        <f>'Monthly Data'!BF31</f>
        <v>0</v>
      </c>
      <c r="J31" s="20">
        <f>'GS &gt; 50 OLS model'!$B$5</f>
        <v>-8197773.48100283</v>
      </c>
      <c r="K31" s="20">
        <f>'GS &gt; 50 OLS model'!$B$6*D31</f>
        <v>32901.844490377</v>
      </c>
      <c r="L31" s="20">
        <f>'GS &gt; 50 OLS model'!$B$7*E31</f>
        <v>18219961.27420288</v>
      </c>
      <c r="M31" s="20">
        <f>'GS &gt; 50 OLS model'!$B$8*F31</f>
        <v>-329022.99626982299</v>
      </c>
      <c r="N31" s="20">
        <f>'GS &gt; 50 OLS model'!$B$9*G31</f>
        <v>0</v>
      </c>
      <c r="O31" s="20">
        <f>'GS &gt; 50 OLS model'!$B$10*H31</f>
        <v>0</v>
      </c>
      <c r="P31" s="20">
        <f t="shared" si="3"/>
        <v>9726066.6414206047</v>
      </c>
      <c r="Q31" s="23">
        <f t="shared" ca="1" si="2"/>
        <v>0.16896420494366018</v>
      </c>
    </row>
    <row r="32" spans="1:17" ht="14.4" x14ac:dyDescent="0.3">
      <c r="A32" s="22">
        <f>'Monthly Data'!A32</f>
        <v>39995</v>
      </c>
      <c r="B32" s="4">
        <f t="shared" si="1"/>
        <v>2009</v>
      </c>
      <c r="C32" s="20">
        <f ca="1">'Monthly Data'!K32</f>
        <v>9401823.4404617082</v>
      </c>
      <c r="D32" s="56">
        <f>'Monthly Data'!AK32</f>
        <v>20.2</v>
      </c>
      <c r="E32" s="86">
        <f>'Monthly Data'!AP32</f>
        <v>6467</v>
      </c>
      <c r="F32" s="86">
        <f>'Monthly Data'!AT32</f>
        <v>31</v>
      </c>
      <c r="G32" s="86">
        <f>'Monthly Data'!AX32</f>
        <v>0</v>
      </c>
      <c r="H32" s="86">
        <f>'Monthly Data'!BF32</f>
        <v>0</v>
      </c>
      <c r="J32" s="20">
        <f>'GS &gt; 50 OLS model'!$B$5</f>
        <v>-8197773.48100283</v>
      </c>
      <c r="K32" s="20">
        <f>'GS &gt; 50 OLS model'!$B$6*D32</f>
        <v>13372.58065806067</v>
      </c>
      <c r="L32" s="20">
        <f>'GS &gt; 50 OLS model'!$B$7*E32</f>
        <v>18326514.06978412</v>
      </c>
      <c r="M32" s="20">
        <f>'GS &gt; 50 OLS model'!$B$8*F32</f>
        <v>-339990.4294788171</v>
      </c>
      <c r="N32" s="20">
        <f>'GS &gt; 50 OLS model'!$B$9*G32</f>
        <v>0</v>
      </c>
      <c r="O32" s="20">
        <f>'GS &gt; 50 OLS model'!$B$10*H32</f>
        <v>0</v>
      </c>
      <c r="P32" s="20">
        <f t="shared" si="3"/>
        <v>9802122.7399605326</v>
      </c>
      <c r="Q32" s="23">
        <f t="shared" ca="1" si="2"/>
        <v>4.257677269029489E-2</v>
      </c>
    </row>
    <row r="33" spans="1:17" ht="14.4" x14ac:dyDescent="0.3">
      <c r="A33" s="22">
        <f>'Monthly Data'!A33</f>
        <v>40026</v>
      </c>
      <c r="B33" s="4">
        <f t="shared" si="1"/>
        <v>2009</v>
      </c>
      <c r="C33" s="20">
        <f ca="1">'Monthly Data'!K33</f>
        <v>8821299.4504617099</v>
      </c>
      <c r="D33" s="56">
        <f>'Monthly Data'!AK33</f>
        <v>17.899999999999999</v>
      </c>
      <c r="E33" s="86">
        <f>'Monthly Data'!AP33</f>
        <v>6487.6</v>
      </c>
      <c r="F33" s="86">
        <f>'Monthly Data'!AT33</f>
        <v>32</v>
      </c>
      <c r="G33" s="86">
        <f>'Monthly Data'!AX33</f>
        <v>0</v>
      </c>
      <c r="H33" s="86">
        <f>'Monthly Data'!BF33</f>
        <v>0</v>
      </c>
      <c r="J33" s="20">
        <f>'GS &gt; 50 OLS model'!$B$5</f>
        <v>-8197773.48100283</v>
      </c>
      <c r="K33" s="20">
        <f>'GS &gt; 50 OLS model'!$B$6*D33</f>
        <v>11849.960088083464</v>
      </c>
      <c r="L33" s="20">
        <f>'GS &gt; 50 OLS model'!$B$7*E33</f>
        <v>18384891.399278097</v>
      </c>
      <c r="M33" s="20">
        <f>'GS &gt; 50 OLS model'!$B$8*F33</f>
        <v>-350957.8626878112</v>
      </c>
      <c r="N33" s="20">
        <f>'GS &gt; 50 OLS model'!$B$9*G33</f>
        <v>0</v>
      </c>
      <c r="O33" s="20">
        <f>'GS &gt; 50 OLS model'!$B$10*H33</f>
        <v>0</v>
      </c>
      <c r="P33" s="20">
        <f t="shared" si="3"/>
        <v>9848010.0156755392</v>
      </c>
      <c r="Q33" s="23">
        <f t="shared" ca="1" si="2"/>
        <v>0.11638994583276401</v>
      </c>
    </row>
    <row r="34" spans="1:17" ht="14.4" x14ac:dyDescent="0.3">
      <c r="A34" s="22">
        <f>'Monthly Data'!A34</f>
        <v>40057</v>
      </c>
      <c r="B34" s="4">
        <f t="shared" si="1"/>
        <v>2009</v>
      </c>
      <c r="C34" s="20">
        <f ca="1">'Monthly Data'!K34</f>
        <v>9572756.2204617094</v>
      </c>
      <c r="D34" s="56">
        <f>'Monthly Data'!AK34</f>
        <v>71.2</v>
      </c>
      <c r="E34" s="86">
        <f>'Monthly Data'!AP34</f>
        <v>6470.2</v>
      </c>
      <c r="F34" s="86">
        <f>'Monthly Data'!AT34</f>
        <v>33</v>
      </c>
      <c r="G34" s="86">
        <f>'Monthly Data'!AX34</f>
        <v>0</v>
      </c>
      <c r="H34" s="86">
        <f>'Monthly Data'!BF34</f>
        <v>0</v>
      </c>
      <c r="J34" s="20">
        <f>'GS &gt; 50 OLS model'!$B$5</f>
        <v>-8197773.48100283</v>
      </c>
      <c r="K34" s="20">
        <f>'GS &gt; 50 OLS model'!$B$6*D34</f>
        <v>47135.036774946522</v>
      </c>
      <c r="L34" s="20">
        <f>'GS &gt; 50 OLS model'!$B$7*E34</f>
        <v>18335582.392812312</v>
      </c>
      <c r="M34" s="20">
        <f>'GS &gt; 50 OLS model'!$B$8*F34</f>
        <v>-361925.2958968053</v>
      </c>
      <c r="N34" s="20">
        <f>'GS &gt; 50 OLS model'!$B$9*G34</f>
        <v>0</v>
      </c>
      <c r="O34" s="20">
        <f>'GS &gt; 50 OLS model'!$B$10*H34</f>
        <v>0</v>
      </c>
      <c r="P34" s="20">
        <f t="shared" si="3"/>
        <v>9823018.6526876222</v>
      </c>
      <c r="Q34" s="23">
        <f t="shared" ref="Q34:Q65" ca="1" si="4">ABS(P34-C34)/C34</f>
        <v>2.6143194965205355E-2</v>
      </c>
    </row>
    <row r="35" spans="1:17" ht="14.4" x14ac:dyDescent="0.3">
      <c r="A35" s="22">
        <f>'Monthly Data'!A35</f>
        <v>40087</v>
      </c>
      <c r="B35" s="4">
        <f t="shared" si="1"/>
        <v>2009</v>
      </c>
      <c r="C35" s="20">
        <f ca="1">'Monthly Data'!K35</f>
        <v>10403519.730461707</v>
      </c>
      <c r="D35" s="56">
        <f>'Monthly Data'!AK35</f>
        <v>301.2</v>
      </c>
      <c r="E35" s="86">
        <f>'Monthly Data'!AP35</f>
        <v>6472.1</v>
      </c>
      <c r="F35" s="86">
        <f>'Monthly Data'!AT35</f>
        <v>34</v>
      </c>
      <c r="G35" s="86">
        <f>'Monthly Data'!AX35</f>
        <v>0</v>
      </c>
      <c r="H35" s="86">
        <f>'Monthly Data'!BF35</f>
        <v>0</v>
      </c>
      <c r="J35" s="20">
        <f>'GS &gt; 50 OLS model'!$B$5</f>
        <v>-8197773.48100283</v>
      </c>
      <c r="K35" s="20">
        <f>'GS &gt; 50 OLS model'!$B$6*D35</f>
        <v>199397.09377266702</v>
      </c>
      <c r="L35" s="20">
        <f>'GS &gt; 50 OLS model'!$B$7*E35</f>
        <v>18340966.709610298</v>
      </c>
      <c r="M35" s="20">
        <f>'GS &gt; 50 OLS model'!$B$8*F35</f>
        <v>-372892.7291057994</v>
      </c>
      <c r="N35" s="20">
        <f>'GS &gt; 50 OLS model'!$B$9*G35</f>
        <v>0</v>
      </c>
      <c r="O35" s="20">
        <f>'GS &gt; 50 OLS model'!$B$10*H35</f>
        <v>0</v>
      </c>
      <c r="P35" s="20">
        <f t="shared" si="3"/>
        <v>9969697.5932743382</v>
      </c>
      <c r="Q35" s="23">
        <f t="shared" ca="1" si="4"/>
        <v>4.1699554422637328E-2</v>
      </c>
    </row>
    <row r="36" spans="1:17" ht="14.4" x14ac:dyDescent="0.3">
      <c r="A36" s="22">
        <f>'Monthly Data'!A36</f>
        <v>40118</v>
      </c>
      <c r="B36" s="4">
        <f t="shared" si="1"/>
        <v>2009</v>
      </c>
      <c r="C36" s="20">
        <f ca="1">'Monthly Data'!K36</f>
        <v>10420643.950461708</v>
      </c>
      <c r="D36" s="56">
        <f>'Monthly Data'!AK36</f>
        <v>356.7</v>
      </c>
      <c r="E36" s="86">
        <f>'Monthly Data'!AP36</f>
        <v>6465.6</v>
      </c>
      <c r="F36" s="86">
        <f>'Monthly Data'!AT36</f>
        <v>35</v>
      </c>
      <c r="G36" s="86">
        <f>'Monthly Data'!AX36</f>
        <v>0</v>
      </c>
      <c r="H36" s="86">
        <f>'Monthly Data'!BF36</f>
        <v>0</v>
      </c>
      <c r="J36" s="20">
        <f>'GS &gt; 50 OLS model'!$B$5</f>
        <v>-8197773.48100283</v>
      </c>
      <c r="K36" s="20">
        <f>'GS &gt; 50 OLS model'!$B$6*D36</f>
        <v>236138.59013516046</v>
      </c>
      <c r="L36" s="20">
        <f>'GS &gt; 50 OLS model'!$B$7*E36</f>
        <v>18322546.678459287</v>
      </c>
      <c r="M36" s="20">
        <f>'GS &gt; 50 OLS model'!$B$8*F36</f>
        <v>-383860.1623147935</v>
      </c>
      <c r="N36" s="20">
        <f>'GS &gt; 50 OLS model'!$B$9*G36</f>
        <v>0</v>
      </c>
      <c r="O36" s="20">
        <f>'GS &gt; 50 OLS model'!$B$10*H36</f>
        <v>0</v>
      </c>
      <c r="P36" s="20">
        <f t="shared" si="3"/>
        <v>9977051.6252768245</v>
      </c>
      <c r="Q36" s="23">
        <f t="shared" ca="1" si="4"/>
        <v>4.2568609703359961E-2</v>
      </c>
    </row>
    <row r="37" spans="1:17" ht="14.4" x14ac:dyDescent="0.3">
      <c r="A37" s="22">
        <f>'Monthly Data'!A37</f>
        <v>40148</v>
      </c>
      <c r="B37" s="4">
        <f t="shared" si="1"/>
        <v>2009</v>
      </c>
      <c r="C37" s="20">
        <f ca="1">'Monthly Data'!K37</f>
        <v>10360120.79046171</v>
      </c>
      <c r="D37" s="56">
        <f>'Monthly Data'!AK37</f>
        <v>637.29999999999995</v>
      </c>
      <c r="E37" s="86">
        <f>'Monthly Data'!AP37</f>
        <v>6467.5</v>
      </c>
      <c r="F37" s="86">
        <f>'Monthly Data'!AT37</f>
        <v>36</v>
      </c>
      <c r="G37" s="86">
        <f>'Monthly Data'!AX37</f>
        <v>0</v>
      </c>
      <c r="H37" s="86">
        <f>'Monthly Data'!BF37</f>
        <v>1</v>
      </c>
      <c r="J37" s="20">
        <f>'GS &gt; 50 OLS model'!$B$5</f>
        <v>-8197773.48100283</v>
      </c>
      <c r="K37" s="20">
        <f>'GS &gt; 50 OLS model'!$B$6*D37</f>
        <v>421898.29967237945</v>
      </c>
      <c r="L37" s="20">
        <f>'GS &gt; 50 OLS model'!$B$7*E37</f>
        <v>18327930.995257273</v>
      </c>
      <c r="M37" s="20">
        <f>'GS &gt; 50 OLS model'!$B$8*F37</f>
        <v>-394827.5955237876</v>
      </c>
      <c r="N37" s="20">
        <f>'GS &gt; 50 OLS model'!$B$9*G37</f>
        <v>0</v>
      </c>
      <c r="O37" s="20">
        <f>'GS &gt; 50 OLS model'!$B$10*H37</f>
        <v>-637648.00517727702</v>
      </c>
      <c r="P37" s="20">
        <f t="shared" si="3"/>
        <v>9519580.2132257596</v>
      </c>
      <c r="Q37" s="23">
        <f t="shared" ca="1" si="4"/>
        <v>8.1132314404076616E-2</v>
      </c>
    </row>
    <row r="38" spans="1:17" ht="14.4" x14ac:dyDescent="0.3">
      <c r="A38" s="22">
        <f>'Monthly Data'!A38</f>
        <v>40179</v>
      </c>
      <c r="B38" s="4">
        <f t="shared" si="1"/>
        <v>2010</v>
      </c>
      <c r="C38" s="20">
        <f ca="1">'Monthly Data'!K38</f>
        <v>8989707.867594013</v>
      </c>
      <c r="D38" s="56">
        <f>'Monthly Data'!AK38</f>
        <v>733.1</v>
      </c>
      <c r="E38" s="86">
        <f>'Monthly Data'!AP38</f>
        <v>6434.5</v>
      </c>
      <c r="F38" s="86">
        <f>'Monthly Data'!AT38</f>
        <v>37</v>
      </c>
      <c r="G38" s="86">
        <f>'Monthly Data'!AX38</f>
        <v>0</v>
      </c>
      <c r="H38" s="86">
        <f>'Monthly Data'!BF38</f>
        <v>0</v>
      </c>
      <c r="J38" s="20">
        <f>'GS &gt; 50 OLS model'!$B$5</f>
        <v>-8197773.48100283</v>
      </c>
      <c r="K38" s="20">
        <f>'GS &gt; 50 OLS model'!$B$6*D38</f>
        <v>485318.75645664742</v>
      </c>
      <c r="L38" s="20">
        <f>'GS &gt; 50 OLS model'!$B$7*E38</f>
        <v>18234413.914029058</v>
      </c>
      <c r="M38" s="20">
        <f>'GS &gt; 50 OLS model'!$B$8*F38</f>
        <v>-405795.02873278171</v>
      </c>
      <c r="N38" s="20">
        <f>'GS &gt; 50 OLS model'!$B$9*G38</f>
        <v>0</v>
      </c>
      <c r="O38" s="20">
        <f>'GS &gt; 50 OLS model'!$B$10*H38</f>
        <v>0</v>
      </c>
      <c r="P38" s="20">
        <f t="shared" si="3"/>
        <v>10116164.160750093</v>
      </c>
      <c r="Q38" s="23">
        <f t="shared" ca="1" si="4"/>
        <v>0.12530510554372024</v>
      </c>
    </row>
    <row r="39" spans="1:17" ht="14.4" x14ac:dyDescent="0.3">
      <c r="A39" s="22">
        <f>'Monthly Data'!A39</f>
        <v>40210</v>
      </c>
      <c r="B39" s="4">
        <f t="shared" si="1"/>
        <v>2010</v>
      </c>
      <c r="C39" s="20">
        <f ca="1">'Monthly Data'!K39</f>
        <v>11238584.337594012</v>
      </c>
      <c r="D39" s="56">
        <f>'Monthly Data'!AK39</f>
        <v>633.4</v>
      </c>
      <c r="E39" s="86">
        <f>'Monthly Data'!AP39</f>
        <v>6404.1</v>
      </c>
      <c r="F39" s="86">
        <f>'Monthly Data'!AT39</f>
        <v>38</v>
      </c>
      <c r="G39" s="86">
        <f>'Monthly Data'!AX39</f>
        <v>0</v>
      </c>
      <c r="H39" s="86">
        <f>'Monthly Data'!BF39</f>
        <v>0</v>
      </c>
      <c r="J39" s="20">
        <f>'GS &gt; 50 OLS model'!$B$5</f>
        <v>-8197773.48100283</v>
      </c>
      <c r="K39" s="20">
        <f>'GS &gt; 50 OLS model'!$B$6*D39</f>
        <v>419316.46479285287</v>
      </c>
      <c r="L39" s="20">
        <f>'GS &gt; 50 OLS model'!$B$7*E39</f>
        <v>18148264.845261246</v>
      </c>
      <c r="M39" s="20">
        <f>'GS &gt; 50 OLS model'!$B$8*F39</f>
        <v>-416762.46194177581</v>
      </c>
      <c r="N39" s="20">
        <f>'GS &gt; 50 OLS model'!$B$9*G39</f>
        <v>0</v>
      </c>
      <c r="O39" s="20">
        <f>'GS &gt; 50 OLS model'!$B$10*H39</f>
        <v>0</v>
      </c>
      <c r="P39" s="20">
        <f t="shared" si="3"/>
        <v>9953045.3671094943</v>
      </c>
      <c r="Q39" s="23">
        <f t="shared" ca="1" si="4"/>
        <v>0.11438620131045164</v>
      </c>
    </row>
    <row r="40" spans="1:17" ht="14.4" x14ac:dyDescent="0.3">
      <c r="A40" s="22">
        <f>'Monthly Data'!A40</f>
        <v>40238</v>
      </c>
      <c r="B40" s="4">
        <f t="shared" si="1"/>
        <v>2010</v>
      </c>
      <c r="C40" s="20">
        <f ca="1">'Monthly Data'!K40</f>
        <v>9647595.367594013</v>
      </c>
      <c r="D40" s="56">
        <f>'Monthly Data'!AK40</f>
        <v>450.2</v>
      </c>
      <c r="E40" s="86">
        <f>'Monthly Data'!AP40</f>
        <v>6377.2</v>
      </c>
      <c r="F40" s="86">
        <f>'Monthly Data'!AT40</f>
        <v>39</v>
      </c>
      <c r="G40" s="86">
        <f>'Monthly Data'!AX40</f>
        <v>0</v>
      </c>
      <c r="H40" s="86">
        <f>'Monthly Data'!BF40</f>
        <v>0</v>
      </c>
      <c r="J40" s="20">
        <f>'GS &gt; 50 OLS model'!$B$5</f>
        <v>-8197773.48100283</v>
      </c>
      <c r="K40" s="20">
        <f>'GS &gt; 50 OLS model'!$B$6*D40</f>
        <v>298036.42634945118</v>
      </c>
      <c r="L40" s="20">
        <f>'GS &gt; 50 OLS model'!$B$7*E40</f>
        <v>18072034.254805516</v>
      </c>
      <c r="M40" s="20">
        <f>'GS &gt; 50 OLS model'!$B$8*F40</f>
        <v>-427729.89515076991</v>
      </c>
      <c r="N40" s="20">
        <f>'GS &gt; 50 OLS model'!$B$9*G40</f>
        <v>0</v>
      </c>
      <c r="O40" s="20">
        <f>'GS &gt; 50 OLS model'!$B$10*H40</f>
        <v>0</v>
      </c>
      <c r="P40" s="20">
        <f t="shared" si="3"/>
        <v>9744567.3050013669</v>
      </c>
      <c r="Q40" s="23">
        <f t="shared" ca="1" si="4"/>
        <v>1.0051410088474457E-2</v>
      </c>
    </row>
    <row r="41" spans="1:17" ht="14.4" x14ac:dyDescent="0.3">
      <c r="A41" s="22">
        <f>'Monthly Data'!A41</f>
        <v>40269</v>
      </c>
      <c r="B41" s="4">
        <f t="shared" si="1"/>
        <v>2010</v>
      </c>
      <c r="C41" s="20">
        <f ca="1">'Monthly Data'!K41</f>
        <v>8939286.3875940125</v>
      </c>
      <c r="D41" s="56">
        <f>'Monthly Data'!AK41</f>
        <v>236.4</v>
      </c>
      <c r="E41" s="86">
        <f>'Monthly Data'!AP41</f>
        <v>6401.7</v>
      </c>
      <c r="F41" s="86">
        <f>'Monthly Data'!AT41</f>
        <v>40</v>
      </c>
      <c r="G41" s="86">
        <f>'Monthly Data'!AX41</f>
        <v>1</v>
      </c>
      <c r="H41" s="86">
        <f>'Monthly Data'!BF41</f>
        <v>0</v>
      </c>
      <c r="J41" s="20">
        <f>'GS &gt; 50 OLS model'!$B$5</f>
        <v>-8197773.48100283</v>
      </c>
      <c r="K41" s="20">
        <f>'GS &gt; 50 OLS model'!$B$6*D41</f>
        <v>156498.91423591794</v>
      </c>
      <c r="L41" s="20">
        <f>'GS &gt; 50 OLS model'!$B$7*E41</f>
        <v>18141463.602990102</v>
      </c>
      <c r="M41" s="20">
        <f>'GS &gt; 50 OLS model'!$B$8*F41</f>
        <v>-438697.32835976401</v>
      </c>
      <c r="N41" s="20">
        <f>'GS &gt; 50 OLS model'!$B$9*G41</f>
        <v>-568190.53314882901</v>
      </c>
      <c r="O41" s="20">
        <f>'GS &gt; 50 OLS model'!$B$10*H41</f>
        <v>0</v>
      </c>
      <c r="P41" s="20">
        <f t="shared" si="3"/>
        <v>9093301.1747145969</v>
      </c>
      <c r="Q41" s="23">
        <f t="shared" ca="1" si="4"/>
        <v>1.7228980082160353E-2</v>
      </c>
    </row>
    <row r="42" spans="1:17" ht="14.4" x14ac:dyDescent="0.3">
      <c r="A42" s="22">
        <f>'Monthly Data'!A42</f>
        <v>40299</v>
      </c>
      <c r="B42" s="4">
        <f t="shared" si="1"/>
        <v>2010</v>
      </c>
      <c r="C42" s="20">
        <f ca="1">'Monthly Data'!K42</f>
        <v>10353502.797594011</v>
      </c>
      <c r="D42" s="56">
        <f>'Monthly Data'!AK42</f>
        <v>121.1</v>
      </c>
      <c r="E42" s="86">
        <f>'Monthly Data'!AP42</f>
        <v>6468.9</v>
      </c>
      <c r="F42" s="86">
        <f>'Monthly Data'!AT42</f>
        <v>41</v>
      </c>
      <c r="G42" s="86">
        <f>'Monthly Data'!AX42</f>
        <v>0</v>
      </c>
      <c r="H42" s="86">
        <f>'Monthly Data'!BF42</f>
        <v>0</v>
      </c>
      <c r="J42" s="20">
        <f>'GS &gt; 50 OLS model'!$B$5</f>
        <v>-8197773.48100283</v>
      </c>
      <c r="K42" s="20">
        <f>'GS &gt; 50 OLS model'!$B$6*D42</f>
        <v>80169.283054017185</v>
      </c>
      <c r="L42" s="20">
        <f>'GS &gt; 50 OLS model'!$B$7*E42</f>
        <v>18331898.386582106</v>
      </c>
      <c r="M42" s="20">
        <f>'GS &gt; 50 OLS model'!$B$8*F42</f>
        <v>-449664.76156875811</v>
      </c>
      <c r="N42" s="20">
        <f>'GS &gt; 50 OLS model'!$B$9*G42</f>
        <v>0</v>
      </c>
      <c r="O42" s="20">
        <f>'GS &gt; 50 OLS model'!$B$10*H42</f>
        <v>0</v>
      </c>
      <c r="P42" s="20">
        <f t="shared" si="3"/>
        <v>9764629.4270645343</v>
      </c>
      <c r="Q42" s="23">
        <f t="shared" ca="1" si="4"/>
        <v>5.6876728778816901E-2</v>
      </c>
    </row>
    <row r="43" spans="1:17" ht="14.4" x14ac:dyDescent="0.3">
      <c r="A43" s="22">
        <f>'Monthly Data'!A43</f>
        <v>40330</v>
      </c>
      <c r="B43" s="4">
        <f t="shared" si="1"/>
        <v>2010</v>
      </c>
      <c r="C43" s="20">
        <f ca="1">'Monthly Data'!K43</f>
        <v>9743814.8675940111</v>
      </c>
      <c r="D43" s="56">
        <f>'Monthly Data'!AK43</f>
        <v>23.6</v>
      </c>
      <c r="E43" s="86">
        <f>'Monthly Data'!AP43</f>
        <v>6578.9</v>
      </c>
      <c r="F43" s="86">
        <f>'Monthly Data'!AT43</f>
        <v>42</v>
      </c>
      <c r="G43" s="86">
        <f>'Monthly Data'!AX43</f>
        <v>0</v>
      </c>
      <c r="H43" s="86">
        <f>'Monthly Data'!BF43</f>
        <v>0</v>
      </c>
      <c r="J43" s="20">
        <f>'GS &gt; 50 OLS model'!$B$5</f>
        <v>-8197773.48100283</v>
      </c>
      <c r="K43" s="20">
        <f>'GS &gt; 50 OLS model'!$B$6*D43</f>
        <v>15623.411065853061</v>
      </c>
      <c r="L43" s="20">
        <f>'GS &gt; 50 OLS model'!$B$7*E43</f>
        <v>18643621.990676161</v>
      </c>
      <c r="M43" s="20">
        <f>'GS &gt; 50 OLS model'!$B$8*F43</f>
        <v>-460632.19477775221</v>
      </c>
      <c r="N43" s="20">
        <f>'GS &gt; 50 OLS model'!$B$9*G43</f>
        <v>0</v>
      </c>
      <c r="O43" s="20">
        <f>'GS &gt; 50 OLS model'!$B$10*H43</f>
        <v>0</v>
      </c>
      <c r="P43" s="20">
        <f t="shared" si="3"/>
        <v>10000839.725961434</v>
      </c>
      <c r="Q43" s="23">
        <f t="shared" ca="1" si="4"/>
        <v>2.6378257577762087E-2</v>
      </c>
    </row>
    <row r="44" spans="1:17" ht="14.4" x14ac:dyDescent="0.3">
      <c r="A44" s="22">
        <f>'Monthly Data'!A44</f>
        <v>40360</v>
      </c>
      <c r="B44" s="4">
        <f t="shared" si="1"/>
        <v>2010</v>
      </c>
      <c r="C44" s="20">
        <f ca="1">'Monthly Data'!K44</f>
        <v>9902981.2175940108</v>
      </c>
      <c r="D44" s="56">
        <f>'Monthly Data'!AK44</f>
        <v>5.6</v>
      </c>
      <c r="E44" s="86">
        <f>'Monthly Data'!AP44</f>
        <v>6640.9</v>
      </c>
      <c r="F44" s="86">
        <f>'Monthly Data'!AT44</f>
        <v>43</v>
      </c>
      <c r="G44" s="86">
        <f>'Monthly Data'!AX44</f>
        <v>0</v>
      </c>
      <c r="H44" s="86">
        <f>'Monthly Data'!BF44</f>
        <v>0</v>
      </c>
      <c r="J44" s="20">
        <f>'GS &gt; 50 OLS model'!$B$5</f>
        <v>-8197773.48100283</v>
      </c>
      <c r="K44" s="20">
        <f>'GS &gt; 50 OLS model'!$B$6*D44</f>
        <v>3707.2500834227599</v>
      </c>
      <c r="L44" s="20">
        <f>'GS &gt; 50 OLS model'!$B$7*E44</f>
        <v>18819320.749347355</v>
      </c>
      <c r="M44" s="20">
        <f>'GS &gt; 50 OLS model'!$B$8*F44</f>
        <v>-471599.62798674632</v>
      </c>
      <c r="N44" s="20">
        <f>'GS &gt; 50 OLS model'!$B$9*G44</f>
        <v>0</v>
      </c>
      <c r="O44" s="20">
        <f>'GS &gt; 50 OLS model'!$B$10*H44</f>
        <v>0</v>
      </c>
      <c r="P44" s="20">
        <f t="shared" si="3"/>
        <v>10153654.890441203</v>
      </c>
      <c r="Q44" s="23">
        <f t="shared" ca="1" si="4"/>
        <v>2.531295044787487E-2</v>
      </c>
    </row>
    <row r="45" spans="1:17" ht="14.4" x14ac:dyDescent="0.3">
      <c r="A45" s="22">
        <f>'Monthly Data'!A45</f>
        <v>40391</v>
      </c>
      <c r="B45" s="4">
        <f t="shared" si="1"/>
        <v>2010</v>
      </c>
      <c r="C45" s="20">
        <f ca="1">'Monthly Data'!K45</f>
        <v>9991628.5175940115</v>
      </c>
      <c r="D45" s="56">
        <f>'Monthly Data'!AK45</f>
        <v>6</v>
      </c>
      <c r="E45" s="86">
        <f>'Monthly Data'!AP45</f>
        <v>6662.6</v>
      </c>
      <c r="F45" s="86">
        <f>'Monthly Data'!AT45</f>
        <v>44</v>
      </c>
      <c r="G45" s="86">
        <f>'Monthly Data'!AX45</f>
        <v>0</v>
      </c>
      <c r="H45" s="86">
        <f>'Monthly Data'!BF45</f>
        <v>0</v>
      </c>
      <c r="J45" s="20">
        <f>'GS &gt; 50 OLS model'!$B$5</f>
        <v>-8197773.48100283</v>
      </c>
      <c r="K45" s="20">
        <f>'GS &gt; 50 OLS model'!$B$6*D45</f>
        <v>3972.0536608101002</v>
      </c>
      <c r="L45" s="20">
        <f>'GS &gt; 50 OLS model'!$B$7*E45</f>
        <v>18880815.314882278</v>
      </c>
      <c r="M45" s="20">
        <f>'GS &gt; 50 OLS model'!$B$8*F45</f>
        <v>-482567.06119574042</v>
      </c>
      <c r="N45" s="20">
        <f>'GS &gt; 50 OLS model'!$B$9*G45</f>
        <v>0</v>
      </c>
      <c r="O45" s="20">
        <f>'GS &gt; 50 OLS model'!$B$10*H45</f>
        <v>0</v>
      </c>
      <c r="P45" s="20">
        <f t="shared" si="3"/>
        <v>10204446.826344518</v>
      </c>
      <c r="Q45" s="23">
        <f t="shared" ca="1" si="4"/>
        <v>2.1299661849493303E-2</v>
      </c>
    </row>
    <row r="46" spans="1:17" ht="14.4" x14ac:dyDescent="0.3">
      <c r="A46" s="22">
        <f>'Monthly Data'!A46</f>
        <v>40422</v>
      </c>
      <c r="B46" s="4">
        <f t="shared" si="1"/>
        <v>2010</v>
      </c>
      <c r="C46" s="20">
        <f ca="1">'Monthly Data'!K46</f>
        <v>11067944.187594011</v>
      </c>
      <c r="D46" s="56">
        <f>'Monthly Data'!AK46</f>
        <v>87.9</v>
      </c>
      <c r="E46" s="86">
        <f>'Monthly Data'!AP46</f>
        <v>6611.2</v>
      </c>
      <c r="F46" s="86">
        <f>'Monthly Data'!AT46</f>
        <v>45</v>
      </c>
      <c r="G46" s="86">
        <f>'Monthly Data'!AX46</f>
        <v>0</v>
      </c>
      <c r="H46" s="86">
        <f>'Monthly Data'!BF46</f>
        <v>0</v>
      </c>
      <c r="J46" s="20">
        <f>'GS &gt; 50 OLS model'!$B$5</f>
        <v>-8197773.48100283</v>
      </c>
      <c r="K46" s="20">
        <f>'GS &gt; 50 OLS model'!$B$6*D46</f>
        <v>58190.586130867974</v>
      </c>
      <c r="L46" s="20">
        <f>'GS &gt; 50 OLS model'!$B$7*E46</f>
        <v>18735155.376241963</v>
      </c>
      <c r="M46" s="20">
        <f>'GS &gt; 50 OLS model'!$B$8*F46</f>
        <v>-493534.49440473452</v>
      </c>
      <c r="N46" s="20">
        <f>'GS &gt; 50 OLS model'!$B$9*G46</f>
        <v>0</v>
      </c>
      <c r="O46" s="20">
        <f>'GS &gt; 50 OLS model'!$B$10*H46</f>
        <v>0</v>
      </c>
      <c r="P46" s="20">
        <f t="shared" si="3"/>
        <v>10102037.986965267</v>
      </c>
      <c r="Q46" s="23">
        <f t="shared" ca="1" si="4"/>
        <v>8.727060637976676E-2</v>
      </c>
    </row>
    <row r="47" spans="1:17" ht="14.4" x14ac:dyDescent="0.3">
      <c r="A47" s="22">
        <f>'Monthly Data'!A47</f>
        <v>40452</v>
      </c>
      <c r="B47" s="4">
        <f t="shared" si="1"/>
        <v>2010</v>
      </c>
      <c r="C47" s="20">
        <f ca="1">'Monthly Data'!K47</f>
        <v>10525474.527594011</v>
      </c>
      <c r="D47" s="56">
        <f>'Monthly Data'!AK47</f>
        <v>239.5</v>
      </c>
      <c r="E47" s="86">
        <f>'Monthly Data'!AP47</f>
        <v>6587.1</v>
      </c>
      <c r="F47" s="86">
        <f>'Monthly Data'!AT47</f>
        <v>46</v>
      </c>
      <c r="G47" s="86">
        <f>'Monthly Data'!AX47</f>
        <v>0</v>
      </c>
      <c r="H47" s="86">
        <f>'Monthly Data'!BF47</f>
        <v>0</v>
      </c>
      <c r="J47" s="20">
        <f>'GS &gt; 50 OLS model'!$B$5</f>
        <v>-8197773.48100283</v>
      </c>
      <c r="K47" s="20">
        <f>'GS &gt; 50 OLS model'!$B$6*D47</f>
        <v>158551.14196066983</v>
      </c>
      <c r="L47" s="20">
        <f>'GS &gt; 50 OLS model'!$B$7*E47</f>
        <v>18666859.568435904</v>
      </c>
      <c r="M47" s="20">
        <f>'GS &gt; 50 OLS model'!$B$8*F47</f>
        <v>-504501.92761372862</v>
      </c>
      <c r="N47" s="20">
        <f>'GS &gt; 50 OLS model'!$B$9*G47</f>
        <v>0</v>
      </c>
      <c r="O47" s="20">
        <f>'GS &gt; 50 OLS model'!$B$10*H47</f>
        <v>0</v>
      </c>
      <c r="P47" s="20">
        <f t="shared" si="3"/>
        <v>10123135.301780015</v>
      </c>
      <c r="Q47" s="23">
        <f t="shared" ca="1" si="4"/>
        <v>3.8225281412178347E-2</v>
      </c>
    </row>
    <row r="48" spans="1:17" ht="14.4" x14ac:dyDescent="0.3">
      <c r="A48" s="22">
        <f>'Monthly Data'!A48</f>
        <v>40483</v>
      </c>
      <c r="B48" s="4">
        <f t="shared" si="1"/>
        <v>2010</v>
      </c>
      <c r="C48" s="20">
        <f ca="1">'Monthly Data'!K48</f>
        <v>10279318.137594011</v>
      </c>
      <c r="D48" s="56">
        <f>'Monthly Data'!AK48</f>
        <v>413.6</v>
      </c>
      <c r="E48" s="86">
        <f>'Monthly Data'!AP48</f>
        <v>6566.6</v>
      </c>
      <c r="F48" s="86">
        <f>'Monthly Data'!AT48</f>
        <v>47</v>
      </c>
      <c r="G48" s="86">
        <f>'Monthly Data'!AX48</f>
        <v>0</v>
      </c>
      <c r="H48" s="86">
        <f>'Monthly Data'!BF48</f>
        <v>0</v>
      </c>
      <c r="J48" s="20">
        <f>'GS &gt; 50 OLS model'!$B$5</f>
        <v>-8197773.48100283</v>
      </c>
      <c r="K48" s="20">
        <f>'GS &gt; 50 OLS model'!$B$6*D48</f>
        <v>273806.8990185096</v>
      </c>
      <c r="L48" s="20">
        <f>'GS &gt; 50 OLS model'!$B$7*E48</f>
        <v>18608765.624036554</v>
      </c>
      <c r="M48" s="20">
        <f>'GS &gt; 50 OLS model'!$B$8*F48</f>
        <v>-515469.36082272272</v>
      </c>
      <c r="N48" s="20">
        <f>'GS &gt; 50 OLS model'!$B$9*G48</f>
        <v>0</v>
      </c>
      <c r="O48" s="20">
        <f>'GS &gt; 50 OLS model'!$B$10*H48</f>
        <v>0</v>
      </c>
      <c r="P48" s="20">
        <f t="shared" si="3"/>
        <v>10169329.681229511</v>
      </c>
      <c r="Q48" s="23">
        <f t="shared" ca="1" si="4"/>
        <v>1.0699975902316361E-2</v>
      </c>
    </row>
    <row r="49" spans="1:17" ht="14.4" x14ac:dyDescent="0.3">
      <c r="A49" s="22">
        <f>'Monthly Data'!A49</f>
        <v>40513</v>
      </c>
      <c r="B49" s="56">
        <f t="shared" ref="B49:B97" si="5">YEAR(A49)</f>
        <v>2010</v>
      </c>
      <c r="C49" s="20">
        <f ca="1">'Monthly Data'!K49</f>
        <v>9672037.9575940128</v>
      </c>
      <c r="D49" s="56">
        <f>'Monthly Data'!AK49</f>
        <v>713.5</v>
      </c>
      <c r="E49" s="86">
        <f>'Monthly Data'!AP49</f>
        <v>6584.1</v>
      </c>
      <c r="F49" s="86">
        <f>'Monthly Data'!AT49</f>
        <v>48</v>
      </c>
      <c r="G49" s="86">
        <f>'Monthly Data'!AX49</f>
        <v>0</v>
      </c>
      <c r="H49" s="86">
        <f>'Monthly Data'!BF49</f>
        <v>1</v>
      </c>
      <c r="I49" s="56"/>
      <c r="J49" s="20">
        <f>'GS &gt; 50 OLS model'!$B$5</f>
        <v>-8197773.48100283</v>
      </c>
      <c r="K49" s="20">
        <f>'GS &gt; 50 OLS model'!$B$6*D49</f>
        <v>472343.38116466772</v>
      </c>
      <c r="L49" s="20">
        <f>'GS &gt; 50 OLS model'!$B$7*E49</f>
        <v>18658358.015596975</v>
      </c>
      <c r="M49" s="20">
        <f>'GS &gt; 50 OLS model'!$B$8*F49</f>
        <v>-526436.79403171677</v>
      </c>
      <c r="N49" s="20">
        <f>'GS &gt; 50 OLS model'!$B$9*G49</f>
        <v>0</v>
      </c>
      <c r="O49" s="20">
        <f>'GS &gt; 50 OLS model'!$B$10*H49</f>
        <v>-637648.00517727702</v>
      </c>
      <c r="P49" s="20">
        <f t="shared" si="3"/>
        <v>9768843.1165498197</v>
      </c>
      <c r="Q49" s="23">
        <f t="shared" ca="1" si="4"/>
        <v>1.0008765410168824E-2</v>
      </c>
    </row>
    <row r="50" spans="1:17" ht="14.4" x14ac:dyDescent="0.3">
      <c r="A50" s="22">
        <f>'Monthly Data'!A50</f>
        <v>40544</v>
      </c>
      <c r="B50" s="56">
        <f t="shared" si="5"/>
        <v>2011</v>
      </c>
      <c r="C50" s="20">
        <f ca="1">'Monthly Data'!K50</f>
        <v>9975294.7010581996</v>
      </c>
      <c r="D50" s="56">
        <f>'Monthly Data'!AK50</f>
        <v>798.8</v>
      </c>
      <c r="E50" s="86">
        <f>'Monthly Data'!AP50</f>
        <v>6571.2</v>
      </c>
      <c r="F50" s="86">
        <f>'Monthly Data'!AT50</f>
        <v>49</v>
      </c>
      <c r="G50" s="86">
        <f>'Monthly Data'!AX50</f>
        <v>0</v>
      </c>
      <c r="H50" s="86">
        <f>'Monthly Data'!BF50</f>
        <v>0</v>
      </c>
      <c r="I50" s="56"/>
      <c r="J50" s="20">
        <f>'GS &gt; 50 OLS model'!$B$5</f>
        <v>-8197773.48100283</v>
      </c>
      <c r="K50" s="20">
        <f>'GS &gt; 50 OLS model'!$B$6*D50</f>
        <v>528812.74404251797</v>
      </c>
      <c r="L50" s="20">
        <f>'GS &gt; 50 OLS model'!$B$7*E50</f>
        <v>18621801.338389579</v>
      </c>
      <c r="M50" s="20">
        <f>'GS &gt; 50 OLS model'!$B$8*F50</f>
        <v>-537404.22724071087</v>
      </c>
      <c r="N50" s="20">
        <f>'GS &gt; 50 OLS model'!$B$9*G50</f>
        <v>0</v>
      </c>
      <c r="O50" s="20">
        <f>'GS &gt; 50 OLS model'!$B$10*H50</f>
        <v>0</v>
      </c>
      <c r="P50" s="20">
        <f t="shared" si="3"/>
        <v>10415436.374188555</v>
      </c>
      <c r="Q50" s="23">
        <f t="shared" ca="1" si="4"/>
        <v>4.4123174935740458E-2</v>
      </c>
    </row>
    <row r="51" spans="1:17" ht="14.4" x14ac:dyDescent="0.3">
      <c r="A51" s="22">
        <f>'Monthly Data'!A51</f>
        <v>40575</v>
      </c>
      <c r="B51" s="56">
        <f t="shared" si="5"/>
        <v>2011</v>
      </c>
      <c r="C51" s="20">
        <f ca="1">'Monthly Data'!K51</f>
        <v>10000911.551058199</v>
      </c>
      <c r="D51" s="56">
        <f>'Monthly Data'!AK51</f>
        <v>677.8</v>
      </c>
      <c r="E51" s="86">
        <f>'Monthly Data'!AP51</f>
        <v>6548.1</v>
      </c>
      <c r="F51" s="86">
        <f>'Monthly Data'!AT51</f>
        <v>50</v>
      </c>
      <c r="G51" s="86">
        <f>'Monthly Data'!AX51</f>
        <v>0</v>
      </c>
      <c r="H51" s="86">
        <f>'Monthly Data'!BF51</f>
        <v>0</v>
      </c>
      <c r="I51" s="56"/>
      <c r="J51" s="20">
        <f>'GS &gt; 50 OLS model'!$B$5</f>
        <v>-8197773.48100283</v>
      </c>
      <c r="K51" s="20">
        <f>'GS &gt; 50 OLS model'!$B$6*D51</f>
        <v>448709.66188284761</v>
      </c>
      <c r="L51" s="20">
        <f>'GS &gt; 50 OLS model'!$B$7*E51</f>
        <v>18556339.38152983</v>
      </c>
      <c r="M51" s="20">
        <f>'GS &gt; 50 OLS model'!$B$8*F51</f>
        <v>-548371.66044970497</v>
      </c>
      <c r="N51" s="20">
        <f>'GS &gt; 50 OLS model'!$B$9*G51</f>
        <v>0</v>
      </c>
      <c r="O51" s="20">
        <f>'GS &gt; 50 OLS model'!$B$10*H51</f>
        <v>0</v>
      </c>
      <c r="P51" s="20">
        <f t="shared" si="3"/>
        <v>10258903.901960144</v>
      </c>
      <c r="Q51" s="23">
        <f t="shared" ca="1" si="4"/>
        <v>2.5796883572542575E-2</v>
      </c>
    </row>
    <row r="52" spans="1:17" ht="14.4" x14ac:dyDescent="0.3">
      <c r="A52" s="22">
        <f>'Monthly Data'!A52</f>
        <v>40603</v>
      </c>
      <c r="B52" s="56">
        <f t="shared" si="5"/>
        <v>2011</v>
      </c>
      <c r="C52" s="20">
        <f ca="1">'Monthly Data'!K52</f>
        <v>9231000.3410581984</v>
      </c>
      <c r="D52" s="56">
        <f>'Monthly Data'!AK52</f>
        <v>599.6</v>
      </c>
      <c r="E52" s="86">
        <f>'Monthly Data'!AP52</f>
        <v>6523.7</v>
      </c>
      <c r="F52" s="86">
        <f>'Monthly Data'!AT52</f>
        <v>51</v>
      </c>
      <c r="G52" s="86">
        <f>'Monthly Data'!AX52</f>
        <v>0</v>
      </c>
      <c r="H52" s="86">
        <f>'Monthly Data'!BF52</f>
        <v>0</v>
      </c>
      <c r="I52" s="56"/>
      <c r="J52" s="20">
        <f>'GS &gt; 50 OLS model'!$B$5</f>
        <v>-8197773.48100283</v>
      </c>
      <c r="K52" s="20">
        <f>'GS &gt; 50 OLS model'!$B$6*D52</f>
        <v>396940.56250362267</v>
      </c>
      <c r="L52" s="20">
        <f>'GS &gt; 50 OLS model'!$B$7*E52</f>
        <v>18487193.418439873</v>
      </c>
      <c r="M52" s="20">
        <f>'GS &gt; 50 OLS model'!$B$8*F52</f>
        <v>-559339.09365869907</v>
      </c>
      <c r="N52" s="20">
        <f>'GS &gt; 50 OLS model'!$B$9*G52</f>
        <v>0</v>
      </c>
      <c r="O52" s="20">
        <f>'GS &gt; 50 OLS model'!$B$10*H52</f>
        <v>0</v>
      </c>
      <c r="P52" s="20">
        <f t="shared" si="3"/>
        <v>10127021.406281967</v>
      </c>
      <c r="Q52" s="23">
        <f t="shared" ca="1" si="4"/>
        <v>9.7066518483201872E-2</v>
      </c>
    </row>
    <row r="53" spans="1:17" ht="14.4" x14ac:dyDescent="0.3">
      <c r="A53" s="22">
        <f>'Monthly Data'!A53</f>
        <v>40634</v>
      </c>
      <c r="B53" s="56">
        <f t="shared" si="5"/>
        <v>2011</v>
      </c>
      <c r="C53" s="20">
        <f ca="1">'Monthly Data'!K53</f>
        <v>9900647.2710581999</v>
      </c>
      <c r="D53" s="56">
        <f>'Monthly Data'!AK53</f>
        <v>330.4</v>
      </c>
      <c r="E53" s="86">
        <f>'Monthly Data'!AP53</f>
        <v>6550</v>
      </c>
      <c r="F53" s="86">
        <f>'Monthly Data'!AT53</f>
        <v>52</v>
      </c>
      <c r="G53" s="86">
        <f>'Monthly Data'!AX53</f>
        <v>1</v>
      </c>
      <c r="H53" s="86">
        <f>'Monthly Data'!BF53</f>
        <v>0</v>
      </c>
      <c r="I53" s="56"/>
      <c r="J53" s="20">
        <f>'GS &gt; 50 OLS model'!$B$5</f>
        <v>-8197773.48100283</v>
      </c>
      <c r="K53" s="20">
        <f>'GS &gt; 50 OLS model'!$B$6*D53</f>
        <v>218727.75492194283</v>
      </c>
      <c r="L53" s="20">
        <f>'GS &gt; 50 OLS model'!$B$7*E53</f>
        <v>18561723.698327817</v>
      </c>
      <c r="M53" s="20">
        <f>'GS &gt; 50 OLS model'!$B$8*F53</f>
        <v>-570306.52686769317</v>
      </c>
      <c r="N53" s="20">
        <f>'GS &gt; 50 OLS model'!$B$9*G53</f>
        <v>-568190.53314882901</v>
      </c>
      <c r="O53" s="20">
        <f>'GS &gt; 50 OLS model'!$B$10*H53</f>
        <v>0</v>
      </c>
      <c r="P53" s="20">
        <f t="shared" si="3"/>
        <v>9444180.9122304078</v>
      </c>
      <c r="Q53" s="23">
        <f t="shared" ca="1" si="4"/>
        <v>4.6104698645526444E-2</v>
      </c>
    </row>
    <row r="54" spans="1:17" ht="14.4" x14ac:dyDescent="0.3">
      <c r="A54" s="22">
        <f>'Monthly Data'!A54</f>
        <v>40664</v>
      </c>
      <c r="B54" s="56">
        <f t="shared" si="5"/>
        <v>2011</v>
      </c>
      <c r="C54" s="20">
        <f ca="1">'Monthly Data'!K54</f>
        <v>9019052.1010582</v>
      </c>
      <c r="D54" s="56">
        <f>'Monthly Data'!AK54</f>
        <v>126.4</v>
      </c>
      <c r="E54" s="86">
        <f>'Monthly Data'!AP54</f>
        <v>6612</v>
      </c>
      <c r="F54" s="86">
        <f>'Monthly Data'!AT54</f>
        <v>53</v>
      </c>
      <c r="G54" s="86">
        <f>'Monthly Data'!AX54</f>
        <v>0</v>
      </c>
      <c r="H54" s="86">
        <f>'Monthly Data'!BF54</f>
        <v>0</v>
      </c>
      <c r="I54" s="56"/>
      <c r="J54" s="20">
        <f>'GS &gt; 50 OLS model'!$B$5</f>
        <v>-8197773.48100283</v>
      </c>
      <c r="K54" s="20">
        <f>'GS &gt; 50 OLS model'!$B$6*D54</f>
        <v>83677.930454399451</v>
      </c>
      <c r="L54" s="20">
        <f>'GS &gt; 50 OLS model'!$B$7*E54</f>
        <v>18737422.456999011</v>
      </c>
      <c r="M54" s="20">
        <f>'GS &gt; 50 OLS model'!$B$8*F54</f>
        <v>-581273.96007668728</v>
      </c>
      <c r="N54" s="20">
        <f>'GS &gt; 50 OLS model'!$B$9*G54</f>
        <v>0</v>
      </c>
      <c r="O54" s="20">
        <f>'GS &gt; 50 OLS model'!$B$10*H54</f>
        <v>0</v>
      </c>
      <c r="P54" s="20">
        <f t="shared" si="3"/>
        <v>10042052.946373893</v>
      </c>
      <c r="Q54" s="23">
        <f t="shared" ca="1" si="4"/>
        <v>0.11342664770676564</v>
      </c>
    </row>
    <row r="55" spans="1:17" ht="14.4" x14ac:dyDescent="0.3">
      <c r="A55" s="22">
        <f>'Monthly Data'!A55</f>
        <v>40695</v>
      </c>
      <c r="B55" s="56">
        <f t="shared" si="5"/>
        <v>2011</v>
      </c>
      <c r="C55" s="20">
        <f ca="1">'Monthly Data'!K55</f>
        <v>10610506.081058199</v>
      </c>
      <c r="D55" s="56">
        <f>'Monthly Data'!AK55</f>
        <v>27</v>
      </c>
      <c r="E55" s="86">
        <f>'Monthly Data'!AP55</f>
        <v>6706.8</v>
      </c>
      <c r="F55" s="86">
        <f>'Monthly Data'!AT55</f>
        <v>54</v>
      </c>
      <c r="G55" s="86">
        <f>'Monthly Data'!AX55</f>
        <v>0</v>
      </c>
      <c r="H55" s="86">
        <f>'Monthly Data'!BF55</f>
        <v>0</v>
      </c>
      <c r="I55" s="56"/>
      <c r="J55" s="20">
        <f>'GS &gt; 50 OLS model'!$B$5</f>
        <v>-8197773.48100283</v>
      </c>
      <c r="K55" s="20">
        <f>'GS &gt; 50 OLS model'!$B$6*D55</f>
        <v>17874.241473645452</v>
      </c>
      <c r="L55" s="20">
        <f>'GS &gt; 50 OLS model'!$B$7*E55</f>
        <v>19006071.526709162</v>
      </c>
      <c r="M55" s="20">
        <f>'GS &gt; 50 OLS model'!$B$8*F55</f>
        <v>-592241.39328568138</v>
      </c>
      <c r="N55" s="20">
        <f>'GS &gt; 50 OLS model'!$B$9*G55</f>
        <v>0</v>
      </c>
      <c r="O55" s="20">
        <f>'GS &gt; 50 OLS model'!$B$10*H55</f>
        <v>0</v>
      </c>
      <c r="P55" s="20">
        <f t="shared" si="3"/>
        <v>10233930.893894296</v>
      </c>
      <c r="Q55" s="23">
        <f t="shared" ca="1" si="4"/>
        <v>3.5490784726674052E-2</v>
      </c>
    </row>
    <row r="56" spans="1:17" ht="14.4" x14ac:dyDescent="0.3">
      <c r="A56" s="22">
        <f>'Monthly Data'!A56</f>
        <v>40725</v>
      </c>
      <c r="B56" s="56">
        <f t="shared" si="5"/>
        <v>2011</v>
      </c>
      <c r="C56" s="20">
        <f ca="1">'Monthly Data'!K56</f>
        <v>11621643.961058199</v>
      </c>
      <c r="D56" s="56">
        <f>'Monthly Data'!AK56</f>
        <v>0</v>
      </c>
      <c r="E56" s="86">
        <f>'Monthly Data'!AP56</f>
        <v>6755.3</v>
      </c>
      <c r="F56" s="86">
        <f>'Monthly Data'!AT56</f>
        <v>55</v>
      </c>
      <c r="G56" s="86">
        <f>'Monthly Data'!AX56</f>
        <v>0</v>
      </c>
      <c r="H56" s="86">
        <f>'Monthly Data'!BF56</f>
        <v>0</v>
      </c>
      <c r="I56" s="56"/>
      <c r="J56" s="20">
        <f>'GS &gt; 50 OLS model'!$B$5</f>
        <v>-8197773.48100283</v>
      </c>
      <c r="K56" s="20">
        <f>'GS &gt; 50 OLS model'!$B$6*D56</f>
        <v>0</v>
      </c>
      <c r="L56" s="20">
        <f>'GS &gt; 50 OLS model'!$B$7*E56</f>
        <v>19143513.297605176</v>
      </c>
      <c r="M56" s="20">
        <f>'GS &gt; 50 OLS model'!$B$8*F56</f>
        <v>-603208.82649467548</v>
      </c>
      <c r="N56" s="20">
        <f>'GS &gt; 50 OLS model'!$B$9*G56</f>
        <v>0</v>
      </c>
      <c r="O56" s="20">
        <f>'GS &gt; 50 OLS model'!$B$10*H56</f>
        <v>0</v>
      </c>
      <c r="P56" s="20">
        <f t="shared" si="3"/>
        <v>10342530.99010767</v>
      </c>
      <c r="Q56" s="23">
        <f t="shared" ca="1" si="4"/>
        <v>0.11006299756184067</v>
      </c>
    </row>
    <row r="57" spans="1:17" ht="14.4" x14ac:dyDescent="0.3">
      <c r="A57" s="22">
        <f>'Monthly Data'!A57</f>
        <v>40756</v>
      </c>
      <c r="B57" s="56">
        <f t="shared" si="5"/>
        <v>2011</v>
      </c>
      <c r="C57" s="20">
        <f ca="1">'Monthly Data'!K57</f>
        <v>10725072.331058199</v>
      </c>
      <c r="D57" s="56">
        <f>'Monthly Data'!AK57</f>
        <v>1.5</v>
      </c>
      <c r="E57" s="86">
        <f>'Monthly Data'!AP57</f>
        <v>6778</v>
      </c>
      <c r="F57" s="86">
        <f>'Monthly Data'!AT57</f>
        <v>56</v>
      </c>
      <c r="G57" s="86">
        <f>'Monthly Data'!AX57</f>
        <v>0</v>
      </c>
      <c r="H57" s="86">
        <f>'Monthly Data'!BF57</f>
        <v>0</v>
      </c>
      <c r="I57" s="56"/>
      <c r="J57" s="20">
        <f>'GS &gt; 50 OLS model'!$B$5</f>
        <v>-8197773.48100283</v>
      </c>
      <c r="K57" s="20">
        <f>'GS &gt; 50 OLS model'!$B$6*D57</f>
        <v>993.01341520252504</v>
      </c>
      <c r="L57" s="20">
        <f>'GS &gt; 50 OLS model'!$B$7*E57</f>
        <v>19207841.714086402</v>
      </c>
      <c r="M57" s="20">
        <f>'GS &gt; 50 OLS model'!$B$8*F57</f>
        <v>-614176.25970366958</v>
      </c>
      <c r="N57" s="20">
        <f>'GS &gt; 50 OLS model'!$B$9*G57</f>
        <v>0</v>
      </c>
      <c r="O57" s="20">
        <f>'GS &gt; 50 OLS model'!$B$10*H57</f>
        <v>0</v>
      </c>
      <c r="P57" s="20">
        <f t="shared" si="3"/>
        <v>10396884.986795105</v>
      </c>
      <c r="Q57" s="23">
        <f t="shared" ca="1" si="4"/>
        <v>3.0600012208096005E-2</v>
      </c>
    </row>
    <row r="58" spans="1:17" ht="14.4" x14ac:dyDescent="0.3">
      <c r="A58" s="22">
        <f>'Monthly Data'!A58</f>
        <v>40787</v>
      </c>
      <c r="B58" s="56">
        <f t="shared" si="5"/>
        <v>2011</v>
      </c>
      <c r="C58" s="20">
        <f ca="1">'Monthly Data'!K58</f>
        <v>10027779.461058199</v>
      </c>
      <c r="D58" s="56">
        <f>'Monthly Data'!AK58</f>
        <v>71.900000000000006</v>
      </c>
      <c r="E58" s="86">
        <f>'Monthly Data'!AP58</f>
        <v>6734.6</v>
      </c>
      <c r="F58" s="86">
        <f>'Monthly Data'!AT58</f>
        <v>57</v>
      </c>
      <c r="G58" s="86">
        <f>'Monthly Data'!AX58</f>
        <v>0</v>
      </c>
      <c r="H58" s="86">
        <f>'Monthly Data'!BF58</f>
        <v>0</v>
      </c>
      <c r="I58" s="56"/>
      <c r="J58" s="20">
        <f>'GS &gt; 50 OLS model'!$B$5</f>
        <v>-8197773.48100283</v>
      </c>
      <c r="K58" s="20">
        <f>'GS &gt; 50 OLS model'!$B$6*D58</f>
        <v>47598.443035374374</v>
      </c>
      <c r="L58" s="20">
        <f>'GS &gt; 50 OLS model'!$B$7*E58</f>
        <v>19084852.583016567</v>
      </c>
      <c r="M58" s="20">
        <f>'GS &gt; 50 OLS model'!$B$8*F58</f>
        <v>-625143.69291266368</v>
      </c>
      <c r="N58" s="20">
        <f>'GS &gt; 50 OLS model'!$B$9*G58</f>
        <v>0</v>
      </c>
      <c r="O58" s="20">
        <f>'GS &gt; 50 OLS model'!$B$10*H58</f>
        <v>0</v>
      </c>
      <c r="P58" s="20">
        <f t="shared" si="3"/>
        <v>10309533.852136448</v>
      </c>
      <c r="Q58" s="23">
        <f t="shared" ca="1" si="4"/>
        <v>2.8097386083570288E-2</v>
      </c>
    </row>
    <row r="59" spans="1:17" ht="14.4" x14ac:dyDescent="0.3">
      <c r="A59" s="22">
        <f>'Monthly Data'!A59</f>
        <v>40817</v>
      </c>
      <c r="B59" s="56">
        <f t="shared" si="5"/>
        <v>2011</v>
      </c>
      <c r="C59" s="20">
        <f ca="1">'Monthly Data'!K59</f>
        <v>10719072.821058199</v>
      </c>
      <c r="D59" s="56">
        <f>'Monthly Data'!AK59</f>
        <v>234.6</v>
      </c>
      <c r="E59" s="86">
        <f>'Monthly Data'!AP59</f>
        <v>6702.2</v>
      </c>
      <c r="F59" s="86">
        <f>'Monthly Data'!AT59</f>
        <v>58</v>
      </c>
      <c r="G59" s="86">
        <f>'Monthly Data'!AX59</f>
        <v>0</v>
      </c>
      <c r="H59" s="86">
        <f>'Monthly Data'!BF59</f>
        <v>0</v>
      </c>
      <c r="I59" s="56"/>
      <c r="J59" s="20">
        <f>'GS &gt; 50 OLS model'!$B$5</f>
        <v>-8197773.48100283</v>
      </c>
      <c r="K59" s="20">
        <f>'GS &gt; 50 OLS model'!$B$6*D59</f>
        <v>155307.29813767492</v>
      </c>
      <c r="L59" s="20">
        <f>'GS &gt; 50 OLS model'!$B$7*E59</f>
        <v>18993035.812356137</v>
      </c>
      <c r="M59" s="20">
        <f>'GS &gt; 50 OLS model'!$B$8*F59</f>
        <v>-636111.12612165778</v>
      </c>
      <c r="N59" s="20">
        <f>'GS &gt; 50 OLS model'!$B$9*G59</f>
        <v>0</v>
      </c>
      <c r="O59" s="20">
        <f>'GS &gt; 50 OLS model'!$B$10*H59</f>
        <v>0</v>
      </c>
      <c r="P59" s="20">
        <f t="shared" si="3"/>
        <v>10314458.503369326</v>
      </c>
      <c r="Q59" s="23">
        <f t="shared" ca="1" si="4"/>
        <v>3.7747137690303426E-2</v>
      </c>
    </row>
    <row r="60" spans="1:17" ht="14.4" x14ac:dyDescent="0.3">
      <c r="A60" s="22">
        <f>'Monthly Data'!A60</f>
        <v>40848</v>
      </c>
      <c r="B60" s="56">
        <f t="shared" si="5"/>
        <v>2011</v>
      </c>
      <c r="C60" s="20">
        <f ca="1">'Monthly Data'!K60</f>
        <v>11540369.441058198</v>
      </c>
      <c r="D60" s="56">
        <f>'Monthly Data'!AK60</f>
        <v>347.9</v>
      </c>
      <c r="E60" s="86">
        <f>'Monthly Data'!AP60</f>
        <v>6669.4</v>
      </c>
      <c r="F60" s="86">
        <f>'Monthly Data'!AT60</f>
        <v>59</v>
      </c>
      <c r="G60" s="86">
        <f>'Monthly Data'!AX60</f>
        <v>0</v>
      </c>
      <c r="H60" s="86">
        <f>'Monthly Data'!BF60</f>
        <v>0</v>
      </c>
      <c r="I60" s="56"/>
      <c r="J60" s="20">
        <f>'GS &gt; 50 OLS model'!$B$5</f>
        <v>-8197773.48100283</v>
      </c>
      <c r="K60" s="20">
        <f>'GS &gt; 50 OLS model'!$B$6*D60</f>
        <v>230312.91143263897</v>
      </c>
      <c r="L60" s="20">
        <f>'GS &gt; 50 OLS model'!$B$7*E60</f>
        <v>18900085.501317181</v>
      </c>
      <c r="M60" s="20">
        <f>'GS &gt; 50 OLS model'!$B$8*F60</f>
        <v>-647078.55933065189</v>
      </c>
      <c r="N60" s="20">
        <f>'GS &gt; 50 OLS model'!$B$9*G60</f>
        <v>0</v>
      </c>
      <c r="O60" s="20">
        <f>'GS &gt; 50 OLS model'!$B$10*H60</f>
        <v>0</v>
      </c>
      <c r="P60" s="20">
        <f t="shared" si="3"/>
        <v>10285546.372416338</v>
      </c>
      <c r="Q60" s="23">
        <f t="shared" ca="1" si="4"/>
        <v>0.10873335338619788</v>
      </c>
    </row>
    <row r="61" spans="1:17" ht="14.4" x14ac:dyDescent="0.3">
      <c r="A61" s="22">
        <f>'Monthly Data'!A61</f>
        <v>40878</v>
      </c>
      <c r="B61" s="56">
        <f t="shared" si="5"/>
        <v>2011</v>
      </c>
      <c r="C61" s="20">
        <f ca="1">'Monthly Data'!K61</f>
        <v>10135295.0310582</v>
      </c>
      <c r="D61" s="56">
        <f>'Monthly Data'!AK61</f>
        <v>548.4</v>
      </c>
      <c r="E61" s="86">
        <f>'Monthly Data'!AP61</f>
        <v>6668.3</v>
      </c>
      <c r="F61" s="86">
        <f>'Monthly Data'!AT61</f>
        <v>60</v>
      </c>
      <c r="G61" s="86">
        <f>'Monthly Data'!AX61</f>
        <v>0</v>
      </c>
      <c r="H61" s="86">
        <f>'Monthly Data'!BF61</f>
        <v>1</v>
      </c>
      <c r="I61" s="56"/>
      <c r="J61" s="20">
        <f>'GS &gt; 50 OLS model'!$B$5</f>
        <v>-8197773.48100283</v>
      </c>
      <c r="K61" s="20">
        <f>'GS &gt; 50 OLS model'!$B$6*D61</f>
        <v>363045.70459804311</v>
      </c>
      <c r="L61" s="20">
        <f>'GS &gt; 50 OLS model'!$B$7*E61</f>
        <v>18896968.265276242</v>
      </c>
      <c r="M61" s="20">
        <f>'GS &gt; 50 OLS model'!$B$8*F61</f>
        <v>-658045.99253964599</v>
      </c>
      <c r="N61" s="20">
        <f>'GS &gt; 50 OLS model'!$B$9*G61</f>
        <v>0</v>
      </c>
      <c r="O61" s="20">
        <f>'GS &gt; 50 OLS model'!$B$10*H61</f>
        <v>-637648.00517727702</v>
      </c>
      <c r="P61" s="20">
        <f t="shared" si="3"/>
        <v>9766546.4911545329</v>
      </c>
      <c r="Q61" s="23">
        <f t="shared" ca="1" si="4"/>
        <v>3.6382615283885499E-2</v>
      </c>
    </row>
    <row r="62" spans="1:17" ht="14.4" x14ac:dyDescent="0.3">
      <c r="A62" s="22">
        <f>'Monthly Data'!A62</f>
        <v>40909</v>
      </c>
      <c r="B62" s="56">
        <f t="shared" si="5"/>
        <v>2012</v>
      </c>
      <c r="C62" s="20">
        <f ca="1">'Monthly Data'!K62</f>
        <v>12177502.67755398</v>
      </c>
      <c r="D62" s="56">
        <f>'Monthly Data'!AK62</f>
        <v>644.79999999999995</v>
      </c>
      <c r="E62" s="86">
        <f>'Monthly Data'!AP62</f>
        <v>6635.9</v>
      </c>
      <c r="F62" s="86">
        <f>'Monthly Data'!AT62</f>
        <v>61</v>
      </c>
      <c r="G62" s="86">
        <f>'Monthly Data'!AX62</f>
        <v>0</v>
      </c>
      <c r="H62" s="86">
        <f>'Monthly Data'!BF62</f>
        <v>0</v>
      </c>
      <c r="I62" s="56"/>
      <c r="J62" s="20">
        <f>'GS &gt; 50 OLS model'!$B$5</f>
        <v>-8197773.48100283</v>
      </c>
      <c r="K62" s="20">
        <f>'GS &gt; 50 OLS model'!$B$6*D62</f>
        <v>426863.36674839206</v>
      </c>
      <c r="L62" s="20">
        <f>'GS &gt; 50 OLS model'!$B$7*E62</f>
        <v>18805151.494615808</v>
      </c>
      <c r="M62" s="20">
        <f>'GS &gt; 50 OLS model'!$B$8*F62</f>
        <v>-669013.42574864009</v>
      </c>
      <c r="N62" s="20">
        <f>'GS &gt; 50 OLS model'!$B$9*G62</f>
        <v>0</v>
      </c>
      <c r="O62" s="20">
        <f>'GS &gt; 50 OLS model'!$B$10*H62</f>
        <v>0</v>
      </c>
      <c r="P62" s="20">
        <f t="shared" si="3"/>
        <v>10365227.95461273</v>
      </c>
      <c r="Q62" s="23">
        <f t="shared" ca="1" si="4"/>
        <v>0.14882154173381551</v>
      </c>
    </row>
    <row r="63" spans="1:17" ht="14.4" x14ac:dyDescent="0.3">
      <c r="A63" s="22">
        <f>'Monthly Data'!A63</f>
        <v>40940</v>
      </c>
      <c r="B63" s="56">
        <f t="shared" si="5"/>
        <v>2012</v>
      </c>
      <c r="C63" s="20">
        <f ca="1">'Monthly Data'!K63</f>
        <v>11673376.66755398</v>
      </c>
      <c r="D63" s="56">
        <f>'Monthly Data'!AK63</f>
        <v>553</v>
      </c>
      <c r="E63" s="86">
        <f>'Monthly Data'!AP63</f>
        <v>6598</v>
      </c>
      <c r="F63" s="86">
        <f>'Monthly Data'!AT63</f>
        <v>62</v>
      </c>
      <c r="G63" s="86">
        <f>'Monthly Data'!AX63</f>
        <v>0</v>
      </c>
      <c r="H63" s="86">
        <f>'Monthly Data'!BF63</f>
        <v>0</v>
      </c>
      <c r="I63" s="56"/>
      <c r="J63" s="20">
        <f>'GS &gt; 50 OLS model'!$B$5</f>
        <v>-8197773.48100283</v>
      </c>
      <c r="K63" s="20">
        <f>'GS &gt; 50 OLS model'!$B$6*D63</f>
        <v>366090.94573799754</v>
      </c>
      <c r="L63" s="20">
        <f>'GS &gt; 50 OLS model'!$B$7*E63</f>
        <v>18697748.543750677</v>
      </c>
      <c r="M63" s="20">
        <f>'GS &gt; 50 OLS model'!$B$8*F63</f>
        <v>-679980.85895763419</v>
      </c>
      <c r="N63" s="20">
        <f>'GS &gt; 50 OLS model'!$B$9*G63</f>
        <v>0</v>
      </c>
      <c r="O63" s="20">
        <f>'GS &gt; 50 OLS model'!$B$10*H63</f>
        <v>0</v>
      </c>
      <c r="P63" s="20">
        <f t="shared" si="3"/>
        <v>10186085.149528211</v>
      </c>
      <c r="Q63" s="23">
        <f t="shared" ca="1" si="4"/>
        <v>0.12740885181574574</v>
      </c>
    </row>
    <row r="64" spans="1:17" ht="14.4" x14ac:dyDescent="0.3">
      <c r="A64" s="22">
        <f>'Monthly Data'!A64</f>
        <v>40969</v>
      </c>
      <c r="B64" s="56">
        <f t="shared" si="5"/>
        <v>2012</v>
      </c>
      <c r="C64" s="20">
        <f ca="1">'Monthly Data'!K64</f>
        <v>9840618.4475539774</v>
      </c>
      <c r="D64" s="56">
        <f>'Monthly Data'!AK64</f>
        <v>331.1</v>
      </c>
      <c r="E64" s="86">
        <f>'Monthly Data'!AP64</f>
        <v>6569.8</v>
      </c>
      <c r="F64" s="86">
        <f>'Monthly Data'!AT64</f>
        <v>63</v>
      </c>
      <c r="G64" s="86">
        <f>'Monthly Data'!AX64</f>
        <v>0</v>
      </c>
      <c r="H64" s="86">
        <f>'Monthly Data'!BF64</f>
        <v>0</v>
      </c>
      <c r="I64" s="56"/>
      <c r="J64" s="20">
        <f>'GS &gt; 50 OLS model'!$B$5</f>
        <v>-8197773.48100283</v>
      </c>
      <c r="K64" s="20">
        <f>'GS &gt; 50 OLS model'!$B$6*D64</f>
        <v>219191.16118237071</v>
      </c>
      <c r="L64" s="20">
        <f>'GS &gt; 50 OLS model'!$B$7*E64</f>
        <v>18617833.947064746</v>
      </c>
      <c r="M64" s="20">
        <f>'GS &gt; 50 OLS model'!$B$8*F64</f>
        <v>-690948.29216662829</v>
      </c>
      <c r="N64" s="20">
        <f>'GS &gt; 50 OLS model'!$B$9*G64</f>
        <v>0</v>
      </c>
      <c r="O64" s="20">
        <f>'GS &gt; 50 OLS model'!$B$10*H64</f>
        <v>0</v>
      </c>
      <c r="P64" s="20">
        <f t="shared" si="3"/>
        <v>9948303.3350776583</v>
      </c>
      <c r="Q64" s="23">
        <f t="shared" ca="1" si="4"/>
        <v>1.0942898365340799E-2</v>
      </c>
    </row>
    <row r="65" spans="1:17" ht="14.4" x14ac:dyDescent="0.3">
      <c r="A65" s="22">
        <f>'Monthly Data'!A65</f>
        <v>41000</v>
      </c>
      <c r="B65" s="56">
        <f t="shared" si="5"/>
        <v>2012</v>
      </c>
      <c r="C65" s="20">
        <f ca="1">'Monthly Data'!K65</f>
        <v>8933015.8775539789</v>
      </c>
      <c r="D65" s="56">
        <f>'Monthly Data'!AK65</f>
        <v>334.6</v>
      </c>
      <c r="E65" s="86">
        <f>'Monthly Data'!AP65</f>
        <v>6603.3</v>
      </c>
      <c r="F65" s="86">
        <f>'Monthly Data'!AT65</f>
        <v>64</v>
      </c>
      <c r="G65" s="86">
        <f>'Monthly Data'!AX65</f>
        <v>1</v>
      </c>
      <c r="H65" s="86">
        <f>'Monthly Data'!BF65</f>
        <v>0</v>
      </c>
      <c r="I65" s="56"/>
      <c r="J65" s="20">
        <f>'GS &gt; 50 OLS model'!$B$5</f>
        <v>-8197773.48100283</v>
      </c>
      <c r="K65" s="20">
        <f>'GS &gt; 50 OLS model'!$B$6*D65</f>
        <v>221508.19248450993</v>
      </c>
      <c r="L65" s="20">
        <f>'GS &gt; 50 OLS model'!$B$7*E65</f>
        <v>18712767.953766119</v>
      </c>
      <c r="M65" s="20">
        <f>'GS &gt; 50 OLS model'!$B$8*F65</f>
        <v>-701915.72537562239</v>
      </c>
      <c r="N65" s="20">
        <f>'GS &gt; 50 OLS model'!$B$9*G65</f>
        <v>-568190.53314882901</v>
      </c>
      <c r="O65" s="20">
        <f>'GS &gt; 50 OLS model'!$B$10*H65</f>
        <v>0</v>
      </c>
      <c r="P65" s="20">
        <f t="shared" si="3"/>
        <v>9466396.4067233466</v>
      </c>
      <c r="Q65" s="23">
        <f t="shared" ca="1" si="4"/>
        <v>5.9708897474322731E-2</v>
      </c>
    </row>
    <row r="66" spans="1:17" ht="14.4" x14ac:dyDescent="0.3">
      <c r="A66" s="22">
        <f>'Monthly Data'!A66</f>
        <v>41030</v>
      </c>
      <c r="B66" s="56">
        <f t="shared" si="5"/>
        <v>2012</v>
      </c>
      <c r="C66" s="20">
        <f ca="1">'Monthly Data'!K66</f>
        <v>9343931.8775539789</v>
      </c>
      <c r="D66" s="56">
        <f>'Monthly Data'!AK66</f>
        <v>87.2</v>
      </c>
      <c r="E66" s="86">
        <f>'Monthly Data'!AP66</f>
        <v>6658.1</v>
      </c>
      <c r="F66" s="86">
        <f>'Monthly Data'!AT66</f>
        <v>65</v>
      </c>
      <c r="G66" s="86">
        <f>'Monthly Data'!AX66</f>
        <v>0</v>
      </c>
      <c r="H66" s="86">
        <f>'Monthly Data'!BF66</f>
        <v>0</v>
      </c>
      <c r="I66" s="56"/>
      <c r="J66" s="20">
        <f>'GS &gt; 50 OLS model'!$B$5</f>
        <v>-8197773.48100283</v>
      </c>
      <c r="K66" s="20">
        <f>'GS &gt; 50 OLS model'!$B$6*D66</f>
        <v>57727.179870440123</v>
      </c>
      <c r="L66" s="20">
        <f>'GS &gt; 50 OLS model'!$B$7*E66</f>
        <v>18868062.985623885</v>
      </c>
      <c r="M66" s="20">
        <f>'GS &gt; 50 OLS model'!$B$8*F66</f>
        <v>-712883.1585846165</v>
      </c>
      <c r="N66" s="20">
        <f>'GS &gt; 50 OLS model'!$B$9*G66</f>
        <v>0</v>
      </c>
      <c r="O66" s="20">
        <f>'GS &gt; 50 OLS model'!$B$10*H66</f>
        <v>0</v>
      </c>
      <c r="P66" s="20">
        <f t="shared" si="3"/>
        <v>10015133.525906878</v>
      </c>
      <c r="Q66" s="23">
        <f t="shared" ref="Q66:Q97" ca="1" si="6">ABS(P66-C66)/C66</f>
        <v>7.1832891886258424E-2</v>
      </c>
    </row>
    <row r="67" spans="1:17" ht="14.4" x14ac:dyDescent="0.3">
      <c r="A67" s="22">
        <f>'Monthly Data'!A67</f>
        <v>41061</v>
      </c>
      <c r="B67" s="56">
        <f t="shared" si="5"/>
        <v>2012</v>
      </c>
      <c r="C67" s="20">
        <f ca="1">'Monthly Data'!K67</f>
        <v>10090507.40755398</v>
      </c>
      <c r="D67" s="56">
        <f>'Monthly Data'!AK67</f>
        <v>28.2</v>
      </c>
      <c r="E67" s="86">
        <f>'Monthly Data'!AP67</f>
        <v>6737.2</v>
      </c>
      <c r="F67" s="86">
        <f>'Monthly Data'!AT67</f>
        <v>66</v>
      </c>
      <c r="G67" s="86">
        <f>'Monthly Data'!AX67</f>
        <v>0</v>
      </c>
      <c r="H67" s="86">
        <f>'Monthly Data'!BF67</f>
        <v>0</v>
      </c>
      <c r="I67" s="56"/>
      <c r="J67" s="20">
        <f>'GS &gt; 50 OLS model'!$B$5</f>
        <v>-8197773.48100283</v>
      </c>
      <c r="K67" s="20">
        <f>'GS &gt; 50 OLS model'!$B$6*D67</f>
        <v>18668.65220580747</v>
      </c>
      <c r="L67" s="20">
        <f>'GS &gt; 50 OLS model'!$B$7*E67</f>
        <v>19092220.59547697</v>
      </c>
      <c r="M67" s="20">
        <f>'GS &gt; 50 OLS model'!$B$8*F67</f>
        <v>-723850.5917936106</v>
      </c>
      <c r="N67" s="20">
        <f>'GS &gt; 50 OLS model'!$B$9*G67</f>
        <v>0</v>
      </c>
      <c r="O67" s="20">
        <f>'GS &gt; 50 OLS model'!$B$10*H67</f>
        <v>0</v>
      </c>
      <c r="P67" s="20">
        <f t="shared" ref="P67:P121" si="7">SUM(J67:O67)</f>
        <v>10189265.174886337</v>
      </c>
      <c r="Q67" s="23">
        <f t="shared" ca="1" si="6"/>
        <v>9.7871953652622218E-3</v>
      </c>
    </row>
    <row r="68" spans="1:17" ht="14.4" x14ac:dyDescent="0.3">
      <c r="A68" s="22">
        <f>'Monthly Data'!A68</f>
        <v>41091</v>
      </c>
      <c r="B68" s="56">
        <f t="shared" si="5"/>
        <v>2012</v>
      </c>
      <c r="C68" s="20">
        <f ca="1">'Monthly Data'!K68</f>
        <v>9819102.4475539811</v>
      </c>
      <c r="D68" s="56">
        <f>'Monthly Data'!AK68</f>
        <v>0</v>
      </c>
      <c r="E68" s="86">
        <f>'Monthly Data'!AP68</f>
        <v>6778.6</v>
      </c>
      <c r="F68" s="86">
        <f>'Monthly Data'!AT68</f>
        <v>67</v>
      </c>
      <c r="G68" s="86">
        <f>'Monthly Data'!AX68</f>
        <v>0</v>
      </c>
      <c r="H68" s="86">
        <f>'Monthly Data'!BF68</f>
        <v>0</v>
      </c>
      <c r="I68" s="56"/>
      <c r="J68" s="20">
        <f>'GS &gt; 50 OLS model'!$B$5</f>
        <v>-8197773.48100283</v>
      </c>
      <c r="K68" s="20">
        <f>'GS &gt; 50 OLS model'!$B$6*D68</f>
        <v>0</v>
      </c>
      <c r="L68" s="20">
        <f>'GS &gt; 50 OLS model'!$B$7*E68</f>
        <v>19209542.024654191</v>
      </c>
      <c r="M68" s="20">
        <f>'GS &gt; 50 OLS model'!$B$8*F68</f>
        <v>-734818.0250026047</v>
      </c>
      <c r="N68" s="20">
        <f>'GS &gt; 50 OLS model'!$B$9*G68</f>
        <v>0</v>
      </c>
      <c r="O68" s="20">
        <f>'GS &gt; 50 OLS model'!$B$10*H68</f>
        <v>0</v>
      </c>
      <c r="P68" s="20">
        <f t="shared" si="7"/>
        <v>10276950.518648757</v>
      </c>
      <c r="Q68" s="23">
        <f t="shared" ca="1" si="6"/>
        <v>4.6628301674235949E-2</v>
      </c>
    </row>
    <row r="69" spans="1:17" ht="14.4" x14ac:dyDescent="0.3">
      <c r="A69" s="22">
        <f>'Monthly Data'!A69</f>
        <v>41122</v>
      </c>
      <c r="B69" s="56">
        <f t="shared" si="5"/>
        <v>2012</v>
      </c>
      <c r="C69" s="20">
        <f ca="1">'Monthly Data'!K69</f>
        <v>10558618.08755398</v>
      </c>
      <c r="D69" s="56">
        <f>'Monthly Data'!AK69</f>
        <v>7.8</v>
      </c>
      <c r="E69" s="86">
        <f>'Monthly Data'!AP69</f>
        <v>6797.9</v>
      </c>
      <c r="F69" s="86">
        <f>'Monthly Data'!AT69</f>
        <v>68</v>
      </c>
      <c r="G69" s="86">
        <f>'Monthly Data'!AX69</f>
        <v>0</v>
      </c>
      <c r="H69" s="86">
        <f>'Monthly Data'!BF69</f>
        <v>0</v>
      </c>
      <c r="I69" s="56"/>
      <c r="J69" s="20">
        <f>'GS &gt; 50 OLS model'!$B$5</f>
        <v>-8197773.48100283</v>
      </c>
      <c r="K69" s="20">
        <f>'GS &gt; 50 OLS model'!$B$6*D69</f>
        <v>5163.6697590531303</v>
      </c>
      <c r="L69" s="20">
        <f>'GS &gt; 50 OLS model'!$B$7*E69</f>
        <v>19264235.347917963</v>
      </c>
      <c r="M69" s="20">
        <f>'GS &gt; 50 OLS model'!$B$8*F69</f>
        <v>-745785.4582115988</v>
      </c>
      <c r="N69" s="20">
        <f>'GS &gt; 50 OLS model'!$B$9*G69</f>
        <v>0</v>
      </c>
      <c r="O69" s="20">
        <f>'GS &gt; 50 OLS model'!$B$10*H69</f>
        <v>0</v>
      </c>
      <c r="P69" s="20">
        <f t="shared" si="7"/>
        <v>10325840.078462588</v>
      </c>
      <c r="Q69" s="23">
        <f t="shared" ca="1" si="6"/>
        <v>2.2046257110651661E-2</v>
      </c>
    </row>
    <row r="70" spans="1:17" ht="14.4" x14ac:dyDescent="0.3">
      <c r="A70" s="22">
        <f>'Monthly Data'!A70</f>
        <v>41153</v>
      </c>
      <c r="B70" s="56">
        <f t="shared" si="5"/>
        <v>2012</v>
      </c>
      <c r="C70" s="20">
        <f ca="1">'Monthly Data'!K70</f>
        <v>10420120.797553979</v>
      </c>
      <c r="D70" s="56">
        <f>'Monthly Data'!AK70</f>
        <v>103.4</v>
      </c>
      <c r="E70" s="86">
        <f>'Monthly Data'!AP70</f>
        <v>6763.1</v>
      </c>
      <c r="F70" s="86">
        <f>'Monthly Data'!AT70</f>
        <v>69</v>
      </c>
      <c r="G70" s="86">
        <f>'Monthly Data'!AX70</f>
        <v>0</v>
      </c>
      <c r="H70" s="86">
        <f>'Monthly Data'!BF70</f>
        <v>0</v>
      </c>
      <c r="I70" s="56"/>
      <c r="J70" s="20">
        <f>'GS &gt; 50 OLS model'!$B$5</f>
        <v>-8197773.48100283</v>
      </c>
      <c r="K70" s="20">
        <f>'GS &gt; 50 OLS model'!$B$6*D70</f>
        <v>68451.724754627401</v>
      </c>
      <c r="L70" s="20">
        <f>'GS &gt; 50 OLS model'!$B$7*E70</f>
        <v>19165617.334986389</v>
      </c>
      <c r="M70" s="20">
        <f>'GS &gt; 50 OLS model'!$B$8*F70</f>
        <v>-756752.8914205929</v>
      </c>
      <c r="N70" s="20">
        <f>'GS &gt; 50 OLS model'!$B$9*G70</f>
        <v>0</v>
      </c>
      <c r="O70" s="20">
        <f>'GS &gt; 50 OLS model'!$B$10*H70</f>
        <v>0</v>
      </c>
      <c r="P70" s="20">
        <f t="shared" si="7"/>
        <v>10279542.687317593</v>
      </c>
      <c r="Q70" s="23">
        <f t="shared" ca="1" si="6"/>
        <v>1.3491025005140551E-2</v>
      </c>
    </row>
    <row r="71" spans="1:17" ht="14.4" x14ac:dyDescent="0.3">
      <c r="A71" s="22">
        <f>'Monthly Data'!A71</f>
        <v>41183</v>
      </c>
      <c r="B71" s="56">
        <f t="shared" si="5"/>
        <v>2012</v>
      </c>
      <c r="C71" s="20">
        <f ca="1">'Monthly Data'!K71</f>
        <v>12152447.48755398</v>
      </c>
      <c r="D71" s="56">
        <f>'Monthly Data'!AK71</f>
        <v>250.5</v>
      </c>
      <c r="E71" s="86">
        <f>'Monthly Data'!AP71</f>
        <v>6740.9</v>
      </c>
      <c r="F71" s="86">
        <f>'Monthly Data'!AT71</f>
        <v>70</v>
      </c>
      <c r="G71" s="86">
        <f>'Monthly Data'!AX71</f>
        <v>0</v>
      </c>
      <c r="H71" s="86">
        <f>'Monthly Data'!BF71</f>
        <v>0</v>
      </c>
      <c r="I71" s="56"/>
      <c r="J71" s="20">
        <f>'GS &gt; 50 OLS model'!$B$5</f>
        <v>-8197773.48100283</v>
      </c>
      <c r="K71" s="20">
        <f>'GS &gt; 50 OLS model'!$B$6*D71</f>
        <v>165833.24033882169</v>
      </c>
      <c r="L71" s="20">
        <f>'GS &gt; 50 OLS model'!$B$7*E71</f>
        <v>19102705.843978316</v>
      </c>
      <c r="M71" s="20">
        <f>'GS &gt; 50 OLS model'!$B$8*F71</f>
        <v>-767720.324629587</v>
      </c>
      <c r="N71" s="20">
        <f>'GS &gt; 50 OLS model'!$B$9*G71</f>
        <v>0</v>
      </c>
      <c r="O71" s="20">
        <f>'GS &gt; 50 OLS model'!$B$10*H71</f>
        <v>0</v>
      </c>
      <c r="P71" s="20">
        <f t="shared" si="7"/>
        <v>10303045.27868472</v>
      </c>
      <c r="Q71" s="23">
        <f t="shared" ca="1" si="6"/>
        <v>0.15218351782744496</v>
      </c>
    </row>
    <row r="72" spans="1:17" ht="14.4" x14ac:dyDescent="0.3">
      <c r="A72" s="22">
        <f>'Monthly Data'!A72</f>
        <v>41214</v>
      </c>
      <c r="B72" s="56">
        <f t="shared" si="5"/>
        <v>2012</v>
      </c>
      <c r="C72" s="20">
        <f ca="1">'Monthly Data'!K72</f>
        <v>9906472.4675539806</v>
      </c>
      <c r="D72" s="56">
        <f>'Monthly Data'!AK72</f>
        <v>458.5</v>
      </c>
      <c r="E72" s="86">
        <f>'Monthly Data'!AP72</f>
        <v>6727.4</v>
      </c>
      <c r="F72" s="86">
        <f>'Monthly Data'!AT72</f>
        <v>71</v>
      </c>
      <c r="G72" s="86">
        <f>'Monthly Data'!AX72</f>
        <v>0</v>
      </c>
      <c r="H72" s="86">
        <f>'Monthly Data'!BF72</f>
        <v>0</v>
      </c>
      <c r="I72" s="56"/>
      <c r="J72" s="20">
        <f>'GS &gt; 50 OLS model'!$B$5</f>
        <v>-8197773.48100283</v>
      </c>
      <c r="K72" s="20">
        <f>'GS &gt; 50 OLS model'!$B$6*D72</f>
        <v>303531.1005802385</v>
      </c>
      <c r="L72" s="20">
        <f>'GS &gt; 50 OLS model'!$B$7*E72</f>
        <v>19064448.856203135</v>
      </c>
      <c r="M72" s="20">
        <f>'GS &gt; 50 OLS model'!$B$8*F72</f>
        <v>-778687.75783858111</v>
      </c>
      <c r="N72" s="20">
        <f>'GS &gt; 50 OLS model'!$B$9*G72</f>
        <v>0</v>
      </c>
      <c r="O72" s="20">
        <f>'GS &gt; 50 OLS model'!$B$10*H72</f>
        <v>0</v>
      </c>
      <c r="P72" s="20">
        <f t="shared" si="7"/>
        <v>10391518.717941962</v>
      </c>
      <c r="Q72" s="23">
        <f t="shared" ca="1" si="6"/>
        <v>4.8962559778631766E-2</v>
      </c>
    </row>
    <row r="73" spans="1:17" ht="14.4" x14ac:dyDescent="0.3">
      <c r="A73" s="22">
        <f>'Monthly Data'!A73</f>
        <v>41244</v>
      </c>
      <c r="B73" s="56">
        <f t="shared" si="5"/>
        <v>2012</v>
      </c>
      <c r="C73" s="20">
        <f ca="1">'Monthly Data'!K73</f>
        <v>10098840.947553981</v>
      </c>
      <c r="D73" s="56">
        <f>'Monthly Data'!AK73</f>
        <v>535.9</v>
      </c>
      <c r="E73" s="86">
        <f>'Monthly Data'!AP73</f>
        <v>6740.2</v>
      </c>
      <c r="F73" s="86">
        <f>'Monthly Data'!AT73</f>
        <v>72</v>
      </c>
      <c r="G73" s="86">
        <f>'Monthly Data'!AX73</f>
        <v>0</v>
      </c>
      <c r="H73" s="86">
        <f>'Monthly Data'!BF73</f>
        <v>1</v>
      </c>
      <c r="I73" s="56"/>
      <c r="J73" s="20">
        <f>'GS &gt; 50 OLS model'!$B$5</f>
        <v>-8197773.48100283</v>
      </c>
      <c r="K73" s="20">
        <f>'GS &gt; 50 OLS model'!$B$6*D73</f>
        <v>354770.59280468879</v>
      </c>
      <c r="L73" s="20">
        <f>'GS &gt; 50 OLS model'!$B$7*E73</f>
        <v>19100722.148315899</v>
      </c>
      <c r="M73" s="20">
        <f>'GS &gt; 50 OLS model'!$B$8*F73</f>
        <v>-789655.19104757521</v>
      </c>
      <c r="N73" s="20">
        <f>'GS &gt; 50 OLS model'!$B$9*G73</f>
        <v>0</v>
      </c>
      <c r="O73" s="20">
        <f>'GS &gt; 50 OLS model'!$B$10*H73</f>
        <v>-637648.00517727702</v>
      </c>
      <c r="P73" s="20">
        <f t="shared" si="7"/>
        <v>9830416.0638929065</v>
      </c>
      <c r="Q73" s="23">
        <f t="shared" ca="1" si="6"/>
        <v>2.6579771387140145E-2</v>
      </c>
    </row>
    <row r="74" spans="1:17" ht="14.4" x14ac:dyDescent="0.3">
      <c r="A74" s="22">
        <f>'Monthly Data'!A74</f>
        <v>41275</v>
      </c>
      <c r="B74" s="56">
        <f t="shared" si="5"/>
        <v>2013</v>
      </c>
      <c r="C74" s="20">
        <f ca="1">'Monthly Data'!K74</f>
        <v>9154131.3499058764</v>
      </c>
      <c r="D74" s="56">
        <f>'Monthly Data'!AK74</f>
        <v>657.4</v>
      </c>
      <c r="E74" s="86">
        <f>'Monthly Data'!AP74</f>
        <v>6721.7</v>
      </c>
      <c r="F74" s="86">
        <f>'Monthly Data'!AT74</f>
        <v>73</v>
      </c>
      <c r="G74" s="86">
        <f>'Monthly Data'!AX74</f>
        <v>0</v>
      </c>
      <c r="H74" s="86">
        <f>'Monthly Data'!BF74</f>
        <v>0</v>
      </c>
      <c r="I74" s="56"/>
      <c r="J74" s="20">
        <f>'GS &gt; 50 OLS model'!$B$5</f>
        <v>-8197773.48100283</v>
      </c>
      <c r="K74" s="20">
        <f>'GS &gt; 50 OLS model'!$B$6*D74</f>
        <v>435204.67943609331</v>
      </c>
      <c r="L74" s="20">
        <f>'GS &gt; 50 OLS model'!$B$7*E74</f>
        <v>19048295.905809171</v>
      </c>
      <c r="M74" s="20">
        <f>'GS &gt; 50 OLS model'!$B$8*F74</f>
        <v>-800622.62425656931</v>
      </c>
      <c r="N74" s="20">
        <f>'GS &gt; 50 OLS model'!$B$9*G74</f>
        <v>0</v>
      </c>
      <c r="O74" s="20">
        <f>'GS &gt; 50 OLS model'!$B$10*H74</f>
        <v>0</v>
      </c>
      <c r="P74" s="20">
        <f t="shared" si="7"/>
        <v>10485104.479985865</v>
      </c>
      <c r="Q74" s="23">
        <f t="shared" ca="1" si="6"/>
        <v>0.1453958960391882</v>
      </c>
    </row>
    <row r="75" spans="1:17" ht="14.4" x14ac:dyDescent="0.3">
      <c r="A75" s="22">
        <f>'Monthly Data'!A75</f>
        <v>41306</v>
      </c>
      <c r="B75" s="56">
        <f t="shared" si="5"/>
        <v>2013</v>
      </c>
      <c r="C75" s="20">
        <f ca="1">'Monthly Data'!K75</f>
        <v>10298179.339905877</v>
      </c>
      <c r="D75" s="56">
        <f>'Monthly Data'!AK75</f>
        <v>657</v>
      </c>
      <c r="E75" s="86">
        <f>'Monthly Data'!AP75</f>
        <v>6702</v>
      </c>
      <c r="F75" s="86">
        <f>'Monthly Data'!AT75</f>
        <v>74</v>
      </c>
      <c r="G75" s="86">
        <f>'Monthly Data'!AX75</f>
        <v>0</v>
      </c>
      <c r="H75" s="86">
        <f>'Monthly Data'!BF75</f>
        <v>0</v>
      </c>
      <c r="I75" s="56"/>
      <c r="J75" s="20">
        <f>'GS &gt; 50 OLS model'!$B$5</f>
        <v>-8197773.48100283</v>
      </c>
      <c r="K75" s="20">
        <f>'GS &gt; 50 OLS model'!$B$6*D75</f>
        <v>434939.87585870596</v>
      </c>
      <c r="L75" s="20">
        <f>'GS &gt; 50 OLS model'!$B$7*E75</f>
        <v>18992469.042166874</v>
      </c>
      <c r="M75" s="20">
        <f>'GS &gt; 50 OLS model'!$B$8*F75</f>
        <v>-811590.05746556341</v>
      </c>
      <c r="N75" s="20">
        <f>'GS &gt; 50 OLS model'!$B$9*G75</f>
        <v>0</v>
      </c>
      <c r="O75" s="20">
        <f>'GS &gt; 50 OLS model'!$B$10*H75</f>
        <v>0</v>
      </c>
      <c r="P75" s="20">
        <f t="shared" si="7"/>
        <v>10418045.379557187</v>
      </c>
      <c r="Q75" s="23">
        <f t="shared" ca="1" si="6"/>
        <v>1.163953701862854E-2</v>
      </c>
    </row>
    <row r="76" spans="1:17" ht="14.4" x14ac:dyDescent="0.3">
      <c r="A76" s="22">
        <f>'Monthly Data'!A76</f>
        <v>41334</v>
      </c>
      <c r="B76" s="56">
        <f t="shared" si="5"/>
        <v>2013</v>
      </c>
      <c r="C76" s="20">
        <f ca="1">'Monthly Data'!K76</f>
        <v>10255977.789905878</v>
      </c>
      <c r="D76" s="56">
        <f>'Monthly Data'!AK76</f>
        <v>581.9</v>
      </c>
      <c r="E76" s="86">
        <f>'Monthly Data'!AP76</f>
        <v>6675.8</v>
      </c>
      <c r="F76" s="86">
        <f>'Monthly Data'!AT76</f>
        <v>75</v>
      </c>
      <c r="G76" s="86">
        <f>'Monthly Data'!AX76</f>
        <v>0</v>
      </c>
      <c r="H76" s="86">
        <f>'Monthly Data'!BF76</f>
        <v>0</v>
      </c>
      <c r="I76" s="56"/>
      <c r="J76" s="20">
        <f>'GS &gt; 50 OLS model'!$B$5</f>
        <v>-8197773.48100283</v>
      </c>
      <c r="K76" s="20">
        <f>'GS &gt; 50 OLS model'!$B$6*D76</f>
        <v>385223.00420423289</v>
      </c>
      <c r="L76" s="20">
        <f>'GS &gt; 50 OLS model'!$B$7*E76</f>
        <v>18918222.147373565</v>
      </c>
      <c r="M76" s="20">
        <f>'GS &gt; 50 OLS model'!$B$8*F76</f>
        <v>-822557.49067455751</v>
      </c>
      <c r="N76" s="20">
        <f>'GS &gt; 50 OLS model'!$B$9*G76</f>
        <v>0</v>
      </c>
      <c r="O76" s="20">
        <f>'GS &gt; 50 OLS model'!$B$10*H76</f>
        <v>0</v>
      </c>
      <c r="P76" s="20">
        <f t="shared" si="7"/>
        <v>10283114.17990041</v>
      </c>
      <c r="Q76" s="23">
        <f t="shared" ca="1" si="6"/>
        <v>2.6459095905258302E-3</v>
      </c>
    </row>
    <row r="77" spans="1:17" ht="14.4" x14ac:dyDescent="0.3">
      <c r="A77" s="22">
        <f>'Monthly Data'!A77</f>
        <v>41365</v>
      </c>
      <c r="B77" s="56">
        <f t="shared" si="5"/>
        <v>2013</v>
      </c>
      <c r="C77" s="20">
        <f ca="1">'Monthly Data'!K77</f>
        <v>9006319.6699058767</v>
      </c>
      <c r="D77" s="56">
        <f>'Monthly Data'!AK77</f>
        <v>362.2</v>
      </c>
      <c r="E77" s="86">
        <f>'Monthly Data'!AP77</f>
        <v>6703.7</v>
      </c>
      <c r="F77" s="86">
        <f>'Monthly Data'!AT77</f>
        <v>76</v>
      </c>
      <c r="G77" s="86">
        <f>'Monthly Data'!AX77</f>
        <v>1</v>
      </c>
      <c r="H77" s="86">
        <f>'Monthly Data'!BF77</f>
        <v>0</v>
      </c>
      <c r="I77" s="56"/>
      <c r="J77" s="20">
        <f>'GS &gt; 50 OLS model'!$B$5</f>
        <v>-8197773.48100283</v>
      </c>
      <c r="K77" s="20">
        <f>'GS &gt; 50 OLS model'!$B$6*D77</f>
        <v>239779.63932423637</v>
      </c>
      <c r="L77" s="20">
        <f>'GS &gt; 50 OLS model'!$B$7*E77</f>
        <v>18997286.588775598</v>
      </c>
      <c r="M77" s="20">
        <f>'GS &gt; 50 OLS model'!$B$8*F77</f>
        <v>-833524.92388355162</v>
      </c>
      <c r="N77" s="20">
        <f>'GS &gt; 50 OLS model'!$B$9*G77</f>
        <v>-568190.53314882901</v>
      </c>
      <c r="O77" s="20">
        <f>'GS &gt; 50 OLS model'!$B$10*H77</f>
        <v>0</v>
      </c>
      <c r="P77" s="20">
        <f t="shared" si="7"/>
        <v>9637577.2900646236</v>
      </c>
      <c r="Q77" s="23">
        <f t="shared" ca="1" si="6"/>
        <v>7.0090519023887146E-2</v>
      </c>
    </row>
    <row r="78" spans="1:17" ht="14.4" x14ac:dyDescent="0.3">
      <c r="A78" s="22">
        <f>'Monthly Data'!A78</f>
        <v>41395</v>
      </c>
      <c r="B78" s="56">
        <f t="shared" si="5"/>
        <v>2013</v>
      </c>
      <c r="C78" s="20">
        <f ca="1">'Monthly Data'!K78</f>
        <v>10953604.889905876</v>
      </c>
      <c r="D78" s="56">
        <f>'Monthly Data'!AK78</f>
        <v>122.2</v>
      </c>
      <c r="E78" s="86">
        <f>'Monthly Data'!AP78</f>
        <v>6770.3</v>
      </c>
      <c r="F78" s="86">
        <f>'Monthly Data'!AT78</f>
        <v>77</v>
      </c>
      <c r="G78" s="86">
        <f>'Monthly Data'!AX78</f>
        <v>0</v>
      </c>
      <c r="H78" s="86">
        <f>'Monthly Data'!BF78</f>
        <v>0</v>
      </c>
      <c r="I78" s="56"/>
      <c r="J78" s="20">
        <f>'GS &gt; 50 OLS model'!$B$5</f>
        <v>-8197773.48100283</v>
      </c>
      <c r="K78" s="20">
        <f>'GS &gt; 50 OLS model'!$B$6*D78</f>
        <v>80897.492891832371</v>
      </c>
      <c r="L78" s="20">
        <f>'GS &gt; 50 OLS model'!$B$7*E78</f>
        <v>19186021.061799821</v>
      </c>
      <c r="M78" s="20">
        <f>'GS &gt; 50 OLS model'!$B$8*F78</f>
        <v>-844492.35709254572</v>
      </c>
      <c r="N78" s="20">
        <f>'GS &gt; 50 OLS model'!$B$9*G78</f>
        <v>0</v>
      </c>
      <c r="O78" s="20">
        <f>'GS &gt; 50 OLS model'!$B$10*H78</f>
        <v>0</v>
      </c>
      <c r="P78" s="20">
        <f t="shared" si="7"/>
        <v>10224652.716596277</v>
      </c>
      <c r="Q78" s="23">
        <f t="shared" ca="1" si="6"/>
        <v>6.6549065867927429E-2</v>
      </c>
    </row>
    <row r="79" spans="1:17" ht="14.4" x14ac:dyDescent="0.3">
      <c r="A79" s="22">
        <f>'Monthly Data'!A79</f>
        <v>41426</v>
      </c>
      <c r="B79" s="56">
        <f t="shared" si="5"/>
        <v>2013</v>
      </c>
      <c r="C79" s="20">
        <f ca="1">'Monthly Data'!K79</f>
        <v>10526740.869905876</v>
      </c>
      <c r="D79" s="56">
        <f>'Monthly Data'!AK79</f>
        <v>41.1</v>
      </c>
      <c r="E79" s="86">
        <f>'Monthly Data'!AP79</f>
        <v>6861.8</v>
      </c>
      <c r="F79" s="86">
        <f>'Monthly Data'!AT79</f>
        <v>78</v>
      </c>
      <c r="G79" s="86">
        <f>'Monthly Data'!AX79</f>
        <v>0</v>
      </c>
      <c r="H79" s="86">
        <f>'Monthly Data'!BF79</f>
        <v>0</v>
      </c>
      <c r="I79" s="56"/>
      <c r="J79" s="20">
        <f>'GS &gt; 50 OLS model'!$B$5</f>
        <v>-8197773.48100283</v>
      </c>
      <c r="K79" s="20">
        <f>'GS &gt; 50 OLS model'!$B$6*D79</f>
        <v>27208.567576549187</v>
      </c>
      <c r="L79" s="20">
        <f>'GS &gt; 50 OLS model'!$B$7*E79</f>
        <v>19445318.423387147</v>
      </c>
      <c r="M79" s="20">
        <f>'GS &gt; 50 OLS model'!$B$8*F79</f>
        <v>-855459.79030153982</v>
      </c>
      <c r="N79" s="20">
        <f>'GS &gt; 50 OLS model'!$B$9*G79</f>
        <v>0</v>
      </c>
      <c r="O79" s="20">
        <f>'GS &gt; 50 OLS model'!$B$10*H79</f>
        <v>0</v>
      </c>
      <c r="P79" s="20">
        <f t="shared" si="7"/>
        <v>10419293.719659328</v>
      </c>
      <c r="Q79" s="23">
        <f t="shared" ca="1" si="6"/>
        <v>1.0207067085095662E-2</v>
      </c>
    </row>
    <row r="80" spans="1:17" ht="14.4" x14ac:dyDescent="0.3">
      <c r="A80" s="22">
        <f>'Monthly Data'!A80</f>
        <v>41456</v>
      </c>
      <c r="B80" s="56">
        <f t="shared" si="5"/>
        <v>2013</v>
      </c>
      <c r="C80" s="20">
        <f ca="1">'Monthly Data'!K80</f>
        <v>10419004.649905875</v>
      </c>
      <c r="D80" s="56">
        <f>'Monthly Data'!AK80</f>
        <v>7.1</v>
      </c>
      <c r="E80" s="86">
        <f>'Monthly Data'!AP80</f>
        <v>6917.1</v>
      </c>
      <c r="F80" s="86">
        <f>'Monthly Data'!AT80</f>
        <v>79</v>
      </c>
      <c r="G80" s="86">
        <f>'Monthly Data'!AX80</f>
        <v>0</v>
      </c>
      <c r="H80" s="86">
        <f>'Monthly Data'!BF80</f>
        <v>0</v>
      </c>
      <c r="I80" s="56"/>
      <c r="J80" s="20">
        <f>'GS &gt; 50 OLS model'!$B$5</f>
        <v>-8197773.48100283</v>
      </c>
      <c r="K80" s="20">
        <f>'GS &gt; 50 OLS model'!$B$6*D80</f>
        <v>4700.2634986252851</v>
      </c>
      <c r="L80" s="20">
        <f>'GS &gt; 50 OLS model'!$B$7*E80</f>
        <v>19602030.380718067</v>
      </c>
      <c r="M80" s="20">
        <f>'GS &gt; 50 OLS model'!$B$8*F80</f>
        <v>-866427.22351053392</v>
      </c>
      <c r="N80" s="20">
        <f>'GS &gt; 50 OLS model'!$B$9*G80</f>
        <v>0</v>
      </c>
      <c r="O80" s="20">
        <f>'GS &gt; 50 OLS model'!$B$10*H80</f>
        <v>0</v>
      </c>
      <c r="P80" s="20">
        <f t="shared" si="7"/>
        <v>10542529.93970333</v>
      </c>
      <c r="Q80" s="23">
        <f t="shared" ca="1" si="6"/>
        <v>1.1855766836477129E-2</v>
      </c>
    </row>
    <row r="81" spans="1:17" ht="14.4" x14ac:dyDescent="0.3">
      <c r="A81" s="22">
        <f>'Monthly Data'!A81</f>
        <v>41487</v>
      </c>
      <c r="B81" s="56">
        <f t="shared" si="5"/>
        <v>2013</v>
      </c>
      <c r="C81" s="20">
        <f ca="1">'Monthly Data'!K81</f>
        <v>10693013.479905875</v>
      </c>
      <c r="D81" s="56">
        <f>'Monthly Data'!AK81</f>
        <v>18.399999999999999</v>
      </c>
      <c r="E81" s="86">
        <f>'Monthly Data'!AP81</f>
        <v>6934.7</v>
      </c>
      <c r="F81" s="86">
        <f>'Monthly Data'!AT81</f>
        <v>80</v>
      </c>
      <c r="G81" s="86">
        <f>'Monthly Data'!AX81</f>
        <v>0</v>
      </c>
      <c r="H81" s="86">
        <f>'Monthly Data'!BF81</f>
        <v>0</v>
      </c>
      <c r="I81" s="56"/>
      <c r="J81" s="20">
        <f>'GS &gt; 50 OLS model'!$B$5</f>
        <v>-8197773.48100283</v>
      </c>
      <c r="K81" s="20">
        <f>'GS &gt; 50 OLS model'!$B$6*D81</f>
        <v>12180.964559817639</v>
      </c>
      <c r="L81" s="20">
        <f>'GS &gt; 50 OLS model'!$B$7*E81</f>
        <v>19651906.157373115</v>
      </c>
      <c r="M81" s="20">
        <f>'GS &gt; 50 OLS model'!$B$8*F81</f>
        <v>-877394.65671952802</v>
      </c>
      <c r="N81" s="20">
        <f>'GS &gt; 50 OLS model'!$B$9*G81</f>
        <v>0</v>
      </c>
      <c r="O81" s="20">
        <f>'GS &gt; 50 OLS model'!$B$10*H81</f>
        <v>0</v>
      </c>
      <c r="P81" s="20">
        <f t="shared" si="7"/>
        <v>10588918.984210575</v>
      </c>
      <c r="Q81" s="23">
        <f t="shared" ca="1" si="6"/>
        <v>9.7348138474633895E-3</v>
      </c>
    </row>
    <row r="82" spans="1:17" ht="14.4" x14ac:dyDescent="0.3">
      <c r="A82" s="22">
        <f>'Monthly Data'!A82</f>
        <v>41518</v>
      </c>
      <c r="B82" s="56">
        <f t="shared" si="5"/>
        <v>2013</v>
      </c>
      <c r="C82" s="20">
        <f ca="1">'Monthly Data'!K82</f>
        <v>10308007.769905876</v>
      </c>
      <c r="D82" s="56">
        <f>'Monthly Data'!AK82</f>
        <v>94.9</v>
      </c>
      <c r="E82" s="86">
        <f>'Monthly Data'!AP82</f>
        <v>6906.9</v>
      </c>
      <c r="F82" s="86">
        <f>'Monthly Data'!AT82</f>
        <v>81</v>
      </c>
      <c r="G82" s="86">
        <f>'Monthly Data'!AX82</f>
        <v>0</v>
      </c>
      <c r="H82" s="86">
        <f>'Monthly Data'!BF82</f>
        <v>0</v>
      </c>
      <c r="I82" s="56"/>
      <c r="J82" s="20">
        <f>'GS &gt; 50 OLS model'!$B$5</f>
        <v>-8197773.48100283</v>
      </c>
      <c r="K82" s="20">
        <f>'GS &gt; 50 OLS model'!$B$6*D82</f>
        <v>62824.648735146424</v>
      </c>
      <c r="L82" s="20">
        <f>'GS &gt; 50 OLS model'!$B$7*E82</f>
        <v>19573125.101065706</v>
      </c>
      <c r="M82" s="20">
        <f>'GS &gt; 50 OLS model'!$B$8*F82</f>
        <v>-888362.08992852212</v>
      </c>
      <c r="N82" s="20">
        <f>'GS &gt; 50 OLS model'!$B$9*G82</f>
        <v>0</v>
      </c>
      <c r="O82" s="20">
        <f>'GS &gt; 50 OLS model'!$B$10*H82</f>
        <v>0</v>
      </c>
      <c r="P82" s="20">
        <f t="shared" si="7"/>
        <v>10549814.178869501</v>
      </c>
      <c r="Q82" s="23">
        <f t="shared" ca="1" si="6"/>
        <v>2.3458112795527352E-2</v>
      </c>
    </row>
    <row r="83" spans="1:17" ht="14.4" x14ac:dyDescent="0.3">
      <c r="A83" s="22">
        <f>'Monthly Data'!A83</f>
        <v>41548</v>
      </c>
      <c r="B83" s="56">
        <f t="shared" si="5"/>
        <v>2013</v>
      </c>
      <c r="C83" s="20">
        <f ca="1">'Monthly Data'!K83</f>
        <v>10391319.069905877</v>
      </c>
      <c r="D83" s="56">
        <f>'Monthly Data'!AK83</f>
        <v>226.6</v>
      </c>
      <c r="E83" s="86">
        <f>'Monthly Data'!AP83</f>
        <v>6889</v>
      </c>
      <c r="F83" s="86">
        <f>'Monthly Data'!AT83</f>
        <v>82</v>
      </c>
      <c r="G83" s="86">
        <f>'Monthly Data'!AX83</f>
        <v>0</v>
      </c>
      <c r="H83" s="86">
        <f>'Monthly Data'!BF83</f>
        <v>0</v>
      </c>
      <c r="I83" s="56"/>
      <c r="J83" s="20">
        <f>'GS &gt; 50 OLS model'!$B$5</f>
        <v>-8197773.48100283</v>
      </c>
      <c r="K83" s="20">
        <f>'GS &gt; 50 OLS model'!$B$6*D83</f>
        <v>150011.22658992812</v>
      </c>
      <c r="L83" s="20">
        <f>'GS &gt; 50 OLS model'!$B$7*E83</f>
        <v>19522399.169126768</v>
      </c>
      <c r="M83" s="20">
        <f>'GS &gt; 50 OLS model'!$B$8*F83</f>
        <v>-899329.52313751623</v>
      </c>
      <c r="N83" s="20">
        <f>'GS &gt; 50 OLS model'!$B$9*G83</f>
        <v>0</v>
      </c>
      <c r="O83" s="20">
        <f>'GS &gt; 50 OLS model'!$B$10*H83</f>
        <v>0</v>
      </c>
      <c r="P83" s="20">
        <f t="shared" si="7"/>
        <v>10575307.391576352</v>
      </c>
      <c r="Q83" s="23">
        <f t="shared" ca="1" si="6"/>
        <v>1.7705964029467631E-2</v>
      </c>
    </row>
    <row r="84" spans="1:17" ht="14.4" x14ac:dyDescent="0.3">
      <c r="A84" s="22">
        <f>'Monthly Data'!A84</f>
        <v>41579</v>
      </c>
      <c r="B84" s="56">
        <f t="shared" si="5"/>
        <v>2013</v>
      </c>
      <c r="C84" s="20">
        <f ca="1">'Monthly Data'!K84</f>
        <v>10470189.509905877</v>
      </c>
      <c r="D84" s="56">
        <f>'Monthly Data'!AK84</f>
        <v>492.1</v>
      </c>
      <c r="E84" s="86">
        <f>'Monthly Data'!AP84</f>
        <v>6863.8</v>
      </c>
      <c r="F84" s="86">
        <f>'Monthly Data'!AT84</f>
        <v>83</v>
      </c>
      <c r="G84" s="86">
        <f>'Monthly Data'!AX84</f>
        <v>0</v>
      </c>
      <c r="H84" s="86">
        <f>'Monthly Data'!BF84</f>
        <v>0</v>
      </c>
      <c r="I84" s="56"/>
      <c r="J84" s="20">
        <f>'GS &gt; 50 OLS model'!$B$5</f>
        <v>-8197773.48100283</v>
      </c>
      <c r="K84" s="20">
        <f>'GS &gt; 50 OLS model'!$B$6*D84</f>
        <v>325774.60108077509</v>
      </c>
      <c r="L84" s="20">
        <f>'GS &gt; 50 OLS model'!$B$7*E84</f>
        <v>19450986.125279766</v>
      </c>
      <c r="M84" s="20">
        <f>'GS &gt; 50 OLS model'!$B$8*F84</f>
        <v>-910296.95634651033</v>
      </c>
      <c r="N84" s="20">
        <f>'GS &gt; 50 OLS model'!$B$9*G84</f>
        <v>0</v>
      </c>
      <c r="O84" s="20">
        <f>'GS &gt; 50 OLS model'!$B$10*H84</f>
        <v>0</v>
      </c>
      <c r="P84" s="20">
        <f t="shared" si="7"/>
        <v>10668690.289011201</v>
      </c>
      <c r="Q84" s="23">
        <f t="shared" ca="1" si="6"/>
        <v>1.8958661533062238E-2</v>
      </c>
    </row>
    <row r="85" spans="1:17" ht="14.4" x14ac:dyDescent="0.3">
      <c r="A85" s="22">
        <f>'Monthly Data'!A85</f>
        <v>41609</v>
      </c>
      <c r="B85" s="56">
        <f t="shared" si="5"/>
        <v>2013</v>
      </c>
      <c r="C85" s="20">
        <f ca="1">'Monthly Data'!K85</f>
        <v>9880400.2199058775</v>
      </c>
      <c r="D85" s="56">
        <f>'Monthly Data'!AK85</f>
        <v>687.7</v>
      </c>
      <c r="E85" s="86">
        <f>'Monthly Data'!AP85</f>
        <v>6849.3</v>
      </c>
      <c r="F85" s="86">
        <f>'Monthly Data'!AT85</f>
        <v>84</v>
      </c>
      <c r="G85" s="86">
        <f>'Monthly Data'!AX85</f>
        <v>0</v>
      </c>
      <c r="H85" s="86">
        <f>'Monthly Data'!BF85</f>
        <v>1</v>
      </c>
      <c r="I85" s="56"/>
      <c r="J85" s="20">
        <f>'GS &gt; 50 OLS model'!$B$5</f>
        <v>-8197773.48100283</v>
      </c>
      <c r="K85" s="20">
        <f>'GS &gt; 50 OLS model'!$B$6*D85</f>
        <v>455263.55042318435</v>
      </c>
      <c r="L85" s="20">
        <f>'GS &gt; 50 OLS model'!$B$7*E85</f>
        <v>19409895.286558278</v>
      </c>
      <c r="M85" s="20">
        <f>'GS &gt; 50 OLS model'!$B$8*F85</f>
        <v>-921264.38955550443</v>
      </c>
      <c r="N85" s="20">
        <f>'GS &gt; 50 OLS model'!$B$9*G85</f>
        <v>0</v>
      </c>
      <c r="O85" s="20">
        <f>'GS &gt; 50 OLS model'!$B$10*H85</f>
        <v>-637648.00517727702</v>
      </c>
      <c r="P85" s="20">
        <f t="shared" si="7"/>
        <v>10108472.961245852</v>
      </c>
      <c r="Q85" s="23">
        <f t="shared" ca="1" si="6"/>
        <v>2.3083350498341124E-2</v>
      </c>
    </row>
    <row r="86" spans="1:17" ht="14.4" x14ac:dyDescent="0.3">
      <c r="A86" s="22">
        <f>'Monthly Data'!A86</f>
        <v>41640</v>
      </c>
      <c r="B86" s="56">
        <f t="shared" si="5"/>
        <v>2014</v>
      </c>
      <c r="C86" s="20">
        <f ca="1">'Monthly Data'!K86</f>
        <v>12682291.81914901</v>
      </c>
      <c r="D86" s="56">
        <f>'Monthly Data'!AK86</f>
        <v>810.4</v>
      </c>
      <c r="E86" s="86">
        <f>'Monthly Data'!AP86</f>
        <v>6806.1</v>
      </c>
      <c r="F86" s="86">
        <f>'Monthly Data'!AT86</f>
        <v>85</v>
      </c>
      <c r="G86" s="86">
        <f>'Monthly Data'!AX86</f>
        <v>0</v>
      </c>
      <c r="H86" s="86">
        <f>'Monthly Data'!BF86</f>
        <v>0</v>
      </c>
      <c r="I86" s="56"/>
      <c r="J86" s="20">
        <f>'GS &gt; 50 OLS model'!$B$5</f>
        <v>-8197773.48100283</v>
      </c>
      <c r="K86" s="20">
        <f>'GS &gt; 50 OLS model'!$B$6*D86</f>
        <v>536492.04778675083</v>
      </c>
      <c r="L86" s="20">
        <f>'GS &gt; 50 OLS model'!$B$7*E86</f>
        <v>19287472.925677702</v>
      </c>
      <c r="M86" s="20">
        <f>'GS &gt; 50 OLS model'!$B$8*F86</f>
        <v>-932231.82276449853</v>
      </c>
      <c r="N86" s="20">
        <f>'GS &gt; 50 OLS model'!$B$9*G86</f>
        <v>0</v>
      </c>
      <c r="O86" s="20">
        <f>'GS &gt; 50 OLS model'!$B$10*H86</f>
        <v>0</v>
      </c>
      <c r="P86" s="20">
        <f t="shared" si="7"/>
        <v>10693959.669697123</v>
      </c>
      <c r="Q86" s="23">
        <f t="shared" ca="1" si="6"/>
        <v>0.15678019224015188</v>
      </c>
    </row>
    <row r="87" spans="1:17" ht="14.4" x14ac:dyDescent="0.3">
      <c r="A87" s="22">
        <f>'Monthly Data'!A87</f>
        <v>41671</v>
      </c>
      <c r="B87" s="56">
        <f t="shared" si="5"/>
        <v>2014</v>
      </c>
      <c r="C87" s="20">
        <f ca="1">'Monthly Data'!K87</f>
        <v>10768973.579149008</v>
      </c>
      <c r="D87" s="56">
        <f>'Monthly Data'!AK87</f>
        <v>730</v>
      </c>
      <c r="E87" s="86">
        <f>'Monthly Data'!AP87</f>
        <v>6772.3</v>
      </c>
      <c r="F87" s="86">
        <f>'Monthly Data'!AT87</f>
        <v>86</v>
      </c>
      <c r="G87" s="86">
        <f>'Monthly Data'!AX87</f>
        <v>0</v>
      </c>
      <c r="H87" s="86">
        <f>'Monthly Data'!BF87</f>
        <v>0</v>
      </c>
      <c r="I87" s="56"/>
      <c r="J87" s="20">
        <f>'GS &gt; 50 OLS model'!$B$5</f>
        <v>-8197773.48100283</v>
      </c>
      <c r="K87" s="20">
        <f>'GS &gt; 50 OLS model'!$B$6*D87</f>
        <v>483266.52873189549</v>
      </c>
      <c r="L87" s="20">
        <f>'GS &gt; 50 OLS model'!$B$7*E87</f>
        <v>19191688.763692439</v>
      </c>
      <c r="M87" s="20">
        <f>'GS &gt; 50 OLS model'!$B$8*F87</f>
        <v>-943199.25597349263</v>
      </c>
      <c r="N87" s="20">
        <f>'GS &gt; 50 OLS model'!$B$9*G87</f>
        <v>0</v>
      </c>
      <c r="O87" s="20">
        <f>'GS &gt; 50 OLS model'!$B$10*H87</f>
        <v>0</v>
      </c>
      <c r="P87" s="20">
        <f t="shared" si="7"/>
        <v>10533982.555448012</v>
      </c>
      <c r="Q87" s="23">
        <f t="shared" ca="1" si="6"/>
        <v>2.18211161884534E-2</v>
      </c>
    </row>
    <row r="88" spans="1:17" ht="14.4" x14ac:dyDescent="0.3">
      <c r="A88" s="22">
        <f>'Monthly Data'!A88</f>
        <v>41699</v>
      </c>
      <c r="B88" s="56">
        <f t="shared" si="5"/>
        <v>2014</v>
      </c>
      <c r="C88" s="20">
        <f ca="1">'Monthly Data'!K88</f>
        <v>10880478.939149009</v>
      </c>
      <c r="D88" s="56">
        <f>'Monthly Data'!AK88</f>
        <v>696.3</v>
      </c>
      <c r="E88" s="86">
        <f>'Monthly Data'!AP88</f>
        <v>6751.3</v>
      </c>
      <c r="F88" s="86">
        <f>'Monthly Data'!AT88</f>
        <v>87</v>
      </c>
      <c r="G88" s="86">
        <f>'Monthly Data'!AX88</f>
        <v>0</v>
      </c>
      <c r="H88" s="86">
        <f>'Monthly Data'!BF88</f>
        <v>0</v>
      </c>
      <c r="I88" s="56"/>
      <c r="J88" s="20">
        <f>'GS &gt; 50 OLS model'!$B$5</f>
        <v>-8197773.48100283</v>
      </c>
      <c r="K88" s="20">
        <f>'GS &gt; 50 OLS model'!$B$6*D88</f>
        <v>460956.8273370121</v>
      </c>
      <c r="L88" s="20">
        <f>'GS &gt; 50 OLS model'!$B$7*E88</f>
        <v>19132177.893819936</v>
      </c>
      <c r="M88" s="20">
        <f>'GS &gt; 50 OLS model'!$B$8*F88</f>
        <v>-954166.68918248673</v>
      </c>
      <c r="N88" s="20">
        <f>'GS &gt; 50 OLS model'!$B$9*G88</f>
        <v>0</v>
      </c>
      <c r="O88" s="20">
        <f>'GS &gt; 50 OLS model'!$B$10*H88</f>
        <v>0</v>
      </c>
      <c r="P88" s="20">
        <f t="shared" si="7"/>
        <v>10441194.550971631</v>
      </c>
      <c r="Q88" s="23">
        <f t="shared" ca="1" si="6"/>
        <v>4.0373626072358879E-2</v>
      </c>
    </row>
    <row r="89" spans="1:17" ht="14.4" x14ac:dyDescent="0.3">
      <c r="A89" s="22">
        <f>'Monthly Data'!A89</f>
        <v>41730</v>
      </c>
      <c r="B89" s="56">
        <f t="shared" si="5"/>
        <v>2014</v>
      </c>
      <c r="C89" s="20">
        <f ca="1">'Monthly Data'!K89</f>
        <v>8749376.5691490099</v>
      </c>
      <c r="D89" s="56">
        <f>'Monthly Data'!AK89</f>
        <v>353.8</v>
      </c>
      <c r="E89" s="86">
        <f>'Monthly Data'!AP89</f>
        <v>6785</v>
      </c>
      <c r="F89" s="86">
        <f>'Monthly Data'!AT89</f>
        <v>88</v>
      </c>
      <c r="G89" s="86">
        <f>'Monthly Data'!AX89</f>
        <v>1</v>
      </c>
      <c r="H89" s="86">
        <f>'Monthly Data'!BF89</f>
        <v>0</v>
      </c>
      <c r="I89" s="56"/>
      <c r="J89" s="20">
        <f>'GS &gt; 50 OLS model'!$B$5</f>
        <v>-8197773.48100283</v>
      </c>
      <c r="K89" s="20">
        <f>'GS &gt; 50 OLS model'!$B$6*D89</f>
        <v>234218.76419910224</v>
      </c>
      <c r="L89" s="20">
        <f>'GS &gt; 50 OLS model'!$B$7*E89</f>
        <v>19227678.670710571</v>
      </c>
      <c r="M89" s="20">
        <f>'GS &gt; 50 OLS model'!$B$8*F89</f>
        <v>-965134.12239148084</v>
      </c>
      <c r="N89" s="20">
        <f>'GS &gt; 50 OLS model'!$B$9*G89</f>
        <v>-568190.53314882901</v>
      </c>
      <c r="O89" s="20">
        <f>'GS &gt; 50 OLS model'!$B$10*H89</f>
        <v>0</v>
      </c>
      <c r="P89" s="20">
        <f t="shared" si="7"/>
        <v>9730799.2983665336</v>
      </c>
      <c r="Q89" s="23">
        <f t="shared" ca="1" si="6"/>
        <v>0.11217058969413861</v>
      </c>
    </row>
    <row r="90" spans="1:17" ht="14.4" x14ac:dyDescent="0.3">
      <c r="A90" s="22">
        <f>'Monthly Data'!A90</f>
        <v>41760</v>
      </c>
      <c r="B90" s="56">
        <f t="shared" si="5"/>
        <v>2014</v>
      </c>
      <c r="C90" s="20">
        <f ca="1">'Monthly Data'!K90</f>
        <v>10372384.24914901</v>
      </c>
      <c r="D90" s="56">
        <f>'Monthly Data'!AK90</f>
        <v>142.5</v>
      </c>
      <c r="E90" s="86">
        <f>'Monthly Data'!AP90</f>
        <v>6842.6</v>
      </c>
      <c r="F90" s="86">
        <f>'Monthly Data'!AT90</f>
        <v>89</v>
      </c>
      <c r="G90" s="86">
        <f>'Monthly Data'!AX90</f>
        <v>0</v>
      </c>
      <c r="H90" s="86">
        <f>'Monthly Data'!BF90</f>
        <v>0</v>
      </c>
      <c r="I90" s="56"/>
      <c r="J90" s="20">
        <f>'GS &gt; 50 OLS model'!$B$5</f>
        <v>-8197773.48100283</v>
      </c>
      <c r="K90" s="20">
        <f>'GS &gt; 50 OLS model'!$B$6*D90</f>
        <v>94336.274444239883</v>
      </c>
      <c r="L90" s="20">
        <f>'GS &gt; 50 OLS model'!$B$7*E90</f>
        <v>19390908.485218003</v>
      </c>
      <c r="M90" s="20">
        <f>'GS &gt; 50 OLS model'!$B$8*F90</f>
        <v>-976101.55560047494</v>
      </c>
      <c r="N90" s="20">
        <f>'GS &gt; 50 OLS model'!$B$9*G90</f>
        <v>0</v>
      </c>
      <c r="O90" s="20">
        <f>'GS &gt; 50 OLS model'!$B$10*H90</f>
        <v>0</v>
      </c>
      <c r="P90" s="20">
        <f t="shared" si="7"/>
        <v>10311369.723058939</v>
      </c>
      <c r="Q90" s="23">
        <f t="shared" ca="1" si="6"/>
        <v>5.8824012516771615E-3</v>
      </c>
    </row>
    <row r="91" spans="1:17" ht="14.4" x14ac:dyDescent="0.3">
      <c r="A91" s="22">
        <f>'Monthly Data'!A91</f>
        <v>41791</v>
      </c>
      <c r="B91" s="56">
        <f t="shared" si="5"/>
        <v>2014</v>
      </c>
      <c r="C91" s="20">
        <f ca="1">'Monthly Data'!K91</f>
        <v>10556164.529149009</v>
      </c>
      <c r="D91" s="56">
        <f>'Monthly Data'!AK91</f>
        <v>19.7</v>
      </c>
      <c r="E91" s="86">
        <f>'Monthly Data'!AP91</f>
        <v>6912.9</v>
      </c>
      <c r="F91" s="86">
        <f>'Monthly Data'!AT91</f>
        <v>90</v>
      </c>
      <c r="G91" s="86">
        <f>'Monthly Data'!AX91</f>
        <v>0</v>
      </c>
      <c r="H91" s="86">
        <f>'Monthly Data'!BF91</f>
        <v>0</v>
      </c>
      <c r="I91" s="56"/>
      <c r="J91" s="20">
        <f>'GS &gt; 50 OLS model'!$B$5</f>
        <v>-8197773.48100283</v>
      </c>
      <c r="K91" s="20">
        <f>'GS &gt; 50 OLS model'!$B$6*D91</f>
        <v>13041.576186326494</v>
      </c>
      <c r="L91" s="20">
        <f>'GS &gt; 50 OLS model'!$B$7*E91</f>
        <v>19590128.206743564</v>
      </c>
      <c r="M91" s="20">
        <f>'GS &gt; 50 OLS model'!$B$8*F91</f>
        <v>-987068.98880946904</v>
      </c>
      <c r="N91" s="20">
        <f>'GS &gt; 50 OLS model'!$B$9*G91</f>
        <v>0</v>
      </c>
      <c r="O91" s="20">
        <f>'GS &gt; 50 OLS model'!$B$10*H91</f>
        <v>0</v>
      </c>
      <c r="P91" s="20">
        <f t="shared" si="7"/>
        <v>10418327.313117592</v>
      </c>
      <c r="Q91" s="23">
        <f t="shared" ca="1" si="6"/>
        <v>1.3057509254502789E-2</v>
      </c>
    </row>
    <row r="92" spans="1:17" ht="14.4" x14ac:dyDescent="0.3">
      <c r="A92" s="22">
        <f>'Monthly Data'!A92</f>
        <v>41821</v>
      </c>
      <c r="B92" s="56">
        <f t="shared" si="5"/>
        <v>2014</v>
      </c>
      <c r="C92" s="20">
        <f ca="1">'Monthly Data'!K92</f>
        <v>10305534.56914901</v>
      </c>
      <c r="D92" s="56">
        <f>'Monthly Data'!AK92</f>
        <v>21.5</v>
      </c>
      <c r="E92" s="86">
        <f>'Monthly Data'!AP92</f>
        <v>6957.8</v>
      </c>
      <c r="F92" s="86">
        <f>'Monthly Data'!AT92</f>
        <v>91</v>
      </c>
      <c r="G92" s="86">
        <f>'Monthly Data'!AX92</f>
        <v>0</v>
      </c>
      <c r="H92" s="86">
        <f>'Monthly Data'!BF92</f>
        <v>0</v>
      </c>
      <c r="I92" s="56"/>
      <c r="J92" s="20">
        <f>'GS &gt; 50 OLS model'!$B$5</f>
        <v>-8197773.48100283</v>
      </c>
      <c r="K92" s="20">
        <f>'GS &gt; 50 OLS model'!$B$6*D92</f>
        <v>14233.192284569526</v>
      </c>
      <c r="L92" s="20">
        <f>'GS &gt; 50 OLS model'!$B$7*E92</f>
        <v>19717368.114232868</v>
      </c>
      <c r="M92" s="20">
        <f>'GS &gt; 50 OLS model'!$B$8*F92</f>
        <v>-998036.42201846314</v>
      </c>
      <c r="N92" s="20">
        <f>'GS &gt; 50 OLS model'!$B$9*G92</f>
        <v>0</v>
      </c>
      <c r="O92" s="20">
        <f>'GS &gt; 50 OLS model'!$B$10*H92</f>
        <v>0</v>
      </c>
      <c r="P92" s="20">
        <f t="shared" si="7"/>
        <v>10535791.403496144</v>
      </c>
      <c r="Q92" s="23">
        <f t="shared" ca="1" si="6"/>
        <v>2.2343026730164871E-2</v>
      </c>
    </row>
    <row r="93" spans="1:17" ht="14.4" x14ac:dyDescent="0.3">
      <c r="A93" s="22">
        <f>'Monthly Data'!A93</f>
        <v>41852</v>
      </c>
      <c r="B93" s="56">
        <f t="shared" si="5"/>
        <v>2014</v>
      </c>
      <c r="C93" s="20">
        <f ca="1">'Monthly Data'!K93</f>
        <v>10665937.879149009</v>
      </c>
      <c r="D93" s="56">
        <f>'Monthly Data'!AK93</f>
        <v>14.5</v>
      </c>
      <c r="E93" s="86">
        <f>'Monthly Data'!AP93</f>
        <v>6969.7</v>
      </c>
      <c r="F93" s="86">
        <f>'Monthly Data'!AT93</f>
        <v>92</v>
      </c>
      <c r="G93" s="86">
        <f>'Monthly Data'!AX93</f>
        <v>0</v>
      </c>
      <c r="H93" s="86">
        <f>'Monthly Data'!BF93</f>
        <v>0</v>
      </c>
      <c r="I93" s="56"/>
      <c r="J93" s="20">
        <f>'GS &gt; 50 OLS model'!$B$5</f>
        <v>-8197773.48100283</v>
      </c>
      <c r="K93" s="20">
        <f>'GS &gt; 50 OLS model'!$B$6*D93</f>
        <v>9599.1296802910747</v>
      </c>
      <c r="L93" s="20">
        <f>'GS &gt; 50 OLS model'!$B$7*E93</f>
        <v>19751090.940493949</v>
      </c>
      <c r="M93" s="20">
        <f>'GS &gt; 50 OLS model'!$B$8*F93</f>
        <v>-1009003.8552274572</v>
      </c>
      <c r="N93" s="20">
        <f>'GS &gt; 50 OLS model'!$B$9*G93</f>
        <v>0</v>
      </c>
      <c r="O93" s="20">
        <f>'GS &gt; 50 OLS model'!$B$10*H93</f>
        <v>0</v>
      </c>
      <c r="P93" s="20">
        <f t="shared" si="7"/>
        <v>10553912.733943952</v>
      </c>
      <c r="Q93" s="23">
        <f t="shared" ca="1" si="6"/>
        <v>1.0503074973280674E-2</v>
      </c>
    </row>
    <row r="94" spans="1:17" ht="14.4" x14ac:dyDescent="0.3">
      <c r="A94" s="22">
        <f>'Monthly Data'!A94</f>
        <v>41883</v>
      </c>
      <c r="B94" s="56">
        <f t="shared" si="5"/>
        <v>2014</v>
      </c>
      <c r="C94" s="20">
        <f ca="1">'Monthly Data'!K94</f>
        <v>10684767.099149009</v>
      </c>
      <c r="D94" s="56">
        <f>'Monthly Data'!AK94</f>
        <v>86.2</v>
      </c>
      <c r="E94" s="86">
        <f>'Monthly Data'!AP94</f>
        <v>6944.1</v>
      </c>
      <c r="F94" s="86">
        <f>'Monthly Data'!AT94</f>
        <v>93</v>
      </c>
      <c r="G94" s="86">
        <f>'Monthly Data'!AX94</f>
        <v>0</v>
      </c>
      <c r="H94" s="86">
        <f>'Monthly Data'!BF94</f>
        <v>0</v>
      </c>
      <c r="I94" s="56"/>
      <c r="J94" s="20">
        <f>'GS &gt; 50 OLS model'!$B$5</f>
        <v>-8197773.48100283</v>
      </c>
      <c r="K94" s="20">
        <f>'GS &gt; 50 OLS model'!$B$6*D94</f>
        <v>57065.170926971776</v>
      </c>
      <c r="L94" s="20">
        <f>'GS &gt; 50 OLS model'!$B$7*E94</f>
        <v>19678544.356268425</v>
      </c>
      <c r="M94" s="20">
        <f>'GS &gt; 50 OLS model'!$B$8*F94</f>
        <v>-1019971.2884364513</v>
      </c>
      <c r="N94" s="20">
        <f>'GS &gt; 50 OLS model'!$B$9*G94</f>
        <v>0</v>
      </c>
      <c r="O94" s="20">
        <f>'GS &gt; 50 OLS model'!$B$10*H94</f>
        <v>0</v>
      </c>
      <c r="P94" s="20">
        <f t="shared" si="7"/>
        <v>10517864.757756114</v>
      </c>
      <c r="Q94" s="23">
        <f t="shared" ca="1" si="6"/>
        <v>1.5620587687511522E-2</v>
      </c>
    </row>
    <row r="95" spans="1:17" ht="14.4" x14ac:dyDescent="0.3">
      <c r="A95" s="22">
        <f>'Monthly Data'!A95</f>
        <v>41913</v>
      </c>
      <c r="B95" s="56">
        <f t="shared" si="5"/>
        <v>2014</v>
      </c>
      <c r="C95" s="20">
        <f ca="1">'Monthly Data'!K95</f>
        <v>10777471.409149008</v>
      </c>
      <c r="D95" s="56">
        <f>'Monthly Data'!AK95</f>
        <v>247.1</v>
      </c>
      <c r="E95" s="86">
        <f>'Monthly Data'!AP95</f>
        <v>6936.6</v>
      </c>
      <c r="F95" s="86">
        <f>'Monthly Data'!AT95</f>
        <v>94</v>
      </c>
      <c r="G95" s="86">
        <f>'Monthly Data'!AX95</f>
        <v>0</v>
      </c>
      <c r="H95" s="86">
        <f>'Monthly Data'!BF95</f>
        <v>0</v>
      </c>
      <c r="I95" s="56"/>
      <c r="J95" s="20">
        <f>'GS &gt; 50 OLS model'!$B$5</f>
        <v>-8197773.48100283</v>
      </c>
      <c r="K95" s="20">
        <f>'GS &gt; 50 OLS model'!$B$6*D95</f>
        <v>163582.40993102928</v>
      </c>
      <c r="L95" s="20">
        <f>'GS &gt; 50 OLS model'!$B$7*E95</f>
        <v>19657290.474171106</v>
      </c>
      <c r="M95" s="20">
        <f>'GS &gt; 50 OLS model'!$B$8*F95</f>
        <v>-1030938.7216454454</v>
      </c>
      <c r="N95" s="20">
        <f>'GS &gt; 50 OLS model'!$B$9*G95</f>
        <v>0</v>
      </c>
      <c r="O95" s="20">
        <f>'GS &gt; 50 OLS model'!$B$10*H95</f>
        <v>0</v>
      </c>
      <c r="P95" s="20">
        <f t="shared" si="7"/>
        <v>10592160.681453861</v>
      </c>
      <c r="Q95" s="23">
        <f t="shared" ca="1" si="6"/>
        <v>1.7194267621794487E-2</v>
      </c>
    </row>
    <row r="96" spans="1:17" ht="14.4" x14ac:dyDescent="0.3">
      <c r="A96" s="22">
        <f>'Monthly Data'!A96</f>
        <v>41944</v>
      </c>
      <c r="B96" s="56">
        <f t="shared" si="5"/>
        <v>2014</v>
      </c>
      <c r="C96" s="20">
        <f ca="1">'Monthly Data'!K96</f>
        <v>10500318.929149011</v>
      </c>
      <c r="D96" s="56">
        <f>'Monthly Data'!AK96</f>
        <v>503.7</v>
      </c>
      <c r="E96" s="86">
        <f>'Monthly Data'!AP96</f>
        <v>6914.3</v>
      </c>
      <c r="F96" s="86">
        <f>'Monthly Data'!AT96</f>
        <v>95</v>
      </c>
      <c r="G96" s="86">
        <f>'Monthly Data'!AX96</f>
        <v>0</v>
      </c>
      <c r="H96" s="86">
        <f>'Monthly Data'!BF96</f>
        <v>0</v>
      </c>
      <c r="I96" s="56"/>
      <c r="J96" s="20">
        <f>'GS &gt; 50 OLS model'!$B$5</f>
        <v>-8197773.48100283</v>
      </c>
      <c r="K96" s="20">
        <f>'GS &gt; 50 OLS model'!$B$6*D96</f>
        <v>333453.90482500789</v>
      </c>
      <c r="L96" s="20">
        <f>'GS &gt; 50 OLS model'!$B$7*E96</f>
        <v>19594095.598068401</v>
      </c>
      <c r="M96" s="20">
        <f>'GS &gt; 50 OLS model'!$B$8*F96</f>
        <v>-1041906.1548544395</v>
      </c>
      <c r="N96" s="20">
        <f>'GS &gt; 50 OLS model'!$B$9*G96</f>
        <v>0</v>
      </c>
      <c r="O96" s="20">
        <f>'GS &gt; 50 OLS model'!$B$10*H96</f>
        <v>0</v>
      </c>
      <c r="P96" s="20">
        <f t="shared" si="7"/>
        <v>10687869.86703614</v>
      </c>
      <c r="Q96" s="23">
        <f t="shared" ca="1" si="6"/>
        <v>1.7861451557103166E-2</v>
      </c>
    </row>
    <row r="97" spans="1:17" ht="14.4" x14ac:dyDescent="0.3">
      <c r="A97" s="22">
        <f>'Monthly Data'!A97</f>
        <v>41974</v>
      </c>
      <c r="B97" s="56">
        <f t="shared" si="5"/>
        <v>2014</v>
      </c>
      <c r="C97" s="20">
        <f ca="1">'Monthly Data'!K97</f>
        <v>9933652.4691490103</v>
      </c>
      <c r="D97" s="56">
        <f>'Monthly Data'!AK97</f>
        <v>567.5</v>
      </c>
      <c r="E97" s="86">
        <f>'Monthly Data'!AP97</f>
        <v>6903.2</v>
      </c>
      <c r="F97" s="86">
        <f>'Monthly Data'!AT97</f>
        <v>96</v>
      </c>
      <c r="G97" s="86">
        <f>'Monthly Data'!AX97</f>
        <v>0</v>
      </c>
      <c r="H97" s="86">
        <f>'Monthly Data'!BF97</f>
        <v>1</v>
      </c>
      <c r="I97" s="56"/>
      <c r="J97" s="20">
        <f>'GS &gt; 50 OLS model'!$B$5</f>
        <v>-8197773.48100283</v>
      </c>
      <c r="K97" s="20">
        <f>'GS &gt; 50 OLS model'!$B$6*D97</f>
        <v>375690.07541828864</v>
      </c>
      <c r="L97" s="20">
        <f>'GS &gt; 50 OLS model'!$B$7*E97</f>
        <v>19562639.852564361</v>
      </c>
      <c r="M97" s="20">
        <f>'GS &gt; 50 OLS model'!$B$8*F97</f>
        <v>-1052873.5880634335</v>
      </c>
      <c r="N97" s="20">
        <f>'GS &gt; 50 OLS model'!$B$9*G97</f>
        <v>0</v>
      </c>
      <c r="O97" s="20">
        <f>'GS &gt; 50 OLS model'!$B$10*H97</f>
        <v>-637648.00517727702</v>
      </c>
      <c r="P97" s="20">
        <f t="shared" si="7"/>
        <v>10050034.853739111</v>
      </c>
      <c r="Q97" s="23">
        <f t="shared" ca="1" si="6"/>
        <v>1.1715971033972631E-2</v>
      </c>
    </row>
    <row r="98" spans="1:17" s="80" customFormat="1" ht="14.4" x14ac:dyDescent="0.3">
      <c r="A98" s="22">
        <f>'Monthly Data'!A98</f>
        <v>42005</v>
      </c>
      <c r="B98" s="80">
        <f t="shared" ref="B98:B121" si="8">YEAR(A98)</f>
        <v>2015</v>
      </c>
      <c r="C98" s="20">
        <f ca="1">'Monthly Data'!K98</f>
        <v>10582210.954274649</v>
      </c>
      <c r="D98" s="80">
        <f>'Monthly Data'!AK98</f>
        <v>812.90000000000009</v>
      </c>
      <c r="E98" s="86">
        <f>'Monthly Data'!AP98</f>
        <v>6845.1</v>
      </c>
      <c r="F98" s="86">
        <f>'Monthly Data'!AT98</f>
        <v>97</v>
      </c>
      <c r="G98" s="86">
        <f>'Monthly Data'!AX98</f>
        <v>0</v>
      </c>
      <c r="H98" s="86">
        <f>'Monthly Data'!BF98</f>
        <v>0</v>
      </c>
      <c r="J98" s="20">
        <f>'GS &gt; 50 OLS model'!$B$5</f>
        <v>-8197773.48100283</v>
      </c>
      <c r="K98" s="20">
        <f>'GS &gt; 50 OLS model'!$B$6*D98</f>
        <v>538147.07014542178</v>
      </c>
      <c r="L98" s="20">
        <f>'GS &gt; 50 OLS model'!$B$7*E98</f>
        <v>19397993.112583775</v>
      </c>
      <c r="M98" s="20">
        <f>'GS &gt; 50 OLS model'!$B$8*F98</f>
        <v>-1063841.0212724276</v>
      </c>
      <c r="N98" s="20">
        <f>'GS &gt; 50 OLS model'!$B$9*G98</f>
        <v>0</v>
      </c>
      <c r="O98" s="20">
        <f>'GS &gt; 50 OLS model'!$B$10*H98</f>
        <v>0</v>
      </c>
      <c r="P98" s="20">
        <f t="shared" si="7"/>
        <v>10674525.680453938</v>
      </c>
      <c r="Q98" s="23">
        <f t="shared" ref="Q98:Q121" ca="1" si="9">ABS(P98-C98)/C98</f>
        <v>8.7235764414617407E-3</v>
      </c>
    </row>
    <row r="99" spans="1:17" s="80" customFormat="1" ht="14.4" x14ac:dyDescent="0.3">
      <c r="A99" s="22">
        <f>'Monthly Data'!A99</f>
        <v>42036</v>
      </c>
      <c r="B99" s="80">
        <f t="shared" si="8"/>
        <v>2015</v>
      </c>
      <c r="C99" s="20">
        <f ca="1">'Monthly Data'!K99</f>
        <v>10094724.104274649</v>
      </c>
      <c r="D99" s="80">
        <f>'Monthly Data'!AK99</f>
        <v>871.4</v>
      </c>
      <c r="E99" s="86">
        <f>'Monthly Data'!AP99</f>
        <v>6810.3</v>
      </c>
      <c r="F99" s="86">
        <f>'Monthly Data'!AT99</f>
        <v>98</v>
      </c>
      <c r="G99" s="86">
        <f>'Monthly Data'!AX99</f>
        <v>0</v>
      </c>
      <c r="H99" s="86">
        <f>'Monthly Data'!BF99</f>
        <v>0</v>
      </c>
      <c r="J99" s="20">
        <f>'GS &gt; 50 OLS model'!$B$5</f>
        <v>-8197773.48100283</v>
      </c>
      <c r="K99" s="20">
        <f>'GS &gt; 50 OLS model'!$B$6*D99</f>
        <v>576874.59333832015</v>
      </c>
      <c r="L99" s="20">
        <f>'GS &gt; 50 OLS model'!$B$7*E99</f>
        <v>19299375.099652201</v>
      </c>
      <c r="M99" s="20">
        <f>'GS &gt; 50 OLS model'!$B$8*F99</f>
        <v>-1074808.4544814217</v>
      </c>
      <c r="N99" s="20">
        <f>'GS &gt; 50 OLS model'!$B$9*G99</f>
        <v>0</v>
      </c>
      <c r="O99" s="20">
        <f>'GS &gt; 50 OLS model'!$B$10*H99</f>
        <v>0</v>
      </c>
      <c r="P99" s="20">
        <f t="shared" si="7"/>
        <v>10603667.75750627</v>
      </c>
      <c r="Q99" s="23">
        <f t="shared" ca="1" si="9"/>
        <v>5.0416796732077766E-2</v>
      </c>
    </row>
    <row r="100" spans="1:17" s="80" customFormat="1" ht="14.4" x14ac:dyDescent="0.3">
      <c r="A100" s="22">
        <f>'Monthly Data'!A100</f>
        <v>42064</v>
      </c>
      <c r="B100" s="80">
        <f t="shared" si="8"/>
        <v>2015</v>
      </c>
      <c r="C100" s="20">
        <f ca="1">'Monthly Data'!K100</f>
        <v>10256314.25427465</v>
      </c>
      <c r="D100" s="80">
        <f>'Monthly Data'!AK100</f>
        <v>640.1</v>
      </c>
      <c r="E100" s="86">
        <f>'Monthly Data'!AP100</f>
        <v>6783.7</v>
      </c>
      <c r="F100" s="86">
        <f>'Monthly Data'!AT100</f>
        <v>99</v>
      </c>
      <c r="G100" s="86">
        <f>'Monthly Data'!AX100</f>
        <v>0</v>
      </c>
      <c r="H100" s="86">
        <f>'Monthly Data'!BF100</f>
        <v>0</v>
      </c>
      <c r="J100" s="20">
        <f>'GS &gt; 50 OLS model'!$B$5</f>
        <v>-8197773.48100283</v>
      </c>
      <c r="K100" s="20">
        <f>'GS &gt; 50 OLS model'!$B$6*D100</f>
        <v>423751.92471409088</v>
      </c>
      <c r="L100" s="20">
        <f>'GS &gt; 50 OLS model'!$B$7*E100</f>
        <v>19223994.664480366</v>
      </c>
      <c r="M100" s="20">
        <f>'GS &gt; 50 OLS model'!$B$8*F100</f>
        <v>-1085775.8876904158</v>
      </c>
      <c r="N100" s="20">
        <f>'GS &gt; 50 OLS model'!$B$9*G100</f>
        <v>0</v>
      </c>
      <c r="O100" s="20">
        <f>'GS &gt; 50 OLS model'!$B$10*H100</f>
        <v>0</v>
      </c>
      <c r="P100" s="20">
        <f t="shared" si="7"/>
        <v>10364197.220501212</v>
      </c>
      <c r="Q100" s="23">
        <f t="shared" ca="1" si="9"/>
        <v>1.0518687664196634E-2</v>
      </c>
    </row>
    <row r="101" spans="1:17" s="80" customFormat="1" ht="14.4" x14ac:dyDescent="0.3">
      <c r="A101" s="22">
        <f>'Monthly Data'!A101</f>
        <v>42095</v>
      </c>
      <c r="B101" s="80">
        <f t="shared" si="8"/>
        <v>2015</v>
      </c>
      <c r="C101" s="20">
        <f ca="1">'Monthly Data'!K101</f>
        <v>9595036.1342746504</v>
      </c>
      <c r="D101" s="80">
        <f>'Monthly Data'!AK101</f>
        <v>336.59999999999997</v>
      </c>
      <c r="E101" s="86">
        <f>'Monthly Data'!AP101</f>
        <v>6805.6</v>
      </c>
      <c r="F101" s="86">
        <f>'Monthly Data'!AT101</f>
        <v>100</v>
      </c>
      <c r="G101" s="86">
        <f>'Monthly Data'!AX101</f>
        <v>1</v>
      </c>
      <c r="H101" s="86">
        <f>'Monthly Data'!BF101</f>
        <v>0</v>
      </c>
      <c r="J101" s="20">
        <f>'GS &gt; 50 OLS model'!$B$5</f>
        <v>-8197773.48100283</v>
      </c>
      <c r="K101" s="20">
        <f>'GS &gt; 50 OLS model'!$B$6*D101</f>
        <v>222832.21037144659</v>
      </c>
      <c r="L101" s="20">
        <f>'GS &gt; 50 OLS model'!$B$7*E101</f>
        <v>19286056.000204548</v>
      </c>
      <c r="M101" s="20">
        <f>'GS &gt; 50 OLS model'!$B$8*F101</f>
        <v>-1096743.3208994099</v>
      </c>
      <c r="N101" s="20">
        <f>'GS &gt; 50 OLS model'!$B$9*G101</f>
        <v>-568190.53314882901</v>
      </c>
      <c r="O101" s="20">
        <f>'GS &gt; 50 OLS model'!$B$10*H101</f>
        <v>0</v>
      </c>
      <c r="P101" s="20">
        <f t="shared" si="7"/>
        <v>9646180.8755249251</v>
      </c>
      <c r="Q101" s="23">
        <f t="shared" ca="1" si="9"/>
        <v>5.3303333655596551E-3</v>
      </c>
    </row>
    <row r="102" spans="1:17" s="80" customFormat="1" ht="14.4" x14ac:dyDescent="0.3">
      <c r="A102" s="22">
        <f>'Monthly Data'!A102</f>
        <v>42125</v>
      </c>
      <c r="B102" s="80">
        <f t="shared" si="8"/>
        <v>2015</v>
      </c>
      <c r="C102" s="20">
        <f ca="1">'Monthly Data'!K102</f>
        <v>9936716.2542746495</v>
      </c>
      <c r="D102" s="80">
        <f>'Monthly Data'!AK102</f>
        <v>104.7</v>
      </c>
      <c r="E102" s="86">
        <f>'Monthly Data'!AP102</f>
        <v>6870.9</v>
      </c>
      <c r="F102" s="86">
        <f>'Monthly Data'!AT102</f>
        <v>101</v>
      </c>
      <c r="G102" s="86">
        <f>'Monthly Data'!AX102</f>
        <v>0</v>
      </c>
      <c r="H102" s="86">
        <f>'Monthly Data'!BF102</f>
        <v>0</v>
      </c>
      <c r="J102" s="20">
        <f>'GS &gt; 50 OLS model'!$B$5</f>
        <v>-8197773.48100283</v>
      </c>
      <c r="K102" s="20">
        <f>'GS &gt; 50 OLS model'!$B$6*D102</f>
        <v>69312.336381136251</v>
      </c>
      <c r="L102" s="20">
        <f>'GS &gt; 50 OLS model'!$B$7*E102</f>
        <v>19471106.466998562</v>
      </c>
      <c r="M102" s="20">
        <f>'GS &gt; 50 OLS model'!$B$8*F102</f>
        <v>-1107710.754108404</v>
      </c>
      <c r="N102" s="20">
        <f>'GS &gt; 50 OLS model'!$B$9*G102</f>
        <v>0</v>
      </c>
      <c r="O102" s="20">
        <f>'GS &gt; 50 OLS model'!$B$10*H102</f>
        <v>0</v>
      </c>
      <c r="P102" s="20">
        <f t="shared" si="7"/>
        <v>10234934.568268465</v>
      </c>
      <c r="Q102" s="23">
        <f t="shared" ca="1" si="9"/>
        <v>3.0011757039507453E-2</v>
      </c>
    </row>
    <row r="103" spans="1:17" s="80" customFormat="1" ht="14.4" x14ac:dyDescent="0.3">
      <c r="A103" s="22">
        <f>'Monthly Data'!A103</f>
        <v>42156</v>
      </c>
      <c r="B103" s="80">
        <f t="shared" si="8"/>
        <v>2015</v>
      </c>
      <c r="C103" s="20">
        <f ca="1">'Monthly Data'!K103</f>
        <v>9839856.9242746513</v>
      </c>
      <c r="D103" s="80">
        <f>'Monthly Data'!AK103</f>
        <v>29.7</v>
      </c>
      <c r="E103" s="86">
        <f>'Monthly Data'!AP103</f>
        <v>6965.8</v>
      </c>
      <c r="F103" s="86">
        <f>'Monthly Data'!AT103</f>
        <v>102</v>
      </c>
      <c r="G103" s="86">
        <f>'Monthly Data'!AX103</f>
        <v>0</v>
      </c>
      <c r="H103" s="86">
        <f>'Monthly Data'!BF103</f>
        <v>0</v>
      </c>
      <c r="J103" s="20">
        <f>'GS &gt; 50 OLS model'!$B$5</f>
        <v>-8197773.48100283</v>
      </c>
      <c r="K103" s="20">
        <f>'GS &gt; 50 OLS model'!$B$6*D103</f>
        <v>19661.665621009994</v>
      </c>
      <c r="L103" s="20">
        <f>'GS &gt; 50 OLS model'!$B$7*E103</f>
        <v>19740038.921803344</v>
      </c>
      <c r="M103" s="20">
        <f>'GS &gt; 50 OLS model'!$B$8*F103</f>
        <v>-1118678.1873173981</v>
      </c>
      <c r="N103" s="20">
        <f>'GS &gt; 50 OLS model'!$B$9*G103</f>
        <v>0</v>
      </c>
      <c r="O103" s="20">
        <f>'GS &gt; 50 OLS model'!$B$10*H103</f>
        <v>0</v>
      </c>
      <c r="P103" s="20">
        <f t="shared" si="7"/>
        <v>10443248.919104125</v>
      </c>
      <c r="Q103" s="23">
        <f t="shared" ca="1" si="9"/>
        <v>6.1321216301521909E-2</v>
      </c>
    </row>
    <row r="104" spans="1:17" s="80" customFormat="1" ht="14.4" x14ac:dyDescent="0.3">
      <c r="A104" s="22">
        <f>'Monthly Data'!A104</f>
        <v>42186</v>
      </c>
      <c r="B104" s="80">
        <f t="shared" si="8"/>
        <v>2015</v>
      </c>
      <c r="C104" s="20">
        <f ca="1">'Monthly Data'!K104</f>
        <v>10267126.284274649</v>
      </c>
      <c r="D104" s="80">
        <f>'Monthly Data'!AK104</f>
        <v>7</v>
      </c>
      <c r="E104" s="86">
        <f>'Monthly Data'!AP104</f>
        <v>7032.3</v>
      </c>
      <c r="F104" s="86">
        <f>'Monthly Data'!AT104</f>
        <v>103</v>
      </c>
      <c r="G104" s="86">
        <f>'Monthly Data'!AX104</f>
        <v>0</v>
      </c>
      <c r="H104" s="86">
        <f>'Monthly Data'!BF104</f>
        <v>0</v>
      </c>
      <c r="J104" s="20">
        <f>'GS &gt; 50 OLS model'!$B$5</f>
        <v>-8197773.48100283</v>
      </c>
      <c r="K104" s="20">
        <f>'GS &gt; 50 OLS model'!$B$6*D104</f>
        <v>4634.0626042784497</v>
      </c>
      <c r="L104" s="20">
        <f>'GS &gt; 50 OLS model'!$B$7*E104</f>
        <v>19928490.009732932</v>
      </c>
      <c r="M104" s="20">
        <f>'GS &gt; 50 OLS model'!$B$8*F104</f>
        <v>-1129645.6205263922</v>
      </c>
      <c r="N104" s="20">
        <f>'GS &gt; 50 OLS model'!$B$9*G104</f>
        <v>0</v>
      </c>
      <c r="O104" s="20">
        <f>'GS &gt; 50 OLS model'!$B$10*H104</f>
        <v>0</v>
      </c>
      <c r="P104" s="20">
        <f t="shared" si="7"/>
        <v>10605704.970807988</v>
      </c>
      <c r="Q104" s="23">
        <f t="shared" ca="1" si="9"/>
        <v>3.2976967182327711E-2</v>
      </c>
    </row>
    <row r="105" spans="1:17" s="80" customFormat="1" ht="14.4" x14ac:dyDescent="0.3">
      <c r="A105" s="22">
        <f>'Monthly Data'!A105</f>
        <v>42217</v>
      </c>
      <c r="B105" s="80">
        <f t="shared" si="8"/>
        <v>2015</v>
      </c>
      <c r="C105" s="20">
        <f ca="1">'Monthly Data'!K105</f>
        <v>10466757.41427465</v>
      </c>
      <c r="D105" s="80">
        <f>'Monthly Data'!AK105</f>
        <v>14</v>
      </c>
      <c r="E105" s="86">
        <f>'Monthly Data'!AP105</f>
        <v>7045.7</v>
      </c>
      <c r="F105" s="86">
        <f>'Monthly Data'!AT105</f>
        <v>104</v>
      </c>
      <c r="G105" s="86">
        <f>'Monthly Data'!AX105</f>
        <v>0</v>
      </c>
      <c r="H105" s="86">
        <f>'Monthly Data'!BF105</f>
        <v>0</v>
      </c>
      <c r="J105" s="20">
        <f>'GS &gt; 50 OLS model'!$B$5</f>
        <v>-8197773.48100283</v>
      </c>
      <c r="K105" s="20">
        <f>'GS &gt; 50 OLS model'!$B$6*D105</f>
        <v>9268.1252085568995</v>
      </c>
      <c r="L105" s="20">
        <f>'GS &gt; 50 OLS model'!$B$7*E105</f>
        <v>19966463.612413481</v>
      </c>
      <c r="M105" s="20">
        <f>'GS &gt; 50 OLS model'!$B$8*F105</f>
        <v>-1140613.0537353863</v>
      </c>
      <c r="N105" s="20">
        <f>'GS &gt; 50 OLS model'!$B$9*G105</f>
        <v>0</v>
      </c>
      <c r="O105" s="20">
        <f>'GS &gt; 50 OLS model'!$B$10*H105</f>
        <v>0</v>
      </c>
      <c r="P105" s="20">
        <f t="shared" si="7"/>
        <v>10637345.202883821</v>
      </c>
      <c r="Q105" s="23">
        <f t="shared" ca="1" si="9"/>
        <v>1.6298055057292364E-2</v>
      </c>
    </row>
    <row r="106" spans="1:17" s="80" customFormat="1" ht="14.4" x14ac:dyDescent="0.3">
      <c r="A106" s="22">
        <f>'Monthly Data'!A106</f>
        <v>42248</v>
      </c>
      <c r="B106" s="80">
        <f t="shared" si="8"/>
        <v>2015</v>
      </c>
      <c r="C106" s="20">
        <f ca="1">'Monthly Data'!K106</f>
        <v>10687192.664274648</v>
      </c>
      <c r="D106" s="80">
        <f>'Monthly Data'!AK106</f>
        <v>34.6</v>
      </c>
      <c r="E106" s="86">
        <f>'Monthly Data'!AP106</f>
        <v>6994.9</v>
      </c>
      <c r="F106" s="86">
        <f>'Monthly Data'!AT106</f>
        <v>105</v>
      </c>
      <c r="G106" s="86">
        <f>'Monthly Data'!AX106</f>
        <v>0</v>
      </c>
      <c r="H106" s="86">
        <f>'Monthly Data'!BF106</f>
        <v>0</v>
      </c>
      <c r="J106" s="20">
        <f>'GS &gt; 50 OLS model'!$B$5</f>
        <v>-8197773.48100283</v>
      </c>
      <c r="K106" s="20">
        <f>'GS &gt; 50 OLS model'!$B$6*D106</f>
        <v>22905.509444004911</v>
      </c>
      <c r="L106" s="20">
        <f>'GS &gt; 50 OLS model'!$B$7*E106</f>
        <v>19822503.984340951</v>
      </c>
      <c r="M106" s="20">
        <f>'GS &gt; 50 OLS model'!$B$8*F106</f>
        <v>-1151580.4869443804</v>
      </c>
      <c r="N106" s="20">
        <f>'GS &gt; 50 OLS model'!$B$9*G106</f>
        <v>0</v>
      </c>
      <c r="O106" s="20">
        <f>'GS &gt; 50 OLS model'!$B$10*H106</f>
        <v>0</v>
      </c>
      <c r="P106" s="20">
        <f t="shared" si="7"/>
        <v>10496055.525837746</v>
      </c>
      <c r="Q106" s="23">
        <f t="shared" ca="1" si="9"/>
        <v>1.788469099802413E-2</v>
      </c>
    </row>
    <row r="107" spans="1:17" s="80" customFormat="1" ht="14.4" x14ac:dyDescent="0.3">
      <c r="A107" s="22">
        <f>'Monthly Data'!A107</f>
        <v>42278</v>
      </c>
      <c r="B107" s="80">
        <f t="shared" si="8"/>
        <v>2015</v>
      </c>
      <c r="C107" s="20">
        <f ca="1">'Monthly Data'!K107</f>
        <v>10413110.224274648</v>
      </c>
      <c r="D107" s="80">
        <f>'Monthly Data'!AK107</f>
        <v>254.9</v>
      </c>
      <c r="E107" s="86">
        <f>'Monthly Data'!AP107</f>
        <v>6969</v>
      </c>
      <c r="F107" s="86">
        <f>'Monthly Data'!AT107</f>
        <v>106</v>
      </c>
      <c r="G107" s="86">
        <f>'Monthly Data'!AX107</f>
        <v>0</v>
      </c>
      <c r="H107" s="86">
        <f>'Monthly Data'!BF107</f>
        <v>0</v>
      </c>
      <c r="J107" s="20">
        <f>'GS &gt; 50 OLS model'!$B$5</f>
        <v>-8197773.48100283</v>
      </c>
      <c r="K107" s="20">
        <f>'GS &gt; 50 OLS model'!$B$6*D107</f>
        <v>168746.07969008244</v>
      </c>
      <c r="L107" s="20">
        <f>'GS &gt; 50 OLS model'!$B$7*E107</f>
        <v>19749107.244831532</v>
      </c>
      <c r="M107" s="20">
        <f>'GS &gt; 50 OLS model'!$B$8*F107</f>
        <v>-1162547.9201533746</v>
      </c>
      <c r="N107" s="20">
        <f>'GS &gt; 50 OLS model'!$B$9*G107</f>
        <v>0</v>
      </c>
      <c r="O107" s="20">
        <f>'GS &gt; 50 OLS model'!$B$10*H107</f>
        <v>0</v>
      </c>
      <c r="P107" s="20">
        <f t="shared" si="7"/>
        <v>10557531.92336541</v>
      </c>
      <c r="Q107" s="23">
        <f t="shared" ca="1" si="9"/>
        <v>1.3869218320006992E-2</v>
      </c>
    </row>
    <row r="108" spans="1:17" s="80" customFormat="1" ht="14.4" x14ac:dyDescent="0.3">
      <c r="A108" s="22">
        <f>'Monthly Data'!A108</f>
        <v>42309</v>
      </c>
      <c r="B108" s="80">
        <f t="shared" si="8"/>
        <v>2015</v>
      </c>
      <c r="C108" s="20">
        <f ca="1">'Monthly Data'!K108</f>
        <v>10438235.344274649</v>
      </c>
      <c r="D108" s="80">
        <f>'Monthly Data'!AK108</f>
        <v>349.79999999999995</v>
      </c>
      <c r="E108" s="86">
        <f>'Monthly Data'!AP108</f>
        <v>6936.9</v>
      </c>
      <c r="F108" s="86">
        <f>'Monthly Data'!AT108</f>
        <v>107</v>
      </c>
      <c r="G108" s="86">
        <f>'Monthly Data'!AX108</f>
        <v>0</v>
      </c>
      <c r="H108" s="86">
        <f>'Monthly Data'!BF108</f>
        <v>0</v>
      </c>
      <c r="J108" s="20">
        <f>'GS &gt; 50 OLS model'!$B$5</f>
        <v>-8197773.48100283</v>
      </c>
      <c r="K108" s="20">
        <f>'GS &gt; 50 OLS model'!$B$6*D108</f>
        <v>231570.72842522882</v>
      </c>
      <c r="L108" s="20">
        <f>'GS &gt; 50 OLS model'!$B$7*E108</f>
        <v>19658140.629454996</v>
      </c>
      <c r="M108" s="20">
        <f>'GS &gt; 50 OLS model'!$B$8*F108</f>
        <v>-1173515.3533623687</v>
      </c>
      <c r="N108" s="20">
        <f>'GS &gt; 50 OLS model'!$B$9*G108</f>
        <v>0</v>
      </c>
      <c r="O108" s="20">
        <f>'GS &gt; 50 OLS model'!$B$10*H108</f>
        <v>0</v>
      </c>
      <c r="P108" s="20">
        <f t="shared" si="7"/>
        <v>10518422.523515027</v>
      </c>
      <c r="Q108" s="23">
        <f t="shared" ca="1" si="9"/>
        <v>7.6820627812688785E-3</v>
      </c>
    </row>
    <row r="109" spans="1:17" s="80" customFormat="1" ht="14.4" x14ac:dyDescent="0.3">
      <c r="A109" s="22">
        <f>'Monthly Data'!A109</f>
        <v>42339</v>
      </c>
      <c r="B109" s="80">
        <f t="shared" si="8"/>
        <v>2015</v>
      </c>
      <c r="C109" s="20">
        <f ca="1">'Monthly Data'!K109</f>
        <v>9629764.5342746489</v>
      </c>
      <c r="D109" s="80">
        <f>'Monthly Data'!AK109</f>
        <v>447.8</v>
      </c>
      <c r="E109" s="86">
        <f>'Monthly Data'!AP109</f>
        <v>6948.2</v>
      </c>
      <c r="F109" s="86">
        <f>'Monthly Data'!AT109</f>
        <v>108</v>
      </c>
      <c r="G109" s="86">
        <f>'Monthly Data'!AX109</f>
        <v>0</v>
      </c>
      <c r="H109" s="86">
        <f>'Monthly Data'!BF109</f>
        <v>1</v>
      </c>
      <c r="J109" s="20">
        <f>'GS &gt; 50 OLS model'!$B$5</f>
        <v>-8197773.48100283</v>
      </c>
      <c r="K109" s="20">
        <f>'GS &gt; 50 OLS model'!$B$6*D109</f>
        <v>296447.60488512716</v>
      </c>
      <c r="L109" s="20">
        <f>'GS &gt; 50 OLS model'!$B$7*E109</f>
        <v>19690163.145148296</v>
      </c>
      <c r="M109" s="20">
        <f>'GS &gt; 50 OLS model'!$B$8*F109</f>
        <v>-1184482.7865713628</v>
      </c>
      <c r="N109" s="20">
        <f>'GS &gt; 50 OLS model'!$B$9*G109</f>
        <v>0</v>
      </c>
      <c r="O109" s="20">
        <f>'GS &gt; 50 OLS model'!$B$10*H109</f>
        <v>-637648.00517727702</v>
      </c>
      <c r="P109" s="20">
        <f t="shared" si="7"/>
        <v>9966706.4772819541</v>
      </c>
      <c r="Q109" s="23">
        <f t="shared" ca="1" si="9"/>
        <v>3.4989634669471699E-2</v>
      </c>
    </row>
    <row r="110" spans="1:17" s="80" customFormat="1" ht="14.4" x14ac:dyDescent="0.3">
      <c r="A110" s="22">
        <f>'Monthly Data'!A110</f>
        <v>42370</v>
      </c>
      <c r="B110" s="80">
        <f t="shared" si="8"/>
        <v>2016</v>
      </c>
      <c r="C110" s="20">
        <f ca="1">'Monthly Data'!K110</f>
        <v>10696831.053509627</v>
      </c>
      <c r="D110" s="80">
        <f>'Monthly Data'!AK110</f>
        <v>693.9</v>
      </c>
      <c r="E110" s="86">
        <f>'Monthly Data'!AP110</f>
        <v>6919.2</v>
      </c>
      <c r="F110" s="86">
        <f>'Monthly Data'!AT110</f>
        <v>109</v>
      </c>
      <c r="G110" s="86">
        <f>'Monthly Data'!AX110</f>
        <v>0</v>
      </c>
      <c r="H110" s="86">
        <f>'Monthly Data'!BF110</f>
        <v>0</v>
      </c>
      <c r="J110" s="20">
        <f>'GS &gt; 50 OLS model'!$B$5</f>
        <v>-8197773.48100283</v>
      </c>
      <c r="K110" s="20">
        <f>'GS &gt; 50 OLS model'!$B$6*D110</f>
        <v>459368.00587268808</v>
      </c>
      <c r="L110" s="20">
        <f>'GS &gt; 50 OLS model'!$B$7*E110</f>
        <v>19607981.467705317</v>
      </c>
      <c r="M110" s="20">
        <f>'GS &gt; 50 OLS model'!$B$8*F110</f>
        <v>-1195450.2197803569</v>
      </c>
      <c r="N110" s="20">
        <f>'GS &gt; 50 OLS model'!$B$9*G110</f>
        <v>0</v>
      </c>
      <c r="O110" s="20">
        <f>'GS &gt; 50 OLS model'!$B$10*H110</f>
        <v>0</v>
      </c>
      <c r="P110" s="20">
        <f t="shared" si="7"/>
        <v>10674125.772794819</v>
      </c>
      <c r="Q110" s="23">
        <f t="shared" ca="1" si="9"/>
        <v>2.1226174930900153E-3</v>
      </c>
    </row>
    <row r="111" spans="1:17" s="80" customFormat="1" ht="14.4" x14ac:dyDescent="0.3">
      <c r="A111" s="22">
        <f>'Monthly Data'!A111</f>
        <v>42401</v>
      </c>
      <c r="B111" s="80">
        <f t="shared" si="8"/>
        <v>2016</v>
      </c>
      <c r="C111" s="20">
        <f ca="1">'Monthly Data'!K111</f>
        <v>10023135.683509627</v>
      </c>
      <c r="D111" s="80">
        <f>'Monthly Data'!AK111</f>
        <v>599.1</v>
      </c>
      <c r="E111" s="86">
        <f>'Monthly Data'!AP111</f>
        <v>6896.8</v>
      </c>
      <c r="F111" s="86">
        <f>'Monthly Data'!AT111</f>
        <v>110</v>
      </c>
      <c r="G111" s="86">
        <f>'Monthly Data'!AX111</f>
        <v>0</v>
      </c>
      <c r="H111" s="86">
        <f>'Monthly Data'!BF111</f>
        <v>0</v>
      </c>
      <c r="J111" s="20">
        <f>'GS &gt; 50 OLS model'!$B$5</f>
        <v>-8197773.48100283</v>
      </c>
      <c r="K111" s="20">
        <f>'GS &gt; 50 OLS model'!$B$6*D111</f>
        <v>396609.5580318885</v>
      </c>
      <c r="L111" s="20">
        <f>'GS &gt; 50 OLS model'!$B$7*E111</f>
        <v>19544503.206507981</v>
      </c>
      <c r="M111" s="20">
        <f>'GS &gt; 50 OLS model'!$B$8*F111</f>
        <v>-1206417.652989351</v>
      </c>
      <c r="N111" s="20">
        <f>'GS &gt; 50 OLS model'!$B$9*G111</f>
        <v>0</v>
      </c>
      <c r="O111" s="20">
        <f>'GS &gt; 50 OLS model'!$B$10*H111</f>
        <v>0</v>
      </c>
      <c r="P111" s="20">
        <f t="shared" si="7"/>
        <v>10536921.630547689</v>
      </c>
      <c r="Q111" s="23">
        <f t="shared" ca="1" si="9"/>
        <v>5.1260001187388736E-2</v>
      </c>
    </row>
    <row r="112" spans="1:17" s="80" customFormat="1" ht="14.4" x14ac:dyDescent="0.3">
      <c r="A112" s="22">
        <f>'Monthly Data'!A112</f>
        <v>42430</v>
      </c>
      <c r="B112" s="80">
        <f t="shared" si="8"/>
        <v>2016</v>
      </c>
      <c r="C112" s="20">
        <f ca="1">'Monthly Data'!K112</f>
        <v>10105133.353509627</v>
      </c>
      <c r="D112" s="80">
        <f>'Monthly Data'!AK112</f>
        <v>460.90000000000003</v>
      </c>
      <c r="E112" s="86">
        <f>'Monthly Data'!AP112</f>
        <v>6872.4</v>
      </c>
      <c r="F112" s="86">
        <f>'Monthly Data'!AT112</f>
        <v>111</v>
      </c>
      <c r="G112" s="86">
        <f>'Monthly Data'!AX112</f>
        <v>0</v>
      </c>
      <c r="H112" s="86">
        <f>'Monthly Data'!BF112</f>
        <v>0</v>
      </c>
      <c r="J112" s="20">
        <f>'GS &gt; 50 OLS model'!$B$5</f>
        <v>-8197773.48100283</v>
      </c>
      <c r="K112" s="20">
        <f>'GS &gt; 50 OLS model'!$B$6*D112</f>
        <v>305119.92204456253</v>
      </c>
      <c r="L112" s="20">
        <f>'GS &gt; 50 OLS model'!$B$7*E112</f>
        <v>19475357.243418027</v>
      </c>
      <c r="M112" s="20">
        <f>'GS &gt; 50 OLS model'!$B$8*F112</f>
        <v>-1217385.0861983451</v>
      </c>
      <c r="N112" s="20">
        <f>'GS &gt; 50 OLS model'!$B$9*G112</f>
        <v>0</v>
      </c>
      <c r="O112" s="20">
        <f>'GS &gt; 50 OLS model'!$B$10*H112</f>
        <v>0</v>
      </c>
      <c r="P112" s="20">
        <f t="shared" si="7"/>
        <v>10365318.598261414</v>
      </c>
      <c r="Q112" s="23">
        <f t="shared" ca="1" si="9"/>
        <v>2.5747828915233615E-2</v>
      </c>
    </row>
    <row r="113" spans="1:17" s="80" customFormat="1" ht="14.4" x14ac:dyDescent="0.3">
      <c r="A113" s="22">
        <f>'Monthly Data'!A113</f>
        <v>42461</v>
      </c>
      <c r="B113" s="80">
        <f t="shared" si="8"/>
        <v>2016</v>
      </c>
      <c r="C113" s="20">
        <f ca="1">'Monthly Data'!K113</f>
        <v>9693140.2935096249</v>
      </c>
      <c r="D113" s="80">
        <f>'Monthly Data'!AK113</f>
        <v>383.99999999999994</v>
      </c>
      <c r="E113" s="86">
        <f>'Monthly Data'!AP113</f>
        <v>6890.3</v>
      </c>
      <c r="F113" s="86">
        <f>'Monthly Data'!AT113</f>
        <v>112</v>
      </c>
      <c r="G113" s="86">
        <f>'Monthly Data'!AX113</f>
        <v>1</v>
      </c>
      <c r="H113" s="86">
        <f>'Monthly Data'!BF113</f>
        <v>0</v>
      </c>
      <c r="J113" s="20">
        <f>'GS &gt; 50 OLS model'!$B$5</f>
        <v>-8197773.48100283</v>
      </c>
      <c r="K113" s="20">
        <f>'GS &gt; 50 OLS model'!$B$6*D113</f>
        <v>254211.43429184638</v>
      </c>
      <c r="L113" s="20">
        <f>'GS &gt; 50 OLS model'!$B$7*E113</f>
        <v>19526083.175356969</v>
      </c>
      <c r="M113" s="20">
        <f>'GS &gt; 50 OLS model'!$B$8*F113</f>
        <v>-1228352.5194073392</v>
      </c>
      <c r="N113" s="20">
        <f>'GS &gt; 50 OLS model'!$B$9*G113</f>
        <v>-568190.53314882901</v>
      </c>
      <c r="O113" s="20">
        <f>'GS &gt; 50 OLS model'!$B$10*H113</f>
        <v>0</v>
      </c>
      <c r="P113" s="20">
        <f t="shared" si="7"/>
        <v>9785978.076089818</v>
      </c>
      <c r="Q113" s="23">
        <f t="shared" ca="1" si="9"/>
        <v>9.5776786231347392E-3</v>
      </c>
    </row>
    <row r="114" spans="1:17" s="80" customFormat="1" ht="14.4" x14ac:dyDescent="0.3">
      <c r="A114" s="22">
        <f>'Monthly Data'!A114</f>
        <v>42491</v>
      </c>
      <c r="B114" s="80">
        <f t="shared" si="8"/>
        <v>2016</v>
      </c>
      <c r="C114" s="20">
        <f ca="1">'Monthly Data'!K114</f>
        <v>10135588.373509629</v>
      </c>
      <c r="D114" s="80">
        <f>'Monthly Data'!AK114</f>
        <v>143.1</v>
      </c>
      <c r="E114" s="86">
        <f>'Monthly Data'!AP114</f>
        <v>6962.5</v>
      </c>
      <c r="F114" s="86">
        <f>'Monthly Data'!AT114</f>
        <v>113</v>
      </c>
      <c r="G114" s="86">
        <f>'Monthly Data'!AX114</f>
        <v>0</v>
      </c>
      <c r="H114" s="86">
        <f>'Monthly Data'!BF114</f>
        <v>0</v>
      </c>
      <c r="J114" s="20">
        <f>'GS &gt; 50 OLS model'!$B$5</f>
        <v>-8197773.48100283</v>
      </c>
      <c r="K114" s="20">
        <f>'GS &gt; 50 OLS model'!$B$6*D114</f>
        <v>94733.479810320889</v>
      </c>
      <c r="L114" s="20">
        <f>'GS &gt; 50 OLS model'!$B$7*E114</f>
        <v>19730687.213680521</v>
      </c>
      <c r="M114" s="20">
        <f>'GS &gt; 50 OLS model'!$B$8*F114</f>
        <v>-1239319.9526163333</v>
      </c>
      <c r="N114" s="20">
        <f>'GS &gt; 50 OLS model'!$B$9*G114</f>
        <v>0</v>
      </c>
      <c r="O114" s="20">
        <f>'GS &gt; 50 OLS model'!$B$10*H114</f>
        <v>0</v>
      </c>
      <c r="P114" s="20">
        <f t="shared" si="7"/>
        <v>10388327.259871677</v>
      </c>
      <c r="Q114" s="23">
        <f t="shared" ca="1" si="9"/>
        <v>2.4935788337912986E-2</v>
      </c>
    </row>
    <row r="115" spans="1:17" s="80" customFormat="1" ht="14.4" x14ac:dyDescent="0.3">
      <c r="A115" s="22">
        <f>'Monthly Data'!A115</f>
        <v>42522</v>
      </c>
      <c r="B115" s="80">
        <f t="shared" si="8"/>
        <v>2016</v>
      </c>
      <c r="C115" s="20">
        <f ca="1">'Monthly Data'!K115</f>
        <v>10140116.223509628</v>
      </c>
      <c r="D115" s="80">
        <f>'Monthly Data'!AK115</f>
        <v>38</v>
      </c>
      <c r="E115" s="86">
        <f>'Monthly Data'!AP115</f>
        <v>7047.3</v>
      </c>
      <c r="F115" s="86">
        <f>'Monthly Data'!AT115</f>
        <v>114</v>
      </c>
      <c r="G115" s="86">
        <f>'Monthly Data'!AX115</f>
        <v>0</v>
      </c>
      <c r="H115" s="86">
        <f>'Monthly Data'!BF115</f>
        <v>0</v>
      </c>
      <c r="J115" s="20">
        <f>'GS &gt; 50 OLS model'!$B$5</f>
        <v>-8197773.48100283</v>
      </c>
      <c r="K115" s="20">
        <f>'GS &gt; 50 OLS model'!$B$6*D115</f>
        <v>25156.3398517973</v>
      </c>
      <c r="L115" s="20">
        <f>'GS &gt; 50 OLS model'!$B$7*E115</f>
        <v>19970997.773927577</v>
      </c>
      <c r="M115" s="20">
        <f>'GS &gt; 50 OLS model'!$B$8*F115</f>
        <v>-1250287.3858253274</v>
      </c>
      <c r="N115" s="20">
        <f>'GS &gt; 50 OLS model'!$B$9*G115</f>
        <v>0</v>
      </c>
      <c r="O115" s="20">
        <f>'GS &gt; 50 OLS model'!$B$10*H115</f>
        <v>0</v>
      </c>
      <c r="P115" s="20">
        <f t="shared" si="7"/>
        <v>10548093.246951217</v>
      </c>
      <c r="Q115" s="23">
        <f t="shared" ca="1" si="9"/>
        <v>4.0233959300752693E-2</v>
      </c>
    </row>
    <row r="116" spans="1:17" s="80" customFormat="1" ht="14.4" x14ac:dyDescent="0.3">
      <c r="A116" s="22">
        <f>'Monthly Data'!A116</f>
        <v>42552</v>
      </c>
      <c r="B116" s="80">
        <f t="shared" si="8"/>
        <v>2016</v>
      </c>
      <c r="C116" s="20">
        <f ca="1">'Monthly Data'!K116</f>
        <v>12235827.873509627</v>
      </c>
      <c r="D116" s="80">
        <f>'Monthly Data'!AK116</f>
        <v>1.8</v>
      </c>
      <c r="E116" s="86">
        <f>'Monthly Data'!AP116</f>
        <v>7090.8</v>
      </c>
      <c r="F116" s="86">
        <f>'Monthly Data'!AT116</f>
        <v>115</v>
      </c>
      <c r="G116" s="86">
        <f>'Monthly Data'!AX116</f>
        <v>0</v>
      </c>
      <c r="H116" s="86">
        <f>'Monthly Data'!BF116</f>
        <v>0</v>
      </c>
      <c r="J116" s="20">
        <f>'GS &gt; 50 OLS model'!$B$5</f>
        <v>-8197773.48100283</v>
      </c>
      <c r="K116" s="20">
        <f>'GS &gt; 50 OLS model'!$B$6*D116</f>
        <v>1191.6160982430301</v>
      </c>
      <c r="L116" s="20">
        <f>'GS &gt; 50 OLS model'!$B$7*E116</f>
        <v>20094270.290092044</v>
      </c>
      <c r="M116" s="20">
        <f>'GS &gt; 50 OLS model'!$B$8*F116</f>
        <v>-1261254.8190343215</v>
      </c>
      <c r="N116" s="20">
        <f>'GS &gt; 50 OLS model'!$B$9*G116</f>
        <v>0</v>
      </c>
      <c r="O116" s="20">
        <f>'GS &gt; 50 OLS model'!$B$10*H116</f>
        <v>0</v>
      </c>
      <c r="P116" s="20">
        <f t="shared" si="7"/>
        <v>10636433.606153136</v>
      </c>
      <c r="Q116" s="23">
        <f t="shared" ca="1" si="9"/>
        <v>0.13071402146961825</v>
      </c>
    </row>
    <row r="117" spans="1:17" s="80" customFormat="1" ht="14.4" x14ac:dyDescent="0.3">
      <c r="A117" s="22">
        <f>'Monthly Data'!A117</f>
        <v>42583</v>
      </c>
      <c r="B117" s="80">
        <f t="shared" si="8"/>
        <v>2016</v>
      </c>
      <c r="C117" s="20">
        <f ca="1">'Monthly Data'!K117</f>
        <v>11468924.513509626</v>
      </c>
      <c r="D117" s="80">
        <f>'Monthly Data'!AK117</f>
        <v>0.3</v>
      </c>
      <c r="E117" s="86">
        <f>'Monthly Data'!AP117</f>
        <v>7083.3</v>
      </c>
      <c r="F117" s="86">
        <f>'Monthly Data'!AT117</f>
        <v>116</v>
      </c>
      <c r="G117" s="86">
        <f>'Monthly Data'!AX117</f>
        <v>0</v>
      </c>
      <c r="H117" s="86">
        <f>'Monthly Data'!BF117</f>
        <v>0</v>
      </c>
      <c r="J117" s="20">
        <f>'GS &gt; 50 OLS model'!$B$5</f>
        <v>-8197773.48100283</v>
      </c>
      <c r="K117" s="20">
        <f>'GS &gt; 50 OLS model'!$B$6*D117</f>
        <v>198.60268304050501</v>
      </c>
      <c r="L117" s="20">
        <f>'GS &gt; 50 OLS model'!$B$7*E117</f>
        <v>20073016.407994721</v>
      </c>
      <c r="M117" s="20">
        <f>'GS &gt; 50 OLS model'!$B$8*F117</f>
        <v>-1272222.2522433156</v>
      </c>
      <c r="N117" s="20">
        <f>'GS &gt; 50 OLS model'!$B$9*G117</f>
        <v>0</v>
      </c>
      <c r="O117" s="20">
        <f>'GS &gt; 50 OLS model'!$B$10*H117</f>
        <v>0</v>
      </c>
      <c r="P117" s="20">
        <f t="shared" si="7"/>
        <v>10603219.277431617</v>
      </c>
      <c r="Q117" s="23">
        <f t="shared" ca="1" si="9"/>
        <v>7.5482686720822534E-2</v>
      </c>
    </row>
    <row r="118" spans="1:17" s="80" customFormat="1" ht="14.4" x14ac:dyDescent="0.3">
      <c r="A118" s="22">
        <f>'Monthly Data'!A118</f>
        <v>42614</v>
      </c>
      <c r="B118" s="80">
        <f t="shared" si="8"/>
        <v>2016</v>
      </c>
      <c r="C118" s="20">
        <f ca="1">'Monthly Data'!K118</f>
        <v>10612957.783509627</v>
      </c>
      <c r="D118" s="80">
        <f>'Monthly Data'!AK118</f>
        <v>38</v>
      </c>
      <c r="E118" s="86">
        <f>'Monthly Data'!AP118</f>
        <v>7037</v>
      </c>
      <c r="F118" s="86">
        <f>'Monthly Data'!AT118</f>
        <v>117</v>
      </c>
      <c r="G118" s="86">
        <f>'Monthly Data'!AX118</f>
        <v>0</v>
      </c>
      <c r="H118" s="86">
        <f>'Monthly Data'!BF118</f>
        <v>0</v>
      </c>
      <c r="J118" s="20">
        <f>'GS &gt; 50 OLS model'!$B$5</f>
        <v>-8197773.48100283</v>
      </c>
      <c r="K118" s="20">
        <f>'GS &gt; 50 OLS model'!$B$6*D118</f>
        <v>25156.3398517973</v>
      </c>
      <c r="L118" s="20">
        <f>'GS &gt; 50 OLS model'!$B$7*E118</f>
        <v>19941809.109180585</v>
      </c>
      <c r="M118" s="20">
        <f>'GS &gt; 50 OLS model'!$B$8*F118</f>
        <v>-1283189.6854523097</v>
      </c>
      <c r="N118" s="20">
        <f>'GS &gt; 50 OLS model'!$B$9*G118</f>
        <v>0</v>
      </c>
      <c r="O118" s="20">
        <f>'GS &gt; 50 OLS model'!$B$10*H118</f>
        <v>0</v>
      </c>
      <c r="P118" s="20">
        <f t="shared" si="7"/>
        <v>10486002.282577241</v>
      </c>
      <c r="Q118" s="23">
        <f t="shared" ca="1" si="9"/>
        <v>1.1962310933682324E-2</v>
      </c>
    </row>
    <row r="119" spans="1:17" s="80" customFormat="1" ht="14.4" x14ac:dyDescent="0.3">
      <c r="A119" s="22">
        <f>'Monthly Data'!A119</f>
        <v>42644</v>
      </c>
      <c r="B119" s="80">
        <f t="shared" si="8"/>
        <v>2016</v>
      </c>
      <c r="C119" s="20">
        <f ca="1">'Monthly Data'!K119</f>
        <v>10648595.963509627</v>
      </c>
      <c r="D119" s="80">
        <f>'Monthly Data'!AK119</f>
        <v>220.4</v>
      </c>
      <c r="E119" s="86">
        <f>'Monthly Data'!AP119</f>
        <v>7033.4</v>
      </c>
      <c r="F119" s="86">
        <f>'Monthly Data'!AT119</f>
        <v>118</v>
      </c>
      <c r="G119" s="86">
        <f>'Monthly Data'!AX119</f>
        <v>0</v>
      </c>
      <c r="H119" s="86">
        <f>'Monthly Data'!BF119</f>
        <v>0</v>
      </c>
      <c r="J119" s="20">
        <f>'GS &gt; 50 OLS model'!$B$5</f>
        <v>-8197773.48100283</v>
      </c>
      <c r="K119" s="20">
        <f>'GS &gt; 50 OLS model'!$B$6*D119</f>
        <v>145906.77114042436</v>
      </c>
      <c r="L119" s="20">
        <f>'GS &gt; 50 OLS model'!$B$7*E119</f>
        <v>19931607.24577387</v>
      </c>
      <c r="M119" s="20">
        <f>'GS &gt; 50 OLS model'!$B$8*F119</f>
        <v>-1294157.1186613038</v>
      </c>
      <c r="N119" s="20">
        <f>'GS &gt; 50 OLS model'!$B$9*G119</f>
        <v>0</v>
      </c>
      <c r="O119" s="20">
        <f>'GS &gt; 50 OLS model'!$B$10*H119</f>
        <v>0</v>
      </c>
      <c r="P119" s="20">
        <f t="shared" si="7"/>
        <v>10585583.417250162</v>
      </c>
      <c r="Q119" s="23">
        <f t="shared" ca="1" si="9"/>
        <v>5.9174511339705905E-3</v>
      </c>
    </row>
    <row r="120" spans="1:17" s="80" customFormat="1" ht="14.4" x14ac:dyDescent="0.3">
      <c r="A120" s="22">
        <f>'Monthly Data'!A120</f>
        <v>42675</v>
      </c>
      <c r="B120" s="80">
        <f t="shared" si="8"/>
        <v>2016</v>
      </c>
      <c r="C120" s="20">
        <f ca="1">'Monthly Data'!K120</f>
        <v>10445507.863509627</v>
      </c>
      <c r="D120" s="80">
        <f>'Monthly Data'!AK120</f>
        <v>355.9</v>
      </c>
      <c r="E120" s="86">
        <f>'Monthly Data'!AP120</f>
        <v>7026.9</v>
      </c>
      <c r="F120" s="86">
        <f>'Monthly Data'!AT120</f>
        <v>119</v>
      </c>
      <c r="G120" s="86">
        <f>'Monthly Data'!AX120</f>
        <v>0</v>
      </c>
      <c r="H120" s="86">
        <f>'Monthly Data'!BF120</f>
        <v>0</v>
      </c>
      <c r="J120" s="20">
        <f>'GS &gt; 50 OLS model'!$B$5</f>
        <v>-8197773.48100283</v>
      </c>
      <c r="K120" s="20">
        <f>'GS &gt; 50 OLS model'!$B$6*D120</f>
        <v>235608.98298038577</v>
      </c>
      <c r="L120" s="20">
        <f>'GS &gt; 50 OLS model'!$B$7*E120</f>
        <v>19913187.214622859</v>
      </c>
      <c r="M120" s="20">
        <f>'GS &gt; 50 OLS model'!$B$8*F120</f>
        <v>-1305124.5518702979</v>
      </c>
      <c r="N120" s="20">
        <f>'GS &gt; 50 OLS model'!$B$9*G120</f>
        <v>0</v>
      </c>
      <c r="O120" s="20">
        <f>'GS &gt; 50 OLS model'!$B$10*H120</f>
        <v>0</v>
      </c>
      <c r="P120" s="20">
        <f t="shared" si="7"/>
        <v>10645898.164730117</v>
      </c>
      <c r="Q120" s="23">
        <f t="shared" ca="1" si="9"/>
        <v>1.9184352148212326E-2</v>
      </c>
    </row>
    <row r="121" spans="1:17" s="80" customFormat="1" ht="14.4" x14ac:dyDescent="0.3">
      <c r="A121" s="22">
        <f>'Monthly Data'!A121</f>
        <v>42705</v>
      </c>
      <c r="B121" s="80">
        <f t="shared" si="8"/>
        <v>2016</v>
      </c>
      <c r="C121" s="20">
        <f ca="1">'Monthly Data'!K121</f>
        <v>10361931.973509628</v>
      </c>
      <c r="D121" s="80">
        <f>'Monthly Data'!AK121</f>
        <v>639.5</v>
      </c>
      <c r="E121" s="86">
        <f>'Monthly Data'!AP121</f>
        <v>7041.6</v>
      </c>
      <c r="F121" s="86">
        <f>'Monthly Data'!AT121</f>
        <v>120</v>
      </c>
      <c r="G121" s="86">
        <f>'Monthly Data'!AX121</f>
        <v>0</v>
      </c>
      <c r="H121" s="86">
        <f>'Monthly Data'!BF121</f>
        <v>1</v>
      </c>
      <c r="J121" s="20">
        <f>'GS &gt; 50 OLS model'!$B$5</f>
        <v>-8197773.48100283</v>
      </c>
      <c r="K121" s="20">
        <f>'GS &gt; 50 OLS model'!$B$6*D121</f>
        <v>423354.71934800985</v>
      </c>
      <c r="L121" s="20">
        <f>'GS &gt; 50 OLS model'!$B$7*E121</f>
        <v>19954844.823533613</v>
      </c>
      <c r="M121" s="20">
        <f>'GS &gt; 50 OLS model'!$B$8*F121</f>
        <v>-1316091.985079292</v>
      </c>
      <c r="N121" s="20">
        <f>'GS &gt; 50 OLS model'!$B$9*G121</f>
        <v>0</v>
      </c>
      <c r="O121" s="20">
        <f>'GS &gt; 50 OLS model'!$B$10*H121</f>
        <v>-637648.00517727702</v>
      </c>
      <c r="P121" s="20">
        <f t="shared" si="7"/>
        <v>10226686.071622225</v>
      </c>
      <c r="Q121" s="23">
        <f t="shared" ca="1" si="9"/>
        <v>1.3052189710679549E-2</v>
      </c>
    </row>
    <row r="122" spans="1:17" x14ac:dyDescent="0.25">
      <c r="Q122" s="24">
        <f ca="1">AVERAGE(Q2:Q121)</f>
        <v>4.8963004926681868E-2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workbookViewId="0">
      <selection activeCell="S3" sqref="S3"/>
    </sheetView>
  </sheetViews>
  <sheetFormatPr defaultColWidth="9.109375" defaultRowHeight="13.2" x14ac:dyDescent="0.25"/>
  <cols>
    <col min="1" max="1" width="10.33203125" style="88" customWidth="1"/>
    <col min="2" max="2" width="5" style="88" customWidth="1"/>
    <col min="3" max="3" width="18.109375" style="88" customWidth="1"/>
    <col min="4" max="4" width="11.6640625" style="88" bestFit="1" customWidth="1"/>
    <col min="5" max="5" width="10.77734375" style="88" bestFit="1" customWidth="1"/>
    <col min="6" max="6" width="10.88671875" style="88" customWidth="1"/>
    <col min="7" max="7" width="3.88671875" style="88" bestFit="1" customWidth="1"/>
    <col min="8" max="8" width="3.44140625" style="88" bestFit="1" customWidth="1"/>
    <col min="9" max="9" width="3.77734375" style="88" bestFit="1" customWidth="1"/>
    <col min="10" max="10" width="13.33203125" style="88" bestFit="1" customWidth="1"/>
    <col min="11" max="11" width="9.109375" style="88"/>
    <col min="12" max="12" width="11.5546875" style="88" bestFit="1" customWidth="1"/>
    <col min="13" max="13" width="12.77734375" style="88" bestFit="1" customWidth="1"/>
    <col min="14" max="14" width="12.44140625" style="88" bestFit="1" customWidth="1"/>
    <col min="15" max="15" width="12.21875" style="88" customWidth="1"/>
    <col min="16" max="16" width="8.5546875" style="88" bestFit="1" customWidth="1"/>
    <col min="17" max="17" width="9.109375" style="88" customWidth="1"/>
    <col min="18" max="18" width="10" style="88" bestFit="1" customWidth="1"/>
    <col min="19" max="19" width="14.44140625" style="88" bestFit="1" customWidth="1"/>
    <col min="20" max="20" width="14" style="88" customWidth="1"/>
    <col min="21" max="21" width="10.5546875" style="88" customWidth="1"/>
    <col min="22" max="22" width="6" style="88" bestFit="1" customWidth="1"/>
    <col min="23" max="16384" width="9.109375" style="88"/>
  </cols>
  <sheetData>
    <row r="1" spans="1:22" ht="14.4" x14ac:dyDescent="0.3">
      <c r="A1" s="88" t="str">
        <f>'Monthly Data'!A1</f>
        <v>Date</v>
      </c>
      <c r="B1" s="88" t="s">
        <v>89</v>
      </c>
      <c r="C1" s="20" t="str">
        <f>'Monthly Data'!K1</f>
        <v>GS_gt_50_no_CDM</v>
      </c>
      <c r="D1" s="88" t="str">
        <f>'Monthly Data'!AL1</f>
        <v>London_CDD</v>
      </c>
      <c r="E1" s="88" t="str">
        <f>'Monthly Data'!AM1</f>
        <v>Month_Days</v>
      </c>
      <c r="F1" s="88" t="str">
        <f>'Monthly Data'!AP1</f>
        <v>Ontario_FTE</v>
      </c>
      <c r="G1" s="88" t="str">
        <f>'Monthly Data'!AS1</f>
        <v>Fall</v>
      </c>
      <c r="H1" s="88" t="str">
        <f>'Monthly Data'!AU1</f>
        <v>Jan</v>
      </c>
      <c r="I1" s="88" t="str">
        <f>'Monthly Data'!AV1</f>
        <v>Feb</v>
      </c>
      <c r="J1" s="88" t="str">
        <f>'Monthly Data'!AD1</f>
        <v>GS_gt_50_Cust</v>
      </c>
      <c r="L1" s="20" t="s">
        <v>74</v>
      </c>
      <c r="M1" s="20" t="str">
        <f t="shared" ref="M1:S1" si="0">D1</f>
        <v>London_CDD</v>
      </c>
      <c r="N1" s="20" t="str">
        <f t="shared" si="0"/>
        <v>Month_Days</v>
      </c>
      <c r="O1" s="20" t="str">
        <f t="shared" si="0"/>
        <v>Ontario_FTE</v>
      </c>
      <c r="P1" s="20" t="str">
        <f t="shared" si="0"/>
        <v>Fall</v>
      </c>
      <c r="Q1" s="20" t="str">
        <f t="shared" si="0"/>
        <v>Jan</v>
      </c>
      <c r="R1" s="20" t="str">
        <f t="shared" si="0"/>
        <v>Feb</v>
      </c>
      <c r="S1" s="20" t="str">
        <f t="shared" si="0"/>
        <v>GS_gt_50_Cust</v>
      </c>
      <c r="T1" s="20" t="s">
        <v>90</v>
      </c>
      <c r="U1" s="21" t="s">
        <v>91</v>
      </c>
    </row>
    <row r="2" spans="1:22" ht="14.4" x14ac:dyDescent="0.3">
      <c r="A2" s="22">
        <f>'Monthly Data'!A26</f>
        <v>39814</v>
      </c>
      <c r="B2" s="88">
        <f t="shared" ref="B2:B65" si="1">YEAR(A2)</f>
        <v>2009</v>
      </c>
      <c r="C2" s="20">
        <f ca="1">'Monthly Data'!K26</f>
        <v>10115013.960461708</v>
      </c>
      <c r="D2" s="88">
        <f>'Monthly Data'!AL2</f>
        <v>0</v>
      </c>
      <c r="E2" s="88">
        <f>'Monthly Data'!AM2</f>
        <v>31</v>
      </c>
      <c r="F2" s="88">
        <f>'Monthly Data'!AP26</f>
        <v>6506.5</v>
      </c>
      <c r="G2" s="88">
        <f>'Monthly Data'!AS26</f>
        <v>0</v>
      </c>
      <c r="H2" s="88">
        <f>'Monthly Data'!AU26</f>
        <v>1</v>
      </c>
      <c r="I2" s="88">
        <f>'Monthly Data'!AV26</f>
        <v>0</v>
      </c>
      <c r="J2" s="88">
        <f>'Monthly Data'!AD26</f>
        <v>188</v>
      </c>
      <c r="L2" s="20">
        <f>'GS &gt; 50 OLS model'!$I$5</f>
        <v>-16961164.693300899</v>
      </c>
      <c r="M2" s="20">
        <f>'GS &gt; 50 OLS model'!$I$6*D2</f>
        <v>0</v>
      </c>
      <c r="N2" s="20">
        <f>'GS &gt; 50 OLS model'!$I$7*E2</f>
        <v>11794393.591939153</v>
      </c>
      <c r="O2" s="20">
        <f>'GS &gt; 50 OLS model'!$I$8*F2</f>
        <v>12093910.834413517</v>
      </c>
      <c r="P2" s="20">
        <f>'GS &gt; 50 OLS model'!$I$9*G2</f>
        <v>0</v>
      </c>
      <c r="Q2" s="20">
        <f>'GS &gt; 50 OLS model'!$I$10*H2</f>
        <v>665807.22887881799</v>
      </c>
      <c r="R2" s="20">
        <f>'GS &gt; 50 OLS model'!$I$11*I2</f>
        <v>0</v>
      </c>
      <c r="S2" s="20">
        <f>'GS &gt; 50 OLS model'!$I$12*J2</f>
        <v>2715698.9421870462</v>
      </c>
      <c r="T2" s="20">
        <f>SUM(L2:S2)</f>
        <v>10308645.904117636</v>
      </c>
      <c r="U2" s="23">
        <f t="shared" ref="U2:U65" ca="1" si="2">ABS(T2-C2)/C2</f>
        <v>1.9143022877952619E-2</v>
      </c>
      <c r="V2" s="24"/>
    </row>
    <row r="3" spans="1:22" ht="14.4" x14ac:dyDescent="0.3">
      <c r="A3" s="22">
        <f>'Monthly Data'!A27</f>
        <v>39845</v>
      </c>
      <c r="B3" s="88">
        <f t="shared" si="1"/>
        <v>2009</v>
      </c>
      <c r="C3" s="20">
        <f ca="1">'Monthly Data'!K27</f>
        <v>9525587.2104617096</v>
      </c>
      <c r="D3" s="88">
        <f>'Monthly Data'!AL3</f>
        <v>0</v>
      </c>
      <c r="E3" s="88">
        <f>'Monthly Data'!AM3</f>
        <v>28</v>
      </c>
      <c r="F3" s="88">
        <f>'Monthly Data'!AP27</f>
        <v>6436.2</v>
      </c>
      <c r="G3" s="88">
        <f>'Monthly Data'!AS27</f>
        <v>0</v>
      </c>
      <c r="H3" s="88">
        <f>'Monthly Data'!AU27</f>
        <v>0</v>
      </c>
      <c r="I3" s="88">
        <f>'Monthly Data'!AV27</f>
        <v>1</v>
      </c>
      <c r="J3" s="88">
        <f>'Monthly Data'!AD27</f>
        <v>189</v>
      </c>
      <c r="L3" s="20">
        <f>'GS &gt; 50 OLS model'!$I$5</f>
        <v>-16961164.693300899</v>
      </c>
      <c r="M3" s="20">
        <f>'GS &gt; 50 OLS model'!$I$6*D3</f>
        <v>0</v>
      </c>
      <c r="N3" s="20">
        <f>'GS &gt; 50 OLS model'!$I$7*E3</f>
        <v>10653000.663686976</v>
      </c>
      <c r="O3" s="20">
        <f>'GS &gt; 50 OLS model'!$I$8*F3</f>
        <v>11963241.20686272</v>
      </c>
      <c r="P3" s="20">
        <f>'GS &gt; 50 OLS model'!$I$9*G3</f>
        <v>0</v>
      </c>
      <c r="Q3" s="20">
        <f>'GS &gt; 50 OLS model'!$I$10*H3</f>
        <v>0</v>
      </c>
      <c r="R3" s="20">
        <f>'GS &gt; 50 OLS model'!$I$11*I3</f>
        <v>1683490.93847816</v>
      </c>
      <c r="S3" s="20">
        <f>'GS &gt; 50 OLS model'!$I$12*J3</f>
        <v>2730144.1493263389</v>
      </c>
      <c r="T3" s="20">
        <f t="shared" ref="T3:T66" si="3">SUM(L3:S3)</f>
        <v>10068712.265053295</v>
      </c>
      <c r="U3" s="23">
        <f t="shared" ca="1" si="2"/>
        <v>5.7017488013241281E-2</v>
      </c>
    </row>
    <row r="4" spans="1:22" ht="14.4" x14ac:dyDescent="0.3">
      <c r="A4" s="22">
        <f>'Monthly Data'!A28</f>
        <v>39873</v>
      </c>
      <c r="B4" s="88">
        <f t="shared" si="1"/>
        <v>2009</v>
      </c>
      <c r="C4" s="20">
        <f ca="1">'Monthly Data'!K28</f>
        <v>10224994.770461708</v>
      </c>
      <c r="D4" s="88">
        <f>'Monthly Data'!AL4</f>
        <v>0</v>
      </c>
      <c r="E4" s="88">
        <f>'Monthly Data'!AM4</f>
        <v>31</v>
      </c>
      <c r="F4" s="88">
        <f>'Monthly Data'!AP28</f>
        <v>6363.8</v>
      </c>
      <c r="G4" s="88">
        <f>'Monthly Data'!AS28</f>
        <v>0</v>
      </c>
      <c r="H4" s="88">
        <f>'Monthly Data'!AU28</f>
        <v>0</v>
      </c>
      <c r="I4" s="88">
        <f>'Monthly Data'!AV28</f>
        <v>0</v>
      </c>
      <c r="J4" s="88">
        <f>'Monthly Data'!AD28</f>
        <v>189</v>
      </c>
      <c r="L4" s="20">
        <f>'GS &gt; 50 OLS model'!$I$5</f>
        <v>-16961164.693300899</v>
      </c>
      <c r="M4" s="20">
        <f>'GS &gt; 50 OLS model'!$I$6*D4</f>
        <v>0</v>
      </c>
      <c r="N4" s="20">
        <f>'GS &gt; 50 OLS model'!$I$7*E4</f>
        <v>11794393.591939153</v>
      </c>
      <c r="O4" s="20">
        <f>'GS &gt; 50 OLS model'!$I$8*F4</f>
        <v>11828668.219171712</v>
      </c>
      <c r="P4" s="20">
        <f>'GS &gt; 50 OLS model'!$I$9*G4</f>
        <v>0</v>
      </c>
      <c r="Q4" s="20">
        <f>'GS &gt; 50 OLS model'!$I$10*H4</f>
        <v>0</v>
      </c>
      <c r="R4" s="20">
        <f>'GS &gt; 50 OLS model'!$I$11*I4</f>
        <v>0</v>
      </c>
      <c r="S4" s="20">
        <f>'GS &gt; 50 OLS model'!$I$12*J4</f>
        <v>2730144.1493263389</v>
      </c>
      <c r="T4" s="20">
        <f t="shared" si="3"/>
        <v>9392041.2671363056</v>
      </c>
      <c r="U4" s="23">
        <f t="shared" ca="1" si="2"/>
        <v>8.1462486976684373E-2</v>
      </c>
    </row>
    <row r="5" spans="1:22" ht="14.4" x14ac:dyDescent="0.3">
      <c r="A5" s="22">
        <f>'Monthly Data'!A29</f>
        <v>39904</v>
      </c>
      <c r="B5" s="88">
        <f t="shared" si="1"/>
        <v>2009</v>
      </c>
      <c r="C5" s="20">
        <f ca="1">'Monthly Data'!K29</f>
        <v>9206992.1804617085</v>
      </c>
      <c r="D5" s="88">
        <f>'Monthly Data'!AL5</f>
        <v>0</v>
      </c>
      <c r="E5" s="88">
        <f>'Monthly Data'!AM5</f>
        <v>30</v>
      </c>
      <c r="F5" s="88">
        <f>'Monthly Data'!AP29</f>
        <v>6359.6</v>
      </c>
      <c r="G5" s="88">
        <f>'Monthly Data'!AS29</f>
        <v>0</v>
      </c>
      <c r="H5" s="88">
        <f>'Monthly Data'!AU29</f>
        <v>0</v>
      </c>
      <c r="I5" s="88">
        <f>'Monthly Data'!AV29</f>
        <v>0</v>
      </c>
      <c r="J5" s="88">
        <f>'Monthly Data'!AD29</f>
        <v>189</v>
      </c>
      <c r="L5" s="20">
        <f>'GS &gt; 50 OLS model'!$I$5</f>
        <v>-16961164.693300899</v>
      </c>
      <c r="M5" s="20">
        <f>'GS &gt; 50 OLS model'!$I$6*D5</f>
        <v>0</v>
      </c>
      <c r="N5" s="20">
        <f>'GS &gt; 50 OLS model'!$I$7*E5</f>
        <v>11413929.28252176</v>
      </c>
      <c r="O5" s="20">
        <f>'GS &gt; 50 OLS model'!$I$8*F5</f>
        <v>11820861.498891296</v>
      </c>
      <c r="P5" s="20">
        <f>'GS &gt; 50 OLS model'!$I$9*G5</f>
        <v>0</v>
      </c>
      <c r="Q5" s="20">
        <f>'GS &gt; 50 OLS model'!$I$10*H5</f>
        <v>0</v>
      </c>
      <c r="R5" s="20">
        <f>'GS &gt; 50 OLS model'!$I$11*I5</f>
        <v>0</v>
      </c>
      <c r="S5" s="20">
        <f>'GS &gt; 50 OLS model'!$I$12*J5</f>
        <v>2730144.1493263389</v>
      </c>
      <c r="T5" s="20">
        <f t="shared" si="3"/>
        <v>9003770.2374384962</v>
      </c>
      <c r="U5" s="23">
        <f t="shared" ca="1" si="2"/>
        <v>2.2072566049797727E-2</v>
      </c>
    </row>
    <row r="6" spans="1:22" ht="14.4" x14ac:dyDescent="0.3">
      <c r="A6" s="22">
        <f>'Monthly Data'!A30</f>
        <v>39934</v>
      </c>
      <c r="B6" s="88">
        <f t="shared" si="1"/>
        <v>2009</v>
      </c>
      <c r="C6" s="20">
        <f ca="1">'Monthly Data'!K30</f>
        <v>8820058.6604617089</v>
      </c>
      <c r="D6" s="88">
        <f>'Monthly Data'!AL6</f>
        <v>22.7</v>
      </c>
      <c r="E6" s="88">
        <f>'Monthly Data'!AM6</f>
        <v>31</v>
      </c>
      <c r="F6" s="88">
        <f>'Monthly Data'!AP30</f>
        <v>6382.1</v>
      </c>
      <c r="G6" s="88">
        <f>'Monthly Data'!AS30</f>
        <v>0</v>
      </c>
      <c r="H6" s="88">
        <f>'Monthly Data'!AU30</f>
        <v>0</v>
      </c>
      <c r="I6" s="88">
        <f>'Monthly Data'!AV30</f>
        <v>0</v>
      </c>
      <c r="J6" s="88">
        <f>'Monthly Data'!AD30</f>
        <v>189</v>
      </c>
      <c r="L6" s="20">
        <f>'GS &gt; 50 OLS model'!$I$5</f>
        <v>-16961164.693300899</v>
      </c>
      <c r="M6" s="20">
        <f>'GS &gt; 50 OLS model'!$I$6*D6</f>
        <v>92392.906248212428</v>
      </c>
      <c r="N6" s="20">
        <f>'GS &gt; 50 OLS model'!$I$7*E6</f>
        <v>11794393.591939153</v>
      </c>
      <c r="O6" s="20">
        <f>'GS &gt; 50 OLS model'!$I$8*F6</f>
        <v>11862683.214679247</v>
      </c>
      <c r="P6" s="20">
        <f>'GS &gt; 50 OLS model'!$I$9*G6</f>
        <v>0</v>
      </c>
      <c r="Q6" s="20">
        <f>'GS &gt; 50 OLS model'!$I$10*H6</f>
        <v>0</v>
      </c>
      <c r="R6" s="20">
        <f>'GS &gt; 50 OLS model'!$I$11*I6</f>
        <v>0</v>
      </c>
      <c r="S6" s="20">
        <f>'GS &gt; 50 OLS model'!$I$12*J6</f>
        <v>2730144.1493263389</v>
      </c>
      <c r="T6" s="20">
        <f t="shared" si="3"/>
        <v>9518449.168892052</v>
      </c>
      <c r="U6" s="23">
        <f t="shared" ca="1" si="2"/>
        <v>7.918207069994522E-2</v>
      </c>
    </row>
    <row r="7" spans="1:22" ht="14.4" x14ac:dyDescent="0.3">
      <c r="A7" s="22">
        <f>'Monthly Data'!A31</f>
        <v>39965</v>
      </c>
      <c r="B7" s="88">
        <f t="shared" si="1"/>
        <v>2009</v>
      </c>
      <c r="C7" s="20">
        <f ca="1">'Monthly Data'!K31</f>
        <v>8320243.3404617086</v>
      </c>
      <c r="D7" s="88">
        <f>'Monthly Data'!AL7</f>
        <v>70.2</v>
      </c>
      <c r="E7" s="88">
        <f>'Monthly Data'!AM7</f>
        <v>30</v>
      </c>
      <c r="F7" s="88">
        <f>'Monthly Data'!AP31</f>
        <v>6429.4</v>
      </c>
      <c r="G7" s="88">
        <f>'Monthly Data'!AS31</f>
        <v>0</v>
      </c>
      <c r="H7" s="88">
        <f>'Monthly Data'!AU31</f>
        <v>0</v>
      </c>
      <c r="I7" s="88">
        <f>'Monthly Data'!AV31</f>
        <v>0</v>
      </c>
      <c r="J7" s="88">
        <f>'Monthly Data'!AD31</f>
        <v>189</v>
      </c>
      <c r="L7" s="20">
        <f>'GS &gt; 50 OLS model'!$I$5</f>
        <v>-16961164.693300899</v>
      </c>
      <c r="M7" s="20">
        <f>'GS &gt; 50 OLS model'!$I$6*D7</f>
        <v>285726.08011561731</v>
      </c>
      <c r="N7" s="20">
        <f>'GS &gt; 50 OLS model'!$I$7*E7</f>
        <v>11413929.28252176</v>
      </c>
      <c r="O7" s="20">
        <f>'GS &gt; 50 OLS model'!$I$8*F7</f>
        <v>11950601.754980138</v>
      </c>
      <c r="P7" s="20">
        <f>'GS &gt; 50 OLS model'!$I$9*G7</f>
        <v>0</v>
      </c>
      <c r="Q7" s="20">
        <f>'GS &gt; 50 OLS model'!$I$10*H7</f>
        <v>0</v>
      </c>
      <c r="R7" s="20">
        <f>'GS &gt; 50 OLS model'!$I$11*I7</f>
        <v>0</v>
      </c>
      <c r="S7" s="20">
        <f>'GS &gt; 50 OLS model'!$I$12*J7</f>
        <v>2730144.1493263389</v>
      </c>
      <c r="T7" s="20">
        <f t="shared" si="3"/>
        <v>9419236.5736429561</v>
      </c>
      <c r="U7" s="23">
        <f t="shared" ca="1" si="2"/>
        <v>0.1320866696093845</v>
      </c>
    </row>
    <row r="8" spans="1:22" ht="14.4" x14ac:dyDescent="0.3">
      <c r="A8" s="22">
        <f>'Monthly Data'!A32</f>
        <v>39995</v>
      </c>
      <c r="B8" s="88">
        <f t="shared" si="1"/>
        <v>2009</v>
      </c>
      <c r="C8" s="20">
        <f ca="1">'Monthly Data'!K32</f>
        <v>9401823.4404617082</v>
      </c>
      <c r="D8" s="88">
        <f>'Monthly Data'!AL8</f>
        <v>71.599999999999994</v>
      </c>
      <c r="E8" s="88">
        <f>'Monthly Data'!AM8</f>
        <v>31</v>
      </c>
      <c r="F8" s="88">
        <f>'Monthly Data'!AP32</f>
        <v>6467</v>
      </c>
      <c r="G8" s="88">
        <f>'Monthly Data'!AS32</f>
        <v>0</v>
      </c>
      <c r="H8" s="88">
        <f>'Monthly Data'!AU32</f>
        <v>0</v>
      </c>
      <c r="I8" s="88">
        <f>'Monthly Data'!AV32</f>
        <v>0</v>
      </c>
      <c r="J8" s="88">
        <f>'Monthly Data'!AD32</f>
        <v>189</v>
      </c>
      <c r="L8" s="20">
        <f>'GS &gt; 50 OLS model'!$I$5</f>
        <v>-16961164.693300899</v>
      </c>
      <c r="M8" s="20">
        <f>'GS &gt; 50 OLS model'!$I$6*D8</f>
        <v>291424.32102960395</v>
      </c>
      <c r="N8" s="20">
        <f>'GS &gt; 50 OLS model'!$I$7*E8</f>
        <v>11794393.591939153</v>
      </c>
      <c r="O8" s="20">
        <f>'GS &gt; 50 OLS model'!$I$8*F8</f>
        <v>12020490.488919115</v>
      </c>
      <c r="P8" s="20">
        <f>'GS &gt; 50 OLS model'!$I$9*G8</f>
        <v>0</v>
      </c>
      <c r="Q8" s="20">
        <f>'GS &gt; 50 OLS model'!$I$10*H8</f>
        <v>0</v>
      </c>
      <c r="R8" s="20">
        <f>'GS &gt; 50 OLS model'!$I$11*I8</f>
        <v>0</v>
      </c>
      <c r="S8" s="20">
        <f>'GS &gt; 50 OLS model'!$I$12*J8</f>
        <v>2730144.1493263389</v>
      </c>
      <c r="T8" s="20">
        <f t="shared" si="3"/>
        <v>9875287.8579133116</v>
      </c>
      <c r="U8" s="23">
        <f t="shared" ca="1" si="2"/>
        <v>5.0358786298198371E-2</v>
      </c>
    </row>
    <row r="9" spans="1:22" ht="14.4" x14ac:dyDescent="0.3">
      <c r="A9" s="22">
        <f>'Monthly Data'!A33</f>
        <v>40026</v>
      </c>
      <c r="B9" s="88">
        <f t="shared" si="1"/>
        <v>2009</v>
      </c>
      <c r="C9" s="20">
        <f ca="1">'Monthly Data'!K33</f>
        <v>8821299.4504617099</v>
      </c>
      <c r="D9" s="88">
        <f>'Monthly Data'!AL9</f>
        <v>89.1</v>
      </c>
      <c r="E9" s="88">
        <f>'Monthly Data'!AM9</f>
        <v>31</v>
      </c>
      <c r="F9" s="88">
        <f>'Monthly Data'!AP33</f>
        <v>6487.6</v>
      </c>
      <c r="G9" s="88">
        <f>'Monthly Data'!AS33</f>
        <v>0</v>
      </c>
      <c r="H9" s="88">
        <f>'Monthly Data'!AU33</f>
        <v>0</v>
      </c>
      <c r="I9" s="88">
        <f>'Monthly Data'!AV33</f>
        <v>0</v>
      </c>
      <c r="J9" s="88">
        <f>'Monthly Data'!AD33</f>
        <v>189</v>
      </c>
      <c r="L9" s="20">
        <f>'GS &gt; 50 OLS model'!$I$5</f>
        <v>-16961164.693300899</v>
      </c>
      <c r="M9" s="20">
        <f>'GS &gt; 50 OLS model'!$I$6*D9</f>
        <v>362652.33245443733</v>
      </c>
      <c r="N9" s="20">
        <f>'GS &gt; 50 OLS model'!$I$7*E9</f>
        <v>11794393.591939153</v>
      </c>
      <c r="O9" s="20">
        <f>'GS &gt; 50 OLS model'!$I$8*F9</f>
        <v>12058780.59315164</v>
      </c>
      <c r="P9" s="20">
        <f>'GS &gt; 50 OLS model'!$I$9*G9</f>
        <v>0</v>
      </c>
      <c r="Q9" s="20">
        <f>'GS &gt; 50 OLS model'!$I$10*H9</f>
        <v>0</v>
      </c>
      <c r="R9" s="20">
        <f>'GS &gt; 50 OLS model'!$I$11*I9</f>
        <v>0</v>
      </c>
      <c r="S9" s="20">
        <f>'GS &gt; 50 OLS model'!$I$12*J9</f>
        <v>2730144.1493263389</v>
      </c>
      <c r="T9" s="20">
        <f t="shared" si="3"/>
        <v>9984805.9735706709</v>
      </c>
      <c r="U9" s="23">
        <f t="shared" ca="1" si="2"/>
        <v>0.13189740691186522</v>
      </c>
    </row>
    <row r="10" spans="1:22" ht="14.4" x14ac:dyDescent="0.3">
      <c r="A10" s="22">
        <f>'Monthly Data'!A34</f>
        <v>40057</v>
      </c>
      <c r="B10" s="88">
        <f t="shared" si="1"/>
        <v>2009</v>
      </c>
      <c r="C10" s="20">
        <f ca="1">'Monthly Data'!K34</f>
        <v>9572756.2204617094</v>
      </c>
      <c r="D10" s="88">
        <f>'Monthly Data'!AL10</f>
        <v>35</v>
      </c>
      <c r="E10" s="88">
        <f>'Monthly Data'!AM10</f>
        <v>30</v>
      </c>
      <c r="F10" s="88">
        <f>'Monthly Data'!AP34</f>
        <v>6470.2</v>
      </c>
      <c r="G10" s="88">
        <f>'Monthly Data'!AS34</f>
        <v>1</v>
      </c>
      <c r="H10" s="88">
        <f>'Monthly Data'!AU34</f>
        <v>0</v>
      </c>
      <c r="I10" s="88">
        <f>'Monthly Data'!AV34</f>
        <v>0</v>
      </c>
      <c r="J10" s="88">
        <f>'Monthly Data'!AD34</f>
        <v>189</v>
      </c>
      <c r="L10" s="20">
        <f>'GS &gt; 50 OLS model'!$I$5</f>
        <v>-16961164.693300899</v>
      </c>
      <c r="M10" s="20">
        <f>'GS &gt; 50 OLS model'!$I$6*D10</f>
        <v>142456.02284966674</v>
      </c>
      <c r="N10" s="20">
        <f>'GS &gt; 50 OLS model'!$I$7*E10</f>
        <v>11413929.28252176</v>
      </c>
      <c r="O10" s="20">
        <f>'GS &gt; 50 OLS model'!$I$8*F10</f>
        <v>12026438.466275623</v>
      </c>
      <c r="P10" s="20">
        <f>'GS &gt; 50 OLS model'!$I$9*G10</f>
        <v>714989.336488234</v>
      </c>
      <c r="Q10" s="20">
        <f>'GS &gt; 50 OLS model'!$I$10*H10</f>
        <v>0</v>
      </c>
      <c r="R10" s="20">
        <f>'GS &gt; 50 OLS model'!$I$11*I10</f>
        <v>0</v>
      </c>
      <c r="S10" s="20">
        <f>'GS &gt; 50 OLS model'!$I$12*J10</f>
        <v>2730144.1493263389</v>
      </c>
      <c r="T10" s="20">
        <f t="shared" si="3"/>
        <v>10066792.564160725</v>
      </c>
      <c r="U10" s="23">
        <f t="shared" ca="1" si="2"/>
        <v>5.1608578796043705E-2</v>
      </c>
    </row>
    <row r="11" spans="1:22" ht="14.4" x14ac:dyDescent="0.3">
      <c r="A11" s="22">
        <f>'Monthly Data'!A35</f>
        <v>40087</v>
      </c>
      <c r="B11" s="88">
        <f t="shared" si="1"/>
        <v>2009</v>
      </c>
      <c r="C11" s="20">
        <f ca="1">'Monthly Data'!K35</f>
        <v>10403519.730461707</v>
      </c>
      <c r="D11" s="88">
        <f>'Monthly Data'!AL11</f>
        <v>21.5</v>
      </c>
      <c r="E11" s="88">
        <f>'Monthly Data'!AM11</f>
        <v>31</v>
      </c>
      <c r="F11" s="88">
        <f>'Monthly Data'!AP35</f>
        <v>6472.1</v>
      </c>
      <c r="G11" s="88">
        <f>'Monthly Data'!AS35</f>
        <v>1</v>
      </c>
      <c r="H11" s="88">
        <f>'Monthly Data'!AU35</f>
        <v>0</v>
      </c>
      <c r="I11" s="88">
        <f>'Monthly Data'!AV35</f>
        <v>0</v>
      </c>
      <c r="J11" s="88">
        <f>'Monthly Data'!AD35</f>
        <v>189</v>
      </c>
      <c r="L11" s="20">
        <f>'GS &gt; 50 OLS model'!$I$5</f>
        <v>-16961164.693300899</v>
      </c>
      <c r="M11" s="20">
        <f>'GS &gt; 50 OLS model'!$I$6*D11</f>
        <v>87508.699750509579</v>
      </c>
      <c r="N11" s="20">
        <f>'GS &gt; 50 OLS model'!$I$7*E11</f>
        <v>11794393.591939153</v>
      </c>
      <c r="O11" s="20">
        <f>'GS &gt; 50 OLS model'!$I$8*F11</f>
        <v>12029970.07783105</v>
      </c>
      <c r="P11" s="20">
        <f>'GS &gt; 50 OLS model'!$I$9*G11</f>
        <v>714989.336488234</v>
      </c>
      <c r="Q11" s="20">
        <f>'GS &gt; 50 OLS model'!$I$10*H11</f>
        <v>0</v>
      </c>
      <c r="R11" s="20">
        <f>'GS &gt; 50 OLS model'!$I$11*I11</f>
        <v>0</v>
      </c>
      <c r="S11" s="20">
        <f>'GS &gt; 50 OLS model'!$I$12*J11</f>
        <v>2730144.1493263389</v>
      </c>
      <c r="T11" s="20">
        <f t="shared" si="3"/>
        <v>10395841.162034387</v>
      </c>
      <c r="U11" s="23">
        <f t="shared" ca="1" si="2"/>
        <v>7.3807409667687486E-4</v>
      </c>
    </row>
    <row r="12" spans="1:22" ht="14.4" x14ac:dyDescent="0.3">
      <c r="A12" s="22">
        <f>'Monthly Data'!A36</f>
        <v>40118</v>
      </c>
      <c r="B12" s="88">
        <f t="shared" si="1"/>
        <v>2009</v>
      </c>
      <c r="C12" s="20">
        <f ca="1">'Monthly Data'!K36</f>
        <v>10420643.950461708</v>
      </c>
      <c r="D12" s="88">
        <f>'Monthly Data'!AL12</f>
        <v>0</v>
      </c>
      <c r="E12" s="88">
        <f>'Monthly Data'!AM12</f>
        <v>30</v>
      </c>
      <c r="F12" s="88">
        <f>'Monthly Data'!AP36</f>
        <v>6465.6</v>
      </c>
      <c r="G12" s="88">
        <f>'Monthly Data'!AS36</f>
        <v>1</v>
      </c>
      <c r="H12" s="88">
        <f>'Monthly Data'!AU36</f>
        <v>0</v>
      </c>
      <c r="I12" s="88">
        <f>'Monthly Data'!AV36</f>
        <v>0</v>
      </c>
      <c r="J12" s="88">
        <f>'Monthly Data'!AD36</f>
        <v>190</v>
      </c>
      <c r="L12" s="20">
        <f>'GS &gt; 50 OLS model'!$I$5</f>
        <v>-16961164.693300899</v>
      </c>
      <c r="M12" s="20">
        <f>'GS &gt; 50 OLS model'!$I$6*D12</f>
        <v>0</v>
      </c>
      <c r="N12" s="20">
        <f>'GS &gt; 50 OLS model'!$I$7*E12</f>
        <v>11413929.28252176</v>
      </c>
      <c r="O12" s="20">
        <f>'GS &gt; 50 OLS model'!$I$8*F12</f>
        <v>12017888.248825643</v>
      </c>
      <c r="P12" s="20">
        <f>'GS &gt; 50 OLS model'!$I$9*G12</f>
        <v>714989.336488234</v>
      </c>
      <c r="Q12" s="20">
        <f>'GS &gt; 50 OLS model'!$I$10*H12</f>
        <v>0</v>
      </c>
      <c r="R12" s="20">
        <f>'GS &gt; 50 OLS model'!$I$11*I12</f>
        <v>0</v>
      </c>
      <c r="S12" s="20">
        <f>'GS &gt; 50 OLS model'!$I$12*J12</f>
        <v>2744589.3564656316</v>
      </c>
      <c r="T12" s="20">
        <f t="shared" si="3"/>
        <v>9930231.5310003702</v>
      </c>
      <c r="U12" s="23">
        <f t="shared" ca="1" si="2"/>
        <v>4.706162323486824E-2</v>
      </c>
    </row>
    <row r="13" spans="1:22" ht="14.4" x14ac:dyDescent="0.3">
      <c r="A13" s="22">
        <f>'Monthly Data'!A37</f>
        <v>40148</v>
      </c>
      <c r="B13" s="88">
        <f t="shared" si="1"/>
        <v>2009</v>
      </c>
      <c r="C13" s="20">
        <f ca="1">'Monthly Data'!K37</f>
        <v>10360120.79046171</v>
      </c>
      <c r="D13" s="88">
        <f>'Monthly Data'!AL13</f>
        <v>0</v>
      </c>
      <c r="E13" s="88">
        <f>'Monthly Data'!AM13</f>
        <v>31</v>
      </c>
      <c r="F13" s="88">
        <f>'Monthly Data'!AP37</f>
        <v>6467.5</v>
      </c>
      <c r="G13" s="88">
        <f>'Monthly Data'!AS37</f>
        <v>0</v>
      </c>
      <c r="H13" s="88">
        <f>'Monthly Data'!AU37</f>
        <v>0</v>
      </c>
      <c r="I13" s="88">
        <f>'Monthly Data'!AV37</f>
        <v>0</v>
      </c>
      <c r="J13" s="88">
        <f>'Monthly Data'!AD37</f>
        <v>190</v>
      </c>
      <c r="L13" s="20">
        <f>'GS &gt; 50 OLS model'!$I$5</f>
        <v>-16961164.693300899</v>
      </c>
      <c r="M13" s="20">
        <f>'GS &gt; 50 OLS model'!$I$6*D13</f>
        <v>0</v>
      </c>
      <c r="N13" s="20">
        <f>'GS &gt; 50 OLS model'!$I$7*E13</f>
        <v>11794393.591939153</v>
      </c>
      <c r="O13" s="20">
        <f>'GS &gt; 50 OLS model'!$I$8*F13</f>
        <v>12021419.860381069</v>
      </c>
      <c r="P13" s="20">
        <f>'GS &gt; 50 OLS model'!$I$9*G13</f>
        <v>0</v>
      </c>
      <c r="Q13" s="20">
        <f>'GS &gt; 50 OLS model'!$I$10*H13</f>
        <v>0</v>
      </c>
      <c r="R13" s="20">
        <f>'GS &gt; 50 OLS model'!$I$11*I13</f>
        <v>0</v>
      </c>
      <c r="S13" s="20">
        <f>'GS &gt; 50 OLS model'!$I$12*J13</f>
        <v>2744589.3564656316</v>
      </c>
      <c r="T13" s="20">
        <f t="shared" si="3"/>
        <v>9599238.1154849548</v>
      </c>
      <c r="U13" s="23">
        <f t="shared" ca="1" si="2"/>
        <v>7.3443417346762949E-2</v>
      </c>
    </row>
    <row r="14" spans="1:22" ht="14.4" x14ac:dyDescent="0.3">
      <c r="A14" s="22">
        <f>'Monthly Data'!A38</f>
        <v>40179</v>
      </c>
      <c r="B14" s="88">
        <f t="shared" si="1"/>
        <v>2010</v>
      </c>
      <c r="C14" s="20">
        <f ca="1">'Monthly Data'!K38</f>
        <v>8989707.867594013</v>
      </c>
      <c r="D14" s="88">
        <f>'Monthly Data'!AL14</f>
        <v>0</v>
      </c>
      <c r="E14" s="88">
        <f>'Monthly Data'!AM14</f>
        <v>31</v>
      </c>
      <c r="F14" s="88">
        <f>'Monthly Data'!AP38</f>
        <v>6434.5</v>
      </c>
      <c r="G14" s="88">
        <f>'Monthly Data'!AS38</f>
        <v>0</v>
      </c>
      <c r="H14" s="88">
        <f>'Monthly Data'!AU38</f>
        <v>1</v>
      </c>
      <c r="I14" s="88">
        <f>'Monthly Data'!AV38</f>
        <v>0</v>
      </c>
      <c r="J14" s="88">
        <f>'Monthly Data'!AD38</f>
        <v>191</v>
      </c>
      <c r="L14" s="20">
        <f>'GS &gt; 50 OLS model'!$I$5</f>
        <v>-16961164.693300899</v>
      </c>
      <c r="M14" s="20">
        <f>'GS &gt; 50 OLS model'!$I$6*D14</f>
        <v>0</v>
      </c>
      <c r="N14" s="20">
        <f>'GS &gt; 50 OLS model'!$I$7*E14</f>
        <v>11794393.591939153</v>
      </c>
      <c r="O14" s="20">
        <f>'GS &gt; 50 OLS model'!$I$8*F14</f>
        <v>11960081.343892073</v>
      </c>
      <c r="P14" s="20">
        <f>'GS &gt; 50 OLS model'!$I$9*G14</f>
        <v>0</v>
      </c>
      <c r="Q14" s="20">
        <f>'GS &gt; 50 OLS model'!$I$10*H14</f>
        <v>665807.22887881799</v>
      </c>
      <c r="R14" s="20">
        <f>'GS &gt; 50 OLS model'!$I$11*I14</f>
        <v>0</v>
      </c>
      <c r="S14" s="20">
        <f>'GS &gt; 50 OLS model'!$I$12*J14</f>
        <v>2759034.5636049248</v>
      </c>
      <c r="T14" s="20">
        <f t="shared" si="3"/>
        <v>10218152.035014071</v>
      </c>
      <c r="U14" s="23">
        <f t="shared" ca="1" si="2"/>
        <v>0.13665006533174875</v>
      </c>
    </row>
    <row r="15" spans="1:22" ht="14.4" x14ac:dyDescent="0.3">
      <c r="A15" s="22">
        <f>'Monthly Data'!A39</f>
        <v>40210</v>
      </c>
      <c r="B15" s="88">
        <f t="shared" si="1"/>
        <v>2010</v>
      </c>
      <c r="C15" s="20">
        <f ca="1">'Monthly Data'!K39</f>
        <v>11238584.337594012</v>
      </c>
      <c r="D15" s="88">
        <f>'Monthly Data'!AL15</f>
        <v>0</v>
      </c>
      <c r="E15" s="88">
        <f>'Monthly Data'!AM15</f>
        <v>29</v>
      </c>
      <c r="F15" s="88">
        <f>'Monthly Data'!AP39</f>
        <v>6404.1</v>
      </c>
      <c r="G15" s="88">
        <f>'Monthly Data'!AS39</f>
        <v>0</v>
      </c>
      <c r="H15" s="88">
        <f>'Monthly Data'!AU39</f>
        <v>0</v>
      </c>
      <c r="I15" s="88">
        <f>'Monthly Data'!AV39</f>
        <v>1</v>
      </c>
      <c r="J15" s="88">
        <f>'Monthly Data'!AD39</f>
        <v>191</v>
      </c>
      <c r="L15" s="20">
        <f>'GS &gt; 50 OLS model'!$I$5</f>
        <v>-16961164.693300899</v>
      </c>
      <c r="M15" s="20">
        <f>'GS &gt; 50 OLS model'!$I$6*D15</f>
        <v>0</v>
      </c>
      <c r="N15" s="20">
        <f>'GS &gt; 50 OLS model'!$I$7*E15</f>
        <v>11033464.973104369</v>
      </c>
      <c r="O15" s="20">
        <f>'GS &gt; 50 OLS model'!$I$8*F15</f>
        <v>11903575.559005244</v>
      </c>
      <c r="P15" s="20">
        <f>'GS &gt; 50 OLS model'!$I$9*G15</f>
        <v>0</v>
      </c>
      <c r="Q15" s="20">
        <f>'GS &gt; 50 OLS model'!$I$10*H15</f>
        <v>0</v>
      </c>
      <c r="R15" s="20">
        <f>'GS &gt; 50 OLS model'!$I$11*I15</f>
        <v>1683490.93847816</v>
      </c>
      <c r="S15" s="20">
        <f>'GS &gt; 50 OLS model'!$I$12*J15</f>
        <v>2759034.5636049248</v>
      </c>
      <c r="T15" s="20">
        <f t="shared" si="3"/>
        <v>10418401.340891797</v>
      </c>
      <c r="U15" s="23">
        <f t="shared" ca="1" si="2"/>
        <v>7.2979209130338007E-2</v>
      </c>
    </row>
    <row r="16" spans="1:22" ht="14.4" x14ac:dyDescent="0.3">
      <c r="A16" s="22">
        <f>'Monthly Data'!A40</f>
        <v>40238</v>
      </c>
      <c r="B16" s="88">
        <f t="shared" si="1"/>
        <v>2010</v>
      </c>
      <c r="C16" s="20">
        <f ca="1">'Monthly Data'!K40</f>
        <v>9647595.367594013</v>
      </c>
      <c r="D16" s="88">
        <f>'Monthly Data'!AL16</f>
        <v>0</v>
      </c>
      <c r="E16" s="88">
        <f>'Monthly Data'!AM16</f>
        <v>31</v>
      </c>
      <c r="F16" s="88">
        <f>'Monthly Data'!AP40</f>
        <v>6377.2</v>
      </c>
      <c r="G16" s="88">
        <f>'Monthly Data'!AS40</f>
        <v>0</v>
      </c>
      <c r="H16" s="88">
        <f>'Monthly Data'!AU40</f>
        <v>0</v>
      </c>
      <c r="I16" s="88">
        <f>'Monthly Data'!AV40</f>
        <v>0</v>
      </c>
      <c r="J16" s="88">
        <f>'Monthly Data'!AD40</f>
        <v>192</v>
      </c>
      <c r="L16" s="20">
        <f>'GS &gt; 50 OLS model'!$I$5</f>
        <v>-16961164.693300899</v>
      </c>
      <c r="M16" s="20">
        <f>'GS &gt; 50 OLS model'!$I$6*D16</f>
        <v>0</v>
      </c>
      <c r="N16" s="20">
        <f>'GS &gt; 50 OLS model'!$I$7*E16</f>
        <v>11794393.591939153</v>
      </c>
      <c r="O16" s="20">
        <f>'GS &gt; 50 OLS model'!$I$8*F16</f>
        <v>11853575.374352092</v>
      </c>
      <c r="P16" s="20">
        <f>'GS &gt; 50 OLS model'!$I$9*G16</f>
        <v>0</v>
      </c>
      <c r="Q16" s="20">
        <f>'GS &gt; 50 OLS model'!$I$10*H16</f>
        <v>0</v>
      </c>
      <c r="R16" s="20">
        <f>'GS &gt; 50 OLS model'!$I$11*I16</f>
        <v>0</v>
      </c>
      <c r="S16" s="20">
        <f>'GS &gt; 50 OLS model'!$I$12*J16</f>
        <v>2773479.7707442176</v>
      </c>
      <c r="T16" s="20">
        <f t="shared" si="3"/>
        <v>9460284.0437345635</v>
      </c>
      <c r="U16" s="23">
        <f t="shared" ca="1" si="2"/>
        <v>1.9415337887057606E-2</v>
      </c>
    </row>
    <row r="17" spans="1:21" ht="14.4" x14ac:dyDescent="0.3">
      <c r="A17" s="22">
        <f>'Monthly Data'!A41</f>
        <v>40269</v>
      </c>
      <c r="B17" s="88">
        <f t="shared" si="1"/>
        <v>2010</v>
      </c>
      <c r="C17" s="20">
        <f ca="1">'Monthly Data'!K41</f>
        <v>8939286.3875940125</v>
      </c>
      <c r="D17" s="88">
        <f>'Monthly Data'!AL17</f>
        <v>0</v>
      </c>
      <c r="E17" s="88">
        <f>'Monthly Data'!AM17</f>
        <v>30</v>
      </c>
      <c r="F17" s="88">
        <f>'Monthly Data'!AP41</f>
        <v>6401.7</v>
      </c>
      <c r="G17" s="88">
        <f>'Monthly Data'!AS41</f>
        <v>0</v>
      </c>
      <c r="H17" s="88">
        <f>'Monthly Data'!AU41</f>
        <v>0</v>
      </c>
      <c r="I17" s="88">
        <f>'Monthly Data'!AV41</f>
        <v>0</v>
      </c>
      <c r="J17" s="88">
        <f>'Monthly Data'!AD41</f>
        <v>185</v>
      </c>
      <c r="L17" s="20">
        <f>'GS &gt; 50 OLS model'!$I$5</f>
        <v>-16961164.693300899</v>
      </c>
      <c r="M17" s="20">
        <f>'GS &gt; 50 OLS model'!$I$6*D17</f>
        <v>0</v>
      </c>
      <c r="N17" s="20">
        <f>'GS &gt; 50 OLS model'!$I$7*E17</f>
        <v>11413929.28252176</v>
      </c>
      <c r="O17" s="20">
        <f>'GS &gt; 50 OLS model'!$I$8*F17</f>
        <v>11899114.575987861</v>
      </c>
      <c r="P17" s="20">
        <f>'GS &gt; 50 OLS model'!$I$9*G17</f>
        <v>0</v>
      </c>
      <c r="Q17" s="20">
        <f>'GS &gt; 50 OLS model'!$I$10*H17</f>
        <v>0</v>
      </c>
      <c r="R17" s="20">
        <f>'GS &gt; 50 OLS model'!$I$11*I17</f>
        <v>0</v>
      </c>
      <c r="S17" s="20">
        <f>'GS &gt; 50 OLS model'!$I$12*J17</f>
        <v>2672363.320769168</v>
      </c>
      <c r="T17" s="20">
        <f t="shared" si="3"/>
        <v>9024242.48597789</v>
      </c>
      <c r="U17" s="23">
        <f t="shared" ca="1" si="2"/>
        <v>9.5036778888502697E-3</v>
      </c>
    </row>
    <row r="18" spans="1:21" ht="14.4" x14ac:dyDescent="0.3">
      <c r="A18" s="22">
        <f>'Monthly Data'!A42</f>
        <v>40299</v>
      </c>
      <c r="B18" s="88">
        <f t="shared" si="1"/>
        <v>2010</v>
      </c>
      <c r="C18" s="20">
        <f ca="1">'Monthly Data'!K42</f>
        <v>10353502.797594011</v>
      </c>
      <c r="D18" s="88">
        <f>'Monthly Data'!AL18</f>
        <v>2.1</v>
      </c>
      <c r="E18" s="88">
        <f>'Monthly Data'!AM18</f>
        <v>31</v>
      </c>
      <c r="F18" s="88">
        <f>'Monthly Data'!AP42</f>
        <v>6468.9</v>
      </c>
      <c r="G18" s="88">
        <f>'Monthly Data'!AS42</f>
        <v>0</v>
      </c>
      <c r="H18" s="88">
        <f>'Monthly Data'!AU42</f>
        <v>0</v>
      </c>
      <c r="I18" s="88">
        <f>'Monthly Data'!AV42</f>
        <v>0</v>
      </c>
      <c r="J18" s="88">
        <f>'Monthly Data'!AD42</f>
        <v>185</v>
      </c>
      <c r="L18" s="20">
        <f>'GS &gt; 50 OLS model'!$I$5</f>
        <v>-16961164.693300899</v>
      </c>
      <c r="M18" s="20">
        <f>'GS &gt; 50 OLS model'!$I$6*D18</f>
        <v>8547.3613709800047</v>
      </c>
      <c r="N18" s="20">
        <f>'GS &gt; 50 OLS model'!$I$7*E18</f>
        <v>11794393.591939153</v>
      </c>
      <c r="O18" s="20">
        <f>'GS &gt; 50 OLS model'!$I$8*F18</f>
        <v>12024022.10047454</v>
      </c>
      <c r="P18" s="20">
        <f>'GS &gt; 50 OLS model'!$I$9*G18</f>
        <v>0</v>
      </c>
      <c r="Q18" s="20">
        <f>'GS &gt; 50 OLS model'!$I$10*H18</f>
        <v>0</v>
      </c>
      <c r="R18" s="20">
        <f>'GS &gt; 50 OLS model'!$I$11*I18</f>
        <v>0</v>
      </c>
      <c r="S18" s="20">
        <f>'GS &gt; 50 OLS model'!$I$12*J18</f>
        <v>2672363.320769168</v>
      </c>
      <c r="T18" s="20">
        <f t="shared" si="3"/>
        <v>9538161.6812529434</v>
      </c>
      <c r="U18" s="23">
        <f t="shared" ca="1" si="2"/>
        <v>7.8750267641839997E-2</v>
      </c>
    </row>
    <row r="19" spans="1:21" ht="14.4" x14ac:dyDescent="0.3">
      <c r="A19" s="22">
        <f>'Monthly Data'!A43</f>
        <v>40330</v>
      </c>
      <c r="B19" s="88">
        <f t="shared" si="1"/>
        <v>2010</v>
      </c>
      <c r="C19" s="20">
        <f ca="1">'Monthly Data'!K43</f>
        <v>9743814.8675940111</v>
      </c>
      <c r="D19" s="88">
        <f>'Monthly Data'!AL19</f>
        <v>66.400000000000006</v>
      </c>
      <c r="E19" s="88">
        <f>'Monthly Data'!AM19</f>
        <v>30</v>
      </c>
      <c r="F19" s="88">
        <f>'Monthly Data'!AP43</f>
        <v>6578.9</v>
      </c>
      <c r="G19" s="88">
        <f>'Monthly Data'!AS43</f>
        <v>0</v>
      </c>
      <c r="H19" s="88">
        <f>'Monthly Data'!AU43</f>
        <v>0</v>
      </c>
      <c r="I19" s="88">
        <f>'Monthly Data'!AV43</f>
        <v>0</v>
      </c>
      <c r="J19" s="88">
        <f>'Monthly Data'!AD43</f>
        <v>185</v>
      </c>
      <c r="L19" s="20">
        <f>'GS &gt; 50 OLS model'!$I$5</f>
        <v>-16961164.693300899</v>
      </c>
      <c r="M19" s="20">
        <f>'GS &gt; 50 OLS model'!$I$6*D19</f>
        <v>270259.42620622495</v>
      </c>
      <c r="N19" s="20">
        <f>'GS &gt; 50 OLS model'!$I$7*E19</f>
        <v>11413929.28252176</v>
      </c>
      <c r="O19" s="20">
        <f>'GS &gt; 50 OLS model'!$I$8*F19</f>
        <v>12228483.822104525</v>
      </c>
      <c r="P19" s="20">
        <f>'GS &gt; 50 OLS model'!$I$9*G19</f>
        <v>0</v>
      </c>
      <c r="Q19" s="20">
        <f>'GS &gt; 50 OLS model'!$I$10*H19</f>
        <v>0</v>
      </c>
      <c r="R19" s="20">
        <f>'GS &gt; 50 OLS model'!$I$11*I19</f>
        <v>0</v>
      </c>
      <c r="S19" s="20">
        <f>'GS &gt; 50 OLS model'!$I$12*J19</f>
        <v>2672363.320769168</v>
      </c>
      <c r="T19" s="20">
        <f t="shared" si="3"/>
        <v>9623871.1583007798</v>
      </c>
      <c r="U19" s="23">
        <f t="shared" ca="1" si="2"/>
        <v>1.230972785537421E-2</v>
      </c>
    </row>
    <row r="20" spans="1:21" ht="14.4" x14ac:dyDescent="0.3">
      <c r="A20" s="22">
        <f>'Monthly Data'!A44</f>
        <v>40360</v>
      </c>
      <c r="B20" s="88">
        <f t="shared" si="1"/>
        <v>2010</v>
      </c>
      <c r="C20" s="20">
        <f ca="1">'Monthly Data'!K44</f>
        <v>9902981.2175940108</v>
      </c>
      <c r="D20" s="88">
        <f>'Monthly Data'!AL20</f>
        <v>97</v>
      </c>
      <c r="E20" s="88">
        <f>'Monthly Data'!AM20</f>
        <v>31</v>
      </c>
      <c r="F20" s="88">
        <f>'Monthly Data'!AP44</f>
        <v>6640.9</v>
      </c>
      <c r="G20" s="88">
        <f>'Monthly Data'!AS44</f>
        <v>0</v>
      </c>
      <c r="H20" s="88">
        <f>'Monthly Data'!AU44</f>
        <v>0</v>
      </c>
      <c r="I20" s="88">
        <f>'Monthly Data'!AV44</f>
        <v>0</v>
      </c>
      <c r="J20" s="88">
        <f>'Monthly Data'!AD44</f>
        <v>185</v>
      </c>
      <c r="L20" s="20">
        <f>'GS &gt; 50 OLS model'!$I$5</f>
        <v>-16961164.693300899</v>
      </c>
      <c r="M20" s="20">
        <f>'GS &gt; 50 OLS model'!$I$6*D20</f>
        <v>394806.69189764786</v>
      </c>
      <c r="N20" s="20">
        <f>'GS &gt; 50 OLS model'!$I$7*E20</f>
        <v>11794393.591939153</v>
      </c>
      <c r="O20" s="20">
        <f>'GS &gt; 50 OLS model'!$I$8*F20</f>
        <v>12343725.883386878</v>
      </c>
      <c r="P20" s="20">
        <f>'GS &gt; 50 OLS model'!$I$9*G20</f>
        <v>0</v>
      </c>
      <c r="Q20" s="20">
        <f>'GS &gt; 50 OLS model'!$I$10*H20</f>
        <v>0</v>
      </c>
      <c r="R20" s="20">
        <f>'GS &gt; 50 OLS model'!$I$11*I20</f>
        <v>0</v>
      </c>
      <c r="S20" s="20">
        <f>'GS &gt; 50 OLS model'!$I$12*J20</f>
        <v>2672363.320769168</v>
      </c>
      <c r="T20" s="20">
        <f t="shared" si="3"/>
        <v>10244124.794691948</v>
      </c>
      <c r="U20" s="23">
        <f t="shared" ca="1" si="2"/>
        <v>3.4448573576192278E-2</v>
      </c>
    </row>
    <row r="21" spans="1:21" ht="14.4" x14ac:dyDescent="0.3">
      <c r="A21" s="22">
        <f>'Monthly Data'!A45</f>
        <v>40391</v>
      </c>
      <c r="B21" s="88">
        <f t="shared" si="1"/>
        <v>2010</v>
      </c>
      <c r="C21" s="20">
        <f ca="1">'Monthly Data'!K45</f>
        <v>9991628.5175940115</v>
      </c>
      <c r="D21" s="88">
        <f>'Monthly Data'!AL21</f>
        <v>53.2</v>
      </c>
      <c r="E21" s="88">
        <f>'Monthly Data'!AM21</f>
        <v>31</v>
      </c>
      <c r="F21" s="88">
        <f>'Monthly Data'!AP45</f>
        <v>6662.6</v>
      </c>
      <c r="G21" s="88">
        <f>'Monthly Data'!AS45</f>
        <v>0</v>
      </c>
      <c r="H21" s="88">
        <f>'Monthly Data'!AU45</f>
        <v>0</v>
      </c>
      <c r="I21" s="88">
        <f>'Monthly Data'!AV45</f>
        <v>0</v>
      </c>
      <c r="J21" s="88">
        <f>'Monthly Data'!AD45</f>
        <v>185</v>
      </c>
      <c r="L21" s="20">
        <f>'GS &gt; 50 OLS model'!$I$5</f>
        <v>-16961164.693300899</v>
      </c>
      <c r="M21" s="20">
        <f>'GS &gt; 50 OLS model'!$I$6*D21</f>
        <v>216533.15473149347</v>
      </c>
      <c r="N21" s="20">
        <f>'GS &gt; 50 OLS model'!$I$7*E21</f>
        <v>11794393.591939153</v>
      </c>
      <c r="O21" s="20">
        <f>'GS &gt; 50 OLS model'!$I$8*F21</f>
        <v>12384060.604835704</v>
      </c>
      <c r="P21" s="20">
        <f>'GS &gt; 50 OLS model'!$I$9*G21</f>
        <v>0</v>
      </c>
      <c r="Q21" s="20">
        <f>'GS &gt; 50 OLS model'!$I$10*H21</f>
        <v>0</v>
      </c>
      <c r="R21" s="20">
        <f>'GS &gt; 50 OLS model'!$I$11*I21</f>
        <v>0</v>
      </c>
      <c r="S21" s="20">
        <f>'GS &gt; 50 OLS model'!$I$12*J21</f>
        <v>2672363.320769168</v>
      </c>
      <c r="T21" s="20">
        <f t="shared" si="3"/>
        <v>10106185.97897462</v>
      </c>
      <c r="U21" s="23">
        <f t="shared" ca="1" si="2"/>
        <v>1.1465344330895307E-2</v>
      </c>
    </row>
    <row r="22" spans="1:21" ht="14.4" x14ac:dyDescent="0.3">
      <c r="A22" s="22">
        <f>'Monthly Data'!A46</f>
        <v>40422</v>
      </c>
      <c r="B22" s="88">
        <f t="shared" si="1"/>
        <v>2010</v>
      </c>
      <c r="C22" s="20">
        <f ca="1">'Monthly Data'!K46</f>
        <v>11067944.187594011</v>
      </c>
      <c r="D22" s="88">
        <f>'Monthly Data'!AL22</f>
        <v>21.4</v>
      </c>
      <c r="E22" s="88">
        <f>'Monthly Data'!AM22</f>
        <v>30</v>
      </c>
      <c r="F22" s="88">
        <f>'Monthly Data'!AP46</f>
        <v>6611.2</v>
      </c>
      <c r="G22" s="88">
        <f>'Monthly Data'!AS46</f>
        <v>1</v>
      </c>
      <c r="H22" s="88">
        <f>'Monthly Data'!AU46</f>
        <v>0</v>
      </c>
      <c r="I22" s="88">
        <f>'Monthly Data'!AV46</f>
        <v>0</v>
      </c>
      <c r="J22" s="88">
        <f>'Monthly Data'!AD46</f>
        <v>185</v>
      </c>
      <c r="L22" s="20">
        <f>'GS &gt; 50 OLS model'!$I$5</f>
        <v>-16961164.693300899</v>
      </c>
      <c r="M22" s="20">
        <f>'GS &gt; 50 OLS model'!$I$6*D22</f>
        <v>87101.682542367664</v>
      </c>
      <c r="N22" s="20">
        <f>'GS &gt; 50 OLS model'!$I$7*E22</f>
        <v>11413929.28252176</v>
      </c>
      <c r="O22" s="20">
        <f>'GS &gt; 50 OLS model'!$I$8*F22</f>
        <v>12288521.218546784</v>
      </c>
      <c r="P22" s="20">
        <f>'GS &gt; 50 OLS model'!$I$9*G22</f>
        <v>714989.336488234</v>
      </c>
      <c r="Q22" s="20">
        <f>'GS &gt; 50 OLS model'!$I$10*H22</f>
        <v>0</v>
      </c>
      <c r="R22" s="20">
        <f>'GS &gt; 50 OLS model'!$I$11*I22</f>
        <v>0</v>
      </c>
      <c r="S22" s="20">
        <f>'GS &gt; 50 OLS model'!$I$12*J22</f>
        <v>2672363.320769168</v>
      </c>
      <c r="T22" s="20">
        <f t="shared" si="3"/>
        <v>10215740.147567416</v>
      </c>
      <c r="U22" s="23">
        <f t="shared" ca="1" si="2"/>
        <v>7.6997500672421712E-2</v>
      </c>
    </row>
    <row r="23" spans="1:21" ht="14.4" x14ac:dyDescent="0.3">
      <c r="A23" s="22">
        <f>'Monthly Data'!A47</f>
        <v>40452</v>
      </c>
      <c r="B23" s="88">
        <f t="shared" si="1"/>
        <v>2010</v>
      </c>
      <c r="C23" s="20">
        <f ca="1">'Monthly Data'!K47</f>
        <v>10525474.527594011</v>
      </c>
      <c r="D23" s="88">
        <f>'Monthly Data'!AL23</f>
        <v>0</v>
      </c>
      <c r="E23" s="88">
        <f>'Monthly Data'!AM23</f>
        <v>31</v>
      </c>
      <c r="F23" s="88">
        <f>'Monthly Data'!AP47</f>
        <v>6587.1</v>
      </c>
      <c r="G23" s="88">
        <f>'Monthly Data'!AS47</f>
        <v>1</v>
      </c>
      <c r="H23" s="88">
        <f>'Monthly Data'!AU47</f>
        <v>0</v>
      </c>
      <c r="I23" s="88">
        <f>'Monthly Data'!AV47</f>
        <v>0</v>
      </c>
      <c r="J23" s="88">
        <f>'Monthly Data'!AD47</f>
        <v>185</v>
      </c>
      <c r="L23" s="20">
        <f>'GS &gt; 50 OLS model'!$I$5</f>
        <v>-16961164.693300899</v>
      </c>
      <c r="M23" s="20">
        <f>'GS &gt; 50 OLS model'!$I$6*D23</f>
        <v>0</v>
      </c>
      <c r="N23" s="20">
        <f>'GS &gt; 50 OLS model'!$I$7*E23</f>
        <v>11794393.591939153</v>
      </c>
      <c r="O23" s="20">
        <f>'GS &gt; 50 OLS model'!$I$8*F23</f>
        <v>12243725.514080578</v>
      </c>
      <c r="P23" s="20">
        <f>'GS &gt; 50 OLS model'!$I$9*G23</f>
        <v>714989.336488234</v>
      </c>
      <c r="Q23" s="20">
        <f>'GS &gt; 50 OLS model'!$I$10*H23</f>
        <v>0</v>
      </c>
      <c r="R23" s="20">
        <f>'GS &gt; 50 OLS model'!$I$11*I23</f>
        <v>0</v>
      </c>
      <c r="S23" s="20">
        <f>'GS &gt; 50 OLS model'!$I$12*J23</f>
        <v>2672363.320769168</v>
      </c>
      <c r="T23" s="20">
        <f t="shared" si="3"/>
        <v>10464307.069976235</v>
      </c>
      <c r="U23" s="23">
        <f t="shared" ca="1" si="2"/>
        <v>5.8113729179066825E-3</v>
      </c>
    </row>
    <row r="24" spans="1:21" ht="14.4" x14ac:dyDescent="0.3">
      <c r="A24" s="22">
        <f>'Monthly Data'!A48</f>
        <v>40483</v>
      </c>
      <c r="B24" s="88">
        <f t="shared" si="1"/>
        <v>2010</v>
      </c>
      <c r="C24" s="20">
        <f ca="1">'Monthly Data'!K48</f>
        <v>10279318.137594011</v>
      </c>
      <c r="D24" s="88">
        <f>'Monthly Data'!AL24</f>
        <v>0</v>
      </c>
      <c r="E24" s="88">
        <f>'Monthly Data'!AM24</f>
        <v>30</v>
      </c>
      <c r="F24" s="88">
        <f>'Monthly Data'!AP48</f>
        <v>6566.6</v>
      </c>
      <c r="G24" s="88">
        <f>'Monthly Data'!AS48</f>
        <v>1</v>
      </c>
      <c r="H24" s="88">
        <f>'Monthly Data'!AU48</f>
        <v>0</v>
      </c>
      <c r="I24" s="88">
        <f>'Monthly Data'!AV48</f>
        <v>0</v>
      </c>
      <c r="J24" s="88">
        <f>'Monthly Data'!AD48</f>
        <v>185</v>
      </c>
      <c r="L24" s="20">
        <f>'GS &gt; 50 OLS model'!$I$5</f>
        <v>-16961164.693300899</v>
      </c>
      <c r="M24" s="20">
        <f>'GS &gt; 50 OLS model'!$I$6*D24</f>
        <v>0</v>
      </c>
      <c r="N24" s="20">
        <f>'GS &gt; 50 OLS model'!$I$7*E24</f>
        <v>11413929.28252176</v>
      </c>
      <c r="O24" s="20">
        <f>'GS &gt; 50 OLS model'!$I$8*F24</f>
        <v>12205621.284140445</v>
      </c>
      <c r="P24" s="20">
        <f>'GS &gt; 50 OLS model'!$I$9*G24</f>
        <v>714989.336488234</v>
      </c>
      <c r="Q24" s="20">
        <f>'GS &gt; 50 OLS model'!$I$10*H24</f>
        <v>0</v>
      </c>
      <c r="R24" s="20">
        <f>'GS &gt; 50 OLS model'!$I$11*I24</f>
        <v>0</v>
      </c>
      <c r="S24" s="20">
        <f>'GS &gt; 50 OLS model'!$I$12*J24</f>
        <v>2672363.320769168</v>
      </c>
      <c r="T24" s="20">
        <f t="shared" si="3"/>
        <v>10045738.530618709</v>
      </c>
      <c r="U24" s="23">
        <f t="shared" ca="1" si="2"/>
        <v>2.272325886296326E-2</v>
      </c>
    </row>
    <row r="25" spans="1:21" ht="14.4" x14ac:dyDescent="0.3">
      <c r="A25" s="22">
        <f>'Monthly Data'!A49</f>
        <v>40513</v>
      </c>
      <c r="B25" s="88">
        <f t="shared" si="1"/>
        <v>2010</v>
      </c>
      <c r="C25" s="20">
        <f ca="1">'Monthly Data'!K49</f>
        <v>9672037.9575940128</v>
      </c>
      <c r="D25" s="88">
        <f>'Monthly Data'!AL25</f>
        <v>0</v>
      </c>
      <c r="E25" s="88">
        <f>'Monthly Data'!AM25</f>
        <v>31</v>
      </c>
      <c r="F25" s="88">
        <f>'Monthly Data'!AP49</f>
        <v>6584.1</v>
      </c>
      <c r="G25" s="88">
        <f>'Monthly Data'!AS49</f>
        <v>0</v>
      </c>
      <c r="H25" s="88">
        <f>'Monthly Data'!AU49</f>
        <v>0</v>
      </c>
      <c r="I25" s="88">
        <f>'Monthly Data'!AV49</f>
        <v>0</v>
      </c>
      <c r="J25" s="88">
        <f>'Monthly Data'!AD49</f>
        <v>185</v>
      </c>
      <c r="L25" s="20">
        <f>'GS &gt; 50 OLS model'!$I$5</f>
        <v>-16961164.693300899</v>
      </c>
      <c r="M25" s="20">
        <f>'GS &gt; 50 OLS model'!$I$6*D25</f>
        <v>0</v>
      </c>
      <c r="N25" s="20">
        <f>'GS &gt; 50 OLS model'!$I$7*E25</f>
        <v>11794393.591939153</v>
      </c>
      <c r="O25" s="20">
        <f>'GS &gt; 50 OLS model'!$I$8*F25</f>
        <v>12238149.285308853</v>
      </c>
      <c r="P25" s="20">
        <f>'GS &gt; 50 OLS model'!$I$9*G25</f>
        <v>0</v>
      </c>
      <c r="Q25" s="20">
        <f>'GS &gt; 50 OLS model'!$I$10*H25</f>
        <v>0</v>
      </c>
      <c r="R25" s="20">
        <f>'GS &gt; 50 OLS model'!$I$11*I25</f>
        <v>0</v>
      </c>
      <c r="S25" s="20">
        <f>'GS &gt; 50 OLS model'!$I$12*J25</f>
        <v>2672363.320769168</v>
      </c>
      <c r="T25" s="20">
        <f t="shared" si="3"/>
        <v>9743741.5047162753</v>
      </c>
      <c r="U25" s="23">
        <f t="shared" ca="1" si="2"/>
        <v>7.4134890119992016E-3</v>
      </c>
    </row>
    <row r="26" spans="1:21" ht="14.4" x14ac:dyDescent="0.3">
      <c r="A26" s="22">
        <f>'Monthly Data'!A50</f>
        <v>40544</v>
      </c>
      <c r="B26" s="88">
        <f t="shared" si="1"/>
        <v>2011</v>
      </c>
      <c r="C26" s="20">
        <f ca="1">'Monthly Data'!K50</f>
        <v>9975294.7010581996</v>
      </c>
      <c r="D26" s="88">
        <f>'Monthly Data'!AL26</f>
        <v>0</v>
      </c>
      <c r="E26" s="88">
        <f>'Monthly Data'!AM26</f>
        <v>31</v>
      </c>
      <c r="F26" s="88">
        <f>'Monthly Data'!AP50</f>
        <v>6571.2</v>
      </c>
      <c r="G26" s="88">
        <f>'Monthly Data'!AS50</f>
        <v>0</v>
      </c>
      <c r="H26" s="88">
        <f>'Monthly Data'!AU50</f>
        <v>1</v>
      </c>
      <c r="I26" s="88">
        <f>'Monthly Data'!AV50</f>
        <v>0</v>
      </c>
      <c r="J26" s="88">
        <f>'Monthly Data'!AD50</f>
        <v>185</v>
      </c>
      <c r="L26" s="20">
        <f>'GS &gt; 50 OLS model'!$I$5</f>
        <v>-16961164.693300899</v>
      </c>
      <c r="M26" s="20">
        <f>'GS &gt; 50 OLS model'!$I$6*D26</f>
        <v>0</v>
      </c>
      <c r="N26" s="20">
        <f>'GS &gt; 50 OLS model'!$I$7*E26</f>
        <v>11794393.591939153</v>
      </c>
      <c r="O26" s="20">
        <f>'GS &gt; 50 OLS model'!$I$8*F26</f>
        <v>12214171.501590425</v>
      </c>
      <c r="P26" s="20">
        <f>'GS &gt; 50 OLS model'!$I$9*G26</f>
        <v>0</v>
      </c>
      <c r="Q26" s="20">
        <f>'GS &gt; 50 OLS model'!$I$10*H26</f>
        <v>665807.22887881799</v>
      </c>
      <c r="R26" s="20">
        <f>'GS &gt; 50 OLS model'!$I$11*I26</f>
        <v>0</v>
      </c>
      <c r="S26" s="20">
        <f>'GS &gt; 50 OLS model'!$I$12*J26</f>
        <v>2672363.320769168</v>
      </c>
      <c r="T26" s="20">
        <f t="shared" si="3"/>
        <v>10385570.949876666</v>
      </c>
      <c r="U26" s="23">
        <f t="shared" ca="1" si="2"/>
        <v>4.1129235888634298E-2</v>
      </c>
    </row>
    <row r="27" spans="1:21" ht="14.4" x14ac:dyDescent="0.3">
      <c r="A27" s="22">
        <f>'Monthly Data'!A51</f>
        <v>40575</v>
      </c>
      <c r="B27" s="88">
        <f t="shared" si="1"/>
        <v>2011</v>
      </c>
      <c r="C27" s="20">
        <f ca="1">'Monthly Data'!K51</f>
        <v>10000911.551058199</v>
      </c>
      <c r="D27" s="88">
        <f>'Monthly Data'!AL27</f>
        <v>0</v>
      </c>
      <c r="E27" s="88">
        <f>'Monthly Data'!AM27</f>
        <v>28</v>
      </c>
      <c r="F27" s="88">
        <f>'Monthly Data'!AP51</f>
        <v>6548.1</v>
      </c>
      <c r="G27" s="88">
        <f>'Monthly Data'!AS51</f>
        <v>0</v>
      </c>
      <c r="H27" s="88">
        <f>'Monthly Data'!AU51</f>
        <v>0</v>
      </c>
      <c r="I27" s="88">
        <f>'Monthly Data'!AV51</f>
        <v>1</v>
      </c>
      <c r="J27" s="88">
        <f>'Monthly Data'!AD51</f>
        <v>186</v>
      </c>
      <c r="L27" s="20">
        <f>'GS &gt; 50 OLS model'!$I$5</f>
        <v>-16961164.693300899</v>
      </c>
      <c r="M27" s="20">
        <f>'GS &gt; 50 OLS model'!$I$6*D27</f>
        <v>0</v>
      </c>
      <c r="N27" s="20">
        <f>'GS &gt; 50 OLS model'!$I$7*E27</f>
        <v>10653000.663686976</v>
      </c>
      <c r="O27" s="20">
        <f>'GS &gt; 50 OLS model'!$I$8*F27</f>
        <v>12171234.54004813</v>
      </c>
      <c r="P27" s="20">
        <f>'GS &gt; 50 OLS model'!$I$9*G27</f>
        <v>0</v>
      </c>
      <c r="Q27" s="20">
        <f>'GS &gt; 50 OLS model'!$I$10*H27</f>
        <v>0</v>
      </c>
      <c r="R27" s="20">
        <f>'GS &gt; 50 OLS model'!$I$11*I27</f>
        <v>1683490.93847816</v>
      </c>
      <c r="S27" s="20">
        <f>'GS &gt; 50 OLS model'!$I$12*J27</f>
        <v>2686808.5279084607</v>
      </c>
      <c r="T27" s="20">
        <f t="shared" si="3"/>
        <v>10233369.976820827</v>
      </c>
      <c r="U27" s="23">
        <f t="shared" ca="1" si="2"/>
        <v>2.3243723792160803E-2</v>
      </c>
    </row>
    <row r="28" spans="1:21" ht="14.4" x14ac:dyDescent="0.3">
      <c r="A28" s="22">
        <f>'Monthly Data'!A52</f>
        <v>40603</v>
      </c>
      <c r="B28" s="88">
        <f t="shared" si="1"/>
        <v>2011</v>
      </c>
      <c r="C28" s="20">
        <f ca="1">'Monthly Data'!K52</f>
        <v>9231000.3410581984</v>
      </c>
      <c r="D28" s="88">
        <f>'Monthly Data'!AL28</f>
        <v>0</v>
      </c>
      <c r="E28" s="88">
        <f>'Monthly Data'!AM28</f>
        <v>31</v>
      </c>
      <c r="F28" s="88">
        <f>'Monthly Data'!AP52</f>
        <v>6523.7</v>
      </c>
      <c r="G28" s="88">
        <f>'Monthly Data'!AS52</f>
        <v>0</v>
      </c>
      <c r="H28" s="88">
        <f>'Monthly Data'!AU52</f>
        <v>0</v>
      </c>
      <c r="I28" s="88">
        <f>'Monthly Data'!AV52</f>
        <v>0</v>
      </c>
      <c r="J28" s="88">
        <f>'Monthly Data'!AD52</f>
        <v>186</v>
      </c>
      <c r="L28" s="20">
        <f>'GS &gt; 50 OLS model'!$I$5</f>
        <v>-16961164.693300899</v>
      </c>
      <c r="M28" s="20">
        <f>'GS &gt; 50 OLS model'!$I$6*D28</f>
        <v>0</v>
      </c>
      <c r="N28" s="20">
        <f>'GS &gt; 50 OLS model'!$I$7*E28</f>
        <v>11794393.591939153</v>
      </c>
      <c r="O28" s="20">
        <f>'GS &gt; 50 OLS model'!$I$8*F28</f>
        <v>12125881.212704752</v>
      </c>
      <c r="P28" s="20">
        <f>'GS &gt; 50 OLS model'!$I$9*G28</f>
        <v>0</v>
      </c>
      <c r="Q28" s="20">
        <f>'GS &gt; 50 OLS model'!$I$10*H28</f>
        <v>0</v>
      </c>
      <c r="R28" s="20">
        <f>'GS &gt; 50 OLS model'!$I$11*I28</f>
        <v>0</v>
      </c>
      <c r="S28" s="20">
        <f>'GS &gt; 50 OLS model'!$I$12*J28</f>
        <v>2686808.5279084607</v>
      </c>
      <c r="T28" s="20">
        <f t="shared" si="3"/>
        <v>9645918.6392514668</v>
      </c>
      <c r="U28" s="23">
        <f t="shared" ca="1" si="2"/>
        <v>4.4948356934596777E-2</v>
      </c>
    </row>
    <row r="29" spans="1:21" ht="14.4" x14ac:dyDescent="0.3">
      <c r="A29" s="22">
        <f>'Monthly Data'!A53</f>
        <v>40634</v>
      </c>
      <c r="B29" s="88">
        <f t="shared" si="1"/>
        <v>2011</v>
      </c>
      <c r="C29" s="20">
        <f ca="1">'Monthly Data'!K53</f>
        <v>9900647.2710581999</v>
      </c>
      <c r="D29" s="88">
        <f>'Monthly Data'!AL29</f>
        <v>3.2</v>
      </c>
      <c r="E29" s="88">
        <f>'Monthly Data'!AM29</f>
        <v>30</v>
      </c>
      <c r="F29" s="88">
        <f>'Monthly Data'!AP53</f>
        <v>6550</v>
      </c>
      <c r="G29" s="88">
        <f>'Monthly Data'!AS53</f>
        <v>0</v>
      </c>
      <c r="H29" s="88">
        <f>'Monthly Data'!AU53</f>
        <v>0</v>
      </c>
      <c r="I29" s="88">
        <f>'Monthly Data'!AV53</f>
        <v>0</v>
      </c>
      <c r="J29" s="88">
        <f>'Monthly Data'!AD53</f>
        <v>186</v>
      </c>
      <c r="L29" s="20">
        <f>'GS &gt; 50 OLS model'!$I$5</f>
        <v>-16961164.693300899</v>
      </c>
      <c r="M29" s="20">
        <f>'GS &gt; 50 OLS model'!$I$6*D29</f>
        <v>13024.550660540961</v>
      </c>
      <c r="N29" s="20">
        <f>'GS &gt; 50 OLS model'!$I$7*E29</f>
        <v>11413929.28252176</v>
      </c>
      <c r="O29" s="20">
        <f>'GS &gt; 50 OLS model'!$I$8*F29</f>
        <v>12174766.151603557</v>
      </c>
      <c r="P29" s="20">
        <f>'GS &gt; 50 OLS model'!$I$9*G29</f>
        <v>0</v>
      </c>
      <c r="Q29" s="20">
        <f>'GS &gt; 50 OLS model'!$I$10*H29</f>
        <v>0</v>
      </c>
      <c r="R29" s="20">
        <f>'GS &gt; 50 OLS model'!$I$11*I29</f>
        <v>0</v>
      </c>
      <c r="S29" s="20">
        <f>'GS &gt; 50 OLS model'!$I$12*J29</f>
        <v>2686808.5279084607</v>
      </c>
      <c r="T29" s="20">
        <f t="shared" si="3"/>
        <v>9327363.8193934187</v>
      </c>
      <c r="U29" s="23">
        <f t="shared" ca="1" si="2"/>
        <v>5.7903633567536195E-2</v>
      </c>
    </row>
    <row r="30" spans="1:21" ht="14.4" x14ac:dyDescent="0.3">
      <c r="A30" s="22">
        <f>'Monthly Data'!A54</f>
        <v>40664</v>
      </c>
      <c r="B30" s="88">
        <f t="shared" si="1"/>
        <v>2011</v>
      </c>
      <c r="C30" s="20">
        <f ca="1">'Monthly Data'!K54</f>
        <v>9019052.1010582</v>
      </c>
      <c r="D30" s="88">
        <f>'Monthly Data'!AL30</f>
        <v>3.1</v>
      </c>
      <c r="E30" s="88">
        <f>'Monthly Data'!AM30</f>
        <v>31</v>
      </c>
      <c r="F30" s="88">
        <f>'Monthly Data'!AP54</f>
        <v>6612</v>
      </c>
      <c r="G30" s="88">
        <f>'Monthly Data'!AS54</f>
        <v>0</v>
      </c>
      <c r="H30" s="88">
        <f>'Monthly Data'!AU54</f>
        <v>0</v>
      </c>
      <c r="I30" s="88">
        <f>'Monthly Data'!AV54</f>
        <v>0</v>
      </c>
      <c r="J30" s="88">
        <f>'Monthly Data'!AD54</f>
        <v>186</v>
      </c>
      <c r="L30" s="20">
        <f>'GS &gt; 50 OLS model'!$I$5</f>
        <v>-16961164.693300899</v>
      </c>
      <c r="M30" s="20">
        <f>'GS &gt; 50 OLS model'!$I$6*D30</f>
        <v>12617.533452399055</v>
      </c>
      <c r="N30" s="20">
        <f>'GS &gt; 50 OLS model'!$I$7*E30</f>
        <v>11794393.591939153</v>
      </c>
      <c r="O30" s="20">
        <f>'GS &gt; 50 OLS model'!$I$8*F30</f>
        <v>12290008.212885911</v>
      </c>
      <c r="P30" s="20">
        <f>'GS &gt; 50 OLS model'!$I$9*G30</f>
        <v>0</v>
      </c>
      <c r="Q30" s="20">
        <f>'GS &gt; 50 OLS model'!$I$10*H30</f>
        <v>0</v>
      </c>
      <c r="R30" s="20">
        <f>'GS &gt; 50 OLS model'!$I$11*I30</f>
        <v>0</v>
      </c>
      <c r="S30" s="20">
        <f>'GS &gt; 50 OLS model'!$I$12*J30</f>
        <v>2686808.5279084607</v>
      </c>
      <c r="T30" s="20">
        <f t="shared" si="3"/>
        <v>9822663.1728850249</v>
      </c>
      <c r="U30" s="23">
        <f t="shared" ca="1" si="2"/>
        <v>8.9101500115797941E-2</v>
      </c>
    </row>
    <row r="31" spans="1:21" ht="14.4" x14ac:dyDescent="0.3">
      <c r="A31" s="22">
        <f>'Monthly Data'!A55</f>
        <v>40695</v>
      </c>
      <c r="B31" s="88">
        <f t="shared" si="1"/>
        <v>2011</v>
      </c>
      <c r="C31" s="20">
        <f ca="1">'Monthly Data'!K55</f>
        <v>10610506.081058199</v>
      </c>
      <c r="D31" s="88">
        <f>'Monthly Data'!AL31</f>
        <v>35.5</v>
      </c>
      <c r="E31" s="88">
        <f>'Monthly Data'!AM31</f>
        <v>30</v>
      </c>
      <c r="F31" s="88">
        <f>'Monthly Data'!AP55</f>
        <v>6706.8</v>
      </c>
      <c r="G31" s="88">
        <f>'Monthly Data'!AS55</f>
        <v>0</v>
      </c>
      <c r="H31" s="88">
        <f>'Monthly Data'!AU55</f>
        <v>0</v>
      </c>
      <c r="I31" s="88">
        <f>'Monthly Data'!AV55</f>
        <v>0</v>
      </c>
      <c r="J31" s="88">
        <f>'Monthly Data'!AD55</f>
        <v>187</v>
      </c>
      <c r="L31" s="20">
        <f>'GS &gt; 50 OLS model'!$I$5</f>
        <v>-16961164.693300899</v>
      </c>
      <c r="M31" s="20">
        <f>'GS &gt; 50 OLS model'!$I$6*D31</f>
        <v>144491.10889037626</v>
      </c>
      <c r="N31" s="20">
        <f>'GS &gt; 50 OLS model'!$I$7*E31</f>
        <v>11413929.28252176</v>
      </c>
      <c r="O31" s="20">
        <f>'GS &gt; 50 OLS model'!$I$8*F31</f>
        <v>12466217.042072479</v>
      </c>
      <c r="P31" s="20">
        <f>'GS &gt; 50 OLS model'!$I$9*G31</f>
        <v>0</v>
      </c>
      <c r="Q31" s="20">
        <f>'GS &gt; 50 OLS model'!$I$10*H31</f>
        <v>0</v>
      </c>
      <c r="R31" s="20">
        <f>'GS &gt; 50 OLS model'!$I$11*I31</f>
        <v>0</v>
      </c>
      <c r="S31" s="20">
        <f>'GS &gt; 50 OLS model'!$I$12*J31</f>
        <v>2701253.7350477534</v>
      </c>
      <c r="T31" s="20">
        <f t="shared" si="3"/>
        <v>9764726.4752314705</v>
      </c>
      <c r="U31" s="23">
        <f t="shared" ca="1" si="2"/>
        <v>7.9711523594205178E-2</v>
      </c>
    </row>
    <row r="32" spans="1:21" ht="14.4" x14ac:dyDescent="0.3">
      <c r="A32" s="22">
        <f>'Monthly Data'!A56</f>
        <v>40725</v>
      </c>
      <c r="B32" s="88">
        <f t="shared" si="1"/>
        <v>2011</v>
      </c>
      <c r="C32" s="20">
        <f ca="1">'Monthly Data'!K56</f>
        <v>11621643.961058199</v>
      </c>
      <c r="D32" s="88">
        <f>'Monthly Data'!AL32</f>
        <v>29.4</v>
      </c>
      <c r="E32" s="88">
        <f>'Monthly Data'!AM32</f>
        <v>31</v>
      </c>
      <c r="F32" s="88">
        <f>'Monthly Data'!AP56</f>
        <v>6755.3</v>
      </c>
      <c r="G32" s="88">
        <f>'Monthly Data'!AS56</f>
        <v>0</v>
      </c>
      <c r="H32" s="88">
        <f>'Monthly Data'!AU56</f>
        <v>0</v>
      </c>
      <c r="I32" s="88">
        <f>'Monthly Data'!AV56</f>
        <v>0</v>
      </c>
      <c r="J32" s="88">
        <f>'Monthly Data'!AD56</f>
        <v>187</v>
      </c>
      <c r="L32" s="20">
        <f>'GS &gt; 50 OLS model'!$I$5</f>
        <v>-16961164.693300899</v>
      </c>
      <c r="M32" s="20">
        <f>'GS &gt; 50 OLS model'!$I$6*D32</f>
        <v>119663.05919372007</v>
      </c>
      <c r="N32" s="20">
        <f>'GS &gt; 50 OLS model'!$I$7*E32</f>
        <v>11794393.591939153</v>
      </c>
      <c r="O32" s="20">
        <f>'GS &gt; 50 OLS model'!$I$8*F32</f>
        <v>12556366.073882062</v>
      </c>
      <c r="P32" s="20">
        <f>'GS &gt; 50 OLS model'!$I$9*G32</f>
        <v>0</v>
      </c>
      <c r="Q32" s="20">
        <f>'GS &gt; 50 OLS model'!$I$10*H32</f>
        <v>0</v>
      </c>
      <c r="R32" s="20">
        <f>'GS &gt; 50 OLS model'!$I$11*I32</f>
        <v>0</v>
      </c>
      <c r="S32" s="20">
        <f>'GS &gt; 50 OLS model'!$I$12*J32</f>
        <v>2701253.7350477534</v>
      </c>
      <c r="T32" s="20">
        <f t="shared" si="3"/>
        <v>10210511.766761789</v>
      </c>
      <c r="U32" s="23">
        <f t="shared" ca="1" si="2"/>
        <v>0.12142276936247845</v>
      </c>
    </row>
    <row r="33" spans="1:21" ht="14.4" x14ac:dyDescent="0.3">
      <c r="A33" s="22">
        <f>'Monthly Data'!A57</f>
        <v>40756</v>
      </c>
      <c r="B33" s="88">
        <f t="shared" si="1"/>
        <v>2011</v>
      </c>
      <c r="C33" s="20">
        <f ca="1">'Monthly Data'!K57</f>
        <v>10725072.331058199</v>
      </c>
      <c r="D33" s="88">
        <f>'Monthly Data'!AL33</f>
        <v>71.900000000000006</v>
      </c>
      <c r="E33" s="88">
        <f>'Monthly Data'!AM33</f>
        <v>31</v>
      </c>
      <c r="F33" s="88">
        <f>'Monthly Data'!AP57</f>
        <v>6778</v>
      </c>
      <c r="G33" s="88">
        <f>'Monthly Data'!AS57</f>
        <v>0</v>
      </c>
      <c r="H33" s="88">
        <f>'Monthly Data'!AU57</f>
        <v>0</v>
      </c>
      <c r="I33" s="88">
        <f>'Monthly Data'!AV57</f>
        <v>0</v>
      </c>
      <c r="J33" s="88">
        <f>'Monthly Data'!AD57</f>
        <v>188</v>
      </c>
      <c r="L33" s="20">
        <f>'GS &gt; 50 OLS model'!$I$5</f>
        <v>-16961164.693300899</v>
      </c>
      <c r="M33" s="20">
        <f>'GS &gt; 50 OLS model'!$I$6*D33</f>
        <v>292645.37265402969</v>
      </c>
      <c r="N33" s="20">
        <f>'GS &gt; 50 OLS model'!$I$7*E33</f>
        <v>11794393.591939153</v>
      </c>
      <c r="O33" s="20">
        <f>'GS &gt; 50 OLS model'!$I$8*F33</f>
        <v>12598559.538254796</v>
      </c>
      <c r="P33" s="20">
        <f>'GS &gt; 50 OLS model'!$I$9*G33</f>
        <v>0</v>
      </c>
      <c r="Q33" s="20">
        <f>'GS &gt; 50 OLS model'!$I$10*H33</f>
        <v>0</v>
      </c>
      <c r="R33" s="20">
        <f>'GS &gt; 50 OLS model'!$I$11*I33</f>
        <v>0</v>
      </c>
      <c r="S33" s="20">
        <f>'GS &gt; 50 OLS model'!$I$12*J33</f>
        <v>2715698.9421870462</v>
      </c>
      <c r="T33" s="20">
        <f t="shared" si="3"/>
        <v>10440132.751734126</v>
      </c>
      <c r="U33" s="23">
        <f t="shared" ca="1" si="2"/>
        <v>2.6567613767874552E-2</v>
      </c>
    </row>
    <row r="34" spans="1:21" ht="14.4" x14ac:dyDescent="0.3">
      <c r="A34" s="22">
        <f>'Monthly Data'!A58</f>
        <v>40787</v>
      </c>
      <c r="B34" s="88">
        <f t="shared" si="1"/>
        <v>2011</v>
      </c>
      <c r="C34" s="20">
        <f ca="1">'Monthly Data'!K58</f>
        <v>10027779.461058199</v>
      </c>
      <c r="D34" s="88">
        <f>'Monthly Data'!AL34</f>
        <v>15.9</v>
      </c>
      <c r="E34" s="88">
        <f>'Monthly Data'!AM34</f>
        <v>30</v>
      </c>
      <c r="F34" s="88">
        <f>'Monthly Data'!AP58</f>
        <v>6734.6</v>
      </c>
      <c r="G34" s="88">
        <f>'Monthly Data'!AS58</f>
        <v>1</v>
      </c>
      <c r="H34" s="88">
        <f>'Monthly Data'!AU58</f>
        <v>0</v>
      </c>
      <c r="I34" s="88">
        <f>'Monthly Data'!AV58</f>
        <v>0</v>
      </c>
      <c r="J34" s="88">
        <f>'Monthly Data'!AD58</f>
        <v>190</v>
      </c>
      <c r="L34" s="20">
        <f>'GS &gt; 50 OLS model'!$I$5</f>
        <v>-16961164.693300899</v>
      </c>
      <c r="M34" s="20">
        <f>'GS &gt; 50 OLS model'!$I$6*D34</f>
        <v>64715.736094562897</v>
      </c>
      <c r="N34" s="20">
        <f>'GS &gt; 50 OLS model'!$I$7*E34</f>
        <v>11413929.28252176</v>
      </c>
      <c r="O34" s="20">
        <f>'GS &gt; 50 OLS model'!$I$8*F34</f>
        <v>12517890.095357148</v>
      </c>
      <c r="P34" s="20">
        <f>'GS &gt; 50 OLS model'!$I$9*G34</f>
        <v>714989.336488234</v>
      </c>
      <c r="Q34" s="20">
        <f>'GS &gt; 50 OLS model'!$I$10*H34</f>
        <v>0</v>
      </c>
      <c r="R34" s="20">
        <f>'GS &gt; 50 OLS model'!$I$11*I34</f>
        <v>0</v>
      </c>
      <c r="S34" s="20">
        <f>'GS &gt; 50 OLS model'!$I$12*J34</f>
        <v>2744589.3564656316</v>
      </c>
      <c r="T34" s="20">
        <f t="shared" si="3"/>
        <v>10494949.113626439</v>
      </c>
      <c r="U34" s="23">
        <f t="shared" ca="1" si="2"/>
        <v>4.6587547560498585E-2</v>
      </c>
    </row>
    <row r="35" spans="1:21" ht="14.4" x14ac:dyDescent="0.3">
      <c r="A35" s="22">
        <f>'Monthly Data'!A59</f>
        <v>40817</v>
      </c>
      <c r="B35" s="88">
        <f t="shared" si="1"/>
        <v>2011</v>
      </c>
      <c r="C35" s="20">
        <f ca="1">'Monthly Data'!K59</f>
        <v>10719072.821058199</v>
      </c>
      <c r="D35" s="88">
        <f>'Monthly Data'!AL35</f>
        <v>0</v>
      </c>
      <c r="E35" s="88">
        <f>'Monthly Data'!AM35</f>
        <v>31</v>
      </c>
      <c r="F35" s="88">
        <f>'Monthly Data'!AP59</f>
        <v>6702.2</v>
      </c>
      <c r="G35" s="88">
        <f>'Monthly Data'!AS59</f>
        <v>1</v>
      </c>
      <c r="H35" s="88">
        <f>'Monthly Data'!AU59</f>
        <v>0</v>
      </c>
      <c r="I35" s="88">
        <f>'Monthly Data'!AV59</f>
        <v>0</v>
      </c>
      <c r="J35" s="88">
        <f>'Monthly Data'!AD59</f>
        <v>191</v>
      </c>
      <c r="L35" s="20">
        <f>'GS &gt; 50 OLS model'!$I$5</f>
        <v>-16961164.693300899</v>
      </c>
      <c r="M35" s="20">
        <f>'GS &gt; 50 OLS model'!$I$6*D35</f>
        <v>0</v>
      </c>
      <c r="N35" s="20">
        <f>'GS &gt; 50 OLS model'!$I$7*E35</f>
        <v>11794393.591939153</v>
      </c>
      <c r="O35" s="20">
        <f>'GS &gt; 50 OLS model'!$I$8*F35</f>
        <v>12457666.824622497</v>
      </c>
      <c r="P35" s="20">
        <f>'GS &gt; 50 OLS model'!$I$9*G35</f>
        <v>714989.336488234</v>
      </c>
      <c r="Q35" s="20">
        <f>'GS &gt; 50 OLS model'!$I$10*H35</f>
        <v>0</v>
      </c>
      <c r="R35" s="20">
        <f>'GS &gt; 50 OLS model'!$I$11*I35</f>
        <v>0</v>
      </c>
      <c r="S35" s="20">
        <f>'GS &gt; 50 OLS model'!$I$12*J35</f>
        <v>2759034.5636049248</v>
      </c>
      <c r="T35" s="20">
        <f t="shared" si="3"/>
        <v>10764919.62335391</v>
      </c>
      <c r="U35" s="23">
        <f t="shared" ca="1" si="2"/>
        <v>4.2771238763899769E-3</v>
      </c>
    </row>
    <row r="36" spans="1:21" ht="14.4" x14ac:dyDescent="0.3">
      <c r="A36" s="22">
        <f>'Monthly Data'!A60</f>
        <v>40848</v>
      </c>
      <c r="B36" s="88">
        <f t="shared" si="1"/>
        <v>2011</v>
      </c>
      <c r="C36" s="20">
        <f ca="1">'Monthly Data'!K60</f>
        <v>11540369.441058198</v>
      </c>
      <c r="D36" s="88">
        <f>'Monthly Data'!AL36</f>
        <v>0</v>
      </c>
      <c r="E36" s="88">
        <f>'Monthly Data'!AM36</f>
        <v>30</v>
      </c>
      <c r="F36" s="88">
        <f>'Monthly Data'!AP60</f>
        <v>6669.4</v>
      </c>
      <c r="G36" s="88">
        <f>'Monthly Data'!AS60</f>
        <v>1</v>
      </c>
      <c r="H36" s="88">
        <f>'Monthly Data'!AU60</f>
        <v>0</v>
      </c>
      <c r="I36" s="88">
        <f>'Monthly Data'!AV60</f>
        <v>0</v>
      </c>
      <c r="J36" s="88">
        <f>'Monthly Data'!AD60</f>
        <v>191</v>
      </c>
      <c r="L36" s="20">
        <f>'GS &gt; 50 OLS model'!$I$5</f>
        <v>-16961164.693300899</v>
      </c>
      <c r="M36" s="20">
        <f>'GS &gt; 50 OLS model'!$I$6*D36</f>
        <v>0</v>
      </c>
      <c r="N36" s="20">
        <f>'GS &gt; 50 OLS model'!$I$7*E36</f>
        <v>11413929.28252176</v>
      </c>
      <c r="O36" s="20">
        <f>'GS &gt; 50 OLS model'!$I$8*F36</f>
        <v>12396700.056718282</v>
      </c>
      <c r="P36" s="20">
        <f>'GS &gt; 50 OLS model'!$I$9*G36</f>
        <v>714989.336488234</v>
      </c>
      <c r="Q36" s="20">
        <f>'GS &gt; 50 OLS model'!$I$10*H36</f>
        <v>0</v>
      </c>
      <c r="R36" s="20">
        <f>'GS &gt; 50 OLS model'!$I$11*I36</f>
        <v>0</v>
      </c>
      <c r="S36" s="20">
        <f>'GS &gt; 50 OLS model'!$I$12*J36</f>
        <v>2759034.5636049248</v>
      </c>
      <c r="T36" s="20">
        <f t="shared" si="3"/>
        <v>10323488.546032302</v>
      </c>
      <c r="U36" s="23">
        <f t="shared" ca="1" si="2"/>
        <v>0.10544557531204249</v>
      </c>
    </row>
    <row r="37" spans="1:21" ht="14.4" x14ac:dyDescent="0.3">
      <c r="A37" s="22">
        <f>'Monthly Data'!A61</f>
        <v>40878</v>
      </c>
      <c r="B37" s="88">
        <f t="shared" si="1"/>
        <v>2011</v>
      </c>
      <c r="C37" s="20">
        <f ca="1">'Monthly Data'!K61</f>
        <v>10135295.0310582</v>
      </c>
      <c r="D37" s="88">
        <f>'Monthly Data'!AL37</f>
        <v>0</v>
      </c>
      <c r="E37" s="88">
        <f>'Monthly Data'!AM37</f>
        <v>31</v>
      </c>
      <c r="F37" s="88">
        <f>'Monthly Data'!AP61</f>
        <v>6668.3</v>
      </c>
      <c r="G37" s="88">
        <f>'Monthly Data'!AS61</f>
        <v>0</v>
      </c>
      <c r="H37" s="88">
        <f>'Monthly Data'!AU61</f>
        <v>0</v>
      </c>
      <c r="I37" s="88">
        <f>'Monthly Data'!AV61</f>
        <v>0</v>
      </c>
      <c r="J37" s="88">
        <f>'Monthly Data'!AD61</f>
        <v>192</v>
      </c>
      <c r="L37" s="20">
        <f>'GS &gt; 50 OLS model'!$I$5</f>
        <v>-16961164.693300899</v>
      </c>
      <c r="M37" s="20">
        <f>'GS &gt; 50 OLS model'!$I$6*D37</f>
        <v>0</v>
      </c>
      <c r="N37" s="20">
        <f>'GS &gt; 50 OLS model'!$I$7*E37</f>
        <v>11794393.591939153</v>
      </c>
      <c r="O37" s="20">
        <f>'GS &gt; 50 OLS model'!$I$8*F37</f>
        <v>12394655.439501984</v>
      </c>
      <c r="P37" s="20">
        <f>'GS &gt; 50 OLS model'!$I$9*G37</f>
        <v>0</v>
      </c>
      <c r="Q37" s="20">
        <f>'GS &gt; 50 OLS model'!$I$10*H37</f>
        <v>0</v>
      </c>
      <c r="R37" s="20">
        <f>'GS &gt; 50 OLS model'!$I$11*I37</f>
        <v>0</v>
      </c>
      <c r="S37" s="20">
        <f>'GS &gt; 50 OLS model'!$I$12*J37</f>
        <v>2773479.7707442176</v>
      </c>
      <c r="T37" s="20">
        <f t="shared" si="3"/>
        <v>10001364.108884456</v>
      </c>
      <c r="U37" s="23">
        <f t="shared" ca="1" si="2"/>
        <v>1.3214309180278563E-2</v>
      </c>
    </row>
    <row r="38" spans="1:21" ht="14.4" x14ac:dyDescent="0.3">
      <c r="A38" s="22">
        <f>'Monthly Data'!A62</f>
        <v>40909</v>
      </c>
      <c r="B38" s="88">
        <f t="shared" si="1"/>
        <v>2012</v>
      </c>
      <c r="C38" s="20">
        <f ca="1">'Monthly Data'!K62</f>
        <v>12177502.67755398</v>
      </c>
      <c r="D38" s="88">
        <f>'Monthly Data'!AL38</f>
        <v>0</v>
      </c>
      <c r="E38" s="88">
        <f>'Monthly Data'!AM38</f>
        <v>31</v>
      </c>
      <c r="F38" s="88">
        <f>'Monthly Data'!AP62</f>
        <v>6635.9</v>
      </c>
      <c r="G38" s="88">
        <f>'Monthly Data'!AS62</f>
        <v>0</v>
      </c>
      <c r="H38" s="88">
        <f>'Monthly Data'!AU62</f>
        <v>1</v>
      </c>
      <c r="I38" s="88">
        <f>'Monthly Data'!AV62</f>
        <v>0</v>
      </c>
      <c r="J38" s="88">
        <f>'Monthly Data'!AD62</f>
        <v>192</v>
      </c>
      <c r="L38" s="20">
        <f>'GS &gt; 50 OLS model'!$I$5</f>
        <v>-16961164.693300899</v>
      </c>
      <c r="M38" s="20">
        <f>'GS &gt; 50 OLS model'!$I$6*D38</f>
        <v>0</v>
      </c>
      <c r="N38" s="20">
        <f>'GS &gt; 50 OLS model'!$I$7*E38</f>
        <v>11794393.591939153</v>
      </c>
      <c r="O38" s="20">
        <f>'GS &gt; 50 OLS model'!$I$8*F38</f>
        <v>12334432.168767333</v>
      </c>
      <c r="P38" s="20">
        <f>'GS &gt; 50 OLS model'!$I$9*G38</f>
        <v>0</v>
      </c>
      <c r="Q38" s="20">
        <f>'GS &gt; 50 OLS model'!$I$10*H38</f>
        <v>665807.22887881799</v>
      </c>
      <c r="R38" s="20">
        <f>'GS &gt; 50 OLS model'!$I$11*I38</f>
        <v>0</v>
      </c>
      <c r="S38" s="20">
        <f>'GS &gt; 50 OLS model'!$I$12*J38</f>
        <v>2773479.7707442176</v>
      </c>
      <c r="T38" s="20">
        <f t="shared" si="3"/>
        <v>10606948.067028623</v>
      </c>
      <c r="U38" s="23">
        <f t="shared" ca="1" si="2"/>
        <v>0.12897181401735683</v>
      </c>
    </row>
    <row r="39" spans="1:21" ht="14.4" x14ac:dyDescent="0.3">
      <c r="A39" s="22">
        <f>'Monthly Data'!A63</f>
        <v>40940</v>
      </c>
      <c r="B39" s="88">
        <f t="shared" si="1"/>
        <v>2012</v>
      </c>
      <c r="C39" s="20">
        <f ca="1">'Monthly Data'!K63</f>
        <v>11673376.66755398</v>
      </c>
      <c r="D39" s="88">
        <f>'Monthly Data'!AL39</f>
        <v>0</v>
      </c>
      <c r="E39" s="88">
        <f>'Monthly Data'!AM39</f>
        <v>28</v>
      </c>
      <c r="F39" s="88">
        <f>'Monthly Data'!AP63</f>
        <v>6598</v>
      </c>
      <c r="G39" s="88">
        <f>'Monthly Data'!AS63</f>
        <v>0</v>
      </c>
      <c r="H39" s="88">
        <f>'Monthly Data'!AU63</f>
        <v>0</v>
      </c>
      <c r="I39" s="88">
        <f>'Monthly Data'!AV63</f>
        <v>1</v>
      </c>
      <c r="J39" s="88">
        <f>'Monthly Data'!AD63</f>
        <v>192</v>
      </c>
      <c r="L39" s="20">
        <f>'GS &gt; 50 OLS model'!$I$5</f>
        <v>-16961164.693300899</v>
      </c>
      <c r="M39" s="20">
        <f>'GS &gt; 50 OLS model'!$I$6*D39</f>
        <v>0</v>
      </c>
      <c r="N39" s="20">
        <f>'GS &gt; 50 OLS model'!$I$7*E39</f>
        <v>10653000.663686976</v>
      </c>
      <c r="O39" s="20">
        <f>'GS &gt; 50 OLS model'!$I$8*F39</f>
        <v>12263985.811951187</v>
      </c>
      <c r="P39" s="20">
        <f>'GS &gt; 50 OLS model'!$I$9*G39</f>
        <v>0</v>
      </c>
      <c r="Q39" s="20">
        <f>'GS &gt; 50 OLS model'!$I$10*H39</f>
        <v>0</v>
      </c>
      <c r="R39" s="20">
        <f>'GS &gt; 50 OLS model'!$I$11*I39</f>
        <v>1683490.93847816</v>
      </c>
      <c r="S39" s="20">
        <f>'GS &gt; 50 OLS model'!$I$12*J39</f>
        <v>2773479.7707442176</v>
      </c>
      <c r="T39" s="20">
        <f t="shared" si="3"/>
        <v>10412792.49155964</v>
      </c>
      <c r="U39" s="23">
        <f t="shared" ca="1" si="2"/>
        <v>0.1079879637138858</v>
      </c>
    </row>
    <row r="40" spans="1:21" ht="14.4" x14ac:dyDescent="0.3">
      <c r="A40" s="22">
        <f>'Monthly Data'!A64</f>
        <v>40969</v>
      </c>
      <c r="B40" s="88">
        <f t="shared" si="1"/>
        <v>2012</v>
      </c>
      <c r="C40" s="20">
        <f ca="1">'Monthly Data'!K64</f>
        <v>9840618.4475539774</v>
      </c>
      <c r="D40" s="88">
        <f>'Monthly Data'!AL40</f>
        <v>0</v>
      </c>
      <c r="E40" s="88">
        <f>'Monthly Data'!AM40</f>
        <v>31</v>
      </c>
      <c r="F40" s="88">
        <f>'Monthly Data'!AP64</f>
        <v>6569.8</v>
      </c>
      <c r="G40" s="88">
        <f>'Monthly Data'!AS64</f>
        <v>0</v>
      </c>
      <c r="H40" s="88">
        <f>'Monthly Data'!AU64</f>
        <v>0</v>
      </c>
      <c r="I40" s="88">
        <f>'Monthly Data'!AV64</f>
        <v>0</v>
      </c>
      <c r="J40" s="88">
        <f>'Monthly Data'!AD64</f>
        <v>192</v>
      </c>
      <c r="L40" s="20">
        <f>'GS &gt; 50 OLS model'!$I$5</f>
        <v>-16961164.693300899</v>
      </c>
      <c r="M40" s="20">
        <f>'GS &gt; 50 OLS model'!$I$6*D40</f>
        <v>0</v>
      </c>
      <c r="N40" s="20">
        <f>'GS &gt; 50 OLS model'!$I$7*E40</f>
        <v>11794393.591939153</v>
      </c>
      <c r="O40" s="20">
        <f>'GS &gt; 50 OLS model'!$I$8*F40</f>
        <v>12211569.261496954</v>
      </c>
      <c r="P40" s="20">
        <f>'GS &gt; 50 OLS model'!$I$9*G40</f>
        <v>0</v>
      </c>
      <c r="Q40" s="20">
        <f>'GS &gt; 50 OLS model'!$I$10*H40</f>
        <v>0</v>
      </c>
      <c r="R40" s="20">
        <f>'GS &gt; 50 OLS model'!$I$11*I40</f>
        <v>0</v>
      </c>
      <c r="S40" s="20">
        <f>'GS &gt; 50 OLS model'!$I$12*J40</f>
        <v>2773479.7707442176</v>
      </c>
      <c r="T40" s="20">
        <f t="shared" si="3"/>
        <v>9818277.9308794253</v>
      </c>
      <c r="U40" s="23">
        <f t="shared" ca="1" si="2"/>
        <v>2.2702350257371435E-3</v>
      </c>
    </row>
    <row r="41" spans="1:21" ht="14.4" x14ac:dyDescent="0.3">
      <c r="A41" s="22">
        <f>'Monthly Data'!A65</f>
        <v>41000</v>
      </c>
      <c r="B41" s="88">
        <f t="shared" si="1"/>
        <v>2012</v>
      </c>
      <c r="C41" s="20">
        <f ca="1">'Monthly Data'!K65</f>
        <v>8933015.8775539789</v>
      </c>
      <c r="D41" s="88">
        <f>'Monthly Data'!AL41</f>
        <v>0</v>
      </c>
      <c r="E41" s="88">
        <f>'Monthly Data'!AM41</f>
        <v>30</v>
      </c>
      <c r="F41" s="88">
        <f>'Monthly Data'!AP65</f>
        <v>6603.3</v>
      </c>
      <c r="G41" s="88">
        <f>'Monthly Data'!AS65</f>
        <v>0</v>
      </c>
      <c r="H41" s="88">
        <f>'Monthly Data'!AU65</f>
        <v>0</v>
      </c>
      <c r="I41" s="88">
        <f>'Monthly Data'!AV65</f>
        <v>0</v>
      </c>
      <c r="J41" s="88">
        <f>'Monthly Data'!AD65</f>
        <v>192</v>
      </c>
      <c r="L41" s="20">
        <f>'GS &gt; 50 OLS model'!$I$5</f>
        <v>-16961164.693300899</v>
      </c>
      <c r="M41" s="20">
        <f>'GS &gt; 50 OLS model'!$I$6*D41</f>
        <v>0</v>
      </c>
      <c r="N41" s="20">
        <f>'GS &gt; 50 OLS model'!$I$7*E41</f>
        <v>11413929.28252176</v>
      </c>
      <c r="O41" s="20">
        <f>'GS &gt; 50 OLS model'!$I$8*F41</f>
        <v>12273837.149447903</v>
      </c>
      <c r="P41" s="20">
        <f>'GS &gt; 50 OLS model'!$I$9*G41</f>
        <v>0</v>
      </c>
      <c r="Q41" s="20">
        <f>'GS &gt; 50 OLS model'!$I$10*H41</f>
        <v>0</v>
      </c>
      <c r="R41" s="20">
        <f>'GS &gt; 50 OLS model'!$I$11*I41</f>
        <v>0</v>
      </c>
      <c r="S41" s="20">
        <f>'GS &gt; 50 OLS model'!$I$12*J41</f>
        <v>2773479.7707442176</v>
      </c>
      <c r="T41" s="20">
        <f t="shared" si="3"/>
        <v>9500081.5094129816</v>
      </c>
      <c r="U41" s="23">
        <f t="shared" ca="1" si="2"/>
        <v>6.3479751926095923E-2</v>
      </c>
    </row>
    <row r="42" spans="1:21" ht="14.4" x14ac:dyDescent="0.3">
      <c r="A42" s="22">
        <f>'Monthly Data'!A66</f>
        <v>41030</v>
      </c>
      <c r="B42" s="88">
        <f t="shared" si="1"/>
        <v>2012</v>
      </c>
      <c r="C42" s="20">
        <f ca="1">'Monthly Data'!K66</f>
        <v>9343931.8775539789</v>
      </c>
      <c r="D42" s="88">
        <f>'Monthly Data'!AL42</f>
        <v>34.9</v>
      </c>
      <c r="E42" s="88">
        <f>'Monthly Data'!AM42</f>
        <v>31</v>
      </c>
      <c r="F42" s="88">
        <f>'Monthly Data'!AP66</f>
        <v>6658.1</v>
      </c>
      <c r="G42" s="88">
        <f>'Monthly Data'!AS66</f>
        <v>0</v>
      </c>
      <c r="H42" s="88">
        <f>'Monthly Data'!AU66</f>
        <v>0</v>
      </c>
      <c r="I42" s="88">
        <f>'Monthly Data'!AV66</f>
        <v>0</v>
      </c>
      <c r="J42" s="88">
        <f>'Monthly Data'!AD66</f>
        <v>192</v>
      </c>
      <c r="L42" s="20">
        <f>'GS &gt; 50 OLS model'!$I$5</f>
        <v>-16961164.693300899</v>
      </c>
      <c r="M42" s="20">
        <f>'GS &gt; 50 OLS model'!$I$6*D42</f>
        <v>142049.00564152483</v>
      </c>
      <c r="N42" s="20">
        <f>'GS &gt; 50 OLS model'!$I$7*E42</f>
        <v>11794393.591939153</v>
      </c>
      <c r="O42" s="20">
        <f>'GS &gt; 50 OLS model'!$I$8*F42</f>
        <v>12375696.261678115</v>
      </c>
      <c r="P42" s="20">
        <f>'GS &gt; 50 OLS model'!$I$9*G42</f>
        <v>0</v>
      </c>
      <c r="Q42" s="20">
        <f>'GS &gt; 50 OLS model'!$I$10*H42</f>
        <v>0</v>
      </c>
      <c r="R42" s="20">
        <f>'GS &gt; 50 OLS model'!$I$11*I42</f>
        <v>0</v>
      </c>
      <c r="S42" s="20">
        <f>'GS &gt; 50 OLS model'!$I$12*J42</f>
        <v>2773479.7707442176</v>
      </c>
      <c r="T42" s="20">
        <f t="shared" si="3"/>
        <v>10124453.93670211</v>
      </c>
      <c r="U42" s="23">
        <f t="shared" ca="1" si="2"/>
        <v>8.3532507447223944E-2</v>
      </c>
    </row>
    <row r="43" spans="1:21" ht="14.4" x14ac:dyDescent="0.3">
      <c r="A43" s="22">
        <f>'Monthly Data'!A67</f>
        <v>41061</v>
      </c>
      <c r="B43" s="88">
        <f t="shared" si="1"/>
        <v>2012</v>
      </c>
      <c r="C43" s="20">
        <f ca="1">'Monthly Data'!K67</f>
        <v>10090507.40755398</v>
      </c>
      <c r="D43" s="88">
        <f>'Monthly Data'!AL43</f>
        <v>57.5</v>
      </c>
      <c r="E43" s="88">
        <f>'Monthly Data'!AM43</f>
        <v>30</v>
      </c>
      <c r="F43" s="88">
        <f>'Monthly Data'!AP67</f>
        <v>6737.2</v>
      </c>
      <c r="G43" s="88">
        <f>'Monthly Data'!AS67</f>
        <v>0</v>
      </c>
      <c r="H43" s="88">
        <f>'Monthly Data'!AU67</f>
        <v>0</v>
      </c>
      <c r="I43" s="88">
        <f>'Monthly Data'!AV67</f>
        <v>0</v>
      </c>
      <c r="J43" s="88">
        <f>'Monthly Data'!AD67</f>
        <v>188</v>
      </c>
      <c r="L43" s="20">
        <f>'GS &gt; 50 OLS model'!$I$5</f>
        <v>-16961164.693300899</v>
      </c>
      <c r="M43" s="20">
        <f>'GS &gt; 50 OLS model'!$I$6*D43</f>
        <v>234034.89468159535</v>
      </c>
      <c r="N43" s="20">
        <f>'GS &gt; 50 OLS model'!$I$7*E43</f>
        <v>11413929.28252176</v>
      </c>
      <c r="O43" s="20">
        <f>'GS &gt; 50 OLS model'!$I$8*F43</f>
        <v>12522722.82695931</v>
      </c>
      <c r="P43" s="20">
        <f>'GS &gt; 50 OLS model'!$I$9*G43</f>
        <v>0</v>
      </c>
      <c r="Q43" s="20">
        <f>'GS &gt; 50 OLS model'!$I$10*H43</f>
        <v>0</v>
      </c>
      <c r="R43" s="20">
        <f>'GS &gt; 50 OLS model'!$I$11*I43</f>
        <v>0</v>
      </c>
      <c r="S43" s="20">
        <f>'GS &gt; 50 OLS model'!$I$12*J43</f>
        <v>2715698.9421870462</v>
      </c>
      <c r="T43" s="20">
        <f t="shared" si="3"/>
        <v>9925221.253048813</v>
      </c>
      <c r="U43" s="23">
        <f t="shared" ca="1" si="2"/>
        <v>1.638036104918076E-2</v>
      </c>
    </row>
    <row r="44" spans="1:21" ht="14.4" x14ac:dyDescent="0.3">
      <c r="A44" s="22">
        <f>'Monthly Data'!A68</f>
        <v>41091</v>
      </c>
      <c r="B44" s="88">
        <f t="shared" si="1"/>
        <v>2012</v>
      </c>
      <c r="C44" s="20">
        <f ca="1">'Monthly Data'!K68</f>
        <v>9819102.4475539811</v>
      </c>
      <c r="D44" s="88">
        <f>'Monthly Data'!AL44</f>
        <v>129.69999999999999</v>
      </c>
      <c r="E44" s="88">
        <f>'Monthly Data'!AM44</f>
        <v>31</v>
      </c>
      <c r="F44" s="88">
        <f>'Monthly Data'!AP68</f>
        <v>6778.6</v>
      </c>
      <c r="G44" s="88">
        <f>'Monthly Data'!AS68</f>
        <v>0</v>
      </c>
      <c r="H44" s="88">
        <f>'Monthly Data'!AU68</f>
        <v>0</v>
      </c>
      <c r="I44" s="88">
        <f>'Monthly Data'!AV68</f>
        <v>0</v>
      </c>
      <c r="J44" s="88">
        <f>'Monthly Data'!AD68</f>
        <v>188</v>
      </c>
      <c r="L44" s="20">
        <f>'GS &gt; 50 OLS model'!$I$5</f>
        <v>-16961164.693300899</v>
      </c>
      <c r="M44" s="20">
        <f>'GS &gt; 50 OLS model'!$I$6*D44</f>
        <v>527901.3189600507</v>
      </c>
      <c r="N44" s="20">
        <f>'GS &gt; 50 OLS model'!$I$7*E44</f>
        <v>11794393.591939153</v>
      </c>
      <c r="O44" s="20">
        <f>'GS &gt; 50 OLS model'!$I$8*F44</f>
        <v>12599674.78400914</v>
      </c>
      <c r="P44" s="20">
        <f>'GS &gt; 50 OLS model'!$I$9*G44</f>
        <v>0</v>
      </c>
      <c r="Q44" s="20">
        <f>'GS &gt; 50 OLS model'!$I$10*H44</f>
        <v>0</v>
      </c>
      <c r="R44" s="20">
        <f>'GS &gt; 50 OLS model'!$I$11*I44</f>
        <v>0</v>
      </c>
      <c r="S44" s="20">
        <f>'GS &gt; 50 OLS model'!$I$12*J44</f>
        <v>2715698.9421870462</v>
      </c>
      <c r="T44" s="20">
        <f t="shared" si="3"/>
        <v>10676503.943794491</v>
      </c>
      <c r="U44" s="23">
        <f t="shared" ca="1" si="2"/>
        <v>8.7319742391942901E-2</v>
      </c>
    </row>
    <row r="45" spans="1:21" ht="14.4" x14ac:dyDescent="0.3">
      <c r="A45" s="22">
        <f>'Monthly Data'!A69</f>
        <v>41122</v>
      </c>
      <c r="B45" s="88">
        <f t="shared" si="1"/>
        <v>2012</v>
      </c>
      <c r="C45" s="20">
        <f ca="1">'Monthly Data'!K69</f>
        <v>10558618.08755398</v>
      </c>
      <c r="D45" s="88">
        <f>'Monthly Data'!AL45</f>
        <v>121.7</v>
      </c>
      <c r="E45" s="88">
        <f>'Monthly Data'!AM45</f>
        <v>31</v>
      </c>
      <c r="F45" s="88">
        <f>'Monthly Data'!AP69</f>
        <v>6797.9</v>
      </c>
      <c r="G45" s="88">
        <f>'Monthly Data'!AS69</f>
        <v>0</v>
      </c>
      <c r="H45" s="88">
        <f>'Monthly Data'!AU69</f>
        <v>0</v>
      </c>
      <c r="I45" s="88">
        <f>'Monthly Data'!AV69</f>
        <v>0</v>
      </c>
      <c r="J45" s="88">
        <f>'Monthly Data'!AD69</f>
        <v>186</v>
      </c>
      <c r="L45" s="20">
        <f>'GS &gt; 50 OLS model'!$I$5</f>
        <v>-16961164.693300899</v>
      </c>
      <c r="M45" s="20">
        <f>'GS &gt; 50 OLS model'!$I$6*D45</f>
        <v>495339.94230869837</v>
      </c>
      <c r="N45" s="20">
        <f>'GS &gt; 50 OLS model'!$I$7*E45</f>
        <v>11794393.591939153</v>
      </c>
      <c r="O45" s="20">
        <f>'GS &gt; 50 OLS model'!$I$8*F45</f>
        <v>12635548.522440583</v>
      </c>
      <c r="P45" s="20">
        <f>'GS &gt; 50 OLS model'!$I$9*G45</f>
        <v>0</v>
      </c>
      <c r="Q45" s="20">
        <f>'GS &gt; 50 OLS model'!$I$10*H45</f>
        <v>0</v>
      </c>
      <c r="R45" s="20">
        <f>'GS &gt; 50 OLS model'!$I$11*I45</f>
        <v>0</v>
      </c>
      <c r="S45" s="20">
        <f>'GS &gt; 50 OLS model'!$I$12*J45</f>
        <v>2686808.5279084607</v>
      </c>
      <c r="T45" s="20">
        <f t="shared" si="3"/>
        <v>10650925.891295996</v>
      </c>
      <c r="U45" s="23">
        <f t="shared" ca="1" si="2"/>
        <v>8.7424133514994729E-3</v>
      </c>
    </row>
    <row r="46" spans="1:21" ht="14.4" x14ac:dyDescent="0.3">
      <c r="A46" s="22">
        <f>'Monthly Data'!A70</f>
        <v>41153</v>
      </c>
      <c r="B46" s="88">
        <f t="shared" si="1"/>
        <v>2012</v>
      </c>
      <c r="C46" s="20">
        <f ca="1">'Monthly Data'!K70</f>
        <v>10420120.797553979</v>
      </c>
      <c r="D46" s="88">
        <f>'Monthly Data'!AL46</f>
        <v>24.1</v>
      </c>
      <c r="E46" s="88">
        <f>'Monthly Data'!AM46</f>
        <v>30</v>
      </c>
      <c r="F46" s="88">
        <f>'Monthly Data'!AP70</f>
        <v>6763.1</v>
      </c>
      <c r="G46" s="88">
        <f>'Monthly Data'!AS70</f>
        <v>1</v>
      </c>
      <c r="H46" s="88">
        <f>'Monthly Data'!AU70</f>
        <v>0</v>
      </c>
      <c r="I46" s="88">
        <f>'Monthly Data'!AV70</f>
        <v>0</v>
      </c>
      <c r="J46" s="88">
        <f>'Monthly Data'!AD70</f>
        <v>188</v>
      </c>
      <c r="L46" s="20">
        <f>'GS &gt; 50 OLS model'!$I$5</f>
        <v>-16961164.693300899</v>
      </c>
      <c r="M46" s="20">
        <f>'GS &gt; 50 OLS model'!$I$6*D46</f>
        <v>98091.147162199108</v>
      </c>
      <c r="N46" s="20">
        <f>'GS &gt; 50 OLS model'!$I$7*E46</f>
        <v>11413929.28252176</v>
      </c>
      <c r="O46" s="20">
        <f>'GS &gt; 50 OLS model'!$I$8*F46</f>
        <v>12570864.268688552</v>
      </c>
      <c r="P46" s="20">
        <f>'GS &gt; 50 OLS model'!$I$9*G46</f>
        <v>714989.336488234</v>
      </c>
      <c r="Q46" s="20">
        <f>'GS &gt; 50 OLS model'!$I$10*H46</f>
        <v>0</v>
      </c>
      <c r="R46" s="20">
        <f>'GS &gt; 50 OLS model'!$I$11*I46</f>
        <v>0</v>
      </c>
      <c r="S46" s="20">
        <f>'GS &gt; 50 OLS model'!$I$12*J46</f>
        <v>2715698.9421870462</v>
      </c>
      <c r="T46" s="20">
        <f t="shared" si="3"/>
        <v>10552408.283746893</v>
      </c>
      <c r="U46" s="23">
        <f t="shared" ca="1" si="2"/>
        <v>1.2695388927157823E-2</v>
      </c>
    </row>
    <row r="47" spans="1:21" ht="14.4" x14ac:dyDescent="0.3">
      <c r="A47" s="22">
        <f>'Monthly Data'!A71</f>
        <v>41183</v>
      </c>
      <c r="B47" s="88">
        <f t="shared" si="1"/>
        <v>2012</v>
      </c>
      <c r="C47" s="20">
        <f ca="1">'Monthly Data'!K71</f>
        <v>12152447.48755398</v>
      </c>
      <c r="D47" s="88">
        <f>'Monthly Data'!AL47</f>
        <v>0</v>
      </c>
      <c r="E47" s="88">
        <f>'Monthly Data'!AM47</f>
        <v>31</v>
      </c>
      <c r="F47" s="88">
        <f>'Monthly Data'!AP71</f>
        <v>6740.9</v>
      </c>
      <c r="G47" s="88">
        <f>'Monthly Data'!AS71</f>
        <v>1</v>
      </c>
      <c r="H47" s="88">
        <f>'Monthly Data'!AU71</f>
        <v>0</v>
      </c>
      <c r="I47" s="88">
        <f>'Monthly Data'!AV71</f>
        <v>0</v>
      </c>
      <c r="J47" s="88">
        <f>'Monthly Data'!AD71</f>
        <v>187</v>
      </c>
      <c r="L47" s="20">
        <f>'GS &gt; 50 OLS model'!$I$5</f>
        <v>-16961164.693300899</v>
      </c>
      <c r="M47" s="20">
        <f>'GS &gt; 50 OLS model'!$I$6*D47</f>
        <v>0</v>
      </c>
      <c r="N47" s="20">
        <f>'GS &gt; 50 OLS model'!$I$7*E47</f>
        <v>11794393.591939153</v>
      </c>
      <c r="O47" s="20">
        <f>'GS &gt; 50 OLS model'!$I$8*F47</f>
        <v>12529600.175777772</v>
      </c>
      <c r="P47" s="20">
        <f>'GS &gt; 50 OLS model'!$I$9*G47</f>
        <v>714989.336488234</v>
      </c>
      <c r="Q47" s="20">
        <f>'GS &gt; 50 OLS model'!$I$10*H47</f>
        <v>0</v>
      </c>
      <c r="R47" s="20">
        <f>'GS &gt; 50 OLS model'!$I$11*I47</f>
        <v>0</v>
      </c>
      <c r="S47" s="20">
        <f>'GS &gt; 50 OLS model'!$I$12*J47</f>
        <v>2701253.7350477534</v>
      </c>
      <c r="T47" s="20">
        <f t="shared" si="3"/>
        <v>10779072.145952014</v>
      </c>
      <c r="U47" s="23">
        <f t="shared" ca="1" si="2"/>
        <v>0.11301224243170098</v>
      </c>
    </row>
    <row r="48" spans="1:21" ht="14.4" x14ac:dyDescent="0.3">
      <c r="A48" s="22">
        <f>'Monthly Data'!A72</f>
        <v>41214</v>
      </c>
      <c r="B48" s="88">
        <f t="shared" si="1"/>
        <v>2012</v>
      </c>
      <c r="C48" s="20">
        <f ca="1">'Monthly Data'!K72</f>
        <v>9906472.4675539806</v>
      </c>
      <c r="D48" s="88">
        <f>'Monthly Data'!AL48</f>
        <v>0</v>
      </c>
      <c r="E48" s="88">
        <f>'Monthly Data'!AM48</f>
        <v>30</v>
      </c>
      <c r="F48" s="88">
        <f>'Monthly Data'!AP72</f>
        <v>6727.4</v>
      </c>
      <c r="G48" s="88">
        <f>'Monthly Data'!AS72</f>
        <v>1</v>
      </c>
      <c r="H48" s="88">
        <f>'Monthly Data'!AU72</f>
        <v>0</v>
      </c>
      <c r="I48" s="88">
        <f>'Monthly Data'!AV72</f>
        <v>0</v>
      </c>
      <c r="J48" s="88">
        <f>'Monthly Data'!AD72</f>
        <v>186</v>
      </c>
      <c r="L48" s="20">
        <f>'GS &gt; 50 OLS model'!$I$5</f>
        <v>-16961164.693300899</v>
      </c>
      <c r="M48" s="20">
        <f>'GS &gt; 50 OLS model'!$I$6*D48</f>
        <v>0</v>
      </c>
      <c r="N48" s="20">
        <f>'GS &gt; 50 OLS model'!$I$7*E48</f>
        <v>11413929.28252176</v>
      </c>
      <c r="O48" s="20">
        <f>'GS &gt; 50 OLS model'!$I$8*F48</f>
        <v>12504507.146305002</v>
      </c>
      <c r="P48" s="20">
        <f>'GS &gt; 50 OLS model'!$I$9*G48</f>
        <v>714989.336488234</v>
      </c>
      <c r="Q48" s="20">
        <f>'GS &gt; 50 OLS model'!$I$10*H48</f>
        <v>0</v>
      </c>
      <c r="R48" s="20">
        <f>'GS &gt; 50 OLS model'!$I$11*I48</f>
        <v>0</v>
      </c>
      <c r="S48" s="20">
        <f>'GS &gt; 50 OLS model'!$I$12*J48</f>
        <v>2686808.5279084607</v>
      </c>
      <c r="T48" s="20">
        <f t="shared" si="3"/>
        <v>10359069.599922558</v>
      </c>
      <c r="U48" s="23">
        <f t="shared" ca="1" si="2"/>
        <v>4.5687012592114835E-2</v>
      </c>
    </row>
    <row r="49" spans="1:21" ht="14.4" x14ac:dyDescent="0.3">
      <c r="A49" s="22">
        <f>'Monthly Data'!A73</f>
        <v>41244</v>
      </c>
      <c r="B49" s="88">
        <f t="shared" si="1"/>
        <v>2012</v>
      </c>
      <c r="C49" s="20">
        <f ca="1">'Monthly Data'!K73</f>
        <v>10098840.947553981</v>
      </c>
      <c r="D49" s="88">
        <f>'Monthly Data'!AL49</f>
        <v>0</v>
      </c>
      <c r="E49" s="88">
        <f>'Monthly Data'!AM49</f>
        <v>31</v>
      </c>
      <c r="F49" s="88">
        <f>'Monthly Data'!AP73</f>
        <v>6740.2</v>
      </c>
      <c r="G49" s="88">
        <f>'Monthly Data'!AS73</f>
        <v>0</v>
      </c>
      <c r="H49" s="88">
        <f>'Monthly Data'!AU73</f>
        <v>0</v>
      </c>
      <c r="I49" s="88">
        <f>'Monthly Data'!AV73</f>
        <v>0</v>
      </c>
      <c r="J49" s="88">
        <f>'Monthly Data'!AD73</f>
        <v>189</v>
      </c>
      <c r="L49" s="20">
        <f>'GS &gt; 50 OLS model'!$I$5</f>
        <v>-16961164.693300899</v>
      </c>
      <c r="M49" s="20">
        <f>'GS &gt; 50 OLS model'!$I$6*D49</f>
        <v>0</v>
      </c>
      <c r="N49" s="20">
        <f>'GS &gt; 50 OLS model'!$I$7*E49</f>
        <v>11794393.591939153</v>
      </c>
      <c r="O49" s="20">
        <f>'GS &gt; 50 OLS model'!$I$8*F49</f>
        <v>12528299.055731036</v>
      </c>
      <c r="P49" s="20">
        <f>'GS &gt; 50 OLS model'!$I$9*G49</f>
        <v>0</v>
      </c>
      <c r="Q49" s="20">
        <f>'GS &gt; 50 OLS model'!$I$10*H49</f>
        <v>0</v>
      </c>
      <c r="R49" s="20">
        <f>'GS &gt; 50 OLS model'!$I$11*I49</f>
        <v>0</v>
      </c>
      <c r="S49" s="20">
        <f>'GS &gt; 50 OLS model'!$I$12*J49</f>
        <v>2730144.1493263389</v>
      </c>
      <c r="T49" s="20">
        <f t="shared" si="3"/>
        <v>10091672.103695629</v>
      </c>
      <c r="U49" s="23">
        <f t="shared" ca="1" si="2"/>
        <v>7.098679834232147E-4</v>
      </c>
    </row>
    <row r="50" spans="1:21" ht="14.4" x14ac:dyDescent="0.3">
      <c r="A50" s="22">
        <f>'Monthly Data'!A74</f>
        <v>41275</v>
      </c>
      <c r="B50" s="88">
        <f t="shared" si="1"/>
        <v>2013</v>
      </c>
      <c r="C50" s="20">
        <f ca="1">'Monthly Data'!K74</f>
        <v>9154131.3499058764</v>
      </c>
      <c r="D50" s="88">
        <f>'Monthly Data'!AL50</f>
        <v>0</v>
      </c>
      <c r="E50" s="88">
        <f>'Monthly Data'!AM50</f>
        <v>31</v>
      </c>
      <c r="F50" s="88">
        <f>'Monthly Data'!AP74</f>
        <v>6721.7</v>
      </c>
      <c r="G50" s="88">
        <f>'Monthly Data'!AS74</f>
        <v>0</v>
      </c>
      <c r="H50" s="88">
        <f>'Monthly Data'!AU74</f>
        <v>1</v>
      </c>
      <c r="I50" s="88">
        <f>'Monthly Data'!AV74</f>
        <v>0</v>
      </c>
      <c r="J50" s="88">
        <f>'Monthly Data'!AD74</f>
        <v>189</v>
      </c>
      <c r="L50" s="20">
        <f>'GS &gt; 50 OLS model'!$I$5</f>
        <v>-16961164.693300899</v>
      </c>
      <c r="M50" s="20">
        <f>'GS &gt; 50 OLS model'!$I$6*D50</f>
        <v>0</v>
      </c>
      <c r="N50" s="20">
        <f>'GS &gt; 50 OLS model'!$I$7*E50</f>
        <v>11794393.591939153</v>
      </c>
      <c r="O50" s="20">
        <f>'GS &gt; 50 OLS model'!$I$8*F50</f>
        <v>12493912.31163872</v>
      </c>
      <c r="P50" s="20">
        <f>'GS &gt; 50 OLS model'!$I$9*G50</f>
        <v>0</v>
      </c>
      <c r="Q50" s="20">
        <f>'GS &gt; 50 OLS model'!$I$10*H50</f>
        <v>665807.22887881799</v>
      </c>
      <c r="R50" s="20">
        <f>'GS &gt; 50 OLS model'!$I$11*I50</f>
        <v>0</v>
      </c>
      <c r="S50" s="20">
        <f>'GS &gt; 50 OLS model'!$I$12*J50</f>
        <v>2730144.1493263389</v>
      </c>
      <c r="T50" s="20">
        <f t="shared" si="3"/>
        <v>10723092.588482132</v>
      </c>
      <c r="U50" s="23">
        <f t="shared" ca="1" si="2"/>
        <v>0.1713937869803876</v>
      </c>
    </row>
    <row r="51" spans="1:21" ht="14.4" x14ac:dyDescent="0.3">
      <c r="A51" s="22">
        <f>'Monthly Data'!A75</f>
        <v>41306</v>
      </c>
      <c r="B51" s="88">
        <f t="shared" si="1"/>
        <v>2013</v>
      </c>
      <c r="C51" s="20">
        <f ca="1">'Monthly Data'!K75</f>
        <v>10298179.339905877</v>
      </c>
      <c r="D51" s="88">
        <f>'Monthly Data'!AL51</f>
        <v>0</v>
      </c>
      <c r="E51" s="88">
        <f>'Monthly Data'!AM51</f>
        <v>28</v>
      </c>
      <c r="F51" s="88">
        <f>'Monthly Data'!AP75</f>
        <v>6702</v>
      </c>
      <c r="G51" s="88">
        <f>'Monthly Data'!AS75</f>
        <v>0</v>
      </c>
      <c r="H51" s="88">
        <f>'Monthly Data'!AU75</f>
        <v>0</v>
      </c>
      <c r="I51" s="88">
        <f>'Monthly Data'!AV75</f>
        <v>1</v>
      </c>
      <c r="J51" s="88">
        <f>'Monthly Data'!AD75</f>
        <v>189</v>
      </c>
      <c r="L51" s="20">
        <f>'GS &gt; 50 OLS model'!$I$5</f>
        <v>-16961164.693300899</v>
      </c>
      <c r="M51" s="20">
        <f>'GS &gt; 50 OLS model'!$I$6*D51</f>
        <v>0</v>
      </c>
      <c r="N51" s="20">
        <f>'GS &gt; 50 OLS model'!$I$7*E51</f>
        <v>10653000.663686976</v>
      </c>
      <c r="O51" s="20">
        <f>'GS &gt; 50 OLS model'!$I$8*F51</f>
        <v>12457295.076037716</v>
      </c>
      <c r="P51" s="20">
        <f>'GS &gt; 50 OLS model'!$I$9*G51</f>
        <v>0</v>
      </c>
      <c r="Q51" s="20">
        <f>'GS &gt; 50 OLS model'!$I$10*H51</f>
        <v>0</v>
      </c>
      <c r="R51" s="20">
        <f>'GS &gt; 50 OLS model'!$I$11*I51</f>
        <v>1683490.93847816</v>
      </c>
      <c r="S51" s="20">
        <f>'GS &gt; 50 OLS model'!$I$12*J51</f>
        <v>2730144.1493263389</v>
      </c>
      <c r="T51" s="20">
        <f t="shared" si="3"/>
        <v>10562766.134228291</v>
      </c>
      <c r="U51" s="23">
        <f t="shared" ca="1" si="2"/>
        <v>2.5692579784188589E-2</v>
      </c>
    </row>
    <row r="52" spans="1:21" ht="14.4" x14ac:dyDescent="0.3">
      <c r="A52" s="22">
        <f>'Monthly Data'!A76</f>
        <v>41334</v>
      </c>
      <c r="B52" s="88">
        <f t="shared" si="1"/>
        <v>2013</v>
      </c>
      <c r="C52" s="20">
        <f ca="1">'Monthly Data'!K76</f>
        <v>10255977.789905878</v>
      </c>
      <c r="D52" s="88">
        <f>'Monthly Data'!AL52</f>
        <v>0</v>
      </c>
      <c r="E52" s="88">
        <f>'Monthly Data'!AM52</f>
        <v>31</v>
      </c>
      <c r="F52" s="88">
        <f>'Monthly Data'!AP76</f>
        <v>6675.8</v>
      </c>
      <c r="G52" s="88">
        <f>'Monthly Data'!AS76</f>
        <v>0</v>
      </c>
      <c r="H52" s="88">
        <f>'Monthly Data'!AU76</f>
        <v>0</v>
      </c>
      <c r="I52" s="88">
        <f>'Monthly Data'!AV76</f>
        <v>0</v>
      </c>
      <c r="J52" s="88">
        <f>'Monthly Data'!AD76</f>
        <v>188</v>
      </c>
      <c r="L52" s="20">
        <f>'GS &gt; 50 OLS model'!$I$5</f>
        <v>-16961164.693300899</v>
      </c>
      <c r="M52" s="20">
        <f>'GS &gt; 50 OLS model'!$I$6*D52</f>
        <v>0</v>
      </c>
      <c r="N52" s="20">
        <f>'GS &gt; 50 OLS model'!$I$7*E52</f>
        <v>11794393.591939153</v>
      </c>
      <c r="O52" s="20">
        <f>'GS &gt; 50 OLS model'!$I$8*F52</f>
        <v>12408596.011431301</v>
      </c>
      <c r="P52" s="20">
        <f>'GS &gt; 50 OLS model'!$I$9*G52</f>
        <v>0</v>
      </c>
      <c r="Q52" s="20">
        <f>'GS &gt; 50 OLS model'!$I$10*H52</f>
        <v>0</v>
      </c>
      <c r="R52" s="20">
        <f>'GS &gt; 50 OLS model'!$I$11*I52</f>
        <v>0</v>
      </c>
      <c r="S52" s="20">
        <f>'GS &gt; 50 OLS model'!$I$12*J52</f>
        <v>2715698.9421870462</v>
      </c>
      <c r="T52" s="20">
        <f t="shared" si="3"/>
        <v>9957523.8522566017</v>
      </c>
      <c r="U52" s="23">
        <f t="shared" ca="1" si="2"/>
        <v>2.9100485956884577E-2</v>
      </c>
    </row>
    <row r="53" spans="1:21" ht="14.4" x14ac:dyDescent="0.3">
      <c r="A53" s="22">
        <f>'Monthly Data'!A77</f>
        <v>41365</v>
      </c>
      <c r="B53" s="88">
        <f t="shared" si="1"/>
        <v>2013</v>
      </c>
      <c r="C53" s="20">
        <f ca="1">'Monthly Data'!K77</f>
        <v>9006319.6699058767</v>
      </c>
      <c r="D53" s="88">
        <f>'Monthly Data'!AL53</f>
        <v>0</v>
      </c>
      <c r="E53" s="88">
        <f>'Monthly Data'!AM53</f>
        <v>30</v>
      </c>
      <c r="F53" s="88">
        <f>'Monthly Data'!AP77</f>
        <v>6703.7</v>
      </c>
      <c r="G53" s="88">
        <f>'Monthly Data'!AS77</f>
        <v>0</v>
      </c>
      <c r="H53" s="88">
        <f>'Monthly Data'!AU77</f>
        <v>0</v>
      </c>
      <c r="I53" s="88">
        <f>'Monthly Data'!AV77</f>
        <v>0</v>
      </c>
      <c r="J53" s="88">
        <f>'Monthly Data'!AD77</f>
        <v>188</v>
      </c>
      <c r="L53" s="20">
        <f>'GS &gt; 50 OLS model'!$I$5</f>
        <v>-16961164.693300899</v>
      </c>
      <c r="M53" s="20">
        <f>'GS &gt; 50 OLS model'!$I$6*D53</f>
        <v>0</v>
      </c>
      <c r="N53" s="20">
        <f>'GS &gt; 50 OLS model'!$I$7*E53</f>
        <v>11413929.28252176</v>
      </c>
      <c r="O53" s="20">
        <f>'GS &gt; 50 OLS model'!$I$8*F53</f>
        <v>12460454.939008361</v>
      </c>
      <c r="P53" s="20">
        <f>'GS &gt; 50 OLS model'!$I$9*G53</f>
        <v>0</v>
      </c>
      <c r="Q53" s="20">
        <f>'GS &gt; 50 OLS model'!$I$10*H53</f>
        <v>0</v>
      </c>
      <c r="R53" s="20">
        <f>'GS &gt; 50 OLS model'!$I$11*I53</f>
        <v>0</v>
      </c>
      <c r="S53" s="20">
        <f>'GS &gt; 50 OLS model'!$I$12*J53</f>
        <v>2715698.9421870462</v>
      </c>
      <c r="T53" s="20">
        <f t="shared" si="3"/>
        <v>9628918.4704162683</v>
      </c>
      <c r="U53" s="23">
        <f t="shared" ca="1" si="2"/>
        <v>6.9129103044251392E-2</v>
      </c>
    </row>
    <row r="54" spans="1:21" ht="14.4" x14ac:dyDescent="0.3">
      <c r="A54" s="22">
        <f>'Monthly Data'!A78</f>
        <v>41395</v>
      </c>
      <c r="B54" s="88">
        <f t="shared" si="1"/>
        <v>2013</v>
      </c>
      <c r="C54" s="20">
        <f ca="1">'Monthly Data'!K78</f>
        <v>10953604.889905876</v>
      </c>
      <c r="D54" s="88">
        <f>'Monthly Data'!AL54</f>
        <v>17.399999999999999</v>
      </c>
      <c r="E54" s="88">
        <f>'Monthly Data'!AM54</f>
        <v>31</v>
      </c>
      <c r="F54" s="88">
        <f>'Monthly Data'!AP78</f>
        <v>6770.3</v>
      </c>
      <c r="G54" s="88">
        <f>'Monthly Data'!AS78</f>
        <v>0</v>
      </c>
      <c r="H54" s="88">
        <f>'Monthly Data'!AU78</f>
        <v>0</v>
      </c>
      <c r="I54" s="88">
        <f>'Monthly Data'!AV78</f>
        <v>0</v>
      </c>
      <c r="J54" s="88">
        <f>'Monthly Data'!AD78</f>
        <v>188</v>
      </c>
      <c r="L54" s="20">
        <f>'GS &gt; 50 OLS model'!$I$5</f>
        <v>-16961164.693300899</v>
      </c>
      <c r="M54" s="20">
        <f>'GS &gt; 50 OLS model'!$I$6*D54</f>
        <v>70820.994216691455</v>
      </c>
      <c r="N54" s="20">
        <f>'GS &gt; 50 OLS model'!$I$7*E54</f>
        <v>11794393.591939153</v>
      </c>
      <c r="O54" s="20">
        <f>'GS &gt; 50 OLS model'!$I$8*F54</f>
        <v>12584247.217740696</v>
      </c>
      <c r="P54" s="20">
        <f>'GS &gt; 50 OLS model'!$I$9*G54</f>
        <v>0</v>
      </c>
      <c r="Q54" s="20">
        <f>'GS &gt; 50 OLS model'!$I$10*H54</f>
        <v>0</v>
      </c>
      <c r="R54" s="20">
        <f>'GS &gt; 50 OLS model'!$I$11*I54</f>
        <v>0</v>
      </c>
      <c r="S54" s="20">
        <f>'GS &gt; 50 OLS model'!$I$12*J54</f>
        <v>2715698.9421870462</v>
      </c>
      <c r="T54" s="20">
        <f t="shared" si="3"/>
        <v>10203996.052782688</v>
      </c>
      <c r="U54" s="23">
        <f t="shared" ca="1" si="2"/>
        <v>6.8434898342369238E-2</v>
      </c>
    </row>
    <row r="55" spans="1:21" ht="14.4" x14ac:dyDescent="0.3">
      <c r="A55" s="22">
        <f>'Monthly Data'!A79</f>
        <v>41426</v>
      </c>
      <c r="B55" s="88">
        <f t="shared" si="1"/>
        <v>2013</v>
      </c>
      <c r="C55" s="20">
        <f ca="1">'Monthly Data'!K79</f>
        <v>10526740.869905876</v>
      </c>
      <c r="D55" s="88">
        <f>'Monthly Data'!AL55</f>
        <v>39.6</v>
      </c>
      <c r="E55" s="88">
        <f>'Monthly Data'!AM55</f>
        <v>30</v>
      </c>
      <c r="F55" s="88">
        <f>'Monthly Data'!AP79</f>
        <v>6861.8</v>
      </c>
      <c r="G55" s="88">
        <f>'Monthly Data'!AS79</f>
        <v>0</v>
      </c>
      <c r="H55" s="88">
        <f>'Monthly Data'!AU79</f>
        <v>0</v>
      </c>
      <c r="I55" s="88">
        <f>'Monthly Data'!AV79</f>
        <v>0</v>
      </c>
      <c r="J55" s="88">
        <f>'Monthly Data'!AD79</f>
        <v>187</v>
      </c>
      <c r="L55" s="20">
        <f>'GS &gt; 50 OLS model'!$I$5</f>
        <v>-16961164.693300899</v>
      </c>
      <c r="M55" s="20">
        <f>'GS &gt; 50 OLS model'!$I$6*D55</f>
        <v>161178.81442419437</v>
      </c>
      <c r="N55" s="20">
        <f>'GS &gt; 50 OLS model'!$I$7*E55</f>
        <v>11413929.28252176</v>
      </c>
      <c r="O55" s="20">
        <f>'GS &gt; 50 OLS model'!$I$8*F55</f>
        <v>12754322.195278365</v>
      </c>
      <c r="P55" s="20">
        <f>'GS &gt; 50 OLS model'!$I$9*G55</f>
        <v>0</v>
      </c>
      <c r="Q55" s="20">
        <f>'GS &gt; 50 OLS model'!$I$10*H55</f>
        <v>0</v>
      </c>
      <c r="R55" s="20">
        <f>'GS &gt; 50 OLS model'!$I$11*I55</f>
        <v>0</v>
      </c>
      <c r="S55" s="20">
        <f>'GS &gt; 50 OLS model'!$I$12*J55</f>
        <v>2701253.7350477534</v>
      </c>
      <c r="T55" s="20">
        <f t="shared" si="3"/>
        <v>10069519.333971174</v>
      </c>
      <c r="U55" s="23">
        <f t="shared" ca="1" si="2"/>
        <v>4.3434291922376328E-2</v>
      </c>
    </row>
    <row r="56" spans="1:21" ht="14.4" x14ac:dyDescent="0.3">
      <c r="A56" s="22">
        <f>'Monthly Data'!A80</f>
        <v>41456</v>
      </c>
      <c r="B56" s="88">
        <f t="shared" si="1"/>
        <v>2013</v>
      </c>
      <c r="C56" s="20">
        <f ca="1">'Monthly Data'!K80</f>
        <v>10419004.649905875</v>
      </c>
      <c r="D56" s="88">
        <f>'Monthly Data'!AL56</f>
        <v>160.9</v>
      </c>
      <c r="E56" s="88">
        <f>'Monthly Data'!AM56</f>
        <v>31</v>
      </c>
      <c r="F56" s="88">
        <f>'Monthly Data'!AP80</f>
        <v>6917.1</v>
      </c>
      <c r="G56" s="88">
        <f>'Monthly Data'!AS80</f>
        <v>0</v>
      </c>
      <c r="H56" s="88">
        <f>'Monthly Data'!AU80</f>
        <v>0</v>
      </c>
      <c r="I56" s="88">
        <f>'Monthly Data'!AV80</f>
        <v>0</v>
      </c>
      <c r="J56" s="88">
        <f>'Monthly Data'!AD80</f>
        <v>187</v>
      </c>
      <c r="L56" s="20">
        <f>'GS &gt; 50 OLS model'!$I$5</f>
        <v>-16961164.693300899</v>
      </c>
      <c r="M56" s="20">
        <f>'GS &gt; 50 OLS model'!$I$6*D56</f>
        <v>654890.68790032517</v>
      </c>
      <c r="N56" s="20">
        <f>'GS &gt; 50 OLS model'!$I$7*E56</f>
        <v>11794393.591939153</v>
      </c>
      <c r="O56" s="20">
        <f>'GS &gt; 50 OLS model'!$I$8*F56</f>
        <v>12857110.678970529</v>
      </c>
      <c r="P56" s="20">
        <f>'GS &gt; 50 OLS model'!$I$9*G56</f>
        <v>0</v>
      </c>
      <c r="Q56" s="20">
        <f>'GS &gt; 50 OLS model'!$I$10*H56</f>
        <v>0</v>
      </c>
      <c r="R56" s="20">
        <f>'GS &gt; 50 OLS model'!$I$11*I56</f>
        <v>0</v>
      </c>
      <c r="S56" s="20">
        <f>'GS &gt; 50 OLS model'!$I$12*J56</f>
        <v>2701253.7350477534</v>
      </c>
      <c r="T56" s="20">
        <f t="shared" si="3"/>
        <v>11046484.000556862</v>
      </c>
      <c r="U56" s="23">
        <f t="shared" ca="1" si="2"/>
        <v>6.0224500490711964E-2</v>
      </c>
    </row>
    <row r="57" spans="1:21" ht="14.4" x14ac:dyDescent="0.3">
      <c r="A57" s="22">
        <f>'Monthly Data'!A81</f>
        <v>41487</v>
      </c>
      <c r="B57" s="88">
        <f t="shared" si="1"/>
        <v>2013</v>
      </c>
      <c r="C57" s="20">
        <f ca="1">'Monthly Data'!K81</f>
        <v>10693013.479905875</v>
      </c>
      <c r="D57" s="88">
        <f>'Monthly Data'!AL57</f>
        <v>82.9</v>
      </c>
      <c r="E57" s="88">
        <f>'Monthly Data'!AM57</f>
        <v>31</v>
      </c>
      <c r="F57" s="88">
        <f>'Monthly Data'!AP81</f>
        <v>6934.7</v>
      </c>
      <c r="G57" s="88">
        <f>'Monthly Data'!AS81</f>
        <v>0</v>
      </c>
      <c r="H57" s="88">
        <f>'Monthly Data'!AU81</f>
        <v>0</v>
      </c>
      <c r="I57" s="88">
        <f>'Monthly Data'!AV81</f>
        <v>0</v>
      </c>
      <c r="J57" s="88">
        <f>'Monthly Data'!AD81</f>
        <v>187</v>
      </c>
      <c r="L57" s="20">
        <f>'GS &gt; 50 OLS model'!$I$5</f>
        <v>-16961164.693300899</v>
      </c>
      <c r="M57" s="20">
        <f>'GS &gt; 50 OLS model'!$I$6*D57</f>
        <v>337417.26554963924</v>
      </c>
      <c r="N57" s="20">
        <f>'GS &gt; 50 OLS model'!$I$7*E57</f>
        <v>11794393.591939153</v>
      </c>
      <c r="O57" s="20">
        <f>'GS &gt; 50 OLS model'!$I$8*F57</f>
        <v>12889824.554431325</v>
      </c>
      <c r="P57" s="20">
        <f>'GS &gt; 50 OLS model'!$I$9*G57</f>
        <v>0</v>
      </c>
      <c r="Q57" s="20">
        <f>'GS &gt; 50 OLS model'!$I$10*H57</f>
        <v>0</v>
      </c>
      <c r="R57" s="20">
        <f>'GS &gt; 50 OLS model'!$I$11*I57</f>
        <v>0</v>
      </c>
      <c r="S57" s="20">
        <f>'GS &gt; 50 OLS model'!$I$12*J57</f>
        <v>2701253.7350477534</v>
      </c>
      <c r="T57" s="20">
        <f t="shared" si="3"/>
        <v>10761724.453666972</v>
      </c>
      <c r="U57" s="23">
        <f t="shared" ca="1" si="2"/>
        <v>6.4257820202150741E-3</v>
      </c>
    </row>
    <row r="58" spans="1:21" ht="14.4" x14ac:dyDescent="0.3">
      <c r="A58" s="22">
        <f>'Monthly Data'!A82</f>
        <v>41518</v>
      </c>
      <c r="B58" s="88">
        <f t="shared" si="1"/>
        <v>2013</v>
      </c>
      <c r="C58" s="20">
        <f ca="1">'Monthly Data'!K82</f>
        <v>10308007.769905876</v>
      </c>
      <c r="D58" s="88">
        <f>'Monthly Data'!AL58</f>
        <v>29</v>
      </c>
      <c r="E58" s="88">
        <f>'Monthly Data'!AM58</f>
        <v>30</v>
      </c>
      <c r="F58" s="88">
        <f>'Monthly Data'!AP82</f>
        <v>6906.9</v>
      </c>
      <c r="G58" s="88">
        <f>'Monthly Data'!AS82</f>
        <v>1</v>
      </c>
      <c r="H58" s="88">
        <f>'Monthly Data'!AU82</f>
        <v>0</v>
      </c>
      <c r="I58" s="88">
        <f>'Monthly Data'!AV82</f>
        <v>0</v>
      </c>
      <c r="J58" s="88">
        <f>'Monthly Data'!AD82</f>
        <v>187</v>
      </c>
      <c r="L58" s="20">
        <f>'GS &gt; 50 OLS model'!$I$5</f>
        <v>-16961164.693300899</v>
      </c>
      <c r="M58" s="20">
        <f>'GS &gt; 50 OLS model'!$I$6*D58</f>
        <v>118034.99036115245</v>
      </c>
      <c r="N58" s="20">
        <f>'GS &gt; 50 OLS model'!$I$7*E58</f>
        <v>11413929.28252176</v>
      </c>
      <c r="O58" s="20">
        <f>'GS &gt; 50 OLS model'!$I$8*F58</f>
        <v>12838151.501146657</v>
      </c>
      <c r="P58" s="20">
        <f>'GS &gt; 50 OLS model'!$I$9*G58</f>
        <v>714989.336488234</v>
      </c>
      <c r="Q58" s="20">
        <f>'GS &gt; 50 OLS model'!$I$10*H58</f>
        <v>0</v>
      </c>
      <c r="R58" s="20">
        <f>'GS &gt; 50 OLS model'!$I$11*I58</f>
        <v>0</v>
      </c>
      <c r="S58" s="20">
        <f>'GS &gt; 50 OLS model'!$I$12*J58</f>
        <v>2701253.7350477534</v>
      </c>
      <c r="T58" s="20">
        <f t="shared" si="3"/>
        <v>10825194.15226466</v>
      </c>
      <c r="U58" s="23">
        <f t="shared" ca="1" si="2"/>
        <v>5.0173262758755791E-2</v>
      </c>
    </row>
    <row r="59" spans="1:21" ht="14.4" x14ac:dyDescent="0.3">
      <c r="A59" s="22">
        <f>'Monthly Data'!A83</f>
        <v>41548</v>
      </c>
      <c r="B59" s="88">
        <f t="shared" si="1"/>
        <v>2013</v>
      </c>
      <c r="C59" s="20">
        <f ca="1">'Monthly Data'!K83</f>
        <v>10391319.069905877</v>
      </c>
      <c r="D59" s="88">
        <f>'Monthly Data'!AL59</f>
        <v>0</v>
      </c>
      <c r="E59" s="88">
        <f>'Monthly Data'!AM59</f>
        <v>31</v>
      </c>
      <c r="F59" s="88">
        <f>'Monthly Data'!AP83</f>
        <v>6889</v>
      </c>
      <c r="G59" s="88">
        <f>'Monthly Data'!AS83</f>
        <v>1</v>
      </c>
      <c r="H59" s="88">
        <f>'Monthly Data'!AU83</f>
        <v>0</v>
      </c>
      <c r="I59" s="88">
        <f>'Monthly Data'!AV83</f>
        <v>0</v>
      </c>
      <c r="J59" s="88">
        <f>'Monthly Data'!AD83</f>
        <v>187</v>
      </c>
      <c r="L59" s="20">
        <f>'GS &gt; 50 OLS model'!$I$5</f>
        <v>-16961164.693300899</v>
      </c>
      <c r="M59" s="20">
        <f>'GS &gt; 50 OLS model'!$I$6*D59</f>
        <v>0</v>
      </c>
      <c r="N59" s="20">
        <f>'GS &gt; 50 OLS model'!$I$7*E59</f>
        <v>11794393.591939153</v>
      </c>
      <c r="O59" s="20">
        <f>'GS &gt; 50 OLS model'!$I$8*F59</f>
        <v>12804880.002808686</v>
      </c>
      <c r="P59" s="20">
        <f>'GS &gt; 50 OLS model'!$I$9*G59</f>
        <v>714989.336488234</v>
      </c>
      <c r="Q59" s="20">
        <f>'GS &gt; 50 OLS model'!$I$10*H59</f>
        <v>0</v>
      </c>
      <c r="R59" s="20">
        <f>'GS &gt; 50 OLS model'!$I$11*I59</f>
        <v>0</v>
      </c>
      <c r="S59" s="20">
        <f>'GS &gt; 50 OLS model'!$I$12*J59</f>
        <v>2701253.7350477534</v>
      </c>
      <c r="T59" s="20">
        <f t="shared" si="3"/>
        <v>11054351.972982928</v>
      </c>
      <c r="U59" s="23">
        <f t="shared" ca="1" si="2"/>
        <v>6.3806423286264916E-2</v>
      </c>
    </row>
    <row r="60" spans="1:21" ht="14.4" x14ac:dyDescent="0.3">
      <c r="A60" s="22">
        <f>'Monthly Data'!A84</f>
        <v>41579</v>
      </c>
      <c r="B60" s="88">
        <f t="shared" si="1"/>
        <v>2013</v>
      </c>
      <c r="C60" s="20">
        <f ca="1">'Monthly Data'!K84</f>
        <v>10470189.509905877</v>
      </c>
      <c r="D60" s="88">
        <f>'Monthly Data'!AL60</f>
        <v>0</v>
      </c>
      <c r="E60" s="88">
        <f>'Monthly Data'!AM60</f>
        <v>30</v>
      </c>
      <c r="F60" s="88">
        <f>'Monthly Data'!AP84</f>
        <v>6863.8</v>
      </c>
      <c r="G60" s="88">
        <f>'Monthly Data'!AS84</f>
        <v>1</v>
      </c>
      <c r="H60" s="88">
        <f>'Monthly Data'!AU84</f>
        <v>0</v>
      </c>
      <c r="I60" s="88">
        <f>'Monthly Data'!AV84</f>
        <v>0</v>
      </c>
      <c r="J60" s="88">
        <f>'Monthly Data'!AD84</f>
        <v>186</v>
      </c>
      <c r="L60" s="20">
        <f>'GS &gt; 50 OLS model'!$I$5</f>
        <v>-16961164.693300899</v>
      </c>
      <c r="M60" s="20">
        <f>'GS &gt; 50 OLS model'!$I$6*D60</f>
        <v>0</v>
      </c>
      <c r="N60" s="20">
        <f>'GS &gt; 50 OLS model'!$I$7*E60</f>
        <v>11413929.28252176</v>
      </c>
      <c r="O60" s="20">
        <f>'GS &gt; 50 OLS model'!$I$8*F60</f>
        <v>12758039.681126183</v>
      </c>
      <c r="P60" s="20">
        <f>'GS &gt; 50 OLS model'!$I$9*G60</f>
        <v>714989.336488234</v>
      </c>
      <c r="Q60" s="20">
        <f>'GS &gt; 50 OLS model'!$I$10*H60</f>
        <v>0</v>
      </c>
      <c r="R60" s="20">
        <f>'GS &gt; 50 OLS model'!$I$11*I60</f>
        <v>0</v>
      </c>
      <c r="S60" s="20">
        <f>'GS &gt; 50 OLS model'!$I$12*J60</f>
        <v>2686808.5279084607</v>
      </c>
      <c r="T60" s="20">
        <f t="shared" si="3"/>
        <v>10612602.134743739</v>
      </c>
      <c r="U60" s="23">
        <f t="shared" ca="1" si="2"/>
        <v>1.3601723703580086E-2</v>
      </c>
    </row>
    <row r="61" spans="1:21" ht="14.4" x14ac:dyDescent="0.3">
      <c r="A61" s="22">
        <f>'Monthly Data'!A85</f>
        <v>41609</v>
      </c>
      <c r="B61" s="88">
        <f t="shared" si="1"/>
        <v>2013</v>
      </c>
      <c r="C61" s="20">
        <f ca="1">'Monthly Data'!K85</f>
        <v>9880400.2199058775</v>
      </c>
      <c r="D61" s="88">
        <f>'Monthly Data'!AL61</f>
        <v>0</v>
      </c>
      <c r="E61" s="88">
        <f>'Monthly Data'!AM61</f>
        <v>31</v>
      </c>
      <c r="F61" s="88">
        <f>'Monthly Data'!AP85</f>
        <v>6849.3</v>
      </c>
      <c r="G61" s="88">
        <f>'Monthly Data'!AS85</f>
        <v>0</v>
      </c>
      <c r="H61" s="88">
        <f>'Monthly Data'!AU85</f>
        <v>0</v>
      </c>
      <c r="I61" s="88">
        <f>'Monthly Data'!AV85</f>
        <v>0</v>
      </c>
      <c r="J61" s="88">
        <f>'Monthly Data'!AD85</f>
        <v>186</v>
      </c>
      <c r="L61" s="20">
        <f>'GS &gt; 50 OLS model'!$I$5</f>
        <v>-16961164.693300899</v>
      </c>
      <c r="M61" s="20">
        <f>'GS &gt; 50 OLS model'!$I$6*D61</f>
        <v>0</v>
      </c>
      <c r="N61" s="20">
        <f>'GS &gt; 50 OLS model'!$I$7*E61</f>
        <v>11794393.591939153</v>
      </c>
      <c r="O61" s="20">
        <f>'GS &gt; 50 OLS model'!$I$8*F61</f>
        <v>12731087.908729503</v>
      </c>
      <c r="P61" s="20">
        <f>'GS &gt; 50 OLS model'!$I$9*G61</f>
        <v>0</v>
      </c>
      <c r="Q61" s="20">
        <f>'GS &gt; 50 OLS model'!$I$10*H61</f>
        <v>0</v>
      </c>
      <c r="R61" s="20">
        <f>'GS &gt; 50 OLS model'!$I$11*I61</f>
        <v>0</v>
      </c>
      <c r="S61" s="20">
        <f>'GS &gt; 50 OLS model'!$I$12*J61</f>
        <v>2686808.5279084607</v>
      </c>
      <c r="T61" s="20">
        <f t="shared" si="3"/>
        <v>10251125.335276218</v>
      </c>
      <c r="U61" s="23">
        <f t="shared" ca="1" si="2"/>
        <v>3.7521265041819553E-2</v>
      </c>
    </row>
    <row r="62" spans="1:21" ht="14.4" x14ac:dyDescent="0.3">
      <c r="A62" s="22">
        <f>'Monthly Data'!A86</f>
        <v>41640</v>
      </c>
      <c r="B62" s="88">
        <f t="shared" si="1"/>
        <v>2014</v>
      </c>
      <c r="C62" s="20">
        <f ca="1">'Monthly Data'!K86</f>
        <v>12682291.81914901</v>
      </c>
      <c r="D62" s="88">
        <f>'Monthly Data'!AL62</f>
        <v>0</v>
      </c>
      <c r="E62" s="88">
        <f>'Monthly Data'!AM62</f>
        <v>31</v>
      </c>
      <c r="F62" s="88">
        <f>'Monthly Data'!AP86</f>
        <v>6806.1</v>
      </c>
      <c r="G62" s="88">
        <f>'Monthly Data'!AS86</f>
        <v>0</v>
      </c>
      <c r="H62" s="88">
        <f>'Monthly Data'!AU86</f>
        <v>1</v>
      </c>
      <c r="I62" s="88">
        <f>'Monthly Data'!AV86</f>
        <v>0</v>
      </c>
      <c r="J62" s="88">
        <f>'Monthly Data'!AD86</f>
        <v>188</v>
      </c>
      <c r="L62" s="20">
        <f>'GS &gt; 50 OLS model'!$I$5</f>
        <v>-16961164.693300899</v>
      </c>
      <c r="M62" s="20">
        <f>'GS &gt; 50 OLS model'!$I$6*D62</f>
        <v>0</v>
      </c>
      <c r="N62" s="20">
        <f>'GS &gt; 50 OLS model'!$I$7*E62</f>
        <v>11794393.591939153</v>
      </c>
      <c r="O62" s="20">
        <f>'GS &gt; 50 OLS model'!$I$8*F62</f>
        <v>12650790.214416636</v>
      </c>
      <c r="P62" s="20">
        <f>'GS &gt; 50 OLS model'!$I$9*G62</f>
        <v>0</v>
      </c>
      <c r="Q62" s="20">
        <f>'GS &gt; 50 OLS model'!$I$10*H62</f>
        <v>665807.22887881799</v>
      </c>
      <c r="R62" s="20">
        <f>'GS &gt; 50 OLS model'!$I$11*I62</f>
        <v>0</v>
      </c>
      <c r="S62" s="20">
        <f>'GS &gt; 50 OLS model'!$I$12*J62</f>
        <v>2715698.9421870462</v>
      </c>
      <c r="T62" s="20">
        <f t="shared" si="3"/>
        <v>10865525.284120755</v>
      </c>
      <c r="U62" s="23">
        <f t="shared" ca="1" si="2"/>
        <v>0.14325222609095908</v>
      </c>
    </row>
    <row r="63" spans="1:21" ht="14.4" x14ac:dyDescent="0.3">
      <c r="A63" s="22">
        <f>'Monthly Data'!A87</f>
        <v>41671</v>
      </c>
      <c r="B63" s="88">
        <f t="shared" si="1"/>
        <v>2014</v>
      </c>
      <c r="C63" s="20">
        <f ca="1">'Monthly Data'!K87</f>
        <v>10768973.579149008</v>
      </c>
      <c r="D63" s="88">
        <f>'Monthly Data'!AL63</f>
        <v>0</v>
      </c>
      <c r="E63" s="88">
        <f>'Monthly Data'!AM63</f>
        <v>29</v>
      </c>
      <c r="F63" s="88">
        <f>'Monthly Data'!AP87</f>
        <v>6772.3</v>
      </c>
      <c r="G63" s="88">
        <f>'Monthly Data'!AS87</f>
        <v>0</v>
      </c>
      <c r="H63" s="88">
        <f>'Monthly Data'!AU87</f>
        <v>0</v>
      </c>
      <c r="I63" s="88">
        <f>'Monthly Data'!AV87</f>
        <v>1</v>
      </c>
      <c r="J63" s="88">
        <f>'Monthly Data'!AD87</f>
        <v>188</v>
      </c>
      <c r="L63" s="20">
        <f>'GS &gt; 50 OLS model'!$I$5</f>
        <v>-16961164.693300899</v>
      </c>
      <c r="M63" s="20">
        <f>'GS &gt; 50 OLS model'!$I$6*D63</f>
        <v>0</v>
      </c>
      <c r="N63" s="20">
        <f>'GS &gt; 50 OLS model'!$I$7*E63</f>
        <v>11033464.973104369</v>
      </c>
      <c r="O63" s="20">
        <f>'GS &gt; 50 OLS model'!$I$8*F63</f>
        <v>12587964.703588514</v>
      </c>
      <c r="P63" s="20">
        <f>'GS &gt; 50 OLS model'!$I$9*G63</f>
        <v>0</v>
      </c>
      <c r="Q63" s="20">
        <f>'GS &gt; 50 OLS model'!$I$10*H63</f>
        <v>0</v>
      </c>
      <c r="R63" s="20">
        <f>'GS &gt; 50 OLS model'!$I$11*I63</f>
        <v>1683490.93847816</v>
      </c>
      <c r="S63" s="20">
        <f>'GS &gt; 50 OLS model'!$I$12*J63</f>
        <v>2715698.9421870462</v>
      </c>
      <c r="T63" s="20">
        <f t="shared" si="3"/>
        <v>11059454.864057189</v>
      </c>
      <c r="U63" s="23">
        <f t="shared" ca="1" si="2"/>
        <v>2.6973906359155135E-2</v>
      </c>
    </row>
    <row r="64" spans="1:21" ht="14.4" x14ac:dyDescent="0.3">
      <c r="A64" s="22">
        <f>'Monthly Data'!A88</f>
        <v>41699</v>
      </c>
      <c r="B64" s="88">
        <f t="shared" si="1"/>
        <v>2014</v>
      </c>
      <c r="C64" s="20">
        <f ca="1">'Monthly Data'!K88</f>
        <v>10880478.939149009</v>
      </c>
      <c r="D64" s="88">
        <f>'Monthly Data'!AL64</f>
        <v>2.2000000000000002</v>
      </c>
      <c r="E64" s="88">
        <f>'Monthly Data'!AM64</f>
        <v>31</v>
      </c>
      <c r="F64" s="88">
        <f>'Monthly Data'!AP88</f>
        <v>6751.3</v>
      </c>
      <c r="G64" s="88">
        <f>'Monthly Data'!AS88</f>
        <v>0</v>
      </c>
      <c r="H64" s="88">
        <f>'Monthly Data'!AU88</f>
        <v>0</v>
      </c>
      <c r="I64" s="88">
        <f>'Monthly Data'!AV88</f>
        <v>0</v>
      </c>
      <c r="J64" s="88">
        <f>'Monthly Data'!AD88</f>
        <v>189</v>
      </c>
      <c r="L64" s="20">
        <f>'GS &gt; 50 OLS model'!$I$5</f>
        <v>-16961164.693300899</v>
      </c>
      <c r="M64" s="20">
        <f>'GS &gt; 50 OLS model'!$I$6*D64</f>
        <v>8954.3785791219107</v>
      </c>
      <c r="N64" s="20">
        <f>'GS &gt; 50 OLS model'!$I$7*E64</f>
        <v>11794393.591939153</v>
      </c>
      <c r="O64" s="20">
        <f>'GS &gt; 50 OLS model'!$I$8*F64</f>
        <v>12548931.102186427</v>
      </c>
      <c r="P64" s="20">
        <f>'GS &gt; 50 OLS model'!$I$9*G64</f>
        <v>0</v>
      </c>
      <c r="Q64" s="20">
        <f>'GS &gt; 50 OLS model'!$I$10*H64</f>
        <v>0</v>
      </c>
      <c r="R64" s="20">
        <f>'GS &gt; 50 OLS model'!$I$11*I64</f>
        <v>0</v>
      </c>
      <c r="S64" s="20">
        <f>'GS &gt; 50 OLS model'!$I$12*J64</f>
        <v>2730144.1493263389</v>
      </c>
      <c r="T64" s="20">
        <f t="shared" si="3"/>
        <v>10121258.528730141</v>
      </c>
      <c r="U64" s="23">
        <f t="shared" ca="1" si="2"/>
        <v>6.9778216075316327E-2</v>
      </c>
    </row>
    <row r="65" spans="1:21" ht="14.4" x14ac:dyDescent="0.3">
      <c r="A65" s="22">
        <f>'Monthly Data'!A89</f>
        <v>41730</v>
      </c>
      <c r="B65" s="88">
        <f t="shared" si="1"/>
        <v>2014</v>
      </c>
      <c r="C65" s="20">
        <f ca="1">'Monthly Data'!K89</f>
        <v>8749376.5691490099</v>
      </c>
      <c r="D65" s="88">
        <f>'Monthly Data'!AL65</f>
        <v>0</v>
      </c>
      <c r="E65" s="88">
        <f>'Monthly Data'!AM65</f>
        <v>30</v>
      </c>
      <c r="F65" s="88">
        <f>'Monthly Data'!AP89</f>
        <v>6785</v>
      </c>
      <c r="G65" s="88">
        <f>'Monthly Data'!AS89</f>
        <v>0</v>
      </c>
      <c r="H65" s="88">
        <f>'Monthly Data'!AU89</f>
        <v>0</v>
      </c>
      <c r="I65" s="88">
        <f>'Monthly Data'!AV89</f>
        <v>0</v>
      </c>
      <c r="J65" s="88">
        <f>'Monthly Data'!AD89</f>
        <v>189</v>
      </c>
      <c r="L65" s="20">
        <f>'GS &gt; 50 OLS model'!$I$5</f>
        <v>-16961164.693300899</v>
      </c>
      <c r="M65" s="20">
        <f>'GS &gt; 50 OLS model'!$I$6*D65</f>
        <v>0</v>
      </c>
      <c r="N65" s="20">
        <f>'GS &gt; 50 OLS model'!$I$7*E65</f>
        <v>11413929.28252176</v>
      </c>
      <c r="O65" s="20">
        <f>'GS &gt; 50 OLS model'!$I$8*F65</f>
        <v>12611570.738722157</v>
      </c>
      <c r="P65" s="20">
        <f>'GS &gt; 50 OLS model'!$I$9*G65</f>
        <v>0</v>
      </c>
      <c r="Q65" s="20">
        <f>'GS &gt; 50 OLS model'!$I$10*H65</f>
        <v>0</v>
      </c>
      <c r="R65" s="20">
        <f>'GS &gt; 50 OLS model'!$I$11*I65</f>
        <v>0</v>
      </c>
      <c r="S65" s="20">
        <f>'GS &gt; 50 OLS model'!$I$12*J65</f>
        <v>2730144.1493263389</v>
      </c>
      <c r="T65" s="20">
        <f t="shared" si="3"/>
        <v>9794479.4772693571</v>
      </c>
      <c r="U65" s="23">
        <f t="shared" ca="1" si="2"/>
        <v>0.11944884299590697</v>
      </c>
    </row>
    <row r="66" spans="1:21" ht="14.4" x14ac:dyDescent="0.3">
      <c r="A66" s="22">
        <f>'Monthly Data'!A90</f>
        <v>41760</v>
      </c>
      <c r="B66" s="88">
        <f t="shared" ref="B66:B97" si="4">YEAR(A66)</f>
        <v>2014</v>
      </c>
      <c r="C66" s="20">
        <f ca="1">'Monthly Data'!K90</f>
        <v>10372384.24914901</v>
      </c>
      <c r="D66" s="88">
        <f>'Monthly Data'!AL66</f>
        <v>28.5</v>
      </c>
      <c r="E66" s="88">
        <f>'Monthly Data'!AM66</f>
        <v>31</v>
      </c>
      <c r="F66" s="88">
        <f>'Monthly Data'!AP90</f>
        <v>6842.6</v>
      </c>
      <c r="G66" s="88">
        <f>'Monthly Data'!AS90</f>
        <v>0</v>
      </c>
      <c r="H66" s="88">
        <f>'Monthly Data'!AU90</f>
        <v>0</v>
      </c>
      <c r="I66" s="88">
        <f>'Monthly Data'!AV90</f>
        <v>0</v>
      </c>
      <c r="J66" s="88">
        <f>'Monthly Data'!AD90</f>
        <v>187</v>
      </c>
      <c r="L66" s="20">
        <f>'GS &gt; 50 OLS model'!$I$5</f>
        <v>-16961164.693300899</v>
      </c>
      <c r="M66" s="20">
        <f>'GS &gt; 50 OLS model'!$I$6*D66</f>
        <v>115999.90432044292</v>
      </c>
      <c r="N66" s="20">
        <f>'GS &gt; 50 OLS model'!$I$7*E66</f>
        <v>11794393.591939153</v>
      </c>
      <c r="O66" s="20">
        <f>'GS &gt; 50 OLS model'!$I$8*F66</f>
        <v>12718634.331139313</v>
      </c>
      <c r="P66" s="20">
        <f>'GS &gt; 50 OLS model'!$I$9*G66</f>
        <v>0</v>
      </c>
      <c r="Q66" s="20">
        <f>'GS &gt; 50 OLS model'!$I$10*H66</f>
        <v>0</v>
      </c>
      <c r="R66" s="20">
        <f>'GS &gt; 50 OLS model'!$I$11*I66</f>
        <v>0</v>
      </c>
      <c r="S66" s="20">
        <f>'GS &gt; 50 OLS model'!$I$12*J66</f>
        <v>2701253.7350477534</v>
      </c>
      <c r="T66" s="20">
        <f t="shared" si="3"/>
        <v>10369116.869145762</v>
      </c>
      <c r="U66" s="23">
        <f t="shared" ref="U66:U97" ca="1" si="5">ABS(T66-C66)/C66</f>
        <v>3.1500761298112133E-4</v>
      </c>
    </row>
    <row r="67" spans="1:21" ht="14.4" x14ac:dyDescent="0.3">
      <c r="A67" s="22">
        <f>'Monthly Data'!A91</f>
        <v>41791</v>
      </c>
      <c r="B67" s="88">
        <f t="shared" si="4"/>
        <v>2014</v>
      </c>
      <c r="C67" s="20">
        <f ca="1">'Monthly Data'!K91</f>
        <v>10556164.529149009</v>
      </c>
      <c r="D67" s="88">
        <f>'Monthly Data'!AL67</f>
        <v>81.7</v>
      </c>
      <c r="E67" s="88">
        <f>'Monthly Data'!AM67</f>
        <v>30</v>
      </c>
      <c r="F67" s="88">
        <f>'Monthly Data'!AP91</f>
        <v>6912.9</v>
      </c>
      <c r="G67" s="88">
        <f>'Monthly Data'!AS91</f>
        <v>0</v>
      </c>
      <c r="H67" s="88">
        <f>'Monthly Data'!AU91</f>
        <v>0</v>
      </c>
      <c r="I67" s="88">
        <f>'Monthly Data'!AV91</f>
        <v>0</v>
      </c>
      <c r="J67" s="88">
        <f>'Monthly Data'!AD91</f>
        <v>187</v>
      </c>
      <c r="L67" s="20">
        <f>'GS &gt; 50 OLS model'!$I$5</f>
        <v>-16961164.693300899</v>
      </c>
      <c r="M67" s="20">
        <f>'GS &gt; 50 OLS model'!$I$6*D67</f>
        <v>332533.05905193638</v>
      </c>
      <c r="N67" s="20">
        <f>'GS &gt; 50 OLS model'!$I$7*E67</f>
        <v>11413929.28252176</v>
      </c>
      <c r="O67" s="20">
        <f>'GS &gt; 50 OLS model'!$I$8*F67</f>
        <v>12849303.958690111</v>
      </c>
      <c r="P67" s="20">
        <f>'GS &gt; 50 OLS model'!$I$9*G67</f>
        <v>0</v>
      </c>
      <c r="Q67" s="20">
        <f>'GS &gt; 50 OLS model'!$I$10*H67</f>
        <v>0</v>
      </c>
      <c r="R67" s="20">
        <f>'GS &gt; 50 OLS model'!$I$11*I67</f>
        <v>0</v>
      </c>
      <c r="S67" s="20">
        <f>'GS &gt; 50 OLS model'!$I$12*J67</f>
        <v>2701253.7350477534</v>
      </c>
      <c r="T67" s="20">
        <f t="shared" ref="T67:T97" si="6">SUM(L67:S67)</f>
        <v>10335855.342010662</v>
      </c>
      <c r="U67" s="23">
        <f t="shared" ca="1" si="5"/>
        <v>2.0870192628203315E-2</v>
      </c>
    </row>
    <row r="68" spans="1:21" ht="14.4" x14ac:dyDescent="0.3">
      <c r="A68" s="22">
        <f>'Monthly Data'!A92</f>
        <v>41821</v>
      </c>
      <c r="B68" s="88">
        <f t="shared" si="4"/>
        <v>2014</v>
      </c>
      <c r="C68" s="20">
        <f ca="1">'Monthly Data'!K92</f>
        <v>10305534.56914901</v>
      </c>
      <c r="D68" s="88">
        <f>'Monthly Data'!AL68</f>
        <v>161</v>
      </c>
      <c r="E68" s="88">
        <f>'Monthly Data'!AM68</f>
        <v>31</v>
      </c>
      <c r="F68" s="88">
        <f>'Monthly Data'!AP92</f>
        <v>6957.8</v>
      </c>
      <c r="G68" s="88">
        <f>'Monthly Data'!AS92</f>
        <v>0</v>
      </c>
      <c r="H68" s="88">
        <f>'Monthly Data'!AU92</f>
        <v>0</v>
      </c>
      <c r="I68" s="88">
        <f>'Monthly Data'!AV92</f>
        <v>0</v>
      </c>
      <c r="J68" s="88">
        <f>'Monthly Data'!AD92</f>
        <v>187</v>
      </c>
      <c r="L68" s="20">
        <f>'GS &gt; 50 OLS model'!$I$5</f>
        <v>-16961164.693300899</v>
      </c>
      <c r="M68" s="20">
        <f>'GS &gt; 50 OLS model'!$I$6*D68</f>
        <v>655297.70510846702</v>
      </c>
      <c r="N68" s="20">
        <f>'GS &gt; 50 OLS model'!$I$7*E68</f>
        <v>11794393.591939153</v>
      </c>
      <c r="O68" s="20">
        <f>'GS &gt; 50 OLS model'!$I$8*F68</f>
        <v>12932761.515973622</v>
      </c>
      <c r="P68" s="20">
        <f>'GS &gt; 50 OLS model'!$I$9*G68</f>
        <v>0</v>
      </c>
      <c r="Q68" s="20">
        <f>'GS &gt; 50 OLS model'!$I$10*H68</f>
        <v>0</v>
      </c>
      <c r="R68" s="20">
        <f>'GS &gt; 50 OLS model'!$I$11*I68</f>
        <v>0</v>
      </c>
      <c r="S68" s="20">
        <f>'GS &gt; 50 OLS model'!$I$12*J68</f>
        <v>2701253.7350477534</v>
      </c>
      <c r="T68" s="20">
        <f t="shared" si="6"/>
        <v>11122541.854768097</v>
      </c>
      <c r="U68" s="23">
        <f t="shared" ca="1" si="5"/>
        <v>7.9278496436750362E-2</v>
      </c>
    </row>
    <row r="69" spans="1:21" ht="14.4" x14ac:dyDescent="0.3">
      <c r="A69" s="22">
        <f>'Monthly Data'!A93</f>
        <v>41852</v>
      </c>
      <c r="B69" s="88">
        <f t="shared" si="4"/>
        <v>2014</v>
      </c>
      <c r="C69" s="20">
        <f ca="1">'Monthly Data'!K93</f>
        <v>10665937.879149009</v>
      </c>
      <c r="D69" s="88">
        <f>'Monthly Data'!AL69</f>
        <v>79.599999999999994</v>
      </c>
      <c r="E69" s="88">
        <f>'Monthly Data'!AM69</f>
        <v>31</v>
      </c>
      <c r="F69" s="88">
        <f>'Monthly Data'!AP93</f>
        <v>6969.7</v>
      </c>
      <c r="G69" s="88">
        <f>'Monthly Data'!AS93</f>
        <v>0</v>
      </c>
      <c r="H69" s="88">
        <f>'Monthly Data'!AU93</f>
        <v>0</v>
      </c>
      <c r="I69" s="88">
        <f>'Monthly Data'!AV93</f>
        <v>0</v>
      </c>
      <c r="J69" s="88">
        <f>'Monthly Data'!AD93</f>
        <v>185</v>
      </c>
      <c r="L69" s="20">
        <f>'GS &gt; 50 OLS model'!$I$5</f>
        <v>-16961164.693300899</v>
      </c>
      <c r="M69" s="20">
        <f>'GS &gt; 50 OLS model'!$I$6*D69</f>
        <v>323985.69768095633</v>
      </c>
      <c r="N69" s="20">
        <f>'GS &gt; 50 OLS model'!$I$7*E69</f>
        <v>11794393.591939153</v>
      </c>
      <c r="O69" s="20">
        <f>'GS &gt; 50 OLS model'!$I$8*F69</f>
        <v>12954880.556768138</v>
      </c>
      <c r="P69" s="20">
        <f>'GS &gt; 50 OLS model'!$I$9*G69</f>
        <v>0</v>
      </c>
      <c r="Q69" s="20">
        <f>'GS &gt; 50 OLS model'!$I$10*H69</f>
        <v>0</v>
      </c>
      <c r="R69" s="20">
        <f>'GS &gt; 50 OLS model'!$I$11*I69</f>
        <v>0</v>
      </c>
      <c r="S69" s="20">
        <f>'GS &gt; 50 OLS model'!$I$12*J69</f>
        <v>2672363.320769168</v>
      </c>
      <c r="T69" s="20">
        <f t="shared" si="6"/>
        <v>10784458.473856516</v>
      </c>
      <c r="U69" s="23">
        <f t="shared" ca="1" si="5"/>
        <v>1.1112064972664542E-2</v>
      </c>
    </row>
    <row r="70" spans="1:21" ht="14.4" x14ac:dyDescent="0.3">
      <c r="A70" s="22">
        <f>'Monthly Data'!A94</f>
        <v>41883</v>
      </c>
      <c r="B70" s="88">
        <f t="shared" si="4"/>
        <v>2014</v>
      </c>
      <c r="C70" s="20">
        <f ca="1">'Monthly Data'!K94</f>
        <v>10684767.099149009</v>
      </c>
      <c r="D70" s="88">
        <f>'Monthly Data'!AL70</f>
        <v>27.7</v>
      </c>
      <c r="E70" s="88">
        <f>'Monthly Data'!AM70</f>
        <v>30</v>
      </c>
      <c r="F70" s="88">
        <f>'Monthly Data'!AP94</f>
        <v>6944.1</v>
      </c>
      <c r="G70" s="88">
        <f>'Monthly Data'!AS94</f>
        <v>1</v>
      </c>
      <c r="H70" s="88">
        <f>'Monthly Data'!AU94</f>
        <v>0</v>
      </c>
      <c r="I70" s="88">
        <f>'Monthly Data'!AV94</f>
        <v>0</v>
      </c>
      <c r="J70" s="88">
        <f>'Monthly Data'!AD94</f>
        <v>185</v>
      </c>
      <c r="L70" s="20">
        <f>'GS &gt; 50 OLS model'!$I$5</f>
        <v>-16961164.693300899</v>
      </c>
      <c r="M70" s="20">
        <f>'GS &gt; 50 OLS model'!$I$6*D70</f>
        <v>112743.76665530767</v>
      </c>
      <c r="N70" s="20">
        <f>'GS &gt; 50 OLS model'!$I$7*E70</f>
        <v>11413929.28252176</v>
      </c>
      <c r="O70" s="20">
        <f>'GS &gt; 50 OLS model'!$I$8*F70</f>
        <v>12907296.737916071</v>
      </c>
      <c r="P70" s="20">
        <f>'GS &gt; 50 OLS model'!$I$9*G70</f>
        <v>714989.336488234</v>
      </c>
      <c r="Q70" s="20">
        <f>'GS &gt; 50 OLS model'!$I$10*H70</f>
        <v>0</v>
      </c>
      <c r="R70" s="20">
        <f>'GS &gt; 50 OLS model'!$I$11*I70</f>
        <v>0</v>
      </c>
      <c r="S70" s="20">
        <f>'GS &gt; 50 OLS model'!$I$12*J70</f>
        <v>2672363.320769168</v>
      </c>
      <c r="T70" s="20">
        <f t="shared" si="6"/>
        <v>10860157.751049642</v>
      </c>
      <c r="U70" s="23">
        <f t="shared" ca="1" si="5"/>
        <v>1.6415018715251299E-2</v>
      </c>
    </row>
    <row r="71" spans="1:21" ht="14.4" x14ac:dyDescent="0.3">
      <c r="A71" s="22">
        <f>'Monthly Data'!A95</f>
        <v>41913</v>
      </c>
      <c r="B71" s="88">
        <f t="shared" si="4"/>
        <v>2014</v>
      </c>
      <c r="C71" s="20">
        <f ca="1">'Monthly Data'!K95</f>
        <v>10777471.409149008</v>
      </c>
      <c r="D71" s="88">
        <f>'Monthly Data'!AL71</f>
        <v>0.7</v>
      </c>
      <c r="E71" s="88">
        <f>'Monthly Data'!AM71</f>
        <v>31</v>
      </c>
      <c r="F71" s="88">
        <f>'Monthly Data'!AP95</f>
        <v>6936.6</v>
      </c>
      <c r="G71" s="88">
        <f>'Monthly Data'!AS95</f>
        <v>1</v>
      </c>
      <c r="H71" s="88">
        <f>'Monthly Data'!AU95</f>
        <v>0</v>
      </c>
      <c r="I71" s="88">
        <f>'Monthly Data'!AV95</f>
        <v>0</v>
      </c>
      <c r="J71" s="88">
        <f>'Monthly Data'!AD95</f>
        <v>180</v>
      </c>
      <c r="L71" s="20">
        <f>'GS &gt; 50 OLS model'!$I$5</f>
        <v>-16961164.693300899</v>
      </c>
      <c r="M71" s="20">
        <f>'GS &gt; 50 OLS model'!$I$6*D71</f>
        <v>2849.1204569933348</v>
      </c>
      <c r="N71" s="20">
        <f>'GS &gt; 50 OLS model'!$I$7*E71</f>
        <v>11794393.591939153</v>
      </c>
      <c r="O71" s="20">
        <f>'GS &gt; 50 OLS model'!$I$8*F71</f>
        <v>12893356.165986754</v>
      </c>
      <c r="P71" s="20">
        <f>'GS &gt; 50 OLS model'!$I$9*G71</f>
        <v>714989.336488234</v>
      </c>
      <c r="Q71" s="20">
        <f>'GS &gt; 50 OLS model'!$I$10*H71</f>
        <v>0</v>
      </c>
      <c r="R71" s="20">
        <f>'GS &gt; 50 OLS model'!$I$11*I71</f>
        <v>0</v>
      </c>
      <c r="S71" s="20">
        <f>'GS &gt; 50 OLS model'!$I$12*J71</f>
        <v>2600137.2850727038</v>
      </c>
      <c r="T71" s="20">
        <f t="shared" si="6"/>
        <v>11044560.806642938</v>
      </c>
      <c r="U71" s="23">
        <f t="shared" ca="1" si="5"/>
        <v>2.4782194946692045E-2</v>
      </c>
    </row>
    <row r="72" spans="1:21" ht="14.4" x14ac:dyDescent="0.3">
      <c r="A72" s="22">
        <f>'Monthly Data'!A96</f>
        <v>41944</v>
      </c>
      <c r="B72" s="88">
        <f t="shared" si="4"/>
        <v>2014</v>
      </c>
      <c r="C72" s="20">
        <f ca="1">'Monthly Data'!K96</f>
        <v>10500318.929149011</v>
      </c>
      <c r="D72" s="88">
        <f>'Monthly Data'!AL72</f>
        <v>0</v>
      </c>
      <c r="E72" s="88">
        <f>'Monthly Data'!AM72</f>
        <v>30</v>
      </c>
      <c r="F72" s="88">
        <f>'Monthly Data'!AP96</f>
        <v>6914.3</v>
      </c>
      <c r="G72" s="88">
        <f>'Monthly Data'!AS96</f>
        <v>1</v>
      </c>
      <c r="H72" s="88">
        <f>'Monthly Data'!AU96</f>
        <v>0</v>
      </c>
      <c r="I72" s="88">
        <f>'Monthly Data'!AV96</f>
        <v>0</v>
      </c>
      <c r="J72" s="88">
        <f>'Monthly Data'!AD96</f>
        <v>166</v>
      </c>
      <c r="L72" s="20">
        <f>'GS &gt; 50 OLS model'!$I$5</f>
        <v>-16961164.693300899</v>
      </c>
      <c r="M72" s="20">
        <f>'GS &gt; 50 OLS model'!$I$6*D72</f>
        <v>0</v>
      </c>
      <c r="N72" s="20">
        <f>'GS &gt; 50 OLS model'!$I$7*E72</f>
        <v>11413929.28252176</v>
      </c>
      <c r="O72" s="20">
        <f>'GS &gt; 50 OLS model'!$I$8*F72</f>
        <v>12851906.198783584</v>
      </c>
      <c r="P72" s="20">
        <f>'GS &gt; 50 OLS model'!$I$9*G72</f>
        <v>714989.336488234</v>
      </c>
      <c r="Q72" s="20">
        <f>'GS &gt; 50 OLS model'!$I$10*H72</f>
        <v>0</v>
      </c>
      <c r="R72" s="20">
        <f>'GS &gt; 50 OLS model'!$I$11*I72</f>
        <v>0</v>
      </c>
      <c r="S72" s="20">
        <f>'GS &gt; 50 OLS model'!$I$12*J72</f>
        <v>2397904.3851226047</v>
      </c>
      <c r="T72" s="20">
        <f t="shared" si="6"/>
        <v>10417564.509615283</v>
      </c>
      <c r="U72" s="23">
        <f t="shared" ca="1" si="5"/>
        <v>7.8811339057521801E-3</v>
      </c>
    </row>
    <row r="73" spans="1:21" ht="14.4" x14ac:dyDescent="0.3">
      <c r="A73" s="22">
        <f>'Monthly Data'!A97</f>
        <v>41974</v>
      </c>
      <c r="B73" s="88">
        <f t="shared" si="4"/>
        <v>2014</v>
      </c>
      <c r="C73" s="20">
        <f ca="1">'Monthly Data'!K97</f>
        <v>9933652.4691490103</v>
      </c>
      <c r="D73" s="88">
        <f>'Monthly Data'!AL73</f>
        <v>0</v>
      </c>
      <c r="E73" s="88">
        <f>'Monthly Data'!AM73</f>
        <v>31</v>
      </c>
      <c r="F73" s="88">
        <f>'Monthly Data'!AP97</f>
        <v>6903.2</v>
      </c>
      <c r="G73" s="88">
        <f>'Monthly Data'!AS97</f>
        <v>0</v>
      </c>
      <c r="H73" s="88">
        <f>'Monthly Data'!AU97</f>
        <v>0</v>
      </c>
      <c r="I73" s="88">
        <f>'Monthly Data'!AV97</f>
        <v>0</v>
      </c>
      <c r="J73" s="88">
        <f>'Monthly Data'!AD97</f>
        <v>161</v>
      </c>
      <c r="L73" s="20">
        <f>'GS &gt; 50 OLS model'!$I$5</f>
        <v>-16961164.693300899</v>
      </c>
      <c r="M73" s="20">
        <f>'GS &gt; 50 OLS model'!$I$6*D73</f>
        <v>0</v>
      </c>
      <c r="N73" s="20">
        <f>'GS &gt; 50 OLS model'!$I$7*E73</f>
        <v>11794393.591939153</v>
      </c>
      <c r="O73" s="20">
        <f>'GS &gt; 50 OLS model'!$I$8*F73</f>
        <v>12831274.152328193</v>
      </c>
      <c r="P73" s="20">
        <f>'GS &gt; 50 OLS model'!$I$9*G73</f>
        <v>0</v>
      </c>
      <c r="Q73" s="20">
        <f>'GS &gt; 50 OLS model'!$I$10*H73</f>
        <v>0</v>
      </c>
      <c r="R73" s="20">
        <f>'GS &gt; 50 OLS model'!$I$11*I73</f>
        <v>0</v>
      </c>
      <c r="S73" s="20">
        <f>'GS &gt; 50 OLS model'!$I$12*J73</f>
        <v>2325678.3494261405</v>
      </c>
      <c r="T73" s="20">
        <f t="shared" si="6"/>
        <v>9990181.4003925882</v>
      </c>
      <c r="U73" s="23">
        <f t="shared" ca="1" si="5"/>
        <v>5.6906491765380488E-3</v>
      </c>
    </row>
    <row r="74" spans="1:21" ht="14.4" x14ac:dyDescent="0.3">
      <c r="A74" s="22">
        <f>'Monthly Data'!A98</f>
        <v>42005</v>
      </c>
      <c r="B74" s="88">
        <f t="shared" si="4"/>
        <v>2015</v>
      </c>
      <c r="C74" s="20">
        <f ca="1">'Monthly Data'!K98</f>
        <v>10582210.954274649</v>
      </c>
      <c r="D74" s="88">
        <f>'Monthly Data'!AL74</f>
        <v>0</v>
      </c>
      <c r="E74" s="88">
        <f>'Monthly Data'!AM74</f>
        <v>31</v>
      </c>
      <c r="F74" s="88">
        <f>'Monthly Data'!AP98</f>
        <v>6845.1</v>
      </c>
      <c r="G74" s="88">
        <f>'Monthly Data'!AS98</f>
        <v>0</v>
      </c>
      <c r="H74" s="88">
        <f>'Monthly Data'!AU98</f>
        <v>1</v>
      </c>
      <c r="I74" s="88">
        <f>'Monthly Data'!AV98</f>
        <v>0</v>
      </c>
      <c r="J74" s="88">
        <f>'Monthly Data'!AD98</f>
        <v>158</v>
      </c>
      <c r="L74" s="20">
        <f>'GS &gt; 50 OLS model'!$I$5</f>
        <v>-16961164.693300899</v>
      </c>
      <c r="M74" s="20">
        <f>'GS &gt; 50 OLS model'!$I$6*D74</f>
        <v>0</v>
      </c>
      <c r="N74" s="20">
        <f>'GS &gt; 50 OLS model'!$I$7*E74</f>
        <v>11794393.591939153</v>
      </c>
      <c r="O74" s="20">
        <f>'GS &gt; 50 OLS model'!$I$8*F74</f>
        <v>12723281.188449085</v>
      </c>
      <c r="P74" s="20">
        <f>'GS &gt; 50 OLS model'!$I$9*G74</f>
        <v>0</v>
      </c>
      <c r="Q74" s="20">
        <f>'GS &gt; 50 OLS model'!$I$10*H74</f>
        <v>665807.22887881799</v>
      </c>
      <c r="R74" s="20">
        <f>'GS &gt; 50 OLS model'!$I$11*I74</f>
        <v>0</v>
      </c>
      <c r="S74" s="20">
        <f>'GS &gt; 50 OLS model'!$I$12*J74</f>
        <v>2282342.7280082623</v>
      </c>
      <c r="T74" s="20">
        <f t="shared" si="6"/>
        <v>10504660.04397442</v>
      </c>
      <c r="U74" s="23">
        <f t="shared" ca="1" si="5"/>
        <v>7.328422258384701E-3</v>
      </c>
    </row>
    <row r="75" spans="1:21" ht="14.4" x14ac:dyDescent="0.3">
      <c r="A75" s="22">
        <f>'Monthly Data'!A99</f>
        <v>42036</v>
      </c>
      <c r="B75" s="88">
        <f t="shared" si="4"/>
        <v>2015</v>
      </c>
      <c r="C75" s="20">
        <f ca="1">'Monthly Data'!K99</f>
        <v>10094724.104274649</v>
      </c>
      <c r="D75" s="88">
        <f>'Monthly Data'!AL75</f>
        <v>0</v>
      </c>
      <c r="E75" s="88">
        <f>'Monthly Data'!AM75</f>
        <v>28</v>
      </c>
      <c r="F75" s="88">
        <f>'Monthly Data'!AP99</f>
        <v>6810.3</v>
      </c>
      <c r="G75" s="88">
        <f>'Monthly Data'!AS99</f>
        <v>0</v>
      </c>
      <c r="H75" s="88">
        <f>'Monthly Data'!AU99</f>
        <v>0</v>
      </c>
      <c r="I75" s="88">
        <f>'Monthly Data'!AV99</f>
        <v>1</v>
      </c>
      <c r="J75" s="88">
        <f>'Monthly Data'!AD99</f>
        <v>156</v>
      </c>
      <c r="L75" s="20">
        <f>'GS &gt; 50 OLS model'!$I$5</f>
        <v>-16961164.693300899</v>
      </c>
      <c r="M75" s="20">
        <f>'GS &gt; 50 OLS model'!$I$6*D75</f>
        <v>0</v>
      </c>
      <c r="N75" s="20">
        <f>'GS &gt; 50 OLS model'!$I$7*E75</f>
        <v>10653000.663686976</v>
      </c>
      <c r="O75" s="20">
        <f>'GS &gt; 50 OLS model'!$I$8*F75</f>
        <v>12658596.934697054</v>
      </c>
      <c r="P75" s="20">
        <f>'GS &gt; 50 OLS model'!$I$9*G75</f>
        <v>0</v>
      </c>
      <c r="Q75" s="20">
        <f>'GS &gt; 50 OLS model'!$I$10*H75</f>
        <v>0</v>
      </c>
      <c r="R75" s="20">
        <f>'GS &gt; 50 OLS model'!$I$11*I75</f>
        <v>1683490.93847816</v>
      </c>
      <c r="S75" s="20">
        <f>'GS &gt; 50 OLS model'!$I$12*J75</f>
        <v>2253452.3137296769</v>
      </c>
      <c r="T75" s="20">
        <f t="shared" si="6"/>
        <v>10287376.157290967</v>
      </c>
      <c r="U75" s="23">
        <f t="shared" ca="1" si="5"/>
        <v>1.9084429750263185E-2</v>
      </c>
    </row>
    <row r="76" spans="1:21" ht="14.4" x14ac:dyDescent="0.3">
      <c r="A76" s="22">
        <f>'Monthly Data'!A100</f>
        <v>42064</v>
      </c>
      <c r="B76" s="88">
        <f t="shared" si="4"/>
        <v>2015</v>
      </c>
      <c r="C76" s="20">
        <f ca="1">'Monthly Data'!K100</f>
        <v>10256314.25427465</v>
      </c>
      <c r="D76" s="88">
        <f>'Monthly Data'!AL76</f>
        <v>0</v>
      </c>
      <c r="E76" s="88">
        <f>'Monthly Data'!AM76</f>
        <v>31</v>
      </c>
      <c r="F76" s="88">
        <f>'Monthly Data'!AP100</f>
        <v>6783.7</v>
      </c>
      <c r="G76" s="88">
        <f>'Monthly Data'!AS100</f>
        <v>0</v>
      </c>
      <c r="H76" s="88">
        <f>'Monthly Data'!AU100</f>
        <v>0</v>
      </c>
      <c r="I76" s="88">
        <f>'Monthly Data'!AV100</f>
        <v>0</v>
      </c>
      <c r="J76" s="88">
        <f>'Monthly Data'!AD100</f>
        <v>156</v>
      </c>
      <c r="L76" s="20">
        <f>'GS &gt; 50 OLS model'!$I$5</f>
        <v>-16961164.693300899</v>
      </c>
      <c r="M76" s="20">
        <f>'GS &gt; 50 OLS model'!$I$6*D76</f>
        <v>0</v>
      </c>
      <c r="N76" s="20">
        <f>'GS &gt; 50 OLS model'!$I$7*E76</f>
        <v>11794393.591939153</v>
      </c>
      <c r="O76" s="20">
        <f>'GS &gt; 50 OLS model'!$I$8*F76</f>
        <v>12609154.372921076</v>
      </c>
      <c r="P76" s="20">
        <f>'GS &gt; 50 OLS model'!$I$9*G76</f>
        <v>0</v>
      </c>
      <c r="Q76" s="20">
        <f>'GS &gt; 50 OLS model'!$I$10*H76</f>
        <v>0</v>
      </c>
      <c r="R76" s="20">
        <f>'GS &gt; 50 OLS model'!$I$11*I76</f>
        <v>0</v>
      </c>
      <c r="S76" s="20">
        <f>'GS &gt; 50 OLS model'!$I$12*J76</f>
        <v>2253452.3137296769</v>
      </c>
      <c r="T76" s="20">
        <f t="shared" si="6"/>
        <v>9695835.5852890071</v>
      </c>
      <c r="U76" s="23">
        <f t="shared" ca="1" si="5"/>
        <v>5.4647181735099908E-2</v>
      </c>
    </row>
    <row r="77" spans="1:21" ht="14.4" x14ac:dyDescent="0.3">
      <c r="A77" s="22">
        <f>'Monthly Data'!A101</f>
        <v>42095</v>
      </c>
      <c r="B77" s="88">
        <f t="shared" si="4"/>
        <v>2015</v>
      </c>
      <c r="C77" s="20">
        <f ca="1">'Monthly Data'!K101</f>
        <v>9595036.1342746504</v>
      </c>
      <c r="D77" s="88">
        <f>'Monthly Data'!AL77</f>
        <v>0</v>
      </c>
      <c r="E77" s="88">
        <f>'Monthly Data'!AM77</f>
        <v>30</v>
      </c>
      <c r="F77" s="88">
        <f>'Monthly Data'!AP101</f>
        <v>6805.6</v>
      </c>
      <c r="G77" s="88">
        <f>'Monthly Data'!AS101</f>
        <v>0</v>
      </c>
      <c r="H77" s="88">
        <f>'Monthly Data'!AU101</f>
        <v>0</v>
      </c>
      <c r="I77" s="88">
        <f>'Monthly Data'!AV101</f>
        <v>0</v>
      </c>
      <c r="J77" s="88">
        <f>'Monthly Data'!AD101</f>
        <v>156</v>
      </c>
      <c r="L77" s="20">
        <f>'GS &gt; 50 OLS model'!$I$5</f>
        <v>-16961164.693300899</v>
      </c>
      <c r="M77" s="20">
        <f>'GS &gt; 50 OLS model'!$I$6*D77</f>
        <v>0</v>
      </c>
      <c r="N77" s="20">
        <f>'GS &gt; 50 OLS model'!$I$7*E77</f>
        <v>11413929.28252176</v>
      </c>
      <c r="O77" s="20">
        <f>'GS &gt; 50 OLS model'!$I$8*F77</f>
        <v>12649860.842954682</v>
      </c>
      <c r="P77" s="20">
        <f>'GS &gt; 50 OLS model'!$I$9*G77</f>
        <v>0</v>
      </c>
      <c r="Q77" s="20">
        <f>'GS &gt; 50 OLS model'!$I$10*H77</f>
        <v>0</v>
      </c>
      <c r="R77" s="20">
        <f>'GS &gt; 50 OLS model'!$I$11*I77</f>
        <v>0</v>
      </c>
      <c r="S77" s="20">
        <f>'GS &gt; 50 OLS model'!$I$12*J77</f>
        <v>2253452.3137296769</v>
      </c>
      <c r="T77" s="20">
        <f t="shared" si="6"/>
        <v>9356077.7459052205</v>
      </c>
      <c r="U77" s="23">
        <f t="shared" ca="1" si="5"/>
        <v>2.4904376077943165E-2</v>
      </c>
    </row>
    <row r="78" spans="1:21" ht="14.4" x14ac:dyDescent="0.3">
      <c r="A78" s="22">
        <f>'Monthly Data'!A102</f>
        <v>42125</v>
      </c>
      <c r="B78" s="88">
        <f t="shared" si="4"/>
        <v>2015</v>
      </c>
      <c r="C78" s="20">
        <f ca="1">'Monthly Data'!K102</f>
        <v>9936716.2542746495</v>
      </c>
      <c r="D78" s="88">
        <f>'Monthly Data'!AL78</f>
        <v>27</v>
      </c>
      <c r="E78" s="88">
        <f>'Monthly Data'!AM78</f>
        <v>31</v>
      </c>
      <c r="F78" s="88">
        <f>'Monthly Data'!AP102</f>
        <v>6870.9</v>
      </c>
      <c r="G78" s="88">
        <f>'Monthly Data'!AS102</f>
        <v>0</v>
      </c>
      <c r="H78" s="88">
        <f>'Monthly Data'!AU102</f>
        <v>0</v>
      </c>
      <c r="I78" s="88">
        <f>'Monthly Data'!AV102</f>
        <v>0</v>
      </c>
      <c r="J78" s="88">
        <f>'Monthly Data'!AD102</f>
        <v>156</v>
      </c>
      <c r="L78" s="20">
        <f>'GS &gt; 50 OLS model'!$I$5</f>
        <v>-16961164.693300899</v>
      </c>
      <c r="M78" s="20">
        <f>'GS &gt; 50 OLS model'!$I$6*D78</f>
        <v>109894.64619831435</v>
      </c>
      <c r="N78" s="20">
        <f>'GS &gt; 50 OLS model'!$I$7*E78</f>
        <v>11794393.591939153</v>
      </c>
      <c r="O78" s="20">
        <f>'GS &gt; 50 OLS model'!$I$8*F78</f>
        <v>12771236.755885934</v>
      </c>
      <c r="P78" s="20">
        <f>'GS &gt; 50 OLS model'!$I$9*G78</f>
        <v>0</v>
      </c>
      <c r="Q78" s="20">
        <f>'GS &gt; 50 OLS model'!$I$10*H78</f>
        <v>0</v>
      </c>
      <c r="R78" s="20">
        <f>'GS &gt; 50 OLS model'!$I$11*I78</f>
        <v>0</v>
      </c>
      <c r="S78" s="20">
        <f>'GS &gt; 50 OLS model'!$I$12*J78</f>
        <v>2253452.3137296769</v>
      </c>
      <c r="T78" s="20">
        <f t="shared" si="6"/>
        <v>9967812.6144521795</v>
      </c>
      <c r="U78" s="23">
        <f t="shared" ca="1" si="5"/>
        <v>3.1294402880984668E-3</v>
      </c>
    </row>
    <row r="79" spans="1:21" ht="14.4" x14ac:dyDescent="0.3">
      <c r="A79" s="22">
        <f>'Monthly Data'!A103</f>
        <v>42156</v>
      </c>
      <c r="B79" s="88">
        <f t="shared" si="4"/>
        <v>2015</v>
      </c>
      <c r="C79" s="20">
        <f ca="1">'Monthly Data'!K103</f>
        <v>9839856.9242746513</v>
      </c>
      <c r="D79" s="88">
        <f>'Monthly Data'!AL79</f>
        <v>56.800000000000004</v>
      </c>
      <c r="E79" s="88">
        <f>'Monthly Data'!AM79</f>
        <v>30</v>
      </c>
      <c r="F79" s="88">
        <f>'Monthly Data'!AP103</f>
        <v>6965.8</v>
      </c>
      <c r="G79" s="88">
        <f>'Monthly Data'!AS103</f>
        <v>0</v>
      </c>
      <c r="H79" s="88">
        <f>'Monthly Data'!AU103</f>
        <v>0</v>
      </c>
      <c r="I79" s="88">
        <f>'Monthly Data'!AV103</f>
        <v>0</v>
      </c>
      <c r="J79" s="88">
        <f>'Monthly Data'!AD103</f>
        <v>155</v>
      </c>
      <c r="L79" s="20">
        <f>'GS &gt; 50 OLS model'!$I$5</f>
        <v>-16961164.693300899</v>
      </c>
      <c r="M79" s="20">
        <f>'GS &gt; 50 OLS model'!$I$6*D79</f>
        <v>231185.77422460204</v>
      </c>
      <c r="N79" s="20">
        <f>'GS &gt; 50 OLS model'!$I$7*E79</f>
        <v>11413929.28252176</v>
      </c>
      <c r="O79" s="20">
        <f>'GS &gt; 50 OLS model'!$I$8*F79</f>
        <v>12947631.459364895</v>
      </c>
      <c r="P79" s="20">
        <f>'GS &gt; 50 OLS model'!$I$9*G79</f>
        <v>0</v>
      </c>
      <c r="Q79" s="20">
        <f>'GS &gt; 50 OLS model'!$I$10*H79</f>
        <v>0</v>
      </c>
      <c r="R79" s="20">
        <f>'GS &gt; 50 OLS model'!$I$11*I79</f>
        <v>0</v>
      </c>
      <c r="S79" s="20">
        <f>'GS &gt; 50 OLS model'!$I$12*J79</f>
        <v>2239007.1065903837</v>
      </c>
      <c r="T79" s="20">
        <f t="shared" si="6"/>
        <v>9870588.9294007421</v>
      </c>
      <c r="U79" s="23">
        <f t="shared" ca="1" si="5"/>
        <v>3.1232166648963895E-3</v>
      </c>
    </row>
    <row r="80" spans="1:21" ht="14.4" x14ac:dyDescent="0.3">
      <c r="A80" s="22">
        <f>'Monthly Data'!A104</f>
        <v>42186</v>
      </c>
      <c r="B80" s="88">
        <f t="shared" si="4"/>
        <v>2015</v>
      </c>
      <c r="C80" s="20">
        <f ca="1">'Monthly Data'!K104</f>
        <v>10267126.284274649</v>
      </c>
      <c r="D80" s="88">
        <f>'Monthly Data'!AL80</f>
        <v>108.8</v>
      </c>
      <c r="E80" s="88">
        <f>'Monthly Data'!AM80</f>
        <v>31</v>
      </c>
      <c r="F80" s="88">
        <f>'Monthly Data'!AP104</f>
        <v>7032.3</v>
      </c>
      <c r="G80" s="88">
        <f>'Monthly Data'!AS104</f>
        <v>0</v>
      </c>
      <c r="H80" s="88">
        <f>'Monthly Data'!AU104</f>
        <v>0</v>
      </c>
      <c r="I80" s="88">
        <f>'Monthly Data'!AV104</f>
        <v>0</v>
      </c>
      <c r="J80" s="88">
        <f>'Monthly Data'!AD104</f>
        <v>155</v>
      </c>
      <c r="L80" s="20">
        <f>'GS &gt; 50 OLS model'!$I$5</f>
        <v>-16961164.693300899</v>
      </c>
      <c r="M80" s="20">
        <f>'GS &gt; 50 OLS model'!$I$6*D80</f>
        <v>442834.72245839261</v>
      </c>
      <c r="N80" s="20">
        <f>'GS &gt; 50 OLS model'!$I$7*E80</f>
        <v>11794393.591939153</v>
      </c>
      <c r="O80" s="20">
        <f>'GS &gt; 50 OLS model'!$I$8*F80</f>
        <v>13071237.863804838</v>
      </c>
      <c r="P80" s="20">
        <f>'GS &gt; 50 OLS model'!$I$9*G80</f>
        <v>0</v>
      </c>
      <c r="Q80" s="20">
        <f>'GS &gt; 50 OLS model'!$I$10*H80</f>
        <v>0</v>
      </c>
      <c r="R80" s="20">
        <f>'GS &gt; 50 OLS model'!$I$11*I80</f>
        <v>0</v>
      </c>
      <c r="S80" s="20">
        <f>'GS &gt; 50 OLS model'!$I$12*J80</f>
        <v>2239007.1065903837</v>
      </c>
      <c r="T80" s="20">
        <f t="shared" si="6"/>
        <v>10586308.591491867</v>
      </c>
      <c r="U80" s="23">
        <f t="shared" ca="1" si="5"/>
        <v>3.1087794031138438E-2</v>
      </c>
    </row>
    <row r="81" spans="1:21" ht="14.4" x14ac:dyDescent="0.3">
      <c r="A81" s="22">
        <f>'Monthly Data'!A105</f>
        <v>42217</v>
      </c>
      <c r="B81" s="88">
        <f t="shared" si="4"/>
        <v>2015</v>
      </c>
      <c r="C81" s="20">
        <f ca="1">'Monthly Data'!K105</f>
        <v>10466757.41427465</v>
      </c>
      <c r="D81" s="88">
        <f>'Monthly Data'!AL81</f>
        <v>57.5</v>
      </c>
      <c r="E81" s="88">
        <f>'Monthly Data'!AM81</f>
        <v>31</v>
      </c>
      <c r="F81" s="88">
        <f>'Monthly Data'!AP105</f>
        <v>7045.7</v>
      </c>
      <c r="G81" s="88">
        <f>'Monthly Data'!AS105</f>
        <v>0</v>
      </c>
      <c r="H81" s="88">
        <f>'Monthly Data'!AU105</f>
        <v>0</v>
      </c>
      <c r="I81" s="88">
        <f>'Monthly Data'!AV105</f>
        <v>0</v>
      </c>
      <c r="J81" s="88">
        <f>'Monthly Data'!AD105</f>
        <v>156</v>
      </c>
      <c r="L81" s="20">
        <f>'GS &gt; 50 OLS model'!$I$5</f>
        <v>-16961164.693300899</v>
      </c>
      <c r="M81" s="20">
        <f>'GS &gt; 50 OLS model'!$I$6*D81</f>
        <v>234034.89468159535</v>
      </c>
      <c r="N81" s="20">
        <f>'GS &gt; 50 OLS model'!$I$7*E81</f>
        <v>11794393.591939153</v>
      </c>
      <c r="O81" s="20">
        <f>'GS &gt; 50 OLS model'!$I$8*F81</f>
        <v>13096145.018985217</v>
      </c>
      <c r="P81" s="20">
        <f>'GS &gt; 50 OLS model'!$I$9*G81</f>
        <v>0</v>
      </c>
      <c r="Q81" s="20">
        <f>'GS &gt; 50 OLS model'!$I$10*H81</f>
        <v>0</v>
      </c>
      <c r="R81" s="20">
        <f>'GS &gt; 50 OLS model'!$I$11*I81</f>
        <v>0</v>
      </c>
      <c r="S81" s="20">
        <f>'GS &gt; 50 OLS model'!$I$12*J81</f>
        <v>2253452.3137296769</v>
      </c>
      <c r="T81" s="20">
        <f t="shared" si="6"/>
        <v>10416861.126034744</v>
      </c>
      <c r="U81" s="23">
        <f t="shared" ca="1" si="5"/>
        <v>4.7671199651438028E-3</v>
      </c>
    </row>
    <row r="82" spans="1:21" ht="14.4" x14ac:dyDescent="0.3">
      <c r="A82" s="22">
        <f>'Monthly Data'!A106</f>
        <v>42248</v>
      </c>
      <c r="B82" s="88">
        <f t="shared" si="4"/>
        <v>2015</v>
      </c>
      <c r="C82" s="20">
        <f ca="1">'Monthly Data'!K106</f>
        <v>10687192.664274648</v>
      </c>
      <c r="D82" s="88">
        <f>'Monthly Data'!AL82</f>
        <v>26</v>
      </c>
      <c r="E82" s="88">
        <f>'Monthly Data'!AM82</f>
        <v>30</v>
      </c>
      <c r="F82" s="88">
        <f>'Monthly Data'!AP106</f>
        <v>6994.9</v>
      </c>
      <c r="G82" s="88">
        <f>'Monthly Data'!AS106</f>
        <v>1</v>
      </c>
      <c r="H82" s="88">
        <f>'Monthly Data'!AU106</f>
        <v>0</v>
      </c>
      <c r="I82" s="88">
        <f>'Monthly Data'!AV106</f>
        <v>0</v>
      </c>
      <c r="J82" s="88">
        <f>'Monthly Data'!AD106</f>
        <v>158</v>
      </c>
      <c r="L82" s="20">
        <f>'GS &gt; 50 OLS model'!$I$5</f>
        <v>-16961164.693300899</v>
      </c>
      <c r="M82" s="20">
        <f>'GS &gt; 50 OLS model'!$I$6*D82</f>
        <v>105824.47411689529</v>
      </c>
      <c r="N82" s="20">
        <f>'GS &gt; 50 OLS model'!$I$7*E82</f>
        <v>11413929.28252176</v>
      </c>
      <c r="O82" s="20">
        <f>'GS &gt; 50 OLS model'!$I$8*F82</f>
        <v>13001720.878450643</v>
      </c>
      <c r="P82" s="20">
        <f>'GS &gt; 50 OLS model'!$I$9*G82</f>
        <v>714989.336488234</v>
      </c>
      <c r="Q82" s="20">
        <f>'GS &gt; 50 OLS model'!$I$10*H82</f>
        <v>0</v>
      </c>
      <c r="R82" s="20">
        <f>'GS &gt; 50 OLS model'!$I$11*I82</f>
        <v>0</v>
      </c>
      <c r="S82" s="20">
        <f>'GS &gt; 50 OLS model'!$I$12*J82</f>
        <v>2282342.7280082623</v>
      </c>
      <c r="T82" s="20">
        <f t="shared" si="6"/>
        <v>10557642.006284896</v>
      </c>
      <c r="U82" s="23">
        <f t="shared" ca="1" si="5"/>
        <v>1.2122047581570787E-2</v>
      </c>
    </row>
    <row r="83" spans="1:21" ht="14.4" x14ac:dyDescent="0.3">
      <c r="A83" s="22">
        <f>'Monthly Data'!A107</f>
        <v>42278</v>
      </c>
      <c r="B83" s="88">
        <f t="shared" si="4"/>
        <v>2015</v>
      </c>
      <c r="C83" s="20">
        <f ca="1">'Monthly Data'!K107</f>
        <v>10413110.224274648</v>
      </c>
      <c r="D83" s="88">
        <f>'Monthly Data'!AL83</f>
        <v>2.6</v>
      </c>
      <c r="E83" s="88">
        <f>'Monthly Data'!AM83</f>
        <v>31</v>
      </c>
      <c r="F83" s="88">
        <f>'Monthly Data'!AP107</f>
        <v>6969</v>
      </c>
      <c r="G83" s="88">
        <f>'Monthly Data'!AS107</f>
        <v>1</v>
      </c>
      <c r="H83" s="88">
        <f>'Monthly Data'!AU107</f>
        <v>0</v>
      </c>
      <c r="I83" s="88">
        <f>'Monthly Data'!AV107</f>
        <v>0</v>
      </c>
      <c r="J83" s="88">
        <f>'Monthly Data'!AD107</f>
        <v>161</v>
      </c>
      <c r="L83" s="20">
        <f>'GS &gt; 50 OLS model'!$I$5</f>
        <v>-16961164.693300899</v>
      </c>
      <c r="M83" s="20">
        <f>'GS &gt; 50 OLS model'!$I$6*D83</f>
        <v>10582.447411689531</v>
      </c>
      <c r="N83" s="20">
        <f>'GS &gt; 50 OLS model'!$I$7*E83</f>
        <v>11794393.591939153</v>
      </c>
      <c r="O83" s="20">
        <f>'GS &gt; 50 OLS model'!$I$8*F83</f>
        <v>12953579.436721403</v>
      </c>
      <c r="P83" s="20">
        <f>'GS &gt; 50 OLS model'!$I$9*G83</f>
        <v>714989.336488234</v>
      </c>
      <c r="Q83" s="20">
        <f>'GS &gt; 50 OLS model'!$I$10*H83</f>
        <v>0</v>
      </c>
      <c r="R83" s="20">
        <f>'GS &gt; 50 OLS model'!$I$11*I83</f>
        <v>0</v>
      </c>
      <c r="S83" s="20">
        <f>'GS &gt; 50 OLS model'!$I$12*J83</f>
        <v>2325678.3494261405</v>
      </c>
      <c r="T83" s="20">
        <f t="shared" si="6"/>
        <v>10838058.468685722</v>
      </c>
      <c r="U83" s="23">
        <f t="shared" ca="1" si="5"/>
        <v>4.0808964397635046E-2</v>
      </c>
    </row>
    <row r="84" spans="1:21" ht="14.4" x14ac:dyDescent="0.3">
      <c r="A84" s="22">
        <f>'Monthly Data'!A108</f>
        <v>42309</v>
      </c>
      <c r="B84" s="88">
        <f t="shared" si="4"/>
        <v>2015</v>
      </c>
      <c r="C84" s="20">
        <f ca="1">'Monthly Data'!K108</f>
        <v>10438235.344274649</v>
      </c>
      <c r="D84" s="88">
        <f>'Monthly Data'!AL84</f>
        <v>0</v>
      </c>
      <c r="E84" s="88">
        <f>'Monthly Data'!AM84</f>
        <v>30</v>
      </c>
      <c r="F84" s="88">
        <f>'Monthly Data'!AP108</f>
        <v>6936.9</v>
      </c>
      <c r="G84" s="88">
        <f>'Monthly Data'!AS108</f>
        <v>1</v>
      </c>
      <c r="H84" s="88">
        <f>'Monthly Data'!AU108</f>
        <v>0</v>
      </c>
      <c r="I84" s="88">
        <f>'Monthly Data'!AV108</f>
        <v>0</v>
      </c>
      <c r="J84" s="88">
        <f>'Monthly Data'!AD108</f>
        <v>160</v>
      </c>
      <c r="L84" s="20">
        <f>'GS &gt; 50 OLS model'!$I$5</f>
        <v>-16961164.693300899</v>
      </c>
      <c r="M84" s="20">
        <f>'GS &gt; 50 OLS model'!$I$6*D84</f>
        <v>0</v>
      </c>
      <c r="N84" s="20">
        <f>'GS &gt; 50 OLS model'!$I$7*E84</f>
        <v>11413929.28252176</v>
      </c>
      <c r="O84" s="20">
        <f>'GS &gt; 50 OLS model'!$I$8*F84</f>
        <v>12893913.788863925</v>
      </c>
      <c r="P84" s="20">
        <f>'GS &gt; 50 OLS model'!$I$9*G84</f>
        <v>714989.336488234</v>
      </c>
      <c r="Q84" s="20">
        <f>'GS &gt; 50 OLS model'!$I$10*H84</f>
        <v>0</v>
      </c>
      <c r="R84" s="20">
        <f>'GS &gt; 50 OLS model'!$I$11*I84</f>
        <v>0</v>
      </c>
      <c r="S84" s="20">
        <f>'GS &gt; 50 OLS model'!$I$12*J84</f>
        <v>2311233.1422868478</v>
      </c>
      <c r="T84" s="20">
        <f t="shared" si="6"/>
        <v>10372900.856859868</v>
      </c>
      <c r="U84" s="23">
        <f t="shared" ca="1" si="5"/>
        <v>6.2591506380067236E-3</v>
      </c>
    </row>
    <row r="85" spans="1:21" ht="14.4" x14ac:dyDescent="0.3">
      <c r="A85" s="22">
        <f>'Monthly Data'!A109</f>
        <v>42339</v>
      </c>
      <c r="B85" s="88">
        <f t="shared" si="4"/>
        <v>2015</v>
      </c>
      <c r="C85" s="20">
        <f ca="1">'Monthly Data'!K109</f>
        <v>9629764.5342746489</v>
      </c>
      <c r="D85" s="88">
        <f>'Monthly Data'!AL85</f>
        <v>0</v>
      </c>
      <c r="E85" s="88">
        <f>'Monthly Data'!AM85</f>
        <v>31</v>
      </c>
      <c r="F85" s="88">
        <f>'Monthly Data'!AP109</f>
        <v>6948.2</v>
      </c>
      <c r="G85" s="88">
        <f>'Monthly Data'!AS109</f>
        <v>0</v>
      </c>
      <c r="H85" s="88">
        <f>'Monthly Data'!AU109</f>
        <v>0</v>
      </c>
      <c r="I85" s="88">
        <f>'Monthly Data'!AV109</f>
        <v>0</v>
      </c>
      <c r="J85" s="88">
        <f>'Monthly Data'!AD109</f>
        <v>160</v>
      </c>
      <c r="L85" s="20">
        <f>'GS &gt; 50 OLS model'!$I$5</f>
        <v>-16961164.693300899</v>
      </c>
      <c r="M85" s="20">
        <f>'GS &gt; 50 OLS model'!$I$6*D85</f>
        <v>0</v>
      </c>
      <c r="N85" s="20">
        <f>'GS &gt; 50 OLS model'!$I$7*E85</f>
        <v>11794393.591939153</v>
      </c>
      <c r="O85" s="20">
        <f>'GS &gt; 50 OLS model'!$I$8*F85</f>
        <v>12914917.583904097</v>
      </c>
      <c r="P85" s="20">
        <f>'GS &gt; 50 OLS model'!$I$9*G85</f>
        <v>0</v>
      </c>
      <c r="Q85" s="20">
        <f>'GS &gt; 50 OLS model'!$I$10*H85</f>
        <v>0</v>
      </c>
      <c r="R85" s="20">
        <f>'GS &gt; 50 OLS model'!$I$11*I85</f>
        <v>0</v>
      </c>
      <c r="S85" s="20">
        <f>'GS &gt; 50 OLS model'!$I$12*J85</f>
        <v>2311233.1422868478</v>
      </c>
      <c r="T85" s="20">
        <f t="shared" si="6"/>
        <v>10059379.624829199</v>
      </c>
      <c r="U85" s="23">
        <f t="shared" ca="1" si="5"/>
        <v>4.4613249786684482E-2</v>
      </c>
    </row>
    <row r="86" spans="1:21" ht="14.4" x14ac:dyDescent="0.3">
      <c r="A86" s="22">
        <f>'Monthly Data'!A110</f>
        <v>42370</v>
      </c>
      <c r="B86" s="88">
        <f t="shared" si="4"/>
        <v>2016</v>
      </c>
      <c r="C86" s="20">
        <f ca="1">'Monthly Data'!K110</f>
        <v>10696831.053509627</v>
      </c>
      <c r="D86" s="88">
        <f>'Monthly Data'!AL86</f>
        <v>0</v>
      </c>
      <c r="E86" s="88">
        <f>'Monthly Data'!AM86</f>
        <v>31</v>
      </c>
      <c r="F86" s="88">
        <f>'Monthly Data'!AP110</f>
        <v>6919.2</v>
      </c>
      <c r="G86" s="88">
        <f>'Monthly Data'!AS110</f>
        <v>0</v>
      </c>
      <c r="H86" s="88">
        <f>'Monthly Data'!AU110</f>
        <v>1</v>
      </c>
      <c r="I86" s="88">
        <f>'Monthly Data'!AV110</f>
        <v>0</v>
      </c>
      <c r="J86" s="88">
        <f>'Monthly Data'!AD110</f>
        <v>161</v>
      </c>
      <c r="L86" s="20">
        <f>'GS &gt; 50 OLS model'!$I$5</f>
        <v>-16961164.693300899</v>
      </c>
      <c r="M86" s="20">
        <f>'GS &gt; 50 OLS model'!$I$6*D86</f>
        <v>0</v>
      </c>
      <c r="N86" s="20">
        <f>'GS &gt; 50 OLS model'!$I$7*E86</f>
        <v>11794393.591939153</v>
      </c>
      <c r="O86" s="20">
        <f>'GS &gt; 50 OLS model'!$I$8*F86</f>
        <v>12861014.039110737</v>
      </c>
      <c r="P86" s="20">
        <f>'GS &gt; 50 OLS model'!$I$9*G86</f>
        <v>0</v>
      </c>
      <c r="Q86" s="20">
        <f>'GS &gt; 50 OLS model'!$I$10*H86</f>
        <v>665807.22887881799</v>
      </c>
      <c r="R86" s="20">
        <f>'GS &gt; 50 OLS model'!$I$11*I86</f>
        <v>0</v>
      </c>
      <c r="S86" s="20">
        <f>'GS &gt; 50 OLS model'!$I$12*J86</f>
        <v>2325678.3494261405</v>
      </c>
      <c r="T86" s="20">
        <f t="shared" si="6"/>
        <v>10685728.51605395</v>
      </c>
      <c r="U86" s="23">
        <f t="shared" ca="1" si="5"/>
        <v>1.0379277189792938E-3</v>
      </c>
    </row>
    <row r="87" spans="1:21" ht="14.4" x14ac:dyDescent="0.3">
      <c r="A87" s="22">
        <f>'Monthly Data'!A111</f>
        <v>42401</v>
      </c>
      <c r="B87" s="88">
        <f t="shared" si="4"/>
        <v>2016</v>
      </c>
      <c r="C87" s="20">
        <f ca="1">'Monthly Data'!K111</f>
        <v>10023135.683509627</v>
      </c>
      <c r="D87" s="88">
        <f>'Monthly Data'!AL87</f>
        <v>0</v>
      </c>
      <c r="E87" s="88">
        <f>'Monthly Data'!AM87</f>
        <v>28</v>
      </c>
      <c r="F87" s="88">
        <f>'Monthly Data'!AP111</f>
        <v>6896.8</v>
      </c>
      <c r="G87" s="88">
        <f>'Monthly Data'!AS111</f>
        <v>0</v>
      </c>
      <c r="H87" s="88">
        <f>'Monthly Data'!AU111</f>
        <v>0</v>
      </c>
      <c r="I87" s="88">
        <f>'Monthly Data'!AV111</f>
        <v>1</v>
      </c>
      <c r="J87" s="88">
        <f>'Monthly Data'!AD111</f>
        <v>160</v>
      </c>
      <c r="L87" s="20">
        <f>'GS &gt; 50 OLS model'!$I$5</f>
        <v>-16961164.693300899</v>
      </c>
      <c r="M87" s="20">
        <f>'GS &gt; 50 OLS model'!$I$6*D87</f>
        <v>0</v>
      </c>
      <c r="N87" s="20">
        <f>'GS &gt; 50 OLS model'!$I$7*E87</f>
        <v>10653000.663686976</v>
      </c>
      <c r="O87" s="20">
        <f>'GS &gt; 50 OLS model'!$I$8*F87</f>
        <v>12819378.197615176</v>
      </c>
      <c r="P87" s="20">
        <f>'GS &gt; 50 OLS model'!$I$9*G87</f>
        <v>0</v>
      </c>
      <c r="Q87" s="20">
        <f>'GS &gt; 50 OLS model'!$I$10*H87</f>
        <v>0</v>
      </c>
      <c r="R87" s="20">
        <f>'GS &gt; 50 OLS model'!$I$11*I87</f>
        <v>1683490.93847816</v>
      </c>
      <c r="S87" s="20">
        <f>'GS &gt; 50 OLS model'!$I$12*J87</f>
        <v>2311233.1422868478</v>
      </c>
      <c r="T87" s="20">
        <f t="shared" si="6"/>
        <v>10505938.24876626</v>
      </c>
      <c r="U87" s="23">
        <f t="shared" ca="1" si="5"/>
        <v>4.8168814680515058E-2</v>
      </c>
    </row>
    <row r="88" spans="1:21" ht="14.4" x14ac:dyDescent="0.3">
      <c r="A88" s="22">
        <f>'Monthly Data'!A112</f>
        <v>42430</v>
      </c>
      <c r="B88" s="88">
        <f t="shared" si="4"/>
        <v>2016</v>
      </c>
      <c r="C88" s="20">
        <f ca="1">'Monthly Data'!K112</f>
        <v>10105133.353509627</v>
      </c>
      <c r="D88" s="88">
        <f>'Monthly Data'!AL88</f>
        <v>0</v>
      </c>
      <c r="E88" s="88">
        <f>'Monthly Data'!AM88</f>
        <v>31</v>
      </c>
      <c r="F88" s="88">
        <f>'Monthly Data'!AP112</f>
        <v>6872.4</v>
      </c>
      <c r="G88" s="88">
        <f>'Monthly Data'!AS112</f>
        <v>0</v>
      </c>
      <c r="H88" s="88">
        <f>'Monthly Data'!AU112</f>
        <v>0</v>
      </c>
      <c r="I88" s="88">
        <f>'Monthly Data'!AV112</f>
        <v>0</v>
      </c>
      <c r="J88" s="88">
        <f>'Monthly Data'!AD112</f>
        <v>161</v>
      </c>
      <c r="L88" s="20">
        <f>'GS &gt; 50 OLS model'!$I$5</f>
        <v>-16961164.693300899</v>
      </c>
      <c r="M88" s="20">
        <f>'GS &gt; 50 OLS model'!$I$6*D88</f>
        <v>0</v>
      </c>
      <c r="N88" s="20">
        <f>'GS &gt; 50 OLS model'!$I$7*E88</f>
        <v>11794393.591939153</v>
      </c>
      <c r="O88" s="20">
        <f>'GS &gt; 50 OLS model'!$I$8*F88</f>
        <v>12774024.870271798</v>
      </c>
      <c r="P88" s="20">
        <f>'GS &gt; 50 OLS model'!$I$9*G88</f>
        <v>0</v>
      </c>
      <c r="Q88" s="20">
        <f>'GS &gt; 50 OLS model'!$I$10*H88</f>
        <v>0</v>
      </c>
      <c r="R88" s="20">
        <f>'GS &gt; 50 OLS model'!$I$11*I88</f>
        <v>0</v>
      </c>
      <c r="S88" s="20">
        <f>'GS &gt; 50 OLS model'!$I$12*J88</f>
        <v>2325678.3494261405</v>
      </c>
      <c r="T88" s="20">
        <f t="shared" si="6"/>
        <v>9932932.1183361933</v>
      </c>
      <c r="U88" s="23">
        <f t="shared" ca="1" si="5"/>
        <v>1.7040966125758901E-2</v>
      </c>
    </row>
    <row r="89" spans="1:21" ht="14.4" x14ac:dyDescent="0.3">
      <c r="A89" s="22">
        <f>'Monthly Data'!A113</f>
        <v>42461</v>
      </c>
      <c r="B89" s="88">
        <f t="shared" si="4"/>
        <v>2016</v>
      </c>
      <c r="C89" s="20">
        <f ca="1">'Monthly Data'!K113</f>
        <v>9693140.2935096249</v>
      </c>
      <c r="D89" s="88">
        <f>'Monthly Data'!AL89</f>
        <v>0</v>
      </c>
      <c r="E89" s="88">
        <f>'Monthly Data'!AM89</f>
        <v>30</v>
      </c>
      <c r="F89" s="88">
        <f>'Monthly Data'!AP113</f>
        <v>6890.3</v>
      </c>
      <c r="G89" s="88">
        <f>'Monthly Data'!AS113</f>
        <v>0</v>
      </c>
      <c r="H89" s="88">
        <f>'Monthly Data'!AU113</f>
        <v>0</v>
      </c>
      <c r="I89" s="88">
        <f>'Monthly Data'!AV113</f>
        <v>0</v>
      </c>
      <c r="J89" s="88">
        <f>'Monthly Data'!AD113</f>
        <v>161</v>
      </c>
      <c r="L89" s="20">
        <f>'GS &gt; 50 OLS model'!$I$5</f>
        <v>-16961164.693300899</v>
      </c>
      <c r="M89" s="20">
        <f>'GS &gt; 50 OLS model'!$I$6*D89</f>
        <v>0</v>
      </c>
      <c r="N89" s="20">
        <f>'GS &gt; 50 OLS model'!$I$7*E89</f>
        <v>11413929.28252176</v>
      </c>
      <c r="O89" s="20">
        <f>'GS &gt; 50 OLS model'!$I$8*F89</f>
        <v>12807296.368609769</v>
      </c>
      <c r="P89" s="20">
        <f>'GS &gt; 50 OLS model'!$I$9*G89</f>
        <v>0</v>
      </c>
      <c r="Q89" s="20">
        <f>'GS &gt; 50 OLS model'!$I$10*H89</f>
        <v>0</v>
      </c>
      <c r="R89" s="20">
        <f>'GS &gt; 50 OLS model'!$I$11*I89</f>
        <v>0</v>
      </c>
      <c r="S89" s="20">
        <f>'GS &gt; 50 OLS model'!$I$12*J89</f>
        <v>2325678.3494261405</v>
      </c>
      <c r="T89" s="20">
        <f t="shared" si="6"/>
        <v>9585739.3072567713</v>
      </c>
      <c r="U89" s="23">
        <f t="shared" ca="1" si="5"/>
        <v>1.108010231986095E-2</v>
      </c>
    </row>
    <row r="90" spans="1:21" ht="14.4" x14ac:dyDescent="0.3">
      <c r="A90" s="22">
        <f>'Monthly Data'!A114</f>
        <v>42491</v>
      </c>
      <c r="B90" s="88">
        <f t="shared" si="4"/>
        <v>2016</v>
      </c>
      <c r="C90" s="20">
        <f ca="1">'Monthly Data'!K114</f>
        <v>10135588.373509629</v>
      </c>
      <c r="D90" s="88">
        <f>'Monthly Data'!AL90</f>
        <v>12.2</v>
      </c>
      <c r="E90" s="88">
        <f>'Monthly Data'!AM90</f>
        <v>31</v>
      </c>
      <c r="F90" s="88">
        <f>'Monthly Data'!AP114</f>
        <v>6962.5</v>
      </c>
      <c r="G90" s="88">
        <f>'Monthly Data'!AS114</f>
        <v>0</v>
      </c>
      <c r="H90" s="88">
        <f>'Monthly Data'!AU114</f>
        <v>0</v>
      </c>
      <c r="I90" s="88">
        <f>'Monthly Data'!AV114</f>
        <v>0</v>
      </c>
      <c r="J90" s="88">
        <f>'Monthly Data'!AD114</f>
        <v>162</v>
      </c>
      <c r="L90" s="20">
        <f>'GS &gt; 50 OLS model'!$I$5</f>
        <v>-16961164.693300899</v>
      </c>
      <c r="M90" s="20">
        <f>'GS &gt; 50 OLS model'!$I$6*D90</f>
        <v>49656.099393312405</v>
      </c>
      <c r="N90" s="20">
        <f>'GS &gt; 50 OLS model'!$I$7*E90</f>
        <v>11794393.591939153</v>
      </c>
      <c r="O90" s="20">
        <f>'GS &gt; 50 OLS model'!$I$8*F90</f>
        <v>12941497.607715994</v>
      </c>
      <c r="P90" s="20">
        <f>'GS &gt; 50 OLS model'!$I$9*G90</f>
        <v>0</v>
      </c>
      <c r="Q90" s="20">
        <f>'GS &gt; 50 OLS model'!$I$10*H90</f>
        <v>0</v>
      </c>
      <c r="R90" s="20">
        <f>'GS &gt; 50 OLS model'!$I$11*I90</f>
        <v>0</v>
      </c>
      <c r="S90" s="20">
        <f>'GS &gt; 50 OLS model'!$I$12*J90</f>
        <v>2340123.5565654333</v>
      </c>
      <c r="T90" s="20">
        <f t="shared" si="6"/>
        <v>10164506.162312994</v>
      </c>
      <c r="U90" s="23">
        <f t="shared" ca="1" si="5"/>
        <v>2.8530942395948722E-3</v>
      </c>
    </row>
    <row r="91" spans="1:21" ht="14.4" x14ac:dyDescent="0.3">
      <c r="A91" s="22">
        <f>'Monthly Data'!A115</f>
        <v>42522</v>
      </c>
      <c r="B91" s="88">
        <f t="shared" si="4"/>
        <v>2016</v>
      </c>
      <c r="C91" s="20">
        <f ca="1">'Monthly Data'!K115</f>
        <v>10140116.223509628</v>
      </c>
      <c r="D91" s="88">
        <f>'Monthly Data'!AL91</f>
        <v>71.900000000000006</v>
      </c>
      <c r="E91" s="88">
        <f>'Monthly Data'!AM91</f>
        <v>30</v>
      </c>
      <c r="F91" s="88">
        <f>'Monthly Data'!AP115</f>
        <v>7047.3</v>
      </c>
      <c r="G91" s="88">
        <f>'Monthly Data'!AS115</f>
        <v>0</v>
      </c>
      <c r="H91" s="88">
        <f>'Monthly Data'!AU115</f>
        <v>0</v>
      </c>
      <c r="I91" s="88">
        <f>'Monthly Data'!AV115</f>
        <v>0</v>
      </c>
      <c r="J91" s="88">
        <f>'Monthly Data'!AD115</f>
        <v>148</v>
      </c>
      <c r="L91" s="20">
        <f>'GS &gt; 50 OLS model'!$I$5</f>
        <v>-16961164.693300899</v>
      </c>
      <c r="M91" s="20">
        <f>'GS &gt; 50 OLS model'!$I$6*D91</f>
        <v>292645.37265402969</v>
      </c>
      <c r="N91" s="20">
        <f>'GS &gt; 50 OLS model'!$I$7*E91</f>
        <v>11413929.28252176</v>
      </c>
      <c r="O91" s="20">
        <f>'GS &gt; 50 OLS model'!$I$8*F91</f>
        <v>13099119.007663473</v>
      </c>
      <c r="P91" s="20">
        <f>'GS &gt; 50 OLS model'!$I$9*G91</f>
        <v>0</v>
      </c>
      <c r="Q91" s="20">
        <f>'GS &gt; 50 OLS model'!$I$10*H91</f>
        <v>0</v>
      </c>
      <c r="R91" s="20">
        <f>'GS &gt; 50 OLS model'!$I$11*I91</f>
        <v>0</v>
      </c>
      <c r="S91" s="20">
        <f>'GS &gt; 50 OLS model'!$I$12*J91</f>
        <v>2137890.6566153341</v>
      </c>
      <c r="T91" s="20">
        <f t="shared" si="6"/>
        <v>9982419.6261536982</v>
      </c>
      <c r="U91" s="23">
        <f t="shared" ca="1" si="5"/>
        <v>1.5551754425685394E-2</v>
      </c>
    </row>
    <row r="92" spans="1:21" ht="14.4" x14ac:dyDescent="0.3">
      <c r="A92" s="22">
        <f>'Monthly Data'!A116</f>
        <v>42552</v>
      </c>
      <c r="B92" s="88">
        <f t="shared" si="4"/>
        <v>2016</v>
      </c>
      <c r="C92" s="20">
        <f ca="1">'Monthly Data'!K116</f>
        <v>12235827.873509627</v>
      </c>
      <c r="D92" s="88">
        <f>'Monthly Data'!AL92</f>
        <v>47.6</v>
      </c>
      <c r="E92" s="88">
        <f>'Monthly Data'!AM92</f>
        <v>31</v>
      </c>
      <c r="F92" s="88">
        <f>'Monthly Data'!AP116</f>
        <v>7090.8</v>
      </c>
      <c r="G92" s="88">
        <f>'Monthly Data'!AS116</f>
        <v>0</v>
      </c>
      <c r="H92" s="88">
        <f>'Monthly Data'!AU116</f>
        <v>0</v>
      </c>
      <c r="I92" s="88">
        <f>'Monthly Data'!AV116</f>
        <v>0</v>
      </c>
      <c r="J92" s="88">
        <f>'Monthly Data'!AD116</f>
        <v>162</v>
      </c>
      <c r="L92" s="20">
        <f>'GS &gt; 50 OLS model'!$I$5</f>
        <v>-16961164.693300899</v>
      </c>
      <c r="M92" s="20">
        <f>'GS &gt; 50 OLS model'!$I$6*D92</f>
        <v>193740.19107554678</v>
      </c>
      <c r="N92" s="20">
        <f>'GS &gt; 50 OLS model'!$I$7*E92</f>
        <v>11794393.591939153</v>
      </c>
      <c r="O92" s="20">
        <f>'GS &gt; 50 OLS model'!$I$8*F92</f>
        <v>13179974.324853512</v>
      </c>
      <c r="P92" s="20">
        <f>'GS &gt; 50 OLS model'!$I$9*G92</f>
        <v>0</v>
      </c>
      <c r="Q92" s="20">
        <f>'GS &gt; 50 OLS model'!$I$10*H92</f>
        <v>0</v>
      </c>
      <c r="R92" s="20">
        <f>'GS &gt; 50 OLS model'!$I$11*I92</f>
        <v>0</v>
      </c>
      <c r="S92" s="20">
        <f>'GS &gt; 50 OLS model'!$I$12*J92</f>
        <v>2340123.5565654333</v>
      </c>
      <c r="T92" s="20">
        <f t="shared" si="6"/>
        <v>10547066.971132746</v>
      </c>
      <c r="U92" s="23">
        <f t="shared" ca="1" si="5"/>
        <v>0.13801770667541191</v>
      </c>
    </row>
    <row r="93" spans="1:21" ht="14.4" x14ac:dyDescent="0.3">
      <c r="A93" s="22">
        <f>'Monthly Data'!A117</f>
        <v>42583</v>
      </c>
      <c r="B93" s="88">
        <f t="shared" si="4"/>
        <v>2016</v>
      </c>
      <c r="C93" s="20">
        <f ca="1">'Monthly Data'!K117</f>
        <v>11468924.513509626</v>
      </c>
      <c r="D93" s="88">
        <f>'Monthly Data'!AL93</f>
        <v>53.4</v>
      </c>
      <c r="E93" s="88">
        <f>'Monthly Data'!AM93</f>
        <v>31</v>
      </c>
      <c r="F93" s="88">
        <f>'Monthly Data'!AP117</f>
        <v>7083.3</v>
      </c>
      <c r="G93" s="88">
        <f>'Monthly Data'!AS117</f>
        <v>0</v>
      </c>
      <c r="H93" s="88">
        <f>'Monthly Data'!AU117</f>
        <v>0</v>
      </c>
      <c r="I93" s="88">
        <f>'Monthly Data'!AV117</f>
        <v>0</v>
      </c>
      <c r="J93" s="88">
        <f>'Monthly Data'!AD117</f>
        <v>161</v>
      </c>
      <c r="L93" s="20">
        <f>'GS &gt; 50 OLS model'!$I$5</f>
        <v>-16961164.693300899</v>
      </c>
      <c r="M93" s="20">
        <f>'GS &gt; 50 OLS model'!$I$6*D93</f>
        <v>217347.18914777724</v>
      </c>
      <c r="N93" s="20">
        <f>'GS &gt; 50 OLS model'!$I$7*E93</f>
        <v>11794393.591939153</v>
      </c>
      <c r="O93" s="20">
        <f>'GS &gt; 50 OLS model'!$I$8*F93</f>
        <v>13166033.752924195</v>
      </c>
      <c r="P93" s="20">
        <f>'GS &gt; 50 OLS model'!$I$9*G93</f>
        <v>0</v>
      </c>
      <c r="Q93" s="20">
        <f>'GS &gt; 50 OLS model'!$I$10*H93</f>
        <v>0</v>
      </c>
      <c r="R93" s="20">
        <f>'GS &gt; 50 OLS model'!$I$11*I93</f>
        <v>0</v>
      </c>
      <c r="S93" s="20">
        <f>'GS &gt; 50 OLS model'!$I$12*J93</f>
        <v>2325678.3494261405</v>
      </c>
      <c r="T93" s="20">
        <f t="shared" si="6"/>
        <v>10542288.190136367</v>
      </c>
      <c r="U93" s="23">
        <f t="shared" ca="1" si="5"/>
        <v>8.0795398233002802E-2</v>
      </c>
    </row>
    <row r="94" spans="1:21" ht="14.4" x14ac:dyDescent="0.3">
      <c r="A94" s="22">
        <f>'Monthly Data'!A118</f>
        <v>42614</v>
      </c>
      <c r="B94" s="88">
        <f t="shared" si="4"/>
        <v>2016</v>
      </c>
      <c r="C94" s="20">
        <f ca="1">'Monthly Data'!K118</f>
        <v>10612957.783509627</v>
      </c>
      <c r="D94" s="88">
        <f>'Monthly Data'!AL94</f>
        <v>17.600000000000001</v>
      </c>
      <c r="E94" s="88">
        <f>'Monthly Data'!AM94</f>
        <v>30</v>
      </c>
      <c r="F94" s="88">
        <f>'Monthly Data'!AP118</f>
        <v>7037</v>
      </c>
      <c r="G94" s="88">
        <f>'Monthly Data'!AS118</f>
        <v>1</v>
      </c>
      <c r="H94" s="88">
        <f>'Monthly Data'!AU118</f>
        <v>0</v>
      </c>
      <c r="I94" s="88">
        <f>'Monthly Data'!AV118</f>
        <v>0</v>
      </c>
      <c r="J94" s="88">
        <f>'Monthly Data'!AD118</f>
        <v>161</v>
      </c>
      <c r="L94" s="20">
        <f>'GS &gt; 50 OLS model'!$I$5</f>
        <v>-16961164.693300899</v>
      </c>
      <c r="M94" s="20">
        <f>'GS &gt; 50 OLS model'!$I$6*D94</f>
        <v>71635.028632975285</v>
      </c>
      <c r="N94" s="20">
        <f>'GS &gt; 50 OLS model'!$I$7*E94</f>
        <v>11413929.28252176</v>
      </c>
      <c r="O94" s="20">
        <f>'GS &gt; 50 OLS model'!$I$8*F94</f>
        <v>13079973.95554721</v>
      </c>
      <c r="P94" s="20">
        <f>'GS &gt; 50 OLS model'!$I$9*G94</f>
        <v>714989.336488234</v>
      </c>
      <c r="Q94" s="20">
        <f>'GS &gt; 50 OLS model'!$I$10*H94</f>
        <v>0</v>
      </c>
      <c r="R94" s="20">
        <f>'GS &gt; 50 OLS model'!$I$11*I94</f>
        <v>0</v>
      </c>
      <c r="S94" s="20">
        <f>'GS &gt; 50 OLS model'!$I$12*J94</f>
        <v>2325678.3494261405</v>
      </c>
      <c r="T94" s="20">
        <f t="shared" si="6"/>
        <v>10645041.259315422</v>
      </c>
      <c r="U94" s="23">
        <f t="shared" ca="1" si="5"/>
        <v>3.023047529280292E-3</v>
      </c>
    </row>
    <row r="95" spans="1:21" ht="14.4" x14ac:dyDescent="0.3">
      <c r="A95" s="22">
        <f>'Monthly Data'!A119</f>
        <v>42644</v>
      </c>
      <c r="B95" s="88">
        <f t="shared" si="4"/>
        <v>2016</v>
      </c>
      <c r="C95" s="20">
        <f ca="1">'Monthly Data'!K119</f>
        <v>10648595.963509627</v>
      </c>
      <c r="D95" s="88">
        <f>'Monthly Data'!AL95</f>
        <v>0</v>
      </c>
      <c r="E95" s="88">
        <f>'Monthly Data'!AM95</f>
        <v>31</v>
      </c>
      <c r="F95" s="88">
        <f>'Monthly Data'!AP119</f>
        <v>7033.4</v>
      </c>
      <c r="G95" s="88">
        <f>'Monthly Data'!AS119</f>
        <v>1</v>
      </c>
      <c r="H95" s="88">
        <f>'Monthly Data'!AU119</f>
        <v>0</v>
      </c>
      <c r="I95" s="88">
        <f>'Monthly Data'!AV119</f>
        <v>0</v>
      </c>
      <c r="J95" s="88">
        <f>'Monthly Data'!AD119</f>
        <v>160</v>
      </c>
      <c r="L95" s="20">
        <f>'GS &gt; 50 OLS model'!$I$5</f>
        <v>-16961164.693300899</v>
      </c>
      <c r="M95" s="20">
        <f>'GS &gt; 50 OLS model'!$I$6*D95</f>
        <v>0</v>
      </c>
      <c r="N95" s="20">
        <f>'GS &gt; 50 OLS model'!$I$7*E95</f>
        <v>11794393.591939153</v>
      </c>
      <c r="O95" s="20">
        <f>'GS &gt; 50 OLS model'!$I$8*F95</f>
        <v>13073282.481021138</v>
      </c>
      <c r="P95" s="20">
        <f>'GS &gt; 50 OLS model'!$I$9*G95</f>
        <v>714989.336488234</v>
      </c>
      <c r="Q95" s="20">
        <f>'GS &gt; 50 OLS model'!$I$10*H95</f>
        <v>0</v>
      </c>
      <c r="R95" s="20">
        <f>'GS &gt; 50 OLS model'!$I$11*I95</f>
        <v>0</v>
      </c>
      <c r="S95" s="20">
        <f>'GS &gt; 50 OLS model'!$I$12*J95</f>
        <v>2311233.1422868478</v>
      </c>
      <c r="T95" s="20">
        <f t="shared" si="6"/>
        <v>10932733.858434474</v>
      </c>
      <c r="U95" s="23">
        <f t="shared" ca="1" si="5"/>
        <v>2.6683132301997828E-2</v>
      </c>
    </row>
    <row r="96" spans="1:21" ht="14.4" x14ac:dyDescent="0.3">
      <c r="A96" s="22">
        <f>'Monthly Data'!A120</f>
        <v>42675</v>
      </c>
      <c r="B96" s="88">
        <f t="shared" si="4"/>
        <v>2016</v>
      </c>
      <c r="C96" s="20">
        <f ca="1">'Monthly Data'!K120</f>
        <v>10445507.863509627</v>
      </c>
      <c r="D96" s="88">
        <f>'Monthly Data'!AL96</f>
        <v>0</v>
      </c>
      <c r="E96" s="88">
        <f>'Monthly Data'!AM96</f>
        <v>30</v>
      </c>
      <c r="F96" s="88">
        <f>'Monthly Data'!AP120</f>
        <v>7026.9</v>
      </c>
      <c r="G96" s="88">
        <f>'Monthly Data'!AS120</f>
        <v>1</v>
      </c>
      <c r="H96" s="88">
        <f>'Monthly Data'!AU120</f>
        <v>0</v>
      </c>
      <c r="I96" s="88">
        <f>'Monthly Data'!AV120</f>
        <v>0</v>
      </c>
      <c r="J96" s="88">
        <f>'Monthly Data'!AD120</f>
        <v>160</v>
      </c>
      <c r="L96" s="20">
        <f>'GS &gt; 50 OLS model'!$I$5</f>
        <v>-16961164.693300899</v>
      </c>
      <c r="M96" s="20">
        <f>'GS &gt; 50 OLS model'!$I$6*D96</f>
        <v>0</v>
      </c>
      <c r="N96" s="20">
        <f>'GS &gt; 50 OLS model'!$I$7*E96</f>
        <v>11413929.28252176</v>
      </c>
      <c r="O96" s="20">
        <f>'GS &gt; 50 OLS model'!$I$8*F96</f>
        <v>13061200.652015729</v>
      </c>
      <c r="P96" s="20">
        <f>'GS &gt; 50 OLS model'!$I$9*G96</f>
        <v>714989.336488234</v>
      </c>
      <c r="Q96" s="20">
        <f>'GS &gt; 50 OLS model'!$I$10*H96</f>
        <v>0</v>
      </c>
      <c r="R96" s="20">
        <f>'GS &gt; 50 OLS model'!$I$11*I96</f>
        <v>0</v>
      </c>
      <c r="S96" s="20">
        <f>'GS &gt; 50 OLS model'!$I$12*J96</f>
        <v>2311233.1422868478</v>
      </c>
      <c r="T96" s="20">
        <f t="shared" si="6"/>
        <v>10540187.720011672</v>
      </c>
      <c r="U96" s="23">
        <f t="shared" ca="1" si="5"/>
        <v>9.0641697597873515E-3</v>
      </c>
    </row>
    <row r="97" spans="1:21" ht="14.4" x14ac:dyDescent="0.3">
      <c r="A97" s="22">
        <f>'Monthly Data'!A121</f>
        <v>42705</v>
      </c>
      <c r="B97" s="88">
        <f t="shared" si="4"/>
        <v>2016</v>
      </c>
      <c r="C97" s="20">
        <f ca="1">'Monthly Data'!K121</f>
        <v>10361931.973509628</v>
      </c>
      <c r="D97" s="88">
        <f>'Monthly Data'!AL97</f>
        <v>0</v>
      </c>
      <c r="E97" s="88">
        <f>'Monthly Data'!AM97</f>
        <v>31</v>
      </c>
      <c r="F97" s="88">
        <f>'Monthly Data'!AP121</f>
        <v>7041.6</v>
      </c>
      <c r="G97" s="88">
        <f>'Monthly Data'!AS121</f>
        <v>0</v>
      </c>
      <c r="H97" s="88">
        <f>'Monthly Data'!AU121</f>
        <v>0</v>
      </c>
      <c r="I97" s="88">
        <f>'Monthly Data'!AV121</f>
        <v>0</v>
      </c>
      <c r="J97" s="88">
        <f>'Monthly Data'!AD121</f>
        <v>160</v>
      </c>
      <c r="L97" s="20">
        <f>'GS &gt; 50 OLS model'!$I$5</f>
        <v>-16961164.693300899</v>
      </c>
      <c r="M97" s="20">
        <f>'GS &gt; 50 OLS model'!$I$6*D97</f>
        <v>0</v>
      </c>
      <c r="N97" s="20">
        <f>'GS &gt; 50 OLS model'!$I$7*E97</f>
        <v>11794393.591939153</v>
      </c>
      <c r="O97" s="20">
        <f>'GS &gt; 50 OLS model'!$I$8*F97</f>
        <v>13088524.172997192</v>
      </c>
      <c r="P97" s="20">
        <f>'GS &gt; 50 OLS model'!$I$9*G97</f>
        <v>0</v>
      </c>
      <c r="Q97" s="20">
        <f>'GS &gt; 50 OLS model'!$I$10*H97</f>
        <v>0</v>
      </c>
      <c r="R97" s="20">
        <f>'GS &gt; 50 OLS model'!$I$11*I97</f>
        <v>0</v>
      </c>
      <c r="S97" s="20">
        <f>'GS &gt; 50 OLS model'!$I$12*J97</f>
        <v>2311233.1422868478</v>
      </c>
      <c r="T97" s="20">
        <f t="shared" si="6"/>
        <v>10232986.213922294</v>
      </c>
      <c r="U97" s="23">
        <f t="shared" ca="1" si="5"/>
        <v>1.2444181250850271E-2</v>
      </c>
    </row>
    <row r="98" spans="1:21" x14ac:dyDescent="0.25">
      <c r="U98" s="24">
        <f ca="1">AVERAGE(U2:U97)</f>
        <v>4.5221395536587383E-2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G2" sqref="G2:J16"/>
    </sheetView>
  </sheetViews>
  <sheetFormatPr defaultColWidth="9.109375" defaultRowHeight="13.2" x14ac:dyDescent="0.25"/>
  <cols>
    <col min="1" max="1" width="4.6640625" style="4" customWidth="1"/>
    <col min="2" max="2" width="12.109375" style="4" customWidth="1"/>
    <col min="3" max="3" width="14.77734375" style="4" bestFit="1" customWidth="1"/>
    <col min="4" max="5" width="12.109375" style="4" customWidth="1"/>
    <col min="6" max="6" width="12.109375" style="57" customWidth="1"/>
    <col min="7" max="10" width="12.109375" style="4" customWidth="1"/>
    <col min="11" max="11" width="12.109375" style="57" customWidth="1"/>
    <col min="12" max="15" width="12.109375" style="4" customWidth="1"/>
    <col min="16" max="16" width="5.6640625" style="4" customWidth="1"/>
    <col min="17" max="17" width="8.6640625" style="4" bestFit="1" customWidth="1"/>
    <col min="18" max="18" width="8.88671875" style="4" bestFit="1" customWidth="1"/>
    <col min="19" max="19" width="8.109375" style="4" bestFit="1" customWidth="1"/>
    <col min="20" max="20" width="4.44140625" style="4" bestFit="1" customWidth="1"/>
    <col min="21" max="21" width="8.44140625" style="4" bestFit="1" customWidth="1"/>
    <col min="22" max="22" width="8.88671875" style="4" bestFit="1" customWidth="1"/>
    <col min="23" max="23" width="8.44140625" style="4" bestFit="1" customWidth="1"/>
    <col min="24" max="16384" width="9.109375" style="4"/>
  </cols>
  <sheetData>
    <row r="1" spans="1:23" x14ac:dyDescent="0.25">
      <c r="A1" s="140" t="s">
        <v>92</v>
      </c>
      <c r="B1" s="140"/>
      <c r="C1" s="140"/>
    </row>
    <row r="2" spans="1:23" x14ac:dyDescent="0.25">
      <c r="C2" s="141" t="s">
        <v>93</v>
      </c>
      <c r="D2" s="141"/>
      <c r="E2" s="15" t="s">
        <v>94</v>
      </c>
      <c r="F2" s="15"/>
      <c r="H2" s="141" t="s">
        <v>95</v>
      </c>
      <c r="I2" s="141"/>
      <c r="J2" s="15" t="s">
        <v>94</v>
      </c>
      <c r="K2" s="15"/>
      <c r="L2" s="96"/>
      <c r="M2" s="142" t="s">
        <v>96</v>
      </c>
      <c r="N2" s="142"/>
      <c r="O2" s="97" t="s">
        <v>94</v>
      </c>
      <c r="Q2" s="139"/>
      <c r="R2" s="139"/>
      <c r="S2" s="15"/>
      <c r="U2" s="139"/>
      <c r="V2" s="139"/>
      <c r="W2" s="15"/>
    </row>
    <row r="3" spans="1:23" x14ac:dyDescent="0.25">
      <c r="B3" s="15" t="s">
        <v>89</v>
      </c>
      <c r="C3" s="15" t="s">
        <v>175</v>
      </c>
      <c r="D3" s="9" t="s">
        <v>98</v>
      </c>
      <c r="E3" s="15" t="s">
        <v>99</v>
      </c>
      <c r="F3" s="15"/>
      <c r="H3" s="15" t="s">
        <v>175</v>
      </c>
      <c r="I3" s="9" t="s">
        <v>98</v>
      </c>
      <c r="J3" s="15" t="s">
        <v>99</v>
      </c>
      <c r="K3" s="15"/>
      <c r="L3" s="96"/>
      <c r="M3" s="97" t="s">
        <v>175</v>
      </c>
      <c r="N3" s="98" t="s">
        <v>98</v>
      </c>
      <c r="O3" s="97" t="s">
        <v>99</v>
      </c>
      <c r="Q3" s="15"/>
      <c r="R3" s="9"/>
      <c r="S3" s="15"/>
      <c r="U3" s="15"/>
      <c r="V3" s="9"/>
      <c r="W3" s="15"/>
    </row>
    <row r="4" spans="1:23" s="57" customFormat="1" ht="14.4" x14ac:dyDescent="0.3">
      <c r="B4" s="15">
        <v>2007</v>
      </c>
      <c r="C4" s="25">
        <f ca="1">SUMIF('Res Predicted Monthly'!$B:$B,B4,'Res Predicted Monthly'!C:C)</f>
        <v>147994308.45163891</v>
      </c>
      <c r="D4" s="25">
        <f>SUMIF('Res Predicted Monthly'!$B:$B,B4,'Res Predicted Monthly'!T:T)</f>
        <v>145309048.8788425</v>
      </c>
      <c r="E4" s="26">
        <f t="shared" ref="E4:E5" ca="1" si="0">ABS(C4-D4)/C4</f>
        <v>1.8144343528412678E-2</v>
      </c>
      <c r="F4" s="26"/>
      <c r="G4" s="57">
        <v>2007</v>
      </c>
      <c r="H4" s="25">
        <f ca="1">SUMIF('GS &lt; 50 Predicted Monthly'!$B:$B,$B4,'GS &lt; 50 Predicted Monthly'!C:C)</f>
        <v>51997633.26674448</v>
      </c>
      <c r="I4" s="25">
        <f>SUMIF('GS &lt; 50 Predicted Monthly'!$B:$B,$B4,'GS &lt; 50 Predicted Monthly'!Z:Z)</f>
        <v>51179679.192000568</v>
      </c>
      <c r="J4" s="26">
        <f t="shared" ref="J4:J5" ca="1" si="1">ABS(H4-I4)/H4</f>
        <v>1.5730602016977589E-2</v>
      </c>
      <c r="K4" s="26"/>
      <c r="L4" s="96">
        <v>2007</v>
      </c>
      <c r="M4" s="99">
        <f ca="1">SUMIF('GS &gt; 50 Predicted Monthly'!$B:$B,$B4,'GS &gt; 50 Predicted Monthly'!C:C)</f>
        <v>129629625.54293212</v>
      </c>
      <c r="N4" s="99">
        <f>SUMIF('GS &gt; 50 Predicted Monthly'!$B:$B,$B4,'GS &gt; 50 Predicted Monthly'!P:P)</f>
        <v>124443373.94273713</v>
      </c>
      <c r="O4" s="100">
        <f t="shared" ref="O4:O5" ca="1" si="2">ABS(M4-N4)/M4</f>
        <v>4.0008227891373122E-2</v>
      </c>
      <c r="Q4" s="15"/>
      <c r="R4" s="9"/>
      <c r="S4" s="15"/>
      <c r="U4" s="15"/>
      <c r="V4" s="9"/>
      <c r="W4" s="15"/>
    </row>
    <row r="5" spans="1:23" s="57" customFormat="1" ht="14.4" x14ac:dyDescent="0.3">
      <c r="B5" s="15">
        <v>2008</v>
      </c>
      <c r="C5" s="25">
        <f ca="1">SUMIF('Res Predicted Monthly'!$B:$B,B5,'Res Predicted Monthly'!C:C)</f>
        <v>141699699.31765088</v>
      </c>
      <c r="D5" s="25">
        <f>SUMIF('Res Predicted Monthly'!$B:$B,B5,'Res Predicted Monthly'!T:T)</f>
        <v>143485710.53798983</v>
      </c>
      <c r="E5" s="26">
        <f t="shared" ca="1" si="0"/>
        <v>1.26041990839741E-2</v>
      </c>
      <c r="F5" s="26"/>
      <c r="G5" s="57">
        <v>2008</v>
      </c>
      <c r="H5" s="25">
        <f ca="1">SUMIF('GS &lt; 50 Predicted Monthly'!$B:$B,$B5,'GS &lt; 50 Predicted Monthly'!C:C)</f>
        <v>48943216.175640501</v>
      </c>
      <c r="I5" s="25">
        <f>SUMIF('GS &lt; 50 Predicted Monthly'!$B:$B,$B5,'GS &lt; 50 Predicted Monthly'!Z:Z)</f>
        <v>50195637.245798916</v>
      </c>
      <c r="J5" s="26">
        <f t="shared" ca="1" si="1"/>
        <v>2.5589267890853407E-2</v>
      </c>
      <c r="K5" s="26"/>
      <c r="L5" s="96">
        <v>2008</v>
      </c>
      <c r="M5" s="99">
        <f ca="1">SUMIF('GS &gt; 50 Predicted Monthly'!$B:$B,$B5,'GS &gt; 50 Predicted Monthly'!C:C)</f>
        <v>119356435.43898286</v>
      </c>
      <c r="N5" s="99">
        <f>SUMIF('GS &gt; 50 Predicted Monthly'!$B:$B,$B5,'GS &gt; 50 Predicted Monthly'!P:P)</f>
        <v>125409812.10593539</v>
      </c>
      <c r="O5" s="100">
        <f t="shared" ca="1" si="2"/>
        <v>5.0716801693086164E-2</v>
      </c>
      <c r="Q5" s="15"/>
      <c r="R5" s="9"/>
      <c r="S5" s="15"/>
      <c r="U5" s="15"/>
      <c r="V5" s="9"/>
      <c r="W5" s="15"/>
    </row>
    <row r="6" spans="1:23" ht="14.4" x14ac:dyDescent="0.3">
      <c r="B6" s="4">
        <v>2009</v>
      </c>
      <c r="C6" s="25">
        <f ca="1">SUMIF('Res Predicted Monthly'!$B:$B,B6,'Res Predicted Monthly'!C:C)</f>
        <v>140171354.25183222</v>
      </c>
      <c r="D6" s="25">
        <f>SUMIF('Res Predicted Monthly'!$B:$B,B6,'Res Predicted Monthly'!T:T)</f>
        <v>140402645.50205418</v>
      </c>
      <c r="E6" s="26">
        <f ca="1">ABS(C6-D6)/C6</f>
        <v>1.6500607521165076E-3</v>
      </c>
      <c r="F6" s="26"/>
      <c r="G6" s="4">
        <v>2009</v>
      </c>
      <c r="H6" s="25">
        <f ca="1">SUMIF('GS &lt; 50 Predicted Monthly'!$B:$B,$B6,'GS &lt; 50 Predicted Monthly'!C:C)</f>
        <v>48039983.45030982</v>
      </c>
      <c r="I6" s="25">
        <f>SUMIF('GS &lt; 50 Predicted Monthly'!$B:$B,$B6,'GS &lt; 50 Predicted Monthly'!Z:Z)</f>
        <v>48018945.318588175</v>
      </c>
      <c r="J6" s="26">
        <f ca="1">ABS(H6-I6)/H6</f>
        <v>4.3792962050884959E-4</v>
      </c>
      <c r="K6" s="26"/>
      <c r="L6" s="96">
        <v>2009</v>
      </c>
      <c r="M6" s="99">
        <f ca="1">SUMIF('GS &gt; 50 Predicted Monthly'!$B:$B,$B6,'GS &gt; 50 Predicted Monthly'!C:C)</f>
        <v>115193053.70554049</v>
      </c>
      <c r="N6" s="99">
        <f>SUMIF('GS &gt; 50 Predicted Monthly'!$B:$B,$B6,'GS &gt; 50 Predicted Monthly'!P:P)</f>
        <v>118075918.95412347</v>
      </c>
      <c r="O6" s="100">
        <f ca="1">ABS(M6-N6)/M6</f>
        <v>2.502638098259145E-2</v>
      </c>
      <c r="Q6" s="25"/>
      <c r="R6" s="25"/>
      <c r="S6" s="26"/>
      <c r="U6" s="25"/>
      <c r="V6" s="25"/>
      <c r="W6" s="26"/>
    </row>
    <row r="7" spans="1:23" ht="14.4" x14ac:dyDescent="0.3">
      <c r="B7" s="4">
        <v>2010</v>
      </c>
      <c r="C7" s="25">
        <f ca="1">SUMIF('Res Predicted Monthly'!$B:$B,B7,'Res Predicted Monthly'!C:C)</f>
        <v>145078569.69526568</v>
      </c>
      <c r="D7" s="25">
        <f>SUMIF('Res Predicted Monthly'!$B:$B,B7,'Res Predicted Monthly'!T:T)</f>
        <v>144144650.49324325</v>
      </c>
      <c r="E7" s="26">
        <f ca="1">ABS(C7-D7)/C7</f>
        <v>6.4373339493497203E-3</v>
      </c>
      <c r="F7" s="26"/>
      <c r="G7" s="4">
        <v>2010</v>
      </c>
      <c r="H7" s="25">
        <f ca="1">SUMIF('GS &lt; 50 Predicted Monthly'!$B:$B,$B7,'GS &lt; 50 Predicted Monthly'!C:C)</f>
        <v>49616193.956250347</v>
      </c>
      <c r="I7" s="25">
        <f>SUMIF('GS &lt; 50 Predicted Monthly'!$B:$B,$B7,'GS &lt; 50 Predicted Monthly'!Z:Z)</f>
        <v>49050621.752270594</v>
      </c>
      <c r="J7" s="26">
        <f ca="1">ABS(H7-I7)/H7</f>
        <v>1.1398943749664733E-2</v>
      </c>
      <c r="K7" s="26"/>
      <c r="L7" s="96">
        <v>2010</v>
      </c>
      <c r="M7" s="99">
        <f ca="1">SUMIF('GS &gt; 50 Predicted Monthly'!$B:$B,$B7,'GS &gt; 50 Predicted Monthly'!C:C)</f>
        <v>120351876.17112814</v>
      </c>
      <c r="N7" s="99">
        <f>SUMIF('GS &gt; 50 Predicted Monthly'!$B:$B,$B7,'GS &gt; 50 Predicted Monthly'!P:P)</f>
        <v>119193994.96391186</v>
      </c>
      <c r="O7" s="100">
        <f ca="1">ABS(M7-N7)/M7</f>
        <v>9.6207989775737961E-3</v>
      </c>
      <c r="Q7" s="25"/>
      <c r="R7" s="25"/>
      <c r="S7" s="26"/>
      <c r="U7" s="25"/>
      <c r="V7" s="25"/>
      <c r="W7" s="26"/>
    </row>
    <row r="8" spans="1:23" ht="14.4" x14ac:dyDescent="0.3">
      <c r="B8" s="4">
        <v>2011</v>
      </c>
      <c r="C8" s="25">
        <f ca="1">SUMIF('Res Predicted Monthly'!$B:$B,B8,'Res Predicted Monthly'!C:C)</f>
        <v>141624537.36662105</v>
      </c>
      <c r="D8" s="25">
        <f>SUMIF('Res Predicted Monthly'!$B:$B,B8,'Res Predicted Monthly'!T:T)</f>
        <v>143039943.53726152</v>
      </c>
      <c r="E8" s="26">
        <f ca="1">ABS(C8-D8)/C8</f>
        <v>9.9940744517768871E-3</v>
      </c>
      <c r="F8" s="26"/>
      <c r="G8" s="4">
        <v>2011</v>
      </c>
      <c r="H8" s="25">
        <f ca="1">SUMIF('GS &lt; 50 Predicted Monthly'!$B:$B,$B8,'GS &lt; 50 Predicted Monthly'!C:C)</f>
        <v>49273917.041528247</v>
      </c>
      <c r="I8" s="25">
        <f>SUMIF('GS &lt; 50 Predicted Monthly'!$B:$B,$B8,'GS &lt; 50 Predicted Monthly'!Z:Z)</f>
        <v>49953304.695642993</v>
      </c>
      <c r="J8" s="26">
        <f ca="1">ABS(H8-I8)/H8</f>
        <v>1.3787977390597037E-2</v>
      </c>
      <c r="K8" s="26"/>
      <c r="L8" s="96">
        <v>2011</v>
      </c>
      <c r="M8" s="99">
        <f ca="1">SUMIF('GS &gt; 50 Predicted Monthly'!$B:$B,$B8,'GS &gt; 50 Predicted Monthly'!C:C)</f>
        <v>123506645.0926984</v>
      </c>
      <c r="N8" s="99">
        <f>SUMIF('GS &gt; 50 Predicted Monthly'!$B:$B,$B8,'GS &gt; 50 Predicted Monthly'!P:P)</f>
        <v>121937027.63090868</v>
      </c>
      <c r="O8" s="100">
        <f ca="1">ABS(M8-N8)/M8</f>
        <v>1.2708769318538527E-2</v>
      </c>
      <c r="Q8" s="25"/>
      <c r="R8" s="25"/>
      <c r="S8" s="26"/>
      <c r="U8" s="25"/>
      <c r="V8" s="25"/>
      <c r="W8" s="26"/>
    </row>
    <row r="9" spans="1:23" ht="14.4" x14ac:dyDescent="0.3">
      <c r="B9" s="27">
        <v>2012</v>
      </c>
      <c r="C9" s="25">
        <f ca="1">SUMIF('Res Predicted Monthly'!$B:$B,B9,'Res Predicted Monthly'!C:C)</f>
        <v>139135378.89541918</v>
      </c>
      <c r="D9" s="25">
        <f>SUMIF('Res Predicted Monthly'!$B:$B,B9,'Res Predicted Monthly'!T:T)</f>
        <v>141451854.95719779</v>
      </c>
      <c r="E9" s="26">
        <f ca="1">ABS(C9-D9)/C9</f>
        <v>1.6649080055474455E-2</v>
      </c>
      <c r="F9" s="26"/>
      <c r="G9" s="27">
        <v>2012</v>
      </c>
      <c r="H9" s="25">
        <f ca="1">SUMIF('GS &lt; 50 Predicted Monthly'!$B:$B,$B9,'GS &lt; 50 Predicted Monthly'!C:C)</f>
        <v>48699091.966143981</v>
      </c>
      <c r="I9" s="25">
        <f>SUMIF('GS &lt; 50 Predicted Monthly'!$B:$B,$B9,'GS &lt; 50 Predicted Monthly'!Z:Z)</f>
        <v>48462746.969816506</v>
      </c>
      <c r="J9" s="26">
        <f ca="1">ABS(H9-I9)/H9</f>
        <v>4.8531704963161067E-3</v>
      </c>
      <c r="K9" s="26"/>
      <c r="L9" s="101">
        <v>2012</v>
      </c>
      <c r="M9" s="99">
        <f ca="1">SUMIF('GS &gt; 50 Predicted Monthly'!$B:$B,$B9,'GS &gt; 50 Predicted Monthly'!C:C)</f>
        <v>125014555.19064774</v>
      </c>
      <c r="N9" s="99">
        <f>SUMIF('GS &gt; 50 Predicted Monthly'!$B:$B,$B9,'GS &gt; 50 Predicted Monthly'!P:P)</f>
        <v>121577724.89168367</v>
      </c>
      <c r="O9" s="100">
        <f ca="1">ABS(M9-N9)/M9</f>
        <v>2.7491441246364372E-2</v>
      </c>
      <c r="P9" s="27"/>
      <c r="Q9" s="25"/>
      <c r="R9" s="25"/>
      <c r="S9" s="26"/>
      <c r="T9" s="27"/>
      <c r="U9" s="25"/>
      <c r="V9" s="25"/>
      <c r="W9" s="26"/>
    </row>
    <row r="10" spans="1:23" ht="14.4" x14ac:dyDescent="0.3">
      <c r="B10" s="4">
        <v>2013</v>
      </c>
      <c r="C10" s="25">
        <f ca="1">SUMIF('Res Predicted Monthly'!$B:$B,B10,'Res Predicted Monthly'!C:C)</f>
        <v>141721481.53211454</v>
      </c>
      <c r="D10" s="25">
        <f>SUMIF('Res Predicted Monthly'!$B:$B,B10,'Res Predicted Monthly'!T:T)</f>
        <v>141429434.03942138</v>
      </c>
      <c r="E10" s="26">
        <f ca="1">ABS(C10-D10)/C10</f>
        <v>2.0607143640886728E-3</v>
      </c>
      <c r="F10" s="26"/>
      <c r="G10" s="4">
        <v>2013</v>
      </c>
      <c r="H10" s="25">
        <f ca="1">SUMIF('GS &lt; 50 Predicted Monthly'!$B:$B,$B10,'GS &lt; 50 Predicted Monthly'!C:C)</f>
        <v>49904174.044276044</v>
      </c>
      <c r="I10" s="25">
        <f>SUMIF('GS &lt; 50 Predicted Monthly'!$B:$B,$B10,'GS &lt; 50 Predicted Monthly'!Z:Z)</f>
        <v>49758084.848774806</v>
      </c>
      <c r="J10" s="26">
        <f ca="1">ABS(H10-I10)/H10</f>
        <v>2.9273943171892729E-3</v>
      </c>
      <c r="K10" s="26"/>
      <c r="L10" s="96">
        <v>2013</v>
      </c>
      <c r="M10" s="99">
        <f ca="1">SUMIF('GS &gt; 50 Predicted Monthly'!$B:$B,$B10,'GS &gt; 50 Predicted Monthly'!C:C)</f>
        <v>122356888.60887052</v>
      </c>
      <c r="N10" s="99">
        <f>SUMIF('GS &gt; 50 Predicted Monthly'!$B:$B,$B10,'GS &gt; 50 Predicted Monthly'!P:P)</f>
        <v>124501521.51038049</v>
      </c>
      <c r="O10" s="100">
        <f ca="1">ABS(M10-N10)/M10</f>
        <v>1.7527684185935491E-2</v>
      </c>
      <c r="Q10" s="25"/>
      <c r="R10" s="25"/>
      <c r="S10" s="26"/>
      <c r="U10" s="25"/>
      <c r="V10" s="25"/>
      <c r="W10" s="26"/>
    </row>
    <row r="11" spans="1:23" s="80" customFormat="1" ht="14.4" x14ac:dyDescent="0.3">
      <c r="B11" s="80">
        <v>2014</v>
      </c>
      <c r="C11" s="25">
        <f ca="1">SUMIF('Res Predicted Monthly'!$B:$B,B11,'Res Predicted Monthly'!C:C)</f>
        <v>140644152.00412637</v>
      </c>
      <c r="D11" s="25">
        <f>SUMIF('Res Predicted Monthly'!$B:$B,B11,'Res Predicted Monthly'!T:T)</f>
        <v>140085257.63397837</v>
      </c>
      <c r="E11" s="26">
        <f t="shared" ref="E11:E13" ca="1" si="3">ABS(C11-D11)/C11</f>
        <v>3.9738187630553286E-3</v>
      </c>
      <c r="F11" s="26"/>
      <c r="G11" s="80">
        <v>2014</v>
      </c>
      <c r="H11" s="25">
        <f ca="1">SUMIF('GS &lt; 50 Predicted Monthly'!$B:$B,$B11,'GS &lt; 50 Predicted Monthly'!C:C)</f>
        <v>50588553.979683504</v>
      </c>
      <c r="I11" s="25">
        <f>SUMIF('GS &lt; 50 Predicted Monthly'!$B:$B,$B11,'GS &lt; 50 Predicted Monthly'!Z:Z)</f>
        <v>50348350.507492304</v>
      </c>
      <c r="J11" s="26">
        <f t="shared" ref="J11:J13" ca="1" si="4">ABS(H11-I11)/H11</f>
        <v>4.7481782596052458E-3</v>
      </c>
      <c r="K11" s="26"/>
      <c r="L11" s="96">
        <v>2014</v>
      </c>
      <c r="M11" s="99">
        <f ca="1">SUMIF('GS &gt; 50 Predicted Monthly'!$B:$B,$B11,'GS &gt; 50 Predicted Monthly'!C:C)</f>
        <v>126877352.03978811</v>
      </c>
      <c r="N11" s="99">
        <f>SUMIF('GS &gt; 50 Predicted Monthly'!$B:$B,$B11,'GS &gt; 50 Predicted Monthly'!P:P)</f>
        <v>125067267.40808514</v>
      </c>
      <c r="O11" s="100">
        <f t="shared" ref="O11:O13" ca="1" si="5">ABS(M11-N11)/M11</f>
        <v>1.4266412425878346E-2</v>
      </c>
      <c r="Q11" s="25"/>
      <c r="R11" s="25"/>
      <c r="S11" s="26"/>
      <c r="U11" s="25"/>
      <c r="V11" s="25"/>
      <c r="W11" s="26"/>
    </row>
    <row r="12" spans="1:23" s="80" customFormat="1" ht="14.4" x14ac:dyDescent="0.3">
      <c r="B12" s="80">
        <v>2015</v>
      </c>
      <c r="C12" s="25">
        <f ca="1">SUMIF('Res Predicted Monthly'!$B:$B,B12,'Res Predicted Monthly'!C:C)</f>
        <v>139502198.41964176</v>
      </c>
      <c r="D12" s="25">
        <f>SUMIF('Res Predicted Monthly'!$B:$B,B12,'Res Predicted Monthly'!T:T)</f>
        <v>139363324.66290417</v>
      </c>
      <c r="E12" s="26">
        <f t="shared" ca="1" si="3"/>
        <v>9.9549511269950391E-4</v>
      </c>
      <c r="F12" s="26"/>
      <c r="G12" s="80">
        <v>2015</v>
      </c>
      <c r="H12" s="25">
        <f ca="1">SUMIF('GS &lt; 50 Predicted Monthly'!$B:$B,$B12,'GS &lt; 50 Predicted Monthly'!C:C)</f>
        <v>53413629.080875844</v>
      </c>
      <c r="I12" s="25">
        <f>SUMIF('GS &lt; 50 Predicted Monthly'!$B:$B,$B12,'GS &lt; 50 Predicted Monthly'!Z:Z)</f>
        <v>53374865.676705249</v>
      </c>
      <c r="J12" s="26">
        <f t="shared" ca="1" si="4"/>
        <v>7.2572122204806182E-4</v>
      </c>
      <c r="K12" s="26"/>
      <c r="L12" s="96">
        <v>2015</v>
      </c>
      <c r="M12" s="99">
        <f ca="1">SUMIF('GS &gt; 50 Predicted Monthly'!$B:$B,$B12,'GS &gt; 50 Predicted Monthly'!C:C)</f>
        <v>122207045.09129581</v>
      </c>
      <c r="N12" s="99">
        <f>SUMIF('GS &gt; 50 Predicted Monthly'!$B:$B,$B12,'GS &gt; 50 Predicted Monthly'!P:P)</f>
        <v>124748521.6450509</v>
      </c>
      <c r="O12" s="100">
        <f t="shared" ca="1" si="5"/>
        <v>2.0796481511000105E-2</v>
      </c>
      <c r="Q12" s="25"/>
      <c r="R12" s="25"/>
      <c r="S12" s="26"/>
      <c r="U12" s="25"/>
      <c r="V12" s="25"/>
      <c r="W12" s="26"/>
    </row>
    <row r="13" spans="1:23" s="80" customFormat="1" ht="14.4" x14ac:dyDescent="0.3">
      <c r="B13" s="80">
        <v>2016</v>
      </c>
      <c r="C13" s="25">
        <f ca="1">SUMIF('Res Predicted Monthly'!$B:$B,B13,'Res Predicted Monthly'!C:C)</f>
        <v>141238267.93677962</v>
      </c>
      <c r="D13" s="25">
        <f>SUMIF('Res Predicted Monthly'!$B:$B,B13,'Res Predicted Monthly'!T:T)</f>
        <v>140098077.62819162</v>
      </c>
      <c r="E13" s="26">
        <f t="shared" ca="1" si="3"/>
        <v>8.0728142963234616E-3</v>
      </c>
      <c r="F13" s="26"/>
      <c r="G13" s="80">
        <v>2016</v>
      </c>
      <c r="H13" s="25">
        <f ca="1">SUMIF('GS &lt; 50 Predicted Monthly'!$B:$B,$B13,'GS &lt; 50 Predicted Monthly'!C:C)</f>
        <v>52327042.37961597</v>
      </c>
      <c r="I13" s="25">
        <f>SUMIF('GS &lt; 50 Predicted Monthly'!$B:$B,$B13,'GS &lt; 50 Predicted Monthly'!Z:Z)</f>
        <v>52461199.133983441</v>
      </c>
      <c r="J13" s="26">
        <f t="shared" ca="1" si="4"/>
        <v>2.5638130547147374E-3</v>
      </c>
      <c r="K13" s="26"/>
      <c r="L13" s="96">
        <v>2016</v>
      </c>
      <c r="M13" s="99">
        <f ca="1">SUMIF('GS &gt; 50 Predicted Monthly'!$B:$B,$B13,'GS &gt; 50 Predicted Monthly'!C:C)</f>
        <v>126567690.95211552</v>
      </c>
      <c r="N13" s="99">
        <f>SUMIF('GS &gt; 50 Predicted Monthly'!$B:$B,$B13,'GS &gt; 50 Predicted Monthly'!P:P)</f>
        <v>125482587.40428114</v>
      </c>
      <c r="O13" s="100">
        <f t="shared" ca="1" si="5"/>
        <v>8.5733060283521307E-3</v>
      </c>
      <c r="Q13" s="25"/>
      <c r="R13" s="25"/>
      <c r="S13" s="26"/>
      <c r="U13" s="25"/>
      <c r="V13" s="25"/>
      <c r="W13" s="26"/>
    </row>
    <row r="14" spans="1:23" x14ac:dyDescent="0.25">
      <c r="L14" s="96"/>
      <c r="M14" s="96"/>
      <c r="N14" s="96"/>
      <c r="O14" s="96"/>
    </row>
    <row r="15" spans="1:23" x14ac:dyDescent="0.25">
      <c r="B15" s="137" t="s">
        <v>100</v>
      </c>
      <c r="C15" s="137"/>
      <c r="D15" s="137"/>
      <c r="E15" s="28">
        <f ca="1">AVERAGE(E4:E13)</f>
        <v>8.0581934357271297E-3</v>
      </c>
      <c r="F15" s="28"/>
      <c r="G15" s="137" t="s">
        <v>100</v>
      </c>
      <c r="H15" s="137"/>
      <c r="I15" s="137"/>
      <c r="J15" s="28">
        <f ca="1">AVERAGE(J4:J13)</f>
        <v>8.2762998018475024E-3</v>
      </c>
      <c r="K15" s="28"/>
      <c r="L15" s="138" t="s">
        <v>100</v>
      </c>
      <c r="M15" s="138"/>
      <c r="N15" s="138"/>
      <c r="O15" s="102">
        <f ca="1">AVERAGE(O4:O13)</f>
        <v>2.267363042606935E-2</v>
      </c>
      <c r="P15" s="137"/>
      <c r="Q15" s="137"/>
      <c r="R15" s="137"/>
      <c r="S15" s="28"/>
      <c r="T15" s="137"/>
      <c r="U15" s="137"/>
      <c r="V15" s="137"/>
      <c r="W15" s="28"/>
    </row>
    <row r="16" spans="1:23" x14ac:dyDescent="0.25">
      <c r="B16" s="137" t="s">
        <v>101</v>
      </c>
      <c r="C16" s="137"/>
      <c r="D16" s="137"/>
      <c r="E16" s="28">
        <f ca="1">'Res Predicted Monthly'!U122</f>
        <v>2.9721948211623613E-2</v>
      </c>
      <c r="F16" s="28"/>
      <c r="G16" s="137" t="s">
        <v>101</v>
      </c>
      <c r="H16" s="137"/>
      <c r="I16" s="137"/>
      <c r="J16" s="28">
        <f ca="1">'GS &lt; 50 Predicted Monthly'!AA122</f>
        <v>3.2953340911104745E-2</v>
      </c>
      <c r="K16" s="28"/>
      <c r="L16" s="138" t="s">
        <v>101</v>
      </c>
      <c r="M16" s="138"/>
      <c r="N16" s="138"/>
      <c r="O16" s="102">
        <f ca="1">'GS &gt; 50 Predicted Monthly'!Q122</f>
        <v>4.8963004926681868E-2</v>
      </c>
      <c r="P16" s="137"/>
      <c r="Q16" s="137"/>
      <c r="R16" s="137"/>
      <c r="S16" s="28"/>
      <c r="T16" s="137"/>
      <c r="U16" s="137"/>
      <c r="V16" s="137"/>
      <c r="W16" s="28"/>
    </row>
  </sheetData>
  <mergeCells count="16">
    <mergeCell ref="U2:V2"/>
    <mergeCell ref="A1:C1"/>
    <mergeCell ref="C2:D2"/>
    <mergeCell ref="H2:I2"/>
    <mergeCell ref="M2:N2"/>
    <mergeCell ref="Q2:R2"/>
    <mergeCell ref="B16:D16"/>
    <mergeCell ref="G16:I16"/>
    <mergeCell ref="L16:N16"/>
    <mergeCell ref="P16:R16"/>
    <mergeCell ref="T16:V16"/>
    <mergeCell ref="B15:D15"/>
    <mergeCell ref="G15:I15"/>
    <mergeCell ref="L15:N15"/>
    <mergeCell ref="P15:R15"/>
    <mergeCell ref="T15:V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workbookViewId="0"/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9.33203125" style="20" bestFit="1" customWidth="1"/>
    <col min="4" max="4" width="11.77734375" style="4" bestFit="1" customWidth="1"/>
    <col min="5" max="5" width="11.6640625" style="4" bestFit="1" customWidth="1"/>
    <col min="6" max="6" width="5.33203125" style="4" bestFit="1" customWidth="1"/>
    <col min="7" max="7" width="7.77734375" style="4" bestFit="1" customWidth="1"/>
    <col min="8" max="8" width="3.77734375" style="4" bestFit="1" customWidth="1"/>
    <col min="9" max="9" width="4.44140625" style="4" bestFit="1" customWidth="1"/>
    <col min="10" max="10" width="4.33203125" style="88" bestFit="1" customWidth="1"/>
    <col min="11" max="11" width="9.109375" style="4"/>
    <col min="12" max="12" width="11" style="20" bestFit="1" customWidth="1"/>
    <col min="13" max="13" width="12.88671875" style="20" bestFit="1" customWidth="1"/>
    <col min="14" max="14" width="12.77734375" style="20" bestFit="1" customWidth="1"/>
    <col min="15" max="15" width="9.109375" style="20" bestFit="1" customWidth="1"/>
    <col min="16" max="16" width="10.5546875" style="20" bestFit="1" customWidth="1"/>
    <col min="17" max="18" width="9.109375" style="20" bestFit="1" customWidth="1"/>
    <col min="19" max="19" width="8.5546875" style="20" bestFit="1" customWidth="1"/>
    <col min="20" max="20" width="15.33203125" style="20" bestFit="1" customWidth="1"/>
    <col min="21" max="16384" width="9.109375" style="4"/>
  </cols>
  <sheetData>
    <row r="1" spans="1:20" x14ac:dyDescent="0.3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88" t="str">
        <f>'Monthly Data'!AK1</f>
        <v>London_HDD</v>
      </c>
      <c r="E1" s="88" t="str">
        <f>'Monthly Data'!AL1</f>
        <v>London_CDD</v>
      </c>
      <c r="F1" s="88" t="str">
        <f>'Monthly Data'!AT1</f>
        <v>Trend</v>
      </c>
      <c r="G1" s="88" t="str">
        <f>'Monthly Data'!AO1</f>
        <v>Shoulder</v>
      </c>
      <c r="H1" s="88" t="str">
        <f>'Monthly Data'!AV1</f>
        <v>Feb</v>
      </c>
      <c r="I1" s="88" t="str">
        <f>'Monthly Data'!AZ1</f>
        <v>June</v>
      </c>
      <c r="J1" s="88" t="str">
        <f>'Monthly Data'!BC1</f>
        <v>Sept</v>
      </c>
      <c r="L1" s="20" t="s">
        <v>74</v>
      </c>
      <c r="M1" s="20" t="str">
        <f t="shared" ref="M1:S1" si="0">D1</f>
        <v>London_HDD</v>
      </c>
      <c r="N1" s="20" t="str">
        <f t="shared" si="0"/>
        <v>London_CDD</v>
      </c>
      <c r="O1" s="20" t="str">
        <f t="shared" si="0"/>
        <v>Trend</v>
      </c>
      <c r="P1" s="20" t="str">
        <f t="shared" si="0"/>
        <v>Shoulder</v>
      </c>
      <c r="Q1" s="20" t="str">
        <f t="shared" si="0"/>
        <v>Feb</v>
      </c>
      <c r="R1" s="20" t="str">
        <f t="shared" si="0"/>
        <v>June</v>
      </c>
      <c r="S1" s="20" t="str">
        <f t="shared" si="0"/>
        <v>Sept</v>
      </c>
      <c r="T1" s="29" t="s">
        <v>102</v>
      </c>
    </row>
    <row r="2" spans="1:20" x14ac:dyDescent="0.3">
      <c r="A2" s="22">
        <f>'Monthly Data'!A2</f>
        <v>39083</v>
      </c>
      <c r="B2" s="4">
        <f t="shared" ref="B2" si="1">YEAR(A2)</f>
        <v>2007</v>
      </c>
      <c r="C2" s="20">
        <f ca="1">'Monthly Data'!E2</f>
        <v>14581608.920969907</v>
      </c>
      <c r="D2" s="88">
        <f ca="1">Weather!G66</f>
        <v>729.54999999999984</v>
      </c>
      <c r="E2" s="88">
        <f ca="1">Weather!H66</f>
        <v>0</v>
      </c>
      <c r="F2" s="88">
        <f>'Monthly Data'!AT2</f>
        <v>1</v>
      </c>
      <c r="G2" s="88">
        <f>'Monthly Data'!AO2</f>
        <v>0</v>
      </c>
      <c r="H2" s="88">
        <f>'Monthly Data'!AV2</f>
        <v>0</v>
      </c>
      <c r="I2" s="88">
        <f>'Monthly Data'!AZ2</f>
        <v>0</v>
      </c>
      <c r="J2" s="88">
        <f>'Monthly Data'!BC2</f>
        <v>0</v>
      </c>
      <c r="L2" s="20">
        <f>'Res OLS model'!$B$5</f>
        <v>10397563.9954574</v>
      </c>
      <c r="M2" s="20">
        <f ca="1">'Res OLS model'!$B$6*D2</f>
        <v>4066230.9818139928</v>
      </c>
      <c r="N2" s="20">
        <f ca="1">'Res OLS model'!$B$7*E2</f>
        <v>0</v>
      </c>
      <c r="O2" s="20">
        <f>'Res OLS model'!$B$8*F2</f>
        <v>-4275.0571334042697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 ca="1">SUM(L2:S2)</f>
        <v>14459519.920137988</v>
      </c>
    </row>
    <row r="3" spans="1:20" x14ac:dyDescent="0.3">
      <c r="A3" s="22">
        <f>'Monthly Data'!A3</f>
        <v>39114</v>
      </c>
      <c r="B3" s="88">
        <f t="shared" ref="B3:B66" si="2">YEAR(A3)</f>
        <v>2007</v>
      </c>
      <c r="C3" s="20">
        <f ca="1">'Monthly Data'!E3</f>
        <v>14900347.320969908</v>
      </c>
      <c r="D3" s="88">
        <f ca="1">Weather!G67</f>
        <v>678.56000000000006</v>
      </c>
      <c r="E3" s="88">
        <f ca="1">Weather!H67</f>
        <v>0</v>
      </c>
      <c r="F3" s="88">
        <f>'Monthly Data'!AT3</f>
        <v>2</v>
      </c>
      <c r="G3" s="88">
        <f>'Monthly Data'!AO3</f>
        <v>0</v>
      </c>
      <c r="H3" s="88">
        <f>'Monthly Data'!AV3</f>
        <v>1</v>
      </c>
      <c r="I3" s="88">
        <f>'Monthly Data'!AZ3</f>
        <v>0</v>
      </c>
      <c r="J3" s="88">
        <f>'Monthly Data'!BC3</f>
        <v>0</v>
      </c>
      <c r="K3" s="88"/>
      <c r="L3" s="20">
        <f>'Res OLS model'!$B$5</f>
        <v>10397563.9954574</v>
      </c>
      <c r="M3" s="20">
        <f ca="1">'Res OLS model'!$B$6*D3</f>
        <v>3782032.341881576</v>
      </c>
      <c r="N3" s="20">
        <f ca="1">'Res OLS model'!$B$7*E3</f>
        <v>0</v>
      </c>
      <c r="O3" s="20">
        <f>'Res OLS model'!$B$8*F3</f>
        <v>-8550.1142668085395</v>
      </c>
      <c r="P3" s="20">
        <f>'Res OLS model'!$B$9*G3</f>
        <v>0</v>
      </c>
      <c r="Q3" s="20">
        <f>'Res OLS model'!$B$10*H3</f>
        <v>-473349.26469262998</v>
      </c>
      <c r="R3" s="20">
        <f>'Res OLS model'!$B$11*I3</f>
        <v>0</v>
      </c>
      <c r="S3" s="20">
        <f>'Res OLS model'!$B$12*J3</f>
        <v>0</v>
      </c>
      <c r="T3" s="20">
        <f t="shared" ref="T3:T66" ca="1" si="3">SUM(L3:S3)</f>
        <v>13697696.958379537</v>
      </c>
    </row>
    <row r="4" spans="1:20" x14ac:dyDescent="0.3">
      <c r="A4" s="22">
        <f>'Monthly Data'!A4</f>
        <v>39142</v>
      </c>
      <c r="B4" s="88">
        <f t="shared" si="2"/>
        <v>2007</v>
      </c>
      <c r="C4" s="20">
        <f ca="1">'Monthly Data'!E4</f>
        <v>13266443.320969906</v>
      </c>
      <c r="D4" s="88">
        <f ca="1">Weather!G68</f>
        <v>544.77</v>
      </c>
      <c r="E4" s="88">
        <f ca="1">Weather!H68</f>
        <v>0.22000000000000003</v>
      </c>
      <c r="F4" s="88">
        <f>'Monthly Data'!AT4</f>
        <v>3</v>
      </c>
      <c r="G4" s="88">
        <f>'Monthly Data'!AO4</f>
        <v>1</v>
      </c>
      <c r="H4" s="88">
        <f>'Monthly Data'!AV4</f>
        <v>0</v>
      </c>
      <c r="I4" s="88">
        <f>'Monthly Data'!AZ4</f>
        <v>0</v>
      </c>
      <c r="J4" s="88">
        <f>'Monthly Data'!BC4</f>
        <v>0</v>
      </c>
      <c r="K4" s="88"/>
      <c r="L4" s="20">
        <f>'Res OLS model'!$B$5</f>
        <v>10397563.9954574</v>
      </c>
      <c r="M4" s="20">
        <f ca="1">'Res OLS model'!$B$6*D4</f>
        <v>3036338.3619529973</v>
      </c>
      <c r="N4" s="20">
        <f ca="1">'Res OLS model'!$B$7*E4</f>
        <v>6055.4260695655776</v>
      </c>
      <c r="O4" s="20">
        <f>'Res OLS model'!$B$8*F4</f>
        <v>-12825.17140021281</v>
      </c>
      <c r="P4" s="20">
        <f>'Res OLS model'!$B$9*G4</f>
        <v>-1419959.8612913999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ca="1" si="3"/>
        <v>12007172.75078835</v>
      </c>
    </row>
    <row r="5" spans="1:20" x14ac:dyDescent="0.3">
      <c r="A5" s="22">
        <f>'Monthly Data'!A5</f>
        <v>39173</v>
      </c>
      <c r="B5" s="88">
        <f t="shared" si="2"/>
        <v>2007</v>
      </c>
      <c r="C5" s="20">
        <f ca="1">'Monthly Data'!E5</f>
        <v>11367902.320969908</v>
      </c>
      <c r="D5" s="88">
        <f ca="1">Weather!G69</f>
        <v>328.11</v>
      </c>
      <c r="E5" s="88">
        <f ca="1">Weather!H69</f>
        <v>0.32</v>
      </c>
      <c r="F5" s="88">
        <f>'Monthly Data'!AT5</f>
        <v>4</v>
      </c>
      <c r="G5" s="88">
        <f>'Monthly Data'!AO5</f>
        <v>1</v>
      </c>
      <c r="H5" s="88">
        <f>'Monthly Data'!AV5</f>
        <v>0</v>
      </c>
      <c r="I5" s="88">
        <f>'Monthly Data'!AZ5</f>
        <v>0</v>
      </c>
      <c r="J5" s="88">
        <f>'Monthly Data'!BC5</f>
        <v>0</v>
      </c>
      <c r="K5" s="88"/>
      <c r="L5" s="20">
        <f>'Res OLS model'!$B$5</f>
        <v>10397563.9954574</v>
      </c>
      <c r="M5" s="20">
        <f ca="1">'Res OLS model'!$B$6*D5</f>
        <v>1828758.8889630451</v>
      </c>
      <c r="N5" s="20">
        <f ca="1">'Res OLS model'!$B$7*E5</f>
        <v>8807.8924648226566</v>
      </c>
      <c r="O5" s="20">
        <f>'Res OLS model'!$B$8*F5</f>
        <v>-17100.228533617079</v>
      </c>
      <c r="P5" s="20">
        <f>'Res OLS model'!$B$9*G5</f>
        <v>-1419959.8612913999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ca="1" si="3"/>
        <v>10798070.687060252</v>
      </c>
    </row>
    <row r="6" spans="1:20" x14ac:dyDescent="0.3">
      <c r="A6" s="22">
        <f>'Monthly Data'!A6</f>
        <v>39203</v>
      </c>
      <c r="B6" s="88">
        <f t="shared" si="2"/>
        <v>2007</v>
      </c>
      <c r="C6" s="20">
        <f ca="1">'Monthly Data'!E6</f>
        <v>10571719.320969908</v>
      </c>
      <c r="D6" s="88">
        <f ca="1">Weather!G70</f>
        <v>134.47999999999999</v>
      </c>
      <c r="E6" s="88">
        <f ca="1">Weather!H70</f>
        <v>20.889999999999997</v>
      </c>
      <c r="F6" s="88">
        <f>'Monthly Data'!AT6</f>
        <v>5</v>
      </c>
      <c r="G6" s="88">
        <f>'Monthly Data'!AO6</f>
        <v>1</v>
      </c>
      <c r="H6" s="88">
        <f>'Monthly Data'!AV6</f>
        <v>0</v>
      </c>
      <c r="I6" s="88">
        <f>'Monthly Data'!AZ6</f>
        <v>0</v>
      </c>
      <c r="J6" s="88">
        <f>'Monthly Data'!BC6</f>
        <v>0</v>
      </c>
      <c r="K6" s="88"/>
      <c r="L6" s="20">
        <f>'Res OLS model'!$B$5</f>
        <v>10397563.9954574</v>
      </c>
      <c r="M6" s="20">
        <f ca="1">'Res OLS model'!$B$6*D6</f>
        <v>749539.77442854608</v>
      </c>
      <c r="N6" s="20">
        <f ca="1">'Res OLS model'!$B$7*E6</f>
        <v>574990.22996920394</v>
      </c>
      <c r="O6" s="20">
        <f>'Res OLS model'!$B$8*F6</f>
        <v>-21375.285667021348</v>
      </c>
      <c r="P6" s="20">
        <f>'Res OLS model'!$B$9*G6</f>
        <v>-1419959.8612913999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ca="1" si="3"/>
        <v>10280758.852896729</v>
      </c>
    </row>
    <row r="7" spans="1:20" x14ac:dyDescent="0.3">
      <c r="A7" s="22">
        <f>'Monthly Data'!A7</f>
        <v>39234</v>
      </c>
      <c r="B7" s="88">
        <f t="shared" si="2"/>
        <v>2007</v>
      </c>
      <c r="C7" s="20">
        <f ca="1">'Monthly Data'!E7</f>
        <v>12208403.320969908</v>
      </c>
      <c r="D7" s="88">
        <f ca="1">Weather!G71</f>
        <v>30.429999999999996</v>
      </c>
      <c r="E7" s="88">
        <f ca="1">Weather!H71</f>
        <v>56.129999999999995</v>
      </c>
      <c r="F7" s="88">
        <f>'Monthly Data'!AT7</f>
        <v>6</v>
      </c>
      <c r="G7" s="88">
        <f>'Monthly Data'!AO7</f>
        <v>0</v>
      </c>
      <c r="H7" s="88">
        <f>'Monthly Data'!AV7</f>
        <v>0</v>
      </c>
      <c r="I7" s="88">
        <f>'Monthly Data'!AZ7</f>
        <v>1</v>
      </c>
      <c r="J7" s="88">
        <f>'Monthly Data'!BC7</f>
        <v>0</v>
      </c>
      <c r="K7" s="88"/>
      <c r="L7" s="20">
        <f>'Res OLS model'!$B$5</f>
        <v>10397563.9954574</v>
      </c>
      <c r="M7" s="20">
        <f ca="1">'Res OLS model'!$B$6*D7</f>
        <v>169605.11106380619</v>
      </c>
      <c r="N7" s="20">
        <f ca="1">'Res OLS model'!$B$7*E7</f>
        <v>1544959.3876577991</v>
      </c>
      <c r="O7" s="20">
        <f>'Res OLS model'!$B$8*F7</f>
        <v>-25650.34280042562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-773164.55099904304</v>
      </c>
      <c r="S7" s="20">
        <f>'Res OLS model'!$B$12*J7</f>
        <v>0</v>
      </c>
      <c r="T7" s="20">
        <f t="shared" ca="1" si="3"/>
        <v>11313313.600379536</v>
      </c>
    </row>
    <row r="8" spans="1:20" x14ac:dyDescent="0.3">
      <c r="A8" s="22">
        <f>'Monthly Data'!A8</f>
        <v>39264</v>
      </c>
      <c r="B8" s="88">
        <f t="shared" si="2"/>
        <v>2007</v>
      </c>
      <c r="C8" s="20">
        <f ca="1">'Monthly Data'!E8</f>
        <v>12684446.320969908</v>
      </c>
      <c r="D8" s="88">
        <f ca="1">Weather!G72</f>
        <v>7.85</v>
      </c>
      <c r="E8" s="88">
        <f ca="1">Weather!H72</f>
        <v>99.97999999999999</v>
      </c>
      <c r="F8" s="88">
        <f>'Monthly Data'!AT8</f>
        <v>7</v>
      </c>
      <c r="G8" s="88">
        <f>'Monthly Data'!AO8</f>
        <v>0</v>
      </c>
      <c r="H8" s="88">
        <f>'Monthly Data'!AV8</f>
        <v>0</v>
      </c>
      <c r="I8" s="88">
        <f>'Monthly Data'!AZ8</f>
        <v>0</v>
      </c>
      <c r="J8" s="88">
        <f>'Monthly Data'!BC8</f>
        <v>0</v>
      </c>
      <c r="K8" s="88"/>
      <c r="L8" s="20">
        <f>'Res OLS model'!$B$5</f>
        <v>10397563.9954574</v>
      </c>
      <c r="M8" s="20">
        <f ca="1">'Res OLS model'!$B$6*D8</f>
        <v>43752.879456157701</v>
      </c>
      <c r="N8" s="20">
        <f ca="1">'Res OLS model'!$B$7*E8</f>
        <v>2751915.9019780285</v>
      </c>
      <c r="O8" s="20">
        <f>'Res OLS model'!$B$8*F8</f>
        <v>-29925.399933829889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ca="1" si="3"/>
        <v>13163307.376957756</v>
      </c>
    </row>
    <row r="9" spans="1:20" x14ac:dyDescent="0.3">
      <c r="A9" s="22">
        <f>'Monthly Data'!A9</f>
        <v>39295</v>
      </c>
      <c r="B9" s="88">
        <f t="shared" si="2"/>
        <v>2007</v>
      </c>
      <c r="C9" s="20">
        <f ca="1">'Monthly Data'!E9</f>
        <v>12052546.320969908</v>
      </c>
      <c r="D9" s="88">
        <f ca="1">Weather!G73</f>
        <v>10.43</v>
      </c>
      <c r="E9" s="88">
        <f ca="1">Weather!H73</f>
        <v>80.190000000000012</v>
      </c>
      <c r="F9" s="88">
        <f>'Monthly Data'!AT9</f>
        <v>8</v>
      </c>
      <c r="G9" s="88">
        <f>'Monthly Data'!AO9</f>
        <v>0</v>
      </c>
      <c r="H9" s="88">
        <f>'Monthly Data'!AV9</f>
        <v>0</v>
      </c>
      <c r="I9" s="88">
        <f>'Monthly Data'!AZ9</f>
        <v>0</v>
      </c>
      <c r="J9" s="88">
        <f>'Monthly Data'!BC9</f>
        <v>0</v>
      </c>
      <c r="K9" s="88"/>
      <c r="L9" s="20">
        <f>'Res OLS model'!$B$5</f>
        <v>10397563.9954574</v>
      </c>
      <c r="M9" s="20">
        <f ca="1">'Res OLS model'!$B$6*D9</f>
        <v>58132.806716907617</v>
      </c>
      <c r="N9" s="20">
        <f ca="1">'Res OLS model'!$B$7*E9</f>
        <v>2207202.8023566529</v>
      </c>
      <c r="O9" s="20">
        <f>'Res OLS model'!$B$8*F9</f>
        <v>-34200.457067234158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ca="1" si="3"/>
        <v>12628699.147463726</v>
      </c>
    </row>
    <row r="10" spans="1:20" x14ac:dyDescent="0.3">
      <c r="A10" s="22">
        <f>'Monthly Data'!A10</f>
        <v>39326</v>
      </c>
      <c r="B10" s="88">
        <f t="shared" si="2"/>
        <v>2007</v>
      </c>
      <c r="C10" s="20">
        <f ca="1">'Monthly Data'!E10</f>
        <v>10146484.320969908</v>
      </c>
      <c r="D10" s="88">
        <f ca="1">Weather!G74</f>
        <v>70.580000000000013</v>
      </c>
      <c r="E10" s="88">
        <f ca="1">Weather!H74</f>
        <v>29.429999999999996</v>
      </c>
      <c r="F10" s="88">
        <f>'Monthly Data'!AT10</f>
        <v>9</v>
      </c>
      <c r="G10" s="88">
        <f>'Monthly Data'!AO10</f>
        <v>1</v>
      </c>
      <c r="H10" s="88">
        <f>'Monthly Data'!AV10</f>
        <v>0</v>
      </c>
      <c r="I10" s="88">
        <f>'Monthly Data'!AZ10</f>
        <v>0</v>
      </c>
      <c r="J10" s="88">
        <f>'Monthly Data'!BC10</f>
        <v>1</v>
      </c>
      <c r="K10" s="88"/>
      <c r="L10" s="20">
        <f>'Res OLS model'!$B$5</f>
        <v>10397563.9954574</v>
      </c>
      <c r="M10" s="20">
        <f ca="1">'Res OLS model'!$B$6*D10</f>
        <v>393385.76204020524</v>
      </c>
      <c r="N10" s="20">
        <f ca="1">'Res OLS model'!$B$7*E10</f>
        <v>810050.86012415856</v>
      </c>
      <c r="O10" s="20">
        <f>'Res OLS model'!$B$8*F10</f>
        <v>-38475.514200638427</v>
      </c>
      <c r="P10" s="20">
        <f>'Res OLS model'!$B$9*G10</f>
        <v>-1419959.8612913999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772942.00624980999</v>
      </c>
      <c r="T10" s="20">
        <f t="shared" ca="1" si="3"/>
        <v>10915507.248379534</v>
      </c>
    </row>
    <row r="11" spans="1:20" x14ac:dyDescent="0.3">
      <c r="A11" s="22">
        <f>'Monthly Data'!A11</f>
        <v>39356</v>
      </c>
      <c r="B11" s="88">
        <f t="shared" si="2"/>
        <v>2007</v>
      </c>
      <c r="C11" s="20">
        <f ca="1">'Monthly Data'!E11</f>
        <v>10490269.320969908</v>
      </c>
      <c r="D11" s="88">
        <f ca="1">Weather!G75</f>
        <v>241.15</v>
      </c>
      <c r="E11" s="88">
        <f ca="1">Weather!H75</f>
        <v>2.87</v>
      </c>
      <c r="F11" s="88">
        <f>'Monthly Data'!AT11</f>
        <v>10</v>
      </c>
      <c r="G11" s="88">
        <f>'Monthly Data'!AO11</f>
        <v>1</v>
      </c>
      <c r="H11" s="88">
        <f>'Monthly Data'!AV11</f>
        <v>0</v>
      </c>
      <c r="I11" s="88">
        <f>'Monthly Data'!AZ11</f>
        <v>0</v>
      </c>
      <c r="J11" s="88">
        <f>'Monthly Data'!BC11</f>
        <v>0</v>
      </c>
      <c r="K11" s="88"/>
      <c r="L11" s="20">
        <f>'Res OLS model'!$B$5</f>
        <v>10397563.9954574</v>
      </c>
      <c r="M11" s="20">
        <f ca="1">'Res OLS model'!$B$6*D11</f>
        <v>1344077.30966273</v>
      </c>
      <c r="N11" s="20">
        <f ca="1">'Res OLS model'!$B$7*E11</f>
        <v>78995.785543878199</v>
      </c>
      <c r="O11" s="20">
        <f>'Res OLS model'!$B$8*F11</f>
        <v>-42750.571334042696</v>
      </c>
      <c r="P11" s="20">
        <f>'Res OLS model'!$B$9*G11</f>
        <v>-1419959.8612913999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ca="1" si="3"/>
        <v>10357926.658038564</v>
      </c>
    </row>
    <row r="12" spans="1:20" x14ac:dyDescent="0.3">
      <c r="A12" s="22">
        <f>'Monthly Data'!A12</f>
        <v>39387</v>
      </c>
      <c r="B12" s="88">
        <f t="shared" si="2"/>
        <v>2007</v>
      </c>
      <c r="C12" s="20">
        <f ca="1">'Monthly Data'!E12</f>
        <v>11374243.320969908</v>
      </c>
      <c r="D12" s="88">
        <f ca="1">Weather!G76</f>
        <v>421.52</v>
      </c>
      <c r="E12" s="88">
        <f ca="1">Weather!H76</f>
        <v>0</v>
      </c>
      <c r="F12" s="88">
        <f>'Monthly Data'!AT12</f>
        <v>11</v>
      </c>
      <c r="G12" s="88">
        <f>'Monthly Data'!AO12</f>
        <v>1</v>
      </c>
      <c r="H12" s="88">
        <f>'Monthly Data'!AV12</f>
        <v>0</v>
      </c>
      <c r="I12" s="88">
        <f>'Monthly Data'!AZ12</f>
        <v>0</v>
      </c>
      <c r="J12" s="88">
        <f>'Monthly Data'!BC12</f>
        <v>0</v>
      </c>
      <c r="K12" s="88"/>
      <c r="L12" s="20">
        <f>'Res OLS model'!$B$5</f>
        <v>10397563.9954574</v>
      </c>
      <c r="M12" s="20">
        <f ca="1">'Res OLS model'!$B$6*D12</f>
        <v>2349390.2864152347</v>
      </c>
      <c r="N12" s="20">
        <f ca="1">'Res OLS model'!$B$7*E12</f>
        <v>0</v>
      </c>
      <c r="O12" s="20">
        <f>'Res OLS model'!$B$8*F12</f>
        <v>-47025.628467446964</v>
      </c>
      <c r="P12" s="20">
        <f>'Res OLS model'!$B$9*G12</f>
        <v>-1419959.8612913999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ca="1" si="3"/>
        <v>11279968.792113788</v>
      </c>
    </row>
    <row r="13" spans="1:20" x14ac:dyDescent="0.3">
      <c r="A13" s="22">
        <f>'Monthly Data'!A13</f>
        <v>39417</v>
      </c>
      <c r="B13" s="88">
        <f t="shared" si="2"/>
        <v>2007</v>
      </c>
      <c r="C13" s="20">
        <f ca="1">'Monthly Data'!E13</f>
        <v>14349894.320969908</v>
      </c>
      <c r="D13" s="88">
        <f ca="1">Weather!G77</f>
        <v>610.56000000000006</v>
      </c>
      <c r="E13" s="88">
        <f ca="1">Weather!H77</f>
        <v>0</v>
      </c>
      <c r="F13" s="88">
        <f>'Monthly Data'!AT13</f>
        <v>12</v>
      </c>
      <c r="G13" s="88">
        <f>'Monthly Data'!AO13</f>
        <v>0</v>
      </c>
      <c r="H13" s="88">
        <f>'Monthly Data'!AV13</f>
        <v>0</v>
      </c>
      <c r="I13" s="88">
        <f>'Monthly Data'!AZ13</f>
        <v>0</v>
      </c>
      <c r="J13" s="88">
        <f>'Monthly Data'!BC13</f>
        <v>0</v>
      </c>
      <c r="K13" s="88"/>
      <c r="L13" s="20">
        <f>'Res OLS model'!$B$5</f>
        <v>10397563.9954574</v>
      </c>
      <c r="M13" s="20">
        <f ca="1">'Res OLS model'!$B$6*D13</f>
        <v>3403026.5071021207</v>
      </c>
      <c r="N13" s="20">
        <f ca="1">'Res OLS model'!$B$7*E13</f>
        <v>0</v>
      </c>
      <c r="O13" s="20">
        <f>'Res OLS model'!$B$8*F13</f>
        <v>-51300.68560085124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ca="1" si="3"/>
        <v>13749289.81695867</v>
      </c>
    </row>
    <row r="14" spans="1:20" x14ac:dyDescent="0.3">
      <c r="A14" s="22">
        <f>'Monthly Data'!A14</f>
        <v>39448</v>
      </c>
      <c r="B14" s="88">
        <f t="shared" si="2"/>
        <v>2008</v>
      </c>
      <c r="C14" s="20">
        <f ca="1">'Monthly Data'!E14</f>
        <v>13687822.136470912</v>
      </c>
      <c r="D14" s="88">
        <f ca="1">D2</f>
        <v>729.54999999999984</v>
      </c>
      <c r="E14" s="88">
        <f ca="1">E2</f>
        <v>0</v>
      </c>
      <c r="F14" s="88">
        <f>'Monthly Data'!AT14</f>
        <v>13</v>
      </c>
      <c r="G14" s="88">
        <f>'Monthly Data'!AO14</f>
        <v>0</v>
      </c>
      <c r="H14" s="88">
        <f>'Monthly Data'!AV14</f>
        <v>0</v>
      </c>
      <c r="I14" s="88">
        <f>'Monthly Data'!AZ14</f>
        <v>0</v>
      </c>
      <c r="J14" s="88">
        <f>'Monthly Data'!BC14</f>
        <v>0</v>
      </c>
      <c r="K14" s="88"/>
      <c r="L14" s="20">
        <f>'Res OLS model'!$B$5</f>
        <v>10397563.9954574</v>
      </c>
      <c r="M14" s="20">
        <f ca="1">'Res OLS model'!$B$6*D14</f>
        <v>4066230.9818139928</v>
      </c>
      <c r="N14" s="20">
        <f ca="1">'Res OLS model'!$B$7*E14</f>
        <v>0</v>
      </c>
      <c r="O14" s="20">
        <f>'Res OLS model'!$B$8*F14</f>
        <v>-55575.742734255509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ca="1" si="3"/>
        <v>14408219.234537138</v>
      </c>
    </row>
    <row r="15" spans="1:20" x14ac:dyDescent="0.3">
      <c r="A15" s="22">
        <f>'Monthly Data'!A15</f>
        <v>39479</v>
      </c>
      <c r="B15" s="88">
        <f t="shared" si="2"/>
        <v>2008</v>
      </c>
      <c r="C15" s="20">
        <f ca="1">'Monthly Data'!E15</f>
        <v>13785723.616470911</v>
      </c>
      <c r="D15" s="88">
        <f t="shared" ref="D15:E78" ca="1" si="4">D3</f>
        <v>678.56000000000006</v>
      </c>
      <c r="E15" s="88">
        <f t="shared" ca="1" si="4"/>
        <v>0</v>
      </c>
      <c r="F15" s="88">
        <f>'Monthly Data'!AT15</f>
        <v>14</v>
      </c>
      <c r="G15" s="88">
        <f>'Monthly Data'!AO15</f>
        <v>0</v>
      </c>
      <c r="H15" s="88">
        <f>'Monthly Data'!AV15</f>
        <v>1</v>
      </c>
      <c r="I15" s="88">
        <f>'Monthly Data'!AZ15</f>
        <v>0</v>
      </c>
      <c r="J15" s="88">
        <f>'Monthly Data'!BC15</f>
        <v>0</v>
      </c>
      <c r="K15" s="88"/>
      <c r="L15" s="20">
        <f>'Res OLS model'!$B$5</f>
        <v>10397563.9954574</v>
      </c>
      <c r="M15" s="20">
        <f ca="1">'Res OLS model'!$B$6*D15</f>
        <v>3782032.341881576</v>
      </c>
      <c r="N15" s="20">
        <f ca="1">'Res OLS model'!$B$7*E15</f>
        <v>0</v>
      </c>
      <c r="O15" s="20">
        <f>'Res OLS model'!$B$8*F15</f>
        <v>-59850.799867659778</v>
      </c>
      <c r="P15" s="20">
        <f>'Res OLS model'!$B$9*G15</f>
        <v>0</v>
      </c>
      <c r="Q15" s="20">
        <f>'Res OLS model'!$B$10*H15</f>
        <v>-473349.26469262998</v>
      </c>
      <c r="R15" s="20">
        <f>'Res OLS model'!$B$11*I15</f>
        <v>0</v>
      </c>
      <c r="S15" s="20">
        <f>'Res OLS model'!$B$12*J15</f>
        <v>0</v>
      </c>
      <c r="T15" s="20">
        <f t="shared" ca="1" si="3"/>
        <v>13646396.272778686</v>
      </c>
    </row>
    <row r="16" spans="1:20" x14ac:dyDescent="0.3">
      <c r="A16" s="22">
        <f>'Monthly Data'!A16</f>
        <v>39508</v>
      </c>
      <c r="B16" s="88">
        <f t="shared" si="2"/>
        <v>2008</v>
      </c>
      <c r="C16" s="20">
        <f ca="1">'Monthly Data'!E16</f>
        <v>12643963.896470912</v>
      </c>
      <c r="D16" s="88">
        <f t="shared" ca="1" si="4"/>
        <v>544.77</v>
      </c>
      <c r="E16" s="88">
        <f t="shared" ca="1" si="4"/>
        <v>0.22000000000000003</v>
      </c>
      <c r="F16" s="88">
        <f>'Monthly Data'!AT16</f>
        <v>15</v>
      </c>
      <c r="G16" s="88">
        <f>'Monthly Data'!AO16</f>
        <v>1</v>
      </c>
      <c r="H16" s="88">
        <f>'Monthly Data'!AV16</f>
        <v>0</v>
      </c>
      <c r="I16" s="88">
        <f>'Monthly Data'!AZ16</f>
        <v>0</v>
      </c>
      <c r="J16" s="88">
        <f>'Monthly Data'!BC16</f>
        <v>0</v>
      </c>
      <c r="K16" s="88"/>
      <c r="L16" s="20">
        <f>'Res OLS model'!$B$5</f>
        <v>10397563.9954574</v>
      </c>
      <c r="M16" s="20">
        <f ca="1">'Res OLS model'!$B$6*D16</f>
        <v>3036338.3619529973</v>
      </c>
      <c r="N16" s="20">
        <f ca="1">'Res OLS model'!$B$7*E16</f>
        <v>6055.4260695655776</v>
      </c>
      <c r="O16" s="20">
        <f>'Res OLS model'!$B$8*F16</f>
        <v>-64125.857001064047</v>
      </c>
      <c r="P16" s="20">
        <f>'Res OLS model'!$B$9*G16</f>
        <v>-1419959.8612913999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ca="1" si="3"/>
        <v>11955872.065187499</v>
      </c>
    </row>
    <row r="17" spans="1:20" x14ac:dyDescent="0.3">
      <c r="A17" s="22">
        <f>'Monthly Data'!A17</f>
        <v>39539</v>
      </c>
      <c r="B17" s="88">
        <f t="shared" si="2"/>
        <v>2008</v>
      </c>
      <c r="C17" s="20">
        <f ca="1">'Monthly Data'!E17</f>
        <v>10212184.296470912</v>
      </c>
      <c r="D17" s="88">
        <f t="shared" ca="1" si="4"/>
        <v>328.11</v>
      </c>
      <c r="E17" s="88">
        <f t="shared" ca="1" si="4"/>
        <v>0.32</v>
      </c>
      <c r="F17" s="88">
        <f>'Monthly Data'!AT17</f>
        <v>16</v>
      </c>
      <c r="G17" s="88">
        <f>'Monthly Data'!AO17</f>
        <v>1</v>
      </c>
      <c r="H17" s="88">
        <f>'Monthly Data'!AV17</f>
        <v>0</v>
      </c>
      <c r="I17" s="88">
        <f>'Monthly Data'!AZ17</f>
        <v>0</v>
      </c>
      <c r="J17" s="88">
        <f>'Monthly Data'!BC17</f>
        <v>0</v>
      </c>
      <c r="K17" s="88"/>
      <c r="L17" s="20">
        <f>'Res OLS model'!$B$5</f>
        <v>10397563.9954574</v>
      </c>
      <c r="M17" s="20">
        <f ca="1">'Res OLS model'!$B$6*D17</f>
        <v>1828758.8889630451</v>
      </c>
      <c r="N17" s="20">
        <f ca="1">'Res OLS model'!$B$7*E17</f>
        <v>8807.8924648226566</v>
      </c>
      <c r="O17" s="20">
        <f>'Res OLS model'!$B$8*F17</f>
        <v>-68400.914134468316</v>
      </c>
      <c r="P17" s="20">
        <f>'Res OLS model'!$B$9*G17</f>
        <v>-1419959.8612913999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ca="1" si="3"/>
        <v>10746770.001459399</v>
      </c>
    </row>
    <row r="18" spans="1:20" x14ac:dyDescent="0.3">
      <c r="A18" s="22">
        <f>'Monthly Data'!A18</f>
        <v>39569</v>
      </c>
      <c r="B18" s="88">
        <f t="shared" si="2"/>
        <v>2008</v>
      </c>
      <c r="C18" s="20">
        <f ca="1">'Monthly Data'!E18</f>
        <v>10279757.096470911</v>
      </c>
      <c r="D18" s="88">
        <f t="shared" ca="1" si="4"/>
        <v>134.47999999999999</v>
      </c>
      <c r="E18" s="88">
        <f t="shared" ca="1" si="4"/>
        <v>20.889999999999997</v>
      </c>
      <c r="F18" s="88">
        <f>'Monthly Data'!AT18</f>
        <v>17</v>
      </c>
      <c r="G18" s="88">
        <f>'Monthly Data'!AO18</f>
        <v>1</v>
      </c>
      <c r="H18" s="88">
        <f>'Monthly Data'!AV18</f>
        <v>0</v>
      </c>
      <c r="I18" s="88">
        <f>'Monthly Data'!AZ18</f>
        <v>0</v>
      </c>
      <c r="J18" s="88">
        <f>'Monthly Data'!BC18</f>
        <v>0</v>
      </c>
      <c r="K18" s="88"/>
      <c r="L18" s="20">
        <f>'Res OLS model'!$B$5</f>
        <v>10397563.9954574</v>
      </c>
      <c r="M18" s="20">
        <f ca="1">'Res OLS model'!$B$6*D18</f>
        <v>749539.77442854608</v>
      </c>
      <c r="N18" s="20">
        <f ca="1">'Res OLS model'!$B$7*E18</f>
        <v>574990.22996920394</v>
      </c>
      <c r="O18" s="20">
        <f>'Res OLS model'!$B$8*F18</f>
        <v>-72675.971267872592</v>
      </c>
      <c r="P18" s="20">
        <f>'Res OLS model'!$B$9*G18</f>
        <v>-1419959.8612913999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ca="1" si="3"/>
        <v>10229458.167295877</v>
      </c>
    </row>
    <row r="19" spans="1:20" x14ac:dyDescent="0.3">
      <c r="A19" s="22">
        <f>'Monthly Data'!A19</f>
        <v>39600</v>
      </c>
      <c r="B19" s="88">
        <f t="shared" si="2"/>
        <v>2008</v>
      </c>
      <c r="C19" s="20">
        <f ca="1">'Monthly Data'!E19</f>
        <v>10871040.896470912</v>
      </c>
      <c r="D19" s="88">
        <f t="shared" ca="1" si="4"/>
        <v>30.429999999999996</v>
      </c>
      <c r="E19" s="88">
        <f t="shared" ca="1" si="4"/>
        <v>56.129999999999995</v>
      </c>
      <c r="F19" s="88">
        <f>'Monthly Data'!AT19</f>
        <v>18</v>
      </c>
      <c r="G19" s="88">
        <f>'Monthly Data'!AO19</f>
        <v>0</v>
      </c>
      <c r="H19" s="88">
        <f>'Monthly Data'!AV19</f>
        <v>0</v>
      </c>
      <c r="I19" s="88">
        <f>'Monthly Data'!AZ19</f>
        <v>1</v>
      </c>
      <c r="J19" s="88">
        <f>'Monthly Data'!BC19</f>
        <v>0</v>
      </c>
      <c r="K19" s="88"/>
      <c r="L19" s="20">
        <f>'Res OLS model'!$B$5</f>
        <v>10397563.9954574</v>
      </c>
      <c r="M19" s="20">
        <f ca="1">'Res OLS model'!$B$6*D19</f>
        <v>169605.11106380619</v>
      </c>
      <c r="N19" s="20">
        <f ca="1">'Res OLS model'!$B$7*E19</f>
        <v>1544959.3876577991</v>
      </c>
      <c r="O19" s="20">
        <f>'Res OLS model'!$B$8*F19</f>
        <v>-76951.028401276853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-773164.55099904304</v>
      </c>
      <c r="S19" s="20">
        <f>'Res OLS model'!$B$12*J19</f>
        <v>0</v>
      </c>
      <c r="T19" s="20">
        <f t="shared" ca="1" si="3"/>
        <v>11262012.914778685</v>
      </c>
    </row>
    <row r="20" spans="1:20" x14ac:dyDescent="0.3">
      <c r="A20" s="22">
        <f>'Monthly Data'!A20</f>
        <v>39630</v>
      </c>
      <c r="B20" s="88">
        <f t="shared" si="2"/>
        <v>2008</v>
      </c>
      <c r="C20" s="20">
        <f ca="1">'Monthly Data'!E20</f>
        <v>12420189.896470912</v>
      </c>
      <c r="D20" s="88">
        <f t="shared" ca="1" si="4"/>
        <v>7.85</v>
      </c>
      <c r="E20" s="88">
        <f t="shared" ca="1" si="4"/>
        <v>99.97999999999999</v>
      </c>
      <c r="F20" s="88">
        <f>'Monthly Data'!AT20</f>
        <v>19</v>
      </c>
      <c r="G20" s="88">
        <f>'Monthly Data'!AO20</f>
        <v>0</v>
      </c>
      <c r="H20" s="88">
        <f>'Monthly Data'!AV20</f>
        <v>0</v>
      </c>
      <c r="I20" s="88">
        <f>'Monthly Data'!AZ20</f>
        <v>0</v>
      </c>
      <c r="J20" s="88">
        <f>'Monthly Data'!BC20</f>
        <v>0</v>
      </c>
      <c r="K20" s="88"/>
      <c r="L20" s="20">
        <f>'Res OLS model'!$B$5</f>
        <v>10397563.9954574</v>
      </c>
      <c r="M20" s="20">
        <f ca="1">'Res OLS model'!$B$6*D20</f>
        <v>43752.879456157701</v>
      </c>
      <c r="N20" s="20">
        <f ca="1">'Res OLS model'!$B$7*E20</f>
        <v>2751915.9019780285</v>
      </c>
      <c r="O20" s="20">
        <f>'Res OLS model'!$B$8*F20</f>
        <v>-81226.08553468113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ca="1" si="3"/>
        <v>13112006.691356905</v>
      </c>
    </row>
    <row r="21" spans="1:20" x14ac:dyDescent="0.3">
      <c r="A21" s="22">
        <f>'Monthly Data'!A21</f>
        <v>39661</v>
      </c>
      <c r="B21" s="88">
        <f t="shared" si="2"/>
        <v>2008</v>
      </c>
      <c r="C21" s="20">
        <f ca="1">'Monthly Data'!E21</f>
        <v>12069420.896470912</v>
      </c>
      <c r="D21" s="88">
        <f t="shared" ca="1" si="4"/>
        <v>10.43</v>
      </c>
      <c r="E21" s="88">
        <f t="shared" ca="1" si="4"/>
        <v>80.190000000000012</v>
      </c>
      <c r="F21" s="88">
        <f>'Monthly Data'!AT21</f>
        <v>20</v>
      </c>
      <c r="G21" s="88">
        <f>'Monthly Data'!AO21</f>
        <v>0</v>
      </c>
      <c r="H21" s="88">
        <f>'Monthly Data'!AV21</f>
        <v>0</v>
      </c>
      <c r="I21" s="88">
        <f>'Monthly Data'!AZ21</f>
        <v>0</v>
      </c>
      <c r="J21" s="88">
        <f>'Monthly Data'!BC21</f>
        <v>0</v>
      </c>
      <c r="K21" s="88"/>
      <c r="L21" s="20">
        <f>'Res OLS model'!$B$5</f>
        <v>10397563.9954574</v>
      </c>
      <c r="M21" s="20">
        <f ca="1">'Res OLS model'!$B$6*D21</f>
        <v>58132.806716907617</v>
      </c>
      <c r="N21" s="20">
        <f ca="1">'Res OLS model'!$B$7*E21</f>
        <v>2207202.8023566529</v>
      </c>
      <c r="O21" s="20">
        <f>'Res OLS model'!$B$8*F21</f>
        <v>-85501.142668085391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ca="1" si="3"/>
        <v>12577398.461862875</v>
      </c>
    </row>
    <row r="22" spans="1:20" x14ac:dyDescent="0.3">
      <c r="A22" s="22">
        <f>'Monthly Data'!A22</f>
        <v>39692</v>
      </c>
      <c r="B22" s="88">
        <f t="shared" si="2"/>
        <v>2008</v>
      </c>
      <c r="C22" s="20">
        <f ca="1">'Monthly Data'!E22</f>
        <v>9822708.8964709118</v>
      </c>
      <c r="D22" s="88">
        <f t="shared" ca="1" si="4"/>
        <v>70.580000000000013</v>
      </c>
      <c r="E22" s="88">
        <f t="shared" ca="1" si="4"/>
        <v>29.429999999999996</v>
      </c>
      <c r="F22" s="88">
        <f>'Monthly Data'!AT22</f>
        <v>21</v>
      </c>
      <c r="G22" s="88">
        <f>'Monthly Data'!AO22</f>
        <v>1</v>
      </c>
      <c r="H22" s="88">
        <f>'Monthly Data'!AV22</f>
        <v>0</v>
      </c>
      <c r="I22" s="88">
        <f>'Monthly Data'!AZ22</f>
        <v>0</v>
      </c>
      <c r="J22" s="88">
        <f>'Monthly Data'!BC22</f>
        <v>1</v>
      </c>
      <c r="K22" s="88"/>
      <c r="L22" s="20">
        <f>'Res OLS model'!$B$5</f>
        <v>10397563.9954574</v>
      </c>
      <c r="M22" s="20">
        <f ca="1">'Res OLS model'!$B$6*D22</f>
        <v>393385.76204020524</v>
      </c>
      <c r="N22" s="20">
        <f ca="1">'Res OLS model'!$B$7*E22</f>
        <v>810050.86012415856</v>
      </c>
      <c r="O22" s="20">
        <f>'Res OLS model'!$B$8*F22</f>
        <v>-89776.199801489667</v>
      </c>
      <c r="P22" s="20">
        <f>'Res OLS model'!$B$9*G22</f>
        <v>-1419959.8612913999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772942.00624980999</v>
      </c>
      <c r="T22" s="20">
        <f t="shared" ca="1" si="3"/>
        <v>10864206.562778683</v>
      </c>
    </row>
    <row r="23" spans="1:20" x14ac:dyDescent="0.3">
      <c r="A23" s="22">
        <f>'Monthly Data'!A23</f>
        <v>39722</v>
      </c>
      <c r="B23" s="88">
        <f t="shared" si="2"/>
        <v>2008</v>
      </c>
      <c r="C23" s="20">
        <f ca="1">'Monthly Data'!E23</f>
        <v>10052323.896470912</v>
      </c>
      <c r="D23" s="88">
        <f t="shared" ca="1" si="4"/>
        <v>241.15</v>
      </c>
      <c r="E23" s="88">
        <f t="shared" ca="1" si="4"/>
        <v>2.87</v>
      </c>
      <c r="F23" s="88">
        <f>'Monthly Data'!AT23</f>
        <v>22</v>
      </c>
      <c r="G23" s="88">
        <f>'Monthly Data'!AO23</f>
        <v>1</v>
      </c>
      <c r="H23" s="88">
        <f>'Monthly Data'!AV23</f>
        <v>0</v>
      </c>
      <c r="I23" s="88">
        <f>'Monthly Data'!AZ23</f>
        <v>0</v>
      </c>
      <c r="J23" s="88">
        <f>'Monthly Data'!BC23</f>
        <v>0</v>
      </c>
      <c r="K23" s="88"/>
      <c r="L23" s="20">
        <f>'Res OLS model'!$B$5</f>
        <v>10397563.9954574</v>
      </c>
      <c r="M23" s="20">
        <f ca="1">'Res OLS model'!$B$6*D23</f>
        <v>1344077.30966273</v>
      </c>
      <c r="N23" s="20">
        <f ca="1">'Res OLS model'!$B$7*E23</f>
        <v>78995.785543878199</v>
      </c>
      <c r="O23" s="20">
        <f>'Res OLS model'!$B$8*F23</f>
        <v>-94051.256934893929</v>
      </c>
      <c r="P23" s="20">
        <f>'Res OLS model'!$B$9*G23</f>
        <v>-1419959.8612913999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ca="1" si="3"/>
        <v>10306625.972437713</v>
      </c>
    </row>
    <row r="24" spans="1:20" x14ac:dyDescent="0.3">
      <c r="A24" s="22">
        <f>'Monthly Data'!A24</f>
        <v>39753</v>
      </c>
      <c r="B24" s="88">
        <f t="shared" si="2"/>
        <v>2008</v>
      </c>
      <c r="C24" s="20">
        <f ca="1">'Monthly Data'!E24</f>
        <v>11103226.896470912</v>
      </c>
      <c r="D24" s="88">
        <f t="shared" ca="1" si="4"/>
        <v>421.52</v>
      </c>
      <c r="E24" s="88">
        <f t="shared" ca="1" si="4"/>
        <v>0</v>
      </c>
      <c r="F24" s="88">
        <f>'Monthly Data'!AT24</f>
        <v>23</v>
      </c>
      <c r="G24" s="88">
        <f>'Monthly Data'!AO24</f>
        <v>1</v>
      </c>
      <c r="H24" s="88">
        <f>'Monthly Data'!AV24</f>
        <v>0</v>
      </c>
      <c r="I24" s="88">
        <f>'Monthly Data'!AZ24</f>
        <v>0</v>
      </c>
      <c r="J24" s="88">
        <f>'Monthly Data'!BC24</f>
        <v>0</v>
      </c>
      <c r="K24" s="88"/>
      <c r="L24" s="20">
        <f>'Res OLS model'!$B$5</f>
        <v>10397563.9954574</v>
      </c>
      <c r="M24" s="20">
        <f ca="1">'Res OLS model'!$B$6*D24</f>
        <v>2349390.2864152347</v>
      </c>
      <c r="N24" s="20">
        <f ca="1">'Res OLS model'!$B$7*E24</f>
        <v>0</v>
      </c>
      <c r="O24" s="20">
        <f>'Res OLS model'!$B$8*F24</f>
        <v>-98326.314068298205</v>
      </c>
      <c r="P24" s="20">
        <f>'Res OLS model'!$B$9*G24</f>
        <v>-1419959.8612913999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ca="1" si="3"/>
        <v>11228668.106512936</v>
      </c>
    </row>
    <row r="25" spans="1:20" x14ac:dyDescent="0.3">
      <c r="A25" s="22">
        <f>'Monthly Data'!A25</f>
        <v>39783</v>
      </c>
      <c r="B25" s="88">
        <f t="shared" si="2"/>
        <v>2008</v>
      </c>
      <c r="C25" s="20">
        <f ca="1">'Monthly Data'!E25</f>
        <v>14751336.896470912</v>
      </c>
      <c r="D25" s="88">
        <f t="shared" ca="1" si="4"/>
        <v>610.56000000000006</v>
      </c>
      <c r="E25" s="88">
        <f t="shared" ca="1" si="4"/>
        <v>0</v>
      </c>
      <c r="F25" s="88">
        <f>'Monthly Data'!AT25</f>
        <v>24</v>
      </c>
      <c r="G25" s="88">
        <f>'Monthly Data'!AO25</f>
        <v>0</v>
      </c>
      <c r="H25" s="88">
        <f>'Monthly Data'!AV25</f>
        <v>0</v>
      </c>
      <c r="I25" s="88">
        <f>'Monthly Data'!AZ25</f>
        <v>0</v>
      </c>
      <c r="J25" s="88">
        <f>'Monthly Data'!BC25</f>
        <v>0</v>
      </c>
      <c r="K25" s="88"/>
      <c r="L25" s="20">
        <f>'Res OLS model'!$B$5</f>
        <v>10397563.9954574</v>
      </c>
      <c r="M25" s="20">
        <f ca="1">'Res OLS model'!$B$6*D25</f>
        <v>3403026.5071021207</v>
      </c>
      <c r="N25" s="20">
        <f ca="1">'Res OLS model'!$B$7*E25</f>
        <v>0</v>
      </c>
      <c r="O25" s="20">
        <f>'Res OLS model'!$B$8*F25</f>
        <v>-102601.37120170248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ca="1" si="3"/>
        <v>13697989.131357817</v>
      </c>
    </row>
    <row r="26" spans="1:20" x14ac:dyDescent="0.3">
      <c r="A26" s="22">
        <f>'Monthly Data'!A26</f>
        <v>39814</v>
      </c>
      <c r="B26" s="88">
        <f t="shared" si="2"/>
        <v>2009</v>
      </c>
      <c r="C26" s="20">
        <f ca="1">'Monthly Data'!E26</f>
        <v>14994049.254319351</v>
      </c>
      <c r="D26" s="88">
        <f t="shared" ca="1" si="4"/>
        <v>729.54999999999984</v>
      </c>
      <c r="E26" s="88">
        <f t="shared" ca="1" si="4"/>
        <v>0</v>
      </c>
      <c r="F26" s="88">
        <f>'Monthly Data'!AT26</f>
        <v>25</v>
      </c>
      <c r="G26" s="88">
        <f>'Monthly Data'!AO26</f>
        <v>0</v>
      </c>
      <c r="H26" s="88">
        <f>'Monthly Data'!AV26</f>
        <v>0</v>
      </c>
      <c r="I26" s="88">
        <f>'Monthly Data'!AZ26</f>
        <v>0</v>
      </c>
      <c r="J26" s="88">
        <f>'Monthly Data'!BC26</f>
        <v>0</v>
      </c>
      <c r="K26" s="88"/>
      <c r="L26" s="20">
        <f>'Res OLS model'!$B$5</f>
        <v>10397563.9954574</v>
      </c>
      <c r="M26" s="20">
        <f ca="1">'Res OLS model'!$B$6*D26</f>
        <v>4066230.9818139928</v>
      </c>
      <c r="N26" s="20">
        <f ca="1">'Res OLS model'!$B$7*E26</f>
        <v>0</v>
      </c>
      <c r="O26" s="20">
        <f>'Res OLS model'!$B$8*F26</f>
        <v>-106876.42833510674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ca="1" si="3"/>
        <v>14356918.548936287</v>
      </c>
    </row>
    <row r="27" spans="1:20" x14ac:dyDescent="0.3">
      <c r="A27" s="22">
        <f>'Monthly Data'!A27</f>
        <v>39845</v>
      </c>
      <c r="B27" s="88">
        <f t="shared" si="2"/>
        <v>2009</v>
      </c>
      <c r="C27" s="20">
        <f ca="1">'Monthly Data'!E27</f>
        <v>13874031.254319351</v>
      </c>
      <c r="D27" s="88">
        <f t="shared" ca="1" si="4"/>
        <v>678.56000000000006</v>
      </c>
      <c r="E27" s="88">
        <f t="shared" ca="1" si="4"/>
        <v>0</v>
      </c>
      <c r="F27" s="88">
        <f>'Monthly Data'!AT27</f>
        <v>26</v>
      </c>
      <c r="G27" s="88">
        <f>'Monthly Data'!AO27</f>
        <v>0</v>
      </c>
      <c r="H27" s="88">
        <f>'Monthly Data'!AV27</f>
        <v>1</v>
      </c>
      <c r="I27" s="88">
        <f>'Monthly Data'!AZ27</f>
        <v>0</v>
      </c>
      <c r="J27" s="88">
        <f>'Monthly Data'!BC27</f>
        <v>0</v>
      </c>
      <c r="K27" s="88"/>
      <c r="L27" s="20">
        <f>'Res OLS model'!$B$5</f>
        <v>10397563.9954574</v>
      </c>
      <c r="M27" s="20">
        <f ca="1">'Res OLS model'!$B$6*D27</f>
        <v>3782032.341881576</v>
      </c>
      <c r="N27" s="20">
        <f ca="1">'Res OLS model'!$B$7*E27</f>
        <v>0</v>
      </c>
      <c r="O27" s="20">
        <f>'Res OLS model'!$B$8*F27</f>
        <v>-111151.48546851102</v>
      </c>
      <c r="P27" s="20">
        <f>'Res OLS model'!$B$9*G27</f>
        <v>0</v>
      </c>
      <c r="Q27" s="20">
        <f>'Res OLS model'!$B$10*H27</f>
        <v>-473349.26469262998</v>
      </c>
      <c r="R27" s="20">
        <f>'Res OLS model'!$B$11*I27</f>
        <v>0</v>
      </c>
      <c r="S27" s="20">
        <f>'Res OLS model'!$B$12*J27</f>
        <v>0</v>
      </c>
      <c r="T27" s="20">
        <f t="shared" ca="1" si="3"/>
        <v>13595095.587177835</v>
      </c>
    </row>
    <row r="28" spans="1:20" x14ac:dyDescent="0.3">
      <c r="A28" s="22">
        <f>'Monthly Data'!A28</f>
        <v>39873</v>
      </c>
      <c r="B28" s="88">
        <f t="shared" si="2"/>
        <v>2009</v>
      </c>
      <c r="C28" s="20">
        <f ca="1">'Monthly Data'!E28</f>
        <v>11835174.254319351</v>
      </c>
      <c r="D28" s="88">
        <f t="shared" ca="1" si="4"/>
        <v>544.77</v>
      </c>
      <c r="E28" s="88">
        <f t="shared" ca="1" si="4"/>
        <v>0.22000000000000003</v>
      </c>
      <c r="F28" s="88">
        <f>'Monthly Data'!AT28</f>
        <v>27</v>
      </c>
      <c r="G28" s="88">
        <f>'Monthly Data'!AO28</f>
        <v>1</v>
      </c>
      <c r="H28" s="88">
        <f>'Monthly Data'!AV28</f>
        <v>0</v>
      </c>
      <c r="I28" s="88">
        <f>'Monthly Data'!AZ28</f>
        <v>0</v>
      </c>
      <c r="J28" s="88">
        <f>'Monthly Data'!BC28</f>
        <v>0</v>
      </c>
      <c r="K28" s="88"/>
      <c r="L28" s="20">
        <f>'Res OLS model'!$B$5</f>
        <v>10397563.9954574</v>
      </c>
      <c r="M28" s="20">
        <f ca="1">'Res OLS model'!$B$6*D28</f>
        <v>3036338.3619529973</v>
      </c>
      <c r="N28" s="20">
        <f ca="1">'Res OLS model'!$B$7*E28</f>
        <v>6055.4260695655776</v>
      </c>
      <c r="O28" s="20">
        <f>'Res OLS model'!$B$8*F28</f>
        <v>-115426.54260191528</v>
      </c>
      <c r="P28" s="20">
        <f>'Res OLS model'!$B$9*G28</f>
        <v>-1419959.8612913999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ca="1" si="3"/>
        <v>11904571.379586648</v>
      </c>
    </row>
    <row r="29" spans="1:20" x14ac:dyDescent="0.3">
      <c r="A29" s="22">
        <f>'Monthly Data'!A29</f>
        <v>39904</v>
      </c>
      <c r="B29" s="88">
        <f t="shared" si="2"/>
        <v>2009</v>
      </c>
      <c r="C29" s="20">
        <f ca="1">'Monthly Data'!E29</f>
        <v>11370094.254319351</v>
      </c>
      <c r="D29" s="88">
        <f t="shared" ca="1" si="4"/>
        <v>328.11</v>
      </c>
      <c r="E29" s="88">
        <f t="shared" ca="1" si="4"/>
        <v>0.32</v>
      </c>
      <c r="F29" s="88">
        <f>'Monthly Data'!AT29</f>
        <v>28</v>
      </c>
      <c r="G29" s="88">
        <f>'Monthly Data'!AO29</f>
        <v>1</v>
      </c>
      <c r="H29" s="88">
        <f>'Monthly Data'!AV29</f>
        <v>0</v>
      </c>
      <c r="I29" s="88">
        <f>'Monthly Data'!AZ29</f>
        <v>0</v>
      </c>
      <c r="J29" s="88">
        <f>'Monthly Data'!BC29</f>
        <v>0</v>
      </c>
      <c r="K29" s="88"/>
      <c r="L29" s="20">
        <f>'Res OLS model'!$B$5</f>
        <v>10397563.9954574</v>
      </c>
      <c r="M29" s="20">
        <f ca="1">'Res OLS model'!$B$6*D29</f>
        <v>1828758.8889630451</v>
      </c>
      <c r="N29" s="20">
        <f ca="1">'Res OLS model'!$B$7*E29</f>
        <v>8807.8924648226566</v>
      </c>
      <c r="O29" s="20">
        <f>'Res OLS model'!$B$8*F29</f>
        <v>-119701.59973531956</v>
      </c>
      <c r="P29" s="20">
        <f>'Res OLS model'!$B$9*G29</f>
        <v>-1419959.8612913999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ca="1" si="3"/>
        <v>10695469.315858549</v>
      </c>
    </row>
    <row r="30" spans="1:20" x14ac:dyDescent="0.3">
      <c r="A30" s="22">
        <f>'Monthly Data'!A30</f>
        <v>39934</v>
      </c>
      <c r="B30" s="88">
        <f t="shared" si="2"/>
        <v>2009</v>
      </c>
      <c r="C30" s="20">
        <f ca="1">'Monthly Data'!E30</f>
        <v>9112702.0543193519</v>
      </c>
      <c r="D30" s="88">
        <f t="shared" ca="1" si="4"/>
        <v>134.47999999999999</v>
      </c>
      <c r="E30" s="88">
        <f t="shared" ca="1" si="4"/>
        <v>20.889999999999997</v>
      </c>
      <c r="F30" s="88">
        <f>'Monthly Data'!AT30</f>
        <v>29</v>
      </c>
      <c r="G30" s="88">
        <f>'Monthly Data'!AO30</f>
        <v>1</v>
      </c>
      <c r="H30" s="88">
        <f>'Monthly Data'!AV30</f>
        <v>0</v>
      </c>
      <c r="I30" s="88">
        <f>'Monthly Data'!AZ30</f>
        <v>0</v>
      </c>
      <c r="J30" s="88">
        <f>'Monthly Data'!BC30</f>
        <v>0</v>
      </c>
      <c r="K30" s="88"/>
      <c r="L30" s="20">
        <f>'Res OLS model'!$B$5</f>
        <v>10397563.9954574</v>
      </c>
      <c r="M30" s="20">
        <f ca="1">'Res OLS model'!$B$6*D30</f>
        <v>749539.77442854608</v>
      </c>
      <c r="N30" s="20">
        <f ca="1">'Res OLS model'!$B$7*E30</f>
        <v>574990.22996920394</v>
      </c>
      <c r="O30" s="20">
        <f>'Res OLS model'!$B$8*F30</f>
        <v>-123976.65686872382</v>
      </c>
      <c r="P30" s="20">
        <f>'Res OLS model'!$B$9*G30</f>
        <v>-1419959.8612913999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ca="1" si="3"/>
        <v>10178157.481695026</v>
      </c>
    </row>
    <row r="31" spans="1:20" x14ac:dyDescent="0.3">
      <c r="A31" s="22">
        <f>'Monthly Data'!A31</f>
        <v>39965</v>
      </c>
      <c r="B31" s="88">
        <f t="shared" si="2"/>
        <v>2009</v>
      </c>
      <c r="C31" s="20">
        <f ca="1">'Monthly Data'!E31</f>
        <v>10026613.45431935</v>
      </c>
      <c r="D31" s="88">
        <f t="shared" ca="1" si="4"/>
        <v>30.429999999999996</v>
      </c>
      <c r="E31" s="88">
        <f t="shared" ca="1" si="4"/>
        <v>56.129999999999995</v>
      </c>
      <c r="F31" s="88">
        <f>'Monthly Data'!AT31</f>
        <v>30</v>
      </c>
      <c r="G31" s="88">
        <f>'Monthly Data'!AO31</f>
        <v>0</v>
      </c>
      <c r="H31" s="88">
        <f>'Monthly Data'!AV31</f>
        <v>0</v>
      </c>
      <c r="I31" s="88">
        <f>'Monthly Data'!AZ31</f>
        <v>1</v>
      </c>
      <c r="J31" s="88">
        <f>'Monthly Data'!BC31</f>
        <v>0</v>
      </c>
      <c r="K31" s="88"/>
      <c r="L31" s="20">
        <f>'Res OLS model'!$B$5</f>
        <v>10397563.9954574</v>
      </c>
      <c r="M31" s="20">
        <f ca="1">'Res OLS model'!$B$6*D31</f>
        <v>169605.11106380619</v>
      </c>
      <c r="N31" s="20">
        <f ca="1">'Res OLS model'!$B$7*E31</f>
        <v>1544959.3876577991</v>
      </c>
      <c r="O31" s="20">
        <f>'Res OLS model'!$B$8*F31</f>
        <v>-128251.71400212809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-773164.55099904304</v>
      </c>
      <c r="S31" s="20">
        <f>'Res OLS model'!$B$12*J31</f>
        <v>0</v>
      </c>
      <c r="T31" s="20">
        <f t="shared" ca="1" si="3"/>
        <v>11210712.229177833</v>
      </c>
    </row>
    <row r="32" spans="1:20" x14ac:dyDescent="0.3">
      <c r="A32" s="22">
        <f>'Monthly Data'!A32</f>
        <v>39995</v>
      </c>
      <c r="B32" s="88">
        <f t="shared" si="2"/>
        <v>2009</v>
      </c>
      <c r="C32" s="20">
        <f ca="1">'Monthly Data'!E32</f>
        <v>11170286.254319351</v>
      </c>
      <c r="D32" s="88">
        <f t="shared" ca="1" si="4"/>
        <v>7.85</v>
      </c>
      <c r="E32" s="88">
        <f t="shared" ca="1" si="4"/>
        <v>99.97999999999999</v>
      </c>
      <c r="F32" s="88">
        <f>'Monthly Data'!AT32</f>
        <v>31</v>
      </c>
      <c r="G32" s="88">
        <f>'Monthly Data'!AO32</f>
        <v>0</v>
      </c>
      <c r="H32" s="88">
        <f>'Monthly Data'!AV32</f>
        <v>0</v>
      </c>
      <c r="I32" s="88">
        <f>'Monthly Data'!AZ32</f>
        <v>0</v>
      </c>
      <c r="J32" s="88">
        <f>'Monthly Data'!BC32</f>
        <v>0</v>
      </c>
      <c r="K32" s="88"/>
      <c r="L32" s="20">
        <f>'Res OLS model'!$B$5</f>
        <v>10397563.9954574</v>
      </c>
      <c r="M32" s="20">
        <f ca="1">'Res OLS model'!$B$6*D32</f>
        <v>43752.879456157701</v>
      </c>
      <c r="N32" s="20">
        <f ca="1">'Res OLS model'!$B$7*E32</f>
        <v>2751915.9019780285</v>
      </c>
      <c r="O32" s="20">
        <f>'Res OLS model'!$B$8*F32</f>
        <v>-132526.77113553236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ca="1" si="3"/>
        <v>13060706.005756052</v>
      </c>
    </row>
    <row r="33" spans="1:20" x14ac:dyDescent="0.3">
      <c r="A33" s="22">
        <f>'Monthly Data'!A33</f>
        <v>40026</v>
      </c>
      <c r="B33" s="88">
        <f t="shared" si="2"/>
        <v>2009</v>
      </c>
      <c r="C33" s="20">
        <f ca="1">'Monthly Data'!E33</f>
        <v>11765460.254319351</v>
      </c>
      <c r="D33" s="88">
        <f t="shared" ca="1" si="4"/>
        <v>10.43</v>
      </c>
      <c r="E33" s="88">
        <f t="shared" ca="1" si="4"/>
        <v>80.190000000000012</v>
      </c>
      <c r="F33" s="88">
        <f>'Monthly Data'!AT33</f>
        <v>32</v>
      </c>
      <c r="G33" s="88">
        <f>'Monthly Data'!AO33</f>
        <v>0</v>
      </c>
      <c r="H33" s="88">
        <f>'Monthly Data'!AV33</f>
        <v>0</v>
      </c>
      <c r="I33" s="88">
        <f>'Monthly Data'!AZ33</f>
        <v>0</v>
      </c>
      <c r="J33" s="88">
        <f>'Monthly Data'!BC33</f>
        <v>0</v>
      </c>
      <c r="K33" s="88"/>
      <c r="L33" s="20">
        <f>'Res OLS model'!$B$5</f>
        <v>10397563.9954574</v>
      </c>
      <c r="M33" s="20">
        <f ca="1">'Res OLS model'!$B$6*D33</f>
        <v>58132.806716907617</v>
      </c>
      <c r="N33" s="20">
        <f ca="1">'Res OLS model'!$B$7*E33</f>
        <v>2207202.8023566529</v>
      </c>
      <c r="O33" s="20">
        <f>'Res OLS model'!$B$8*F33</f>
        <v>-136801.82826893663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ca="1" si="3"/>
        <v>12526097.776262024</v>
      </c>
    </row>
    <row r="34" spans="1:20" x14ac:dyDescent="0.3">
      <c r="A34" s="22">
        <f>'Monthly Data'!A34</f>
        <v>40057</v>
      </c>
      <c r="B34" s="88">
        <f t="shared" si="2"/>
        <v>2009</v>
      </c>
      <c r="C34" s="20">
        <f ca="1">'Monthly Data'!E34</f>
        <v>10472733.254319351</v>
      </c>
      <c r="D34" s="88">
        <f t="shared" ca="1" si="4"/>
        <v>70.580000000000013</v>
      </c>
      <c r="E34" s="88">
        <f t="shared" ca="1" si="4"/>
        <v>29.429999999999996</v>
      </c>
      <c r="F34" s="88">
        <f>'Monthly Data'!AT34</f>
        <v>33</v>
      </c>
      <c r="G34" s="88">
        <f>'Monthly Data'!AO34</f>
        <v>1</v>
      </c>
      <c r="H34" s="88">
        <f>'Monthly Data'!AV34</f>
        <v>0</v>
      </c>
      <c r="I34" s="88">
        <f>'Monthly Data'!AZ34</f>
        <v>0</v>
      </c>
      <c r="J34" s="88">
        <f>'Monthly Data'!BC34</f>
        <v>1</v>
      </c>
      <c r="K34" s="88"/>
      <c r="L34" s="20">
        <f>'Res OLS model'!$B$5</f>
        <v>10397563.9954574</v>
      </c>
      <c r="M34" s="20">
        <f ca="1">'Res OLS model'!$B$6*D34</f>
        <v>393385.76204020524</v>
      </c>
      <c r="N34" s="20">
        <f ca="1">'Res OLS model'!$B$7*E34</f>
        <v>810050.86012415856</v>
      </c>
      <c r="O34" s="20">
        <f>'Res OLS model'!$B$8*F34</f>
        <v>-141076.88540234091</v>
      </c>
      <c r="P34" s="20">
        <f>'Res OLS model'!$B$9*G34</f>
        <v>-1419959.8612913999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772942.00624980999</v>
      </c>
      <c r="T34" s="20">
        <f t="shared" ca="1" si="3"/>
        <v>10812905.877177833</v>
      </c>
    </row>
    <row r="35" spans="1:20" x14ac:dyDescent="0.3">
      <c r="A35" s="22">
        <f>'Monthly Data'!A35</f>
        <v>40087</v>
      </c>
      <c r="B35" s="88">
        <f t="shared" si="2"/>
        <v>2009</v>
      </c>
      <c r="C35" s="20">
        <f ca="1">'Monthly Data'!E35</f>
        <v>10701899.254319351</v>
      </c>
      <c r="D35" s="88">
        <f t="shared" ca="1" si="4"/>
        <v>241.15</v>
      </c>
      <c r="E35" s="88">
        <f t="shared" ca="1" si="4"/>
        <v>2.87</v>
      </c>
      <c r="F35" s="88">
        <f>'Monthly Data'!AT35</f>
        <v>34</v>
      </c>
      <c r="G35" s="88">
        <f>'Monthly Data'!AO35</f>
        <v>1</v>
      </c>
      <c r="H35" s="88">
        <f>'Monthly Data'!AV35</f>
        <v>0</v>
      </c>
      <c r="I35" s="88">
        <f>'Monthly Data'!AZ35</f>
        <v>0</v>
      </c>
      <c r="J35" s="88">
        <f>'Monthly Data'!BC35</f>
        <v>0</v>
      </c>
      <c r="K35" s="88"/>
      <c r="L35" s="20">
        <f>'Res OLS model'!$B$5</f>
        <v>10397563.9954574</v>
      </c>
      <c r="M35" s="20">
        <f ca="1">'Res OLS model'!$B$6*D35</f>
        <v>1344077.30966273</v>
      </c>
      <c r="N35" s="20">
        <f ca="1">'Res OLS model'!$B$7*E35</f>
        <v>78995.785543878199</v>
      </c>
      <c r="O35" s="20">
        <f>'Res OLS model'!$B$8*F35</f>
        <v>-145351.94253574518</v>
      </c>
      <c r="P35" s="20">
        <f>'Res OLS model'!$B$9*G35</f>
        <v>-1419959.8612913999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ca="1" si="3"/>
        <v>10255325.286836863</v>
      </c>
    </row>
    <row r="36" spans="1:20" x14ac:dyDescent="0.3">
      <c r="A36" s="22">
        <f>'Monthly Data'!A36</f>
        <v>40118</v>
      </c>
      <c r="B36" s="88">
        <f t="shared" si="2"/>
        <v>2009</v>
      </c>
      <c r="C36" s="20">
        <f ca="1">'Monthly Data'!E36</f>
        <v>10944291.254319351</v>
      </c>
      <c r="D36" s="88">
        <f t="shared" ca="1" si="4"/>
        <v>421.52</v>
      </c>
      <c r="E36" s="88">
        <f t="shared" ca="1" si="4"/>
        <v>0</v>
      </c>
      <c r="F36" s="88">
        <f>'Monthly Data'!AT36</f>
        <v>35</v>
      </c>
      <c r="G36" s="88">
        <f>'Monthly Data'!AO36</f>
        <v>1</v>
      </c>
      <c r="H36" s="88">
        <f>'Monthly Data'!AV36</f>
        <v>0</v>
      </c>
      <c r="I36" s="88">
        <f>'Monthly Data'!AZ36</f>
        <v>0</v>
      </c>
      <c r="J36" s="88">
        <f>'Monthly Data'!BC36</f>
        <v>0</v>
      </c>
      <c r="K36" s="88"/>
      <c r="L36" s="20">
        <f>'Res OLS model'!$B$5</f>
        <v>10397563.9954574</v>
      </c>
      <c r="M36" s="20">
        <f ca="1">'Res OLS model'!$B$6*D36</f>
        <v>2349390.2864152347</v>
      </c>
      <c r="N36" s="20">
        <f ca="1">'Res OLS model'!$B$7*E36</f>
        <v>0</v>
      </c>
      <c r="O36" s="20">
        <f>'Res OLS model'!$B$8*F36</f>
        <v>-149626.99966914943</v>
      </c>
      <c r="P36" s="20">
        <f>'Res OLS model'!$B$9*G36</f>
        <v>-1419959.8612913999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ca="1" si="3"/>
        <v>11177367.420912085</v>
      </c>
    </row>
    <row r="37" spans="1:20" x14ac:dyDescent="0.3">
      <c r="A37" s="22">
        <f>'Monthly Data'!A37</f>
        <v>40148</v>
      </c>
      <c r="B37" s="88">
        <f t="shared" si="2"/>
        <v>2009</v>
      </c>
      <c r="C37" s="20">
        <f ca="1">'Monthly Data'!E37</f>
        <v>13904019.45431935</v>
      </c>
      <c r="D37" s="88">
        <f t="shared" ca="1" si="4"/>
        <v>610.56000000000006</v>
      </c>
      <c r="E37" s="88">
        <f t="shared" ca="1" si="4"/>
        <v>0</v>
      </c>
      <c r="F37" s="88">
        <f>'Monthly Data'!AT37</f>
        <v>36</v>
      </c>
      <c r="G37" s="88">
        <f>'Monthly Data'!AO37</f>
        <v>0</v>
      </c>
      <c r="H37" s="88">
        <f>'Monthly Data'!AV37</f>
        <v>0</v>
      </c>
      <c r="I37" s="88">
        <f>'Monthly Data'!AZ37</f>
        <v>0</v>
      </c>
      <c r="J37" s="88">
        <f>'Monthly Data'!BC37</f>
        <v>0</v>
      </c>
      <c r="K37" s="88"/>
      <c r="L37" s="20">
        <f>'Res OLS model'!$B$5</f>
        <v>10397563.9954574</v>
      </c>
      <c r="M37" s="20">
        <f ca="1">'Res OLS model'!$B$6*D37</f>
        <v>3403026.5071021207</v>
      </c>
      <c r="N37" s="20">
        <f ca="1">'Res OLS model'!$B$7*E37</f>
        <v>0</v>
      </c>
      <c r="O37" s="20">
        <f>'Res OLS model'!$B$8*F37</f>
        <v>-153902.05680255371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ca="1" si="3"/>
        <v>13646688.445756966</v>
      </c>
    </row>
    <row r="38" spans="1:20" x14ac:dyDescent="0.3">
      <c r="A38" s="22">
        <f>'Monthly Data'!A38</f>
        <v>40179</v>
      </c>
      <c r="B38" s="88">
        <f t="shared" si="2"/>
        <v>2010</v>
      </c>
      <c r="C38" s="20">
        <f ca="1">'Monthly Data'!E38</f>
        <v>14717052.807938807</v>
      </c>
      <c r="D38" s="88">
        <f t="shared" ca="1" si="4"/>
        <v>729.54999999999984</v>
      </c>
      <c r="E38" s="88">
        <f t="shared" ca="1" si="4"/>
        <v>0</v>
      </c>
      <c r="F38" s="88">
        <f>'Monthly Data'!AT38</f>
        <v>37</v>
      </c>
      <c r="G38" s="88">
        <f>'Monthly Data'!AO38</f>
        <v>0</v>
      </c>
      <c r="H38" s="88">
        <f>'Monthly Data'!AV38</f>
        <v>0</v>
      </c>
      <c r="I38" s="88">
        <f>'Monthly Data'!AZ38</f>
        <v>0</v>
      </c>
      <c r="J38" s="88">
        <f>'Monthly Data'!BC38</f>
        <v>0</v>
      </c>
      <c r="K38" s="88"/>
      <c r="L38" s="20">
        <f>'Res OLS model'!$B$5</f>
        <v>10397563.9954574</v>
      </c>
      <c r="M38" s="20">
        <f ca="1">'Res OLS model'!$B$6*D38</f>
        <v>4066230.9818139928</v>
      </c>
      <c r="N38" s="20">
        <f ca="1">'Res OLS model'!$B$7*E38</f>
        <v>0</v>
      </c>
      <c r="O38" s="20">
        <f>'Res OLS model'!$B$8*F38</f>
        <v>-158177.11393595798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ca="1" si="3"/>
        <v>14305617.863335434</v>
      </c>
    </row>
    <row r="39" spans="1:20" x14ac:dyDescent="0.3">
      <c r="A39" s="22">
        <f>'Monthly Data'!A39</f>
        <v>40210</v>
      </c>
      <c r="B39" s="88">
        <f t="shared" si="2"/>
        <v>2010</v>
      </c>
      <c r="C39" s="20">
        <f ca="1">'Monthly Data'!E39</f>
        <v>14375081.807938807</v>
      </c>
      <c r="D39" s="88">
        <f t="shared" ca="1" si="4"/>
        <v>678.56000000000006</v>
      </c>
      <c r="E39" s="88">
        <f t="shared" ca="1" si="4"/>
        <v>0</v>
      </c>
      <c r="F39" s="88">
        <f>'Monthly Data'!AT39</f>
        <v>38</v>
      </c>
      <c r="G39" s="88">
        <f>'Monthly Data'!AO39</f>
        <v>0</v>
      </c>
      <c r="H39" s="88">
        <f>'Monthly Data'!AV39</f>
        <v>1</v>
      </c>
      <c r="I39" s="88">
        <f>'Monthly Data'!AZ39</f>
        <v>0</v>
      </c>
      <c r="J39" s="88">
        <f>'Monthly Data'!BC39</f>
        <v>0</v>
      </c>
      <c r="K39" s="88"/>
      <c r="L39" s="20">
        <f>'Res OLS model'!$B$5</f>
        <v>10397563.9954574</v>
      </c>
      <c r="M39" s="20">
        <f ca="1">'Res OLS model'!$B$6*D39</f>
        <v>3782032.341881576</v>
      </c>
      <c r="N39" s="20">
        <f ca="1">'Res OLS model'!$B$7*E39</f>
        <v>0</v>
      </c>
      <c r="O39" s="20">
        <f>'Res OLS model'!$B$8*F39</f>
        <v>-162452.17106936226</v>
      </c>
      <c r="P39" s="20">
        <f>'Res OLS model'!$B$9*G39</f>
        <v>0</v>
      </c>
      <c r="Q39" s="20">
        <f>'Res OLS model'!$B$10*H39</f>
        <v>-473349.26469262998</v>
      </c>
      <c r="R39" s="20">
        <f>'Res OLS model'!$B$11*I39</f>
        <v>0</v>
      </c>
      <c r="S39" s="20">
        <f>'Res OLS model'!$B$12*J39</f>
        <v>0</v>
      </c>
      <c r="T39" s="20">
        <f t="shared" ca="1" si="3"/>
        <v>13543794.901576983</v>
      </c>
    </row>
    <row r="40" spans="1:20" x14ac:dyDescent="0.3">
      <c r="A40" s="22">
        <f>'Monthly Data'!A40</f>
        <v>40238</v>
      </c>
      <c r="B40" s="88">
        <f t="shared" si="2"/>
        <v>2010</v>
      </c>
      <c r="C40" s="20">
        <f ca="1">'Monthly Data'!E40</f>
        <v>10713254.807938807</v>
      </c>
      <c r="D40" s="88">
        <f t="shared" ca="1" si="4"/>
        <v>544.77</v>
      </c>
      <c r="E40" s="88">
        <f t="shared" ca="1" si="4"/>
        <v>0.22000000000000003</v>
      </c>
      <c r="F40" s="88">
        <f>'Monthly Data'!AT40</f>
        <v>39</v>
      </c>
      <c r="G40" s="88">
        <f>'Monthly Data'!AO40</f>
        <v>1</v>
      </c>
      <c r="H40" s="88">
        <f>'Monthly Data'!AV40</f>
        <v>0</v>
      </c>
      <c r="I40" s="88">
        <f>'Monthly Data'!AZ40</f>
        <v>0</v>
      </c>
      <c r="J40" s="88">
        <f>'Monthly Data'!BC40</f>
        <v>0</v>
      </c>
      <c r="K40" s="88"/>
      <c r="L40" s="20">
        <f>'Res OLS model'!$B$5</f>
        <v>10397563.9954574</v>
      </c>
      <c r="M40" s="20">
        <f ca="1">'Res OLS model'!$B$6*D40</f>
        <v>3036338.3619529973</v>
      </c>
      <c r="N40" s="20">
        <f ca="1">'Res OLS model'!$B$7*E40</f>
        <v>6055.4260695655776</v>
      </c>
      <c r="O40" s="20">
        <f>'Res OLS model'!$B$8*F40</f>
        <v>-166727.22820276651</v>
      </c>
      <c r="P40" s="20">
        <f>'Res OLS model'!$B$9*G40</f>
        <v>-1419959.8612913999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ca="1" si="3"/>
        <v>11853270.693985797</v>
      </c>
    </row>
    <row r="41" spans="1:20" x14ac:dyDescent="0.3">
      <c r="A41" s="22">
        <f>'Monthly Data'!A41</f>
        <v>40269</v>
      </c>
      <c r="B41" s="88">
        <f t="shared" si="2"/>
        <v>2010</v>
      </c>
      <c r="C41" s="20">
        <f ca="1">'Monthly Data'!E41</f>
        <v>10191264.807938807</v>
      </c>
      <c r="D41" s="88">
        <f t="shared" ca="1" si="4"/>
        <v>328.11</v>
      </c>
      <c r="E41" s="88">
        <f t="shared" ca="1" si="4"/>
        <v>0.32</v>
      </c>
      <c r="F41" s="88">
        <f>'Monthly Data'!AT41</f>
        <v>40</v>
      </c>
      <c r="G41" s="88">
        <f>'Monthly Data'!AO41</f>
        <v>1</v>
      </c>
      <c r="H41" s="88">
        <f>'Monthly Data'!AV41</f>
        <v>0</v>
      </c>
      <c r="I41" s="88">
        <f>'Monthly Data'!AZ41</f>
        <v>0</v>
      </c>
      <c r="J41" s="88">
        <f>'Monthly Data'!BC41</f>
        <v>0</v>
      </c>
      <c r="K41" s="88"/>
      <c r="L41" s="20">
        <f>'Res OLS model'!$B$5</f>
        <v>10397563.9954574</v>
      </c>
      <c r="M41" s="20">
        <f ca="1">'Res OLS model'!$B$6*D41</f>
        <v>1828758.8889630451</v>
      </c>
      <c r="N41" s="20">
        <f ca="1">'Res OLS model'!$B$7*E41</f>
        <v>8807.8924648226566</v>
      </c>
      <c r="O41" s="20">
        <f>'Res OLS model'!$B$8*F41</f>
        <v>-171002.28533617078</v>
      </c>
      <c r="P41" s="20">
        <f>'Res OLS model'!$B$9*G41</f>
        <v>-1419959.8612913999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ca="1" si="3"/>
        <v>10644168.630257698</v>
      </c>
    </row>
    <row r="42" spans="1:20" x14ac:dyDescent="0.3">
      <c r="A42" s="22">
        <f>'Monthly Data'!A42</f>
        <v>40299</v>
      </c>
      <c r="B42" s="88">
        <f t="shared" si="2"/>
        <v>2010</v>
      </c>
      <c r="C42" s="20">
        <f ca="1">'Monthly Data'!E42</f>
        <v>10178147.807938807</v>
      </c>
      <c r="D42" s="88">
        <f t="shared" ca="1" si="4"/>
        <v>134.47999999999999</v>
      </c>
      <c r="E42" s="88">
        <f t="shared" ca="1" si="4"/>
        <v>20.889999999999997</v>
      </c>
      <c r="F42" s="88">
        <f>'Monthly Data'!AT42</f>
        <v>41</v>
      </c>
      <c r="G42" s="88">
        <f>'Monthly Data'!AO42</f>
        <v>1</v>
      </c>
      <c r="H42" s="88">
        <f>'Monthly Data'!AV42</f>
        <v>0</v>
      </c>
      <c r="I42" s="88">
        <f>'Monthly Data'!AZ42</f>
        <v>0</v>
      </c>
      <c r="J42" s="88">
        <f>'Monthly Data'!BC42</f>
        <v>0</v>
      </c>
      <c r="K42" s="88"/>
      <c r="L42" s="20">
        <f>'Res OLS model'!$B$5</f>
        <v>10397563.9954574</v>
      </c>
      <c r="M42" s="20">
        <f ca="1">'Res OLS model'!$B$6*D42</f>
        <v>749539.77442854608</v>
      </c>
      <c r="N42" s="20">
        <f ca="1">'Res OLS model'!$B$7*E42</f>
        <v>574990.22996920394</v>
      </c>
      <c r="O42" s="20">
        <f>'Res OLS model'!$B$8*F42</f>
        <v>-175277.34246957506</v>
      </c>
      <c r="P42" s="20">
        <f>'Res OLS model'!$B$9*G42</f>
        <v>-1419959.8612913999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ca="1" si="3"/>
        <v>10126856.796094175</v>
      </c>
    </row>
    <row r="43" spans="1:20" x14ac:dyDescent="0.3">
      <c r="A43" s="22">
        <f>'Monthly Data'!A43</f>
        <v>40330</v>
      </c>
      <c r="B43" s="88">
        <f t="shared" si="2"/>
        <v>2010</v>
      </c>
      <c r="C43" s="20">
        <f ca="1">'Monthly Data'!E43</f>
        <v>12149657.807938807</v>
      </c>
      <c r="D43" s="88">
        <f t="shared" ca="1" si="4"/>
        <v>30.429999999999996</v>
      </c>
      <c r="E43" s="88">
        <f t="shared" ca="1" si="4"/>
        <v>56.129999999999995</v>
      </c>
      <c r="F43" s="88">
        <f>'Monthly Data'!AT43</f>
        <v>42</v>
      </c>
      <c r="G43" s="88">
        <f>'Monthly Data'!AO43</f>
        <v>0</v>
      </c>
      <c r="H43" s="88">
        <f>'Monthly Data'!AV43</f>
        <v>0</v>
      </c>
      <c r="I43" s="88">
        <f>'Monthly Data'!AZ43</f>
        <v>1</v>
      </c>
      <c r="J43" s="88">
        <f>'Monthly Data'!BC43</f>
        <v>0</v>
      </c>
      <c r="K43" s="88"/>
      <c r="L43" s="20">
        <f>'Res OLS model'!$B$5</f>
        <v>10397563.9954574</v>
      </c>
      <c r="M43" s="20">
        <f ca="1">'Res OLS model'!$B$6*D43</f>
        <v>169605.11106380619</v>
      </c>
      <c r="N43" s="20">
        <f ca="1">'Res OLS model'!$B$7*E43</f>
        <v>1544959.3876577991</v>
      </c>
      <c r="O43" s="20">
        <f>'Res OLS model'!$B$8*F43</f>
        <v>-179552.39960297933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-773164.55099904304</v>
      </c>
      <c r="S43" s="20">
        <f>'Res OLS model'!$B$12*J43</f>
        <v>0</v>
      </c>
      <c r="T43" s="20">
        <f t="shared" ca="1" si="3"/>
        <v>11159411.543576982</v>
      </c>
    </row>
    <row r="44" spans="1:20" x14ac:dyDescent="0.3">
      <c r="A44" s="22">
        <f>'Monthly Data'!A44</f>
        <v>40360</v>
      </c>
      <c r="B44" s="88">
        <f t="shared" si="2"/>
        <v>2010</v>
      </c>
      <c r="C44" s="20">
        <f ca="1">'Monthly Data'!E44</f>
        <v>13218725.807938807</v>
      </c>
      <c r="D44" s="88">
        <f t="shared" ca="1" si="4"/>
        <v>7.85</v>
      </c>
      <c r="E44" s="88">
        <f t="shared" ca="1" si="4"/>
        <v>99.97999999999999</v>
      </c>
      <c r="F44" s="88">
        <f>'Monthly Data'!AT44</f>
        <v>43</v>
      </c>
      <c r="G44" s="88">
        <f>'Monthly Data'!AO44</f>
        <v>0</v>
      </c>
      <c r="H44" s="88">
        <f>'Monthly Data'!AV44</f>
        <v>0</v>
      </c>
      <c r="I44" s="88">
        <f>'Monthly Data'!AZ44</f>
        <v>0</v>
      </c>
      <c r="J44" s="88">
        <f>'Monthly Data'!BC44</f>
        <v>0</v>
      </c>
      <c r="K44" s="88"/>
      <c r="L44" s="20">
        <f>'Res OLS model'!$B$5</f>
        <v>10397563.9954574</v>
      </c>
      <c r="M44" s="20">
        <f ca="1">'Res OLS model'!$B$6*D44</f>
        <v>43752.879456157701</v>
      </c>
      <c r="N44" s="20">
        <f ca="1">'Res OLS model'!$B$7*E44</f>
        <v>2751915.9019780285</v>
      </c>
      <c r="O44" s="20">
        <f>'Res OLS model'!$B$8*F44</f>
        <v>-183827.45673638361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ca="1" si="3"/>
        <v>13009405.320155201</v>
      </c>
    </row>
    <row r="45" spans="1:20" x14ac:dyDescent="0.3">
      <c r="A45" s="22">
        <f>'Monthly Data'!A45</f>
        <v>40391</v>
      </c>
      <c r="B45" s="88">
        <f t="shared" si="2"/>
        <v>2010</v>
      </c>
      <c r="C45" s="20">
        <f ca="1">'Monthly Data'!E45</f>
        <v>13112190.807938807</v>
      </c>
      <c r="D45" s="88">
        <f t="shared" ca="1" si="4"/>
        <v>10.43</v>
      </c>
      <c r="E45" s="88">
        <f t="shared" ca="1" si="4"/>
        <v>80.190000000000012</v>
      </c>
      <c r="F45" s="88">
        <f>'Monthly Data'!AT45</f>
        <v>44</v>
      </c>
      <c r="G45" s="88">
        <f>'Monthly Data'!AO45</f>
        <v>0</v>
      </c>
      <c r="H45" s="88">
        <f>'Monthly Data'!AV45</f>
        <v>0</v>
      </c>
      <c r="I45" s="88">
        <f>'Monthly Data'!AZ45</f>
        <v>0</v>
      </c>
      <c r="J45" s="88">
        <f>'Monthly Data'!BC45</f>
        <v>0</v>
      </c>
      <c r="K45" s="88"/>
      <c r="L45" s="20">
        <f>'Res OLS model'!$B$5</f>
        <v>10397563.9954574</v>
      </c>
      <c r="M45" s="20">
        <f ca="1">'Res OLS model'!$B$6*D45</f>
        <v>58132.806716907617</v>
      </c>
      <c r="N45" s="20">
        <f ca="1">'Res OLS model'!$B$7*E45</f>
        <v>2207202.8023566529</v>
      </c>
      <c r="O45" s="20">
        <f>'Res OLS model'!$B$8*F45</f>
        <v>-188102.51386978786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ca="1" si="3"/>
        <v>12474797.090661172</v>
      </c>
    </row>
    <row r="46" spans="1:20" x14ac:dyDescent="0.3">
      <c r="A46" s="22">
        <f>'Monthly Data'!A46</f>
        <v>40422</v>
      </c>
      <c r="B46" s="88">
        <f t="shared" si="2"/>
        <v>2010</v>
      </c>
      <c r="C46" s="20">
        <f ca="1">'Monthly Data'!E46</f>
        <v>10595662.807938807</v>
      </c>
      <c r="D46" s="88">
        <f t="shared" ca="1" si="4"/>
        <v>70.580000000000013</v>
      </c>
      <c r="E46" s="88">
        <f t="shared" ca="1" si="4"/>
        <v>29.429999999999996</v>
      </c>
      <c r="F46" s="88">
        <f>'Monthly Data'!AT46</f>
        <v>45</v>
      </c>
      <c r="G46" s="88">
        <f>'Monthly Data'!AO46</f>
        <v>1</v>
      </c>
      <c r="H46" s="88">
        <f>'Monthly Data'!AV46</f>
        <v>0</v>
      </c>
      <c r="I46" s="88">
        <f>'Monthly Data'!AZ46</f>
        <v>0</v>
      </c>
      <c r="J46" s="88">
        <f>'Monthly Data'!BC46</f>
        <v>1</v>
      </c>
      <c r="K46" s="88"/>
      <c r="L46" s="20">
        <f>'Res OLS model'!$B$5</f>
        <v>10397563.9954574</v>
      </c>
      <c r="M46" s="20">
        <f ca="1">'Res OLS model'!$B$6*D46</f>
        <v>393385.76204020524</v>
      </c>
      <c r="N46" s="20">
        <f ca="1">'Res OLS model'!$B$7*E46</f>
        <v>810050.86012415856</v>
      </c>
      <c r="O46" s="20">
        <f>'Res OLS model'!$B$8*F46</f>
        <v>-192377.57100319213</v>
      </c>
      <c r="P46" s="20">
        <f>'Res OLS model'!$B$9*G46</f>
        <v>-1419959.8612913999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772942.00624980999</v>
      </c>
      <c r="T46" s="20">
        <f t="shared" ca="1" si="3"/>
        <v>10761605.19157698</v>
      </c>
    </row>
    <row r="47" spans="1:20" x14ac:dyDescent="0.3">
      <c r="A47" s="22">
        <f>'Monthly Data'!A47</f>
        <v>40452</v>
      </c>
      <c r="B47" s="88">
        <f t="shared" si="2"/>
        <v>2010</v>
      </c>
      <c r="C47" s="20">
        <f ca="1">'Monthly Data'!E47</f>
        <v>9940945.007938806</v>
      </c>
      <c r="D47" s="88">
        <f t="shared" ca="1" si="4"/>
        <v>241.15</v>
      </c>
      <c r="E47" s="88">
        <f t="shared" ca="1" si="4"/>
        <v>2.87</v>
      </c>
      <c r="F47" s="88">
        <f>'Monthly Data'!AT47</f>
        <v>46</v>
      </c>
      <c r="G47" s="88">
        <f>'Monthly Data'!AO47</f>
        <v>1</v>
      </c>
      <c r="H47" s="88">
        <f>'Monthly Data'!AV47</f>
        <v>0</v>
      </c>
      <c r="I47" s="88">
        <f>'Monthly Data'!AZ47</f>
        <v>0</v>
      </c>
      <c r="J47" s="88">
        <f>'Monthly Data'!BC47</f>
        <v>0</v>
      </c>
      <c r="K47" s="88"/>
      <c r="L47" s="20">
        <f>'Res OLS model'!$B$5</f>
        <v>10397563.9954574</v>
      </c>
      <c r="M47" s="20">
        <f ca="1">'Res OLS model'!$B$6*D47</f>
        <v>1344077.30966273</v>
      </c>
      <c r="N47" s="20">
        <f ca="1">'Res OLS model'!$B$7*E47</f>
        <v>78995.785543878199</v>
      </c>
      <c r="O47" s="20">
        <f>'Res OLS model'!$B$8*F47</f>
        <v>-196652.62813659641</v>
      </c>
      <c r="P47" s="20">
        <f>'Res OLS model'!$B$9*G47</f>
        <v>-1419959.8612913999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ca="1" si="3"/>
        <v>10204024.601236012</v>
      </c>
    </row>
    <row r="48" spans="1:20" x14ac:dyDescent="0.3">
      <c r="A48" s="22">
        <f>'Monthly Data'!A48</f>
        <v>40483</v>
      </c>
      <c r="B48" s="88">
        <f t="shared" si="2"/>
        <v>2010</v>
      </c>
      <c r="C48" s="20">
        <f ca="1">'Monthly Data'!E48</f>
        <v>11403864.607938807</v>
      </c>
      <c r="D48" s="88">
        <f t="shared" ca="1" si="4"/>
        <v>421.52</v>
      </c>
      <c r="E48" s="88">
        <f t="shared" ca="1" si="4"/>
        <v>0</v>
      </c>
      <c r="F48" s="88">
        <f>'Monthly Data'!AT48</f>
        <v>47</v>
      </c>
      <c r="G48" s="88">
        <f>'Monthly Data'!AO48</f>
        <v>1</v>
      </c>
      <c r="H48" s="88">
        <f>'Monthly Data'!AV48</f>
        <v>0</v>
      </c>
      <c r="I48" s="88">
        <f>'Monthly Data'!AZ48</f>
        <v>0</v>
      </c>
      <c r="J48" s="88">
        <f>'Monthly Data'!BC48</f>
        <v>0</v>
      </c>
      <c r="K48" s="88"/>
      <c r="L48" s="20">
        <f>'Res OLS model'!$B$5</f>
        <v>10397563.9954574</v>
      </c>
      <c r="M48" s="20">
        <f ca="1">'Res OLS model'!$B$6*D48</f>
        <v>2349390.2864152347</v>
      </c>
      <c r="N48" s="20">
        <f ca="1">'Res OLS model'!$B$7*E48</f>
        <v>0</v>
      </c>
      <c r="O48" s="20">
        <f>'Res OLS model'!$B$8*F48</f>
        <v>-200927.68527000069</v>
      </c>
      <c r="P48" s="20">
        <f>'Res OLS model'!$B$9*G48</f>
        <v>-1419959.8612913999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ca="1" si="3"/>
        <v>11126066.735311234</v>
      </c>
    </row>
    <row r="49" spans="1:20" x14ac:dyDescent="0.3">
      <c r="A49" s="22">
        <f>'Monthly Data'!A49</f>
        <v>40513</v>
      </c>
      <c r="B49" s="88">
        <f t="shared" si="2"/>
        <v>2010</v>
      </c>
      <c r="C49" s="20">
        <f ca="1">'Monthly Data'!E49</f>
        <v>14482720.807938807</v>
      </c>
      <c r="D49" s="88">
        <f t="shared" ca="1" si="4"/>
        <v>610.56000000000006</v>
      </c>
      <c r="E49" s="88">
        <f t="shared" ca="1" si="4"/>
        <v>0</v>
      </c>
      <c r="F49" s="88">
        <f>'Monthly Data'!AT49</f>
        <v>48</v>
      </c>
      <c r="G49" s="88">
        <f>'Monthly Data'!AO49</f>
        <v>0</v>
      </c>
      <c r="H49" s="88">
        <f>'Monthly Data'!AV49</f>
        <v>0</v>
      </c>
      <c r="I49" s="88">
        <f>'Monthly Data'!AZ49</f>
        <v>0</v>
      </c>
      <c r="J49" s="88">
        <f>'Monthly Data'!BC49</f>
        <v>0</v>
      </c>
      <c r="K49" s="88"/>
      <c r="L49" s="20">
        <f>'Res OLS model'!$B$5</f>
        <v>10397563.9954574</v>
      </c>
      <c r="M49" s="20">
        <f ca="1">'Res OLS model'!$B$6*D49</f>
        <v>3403026.5071021207</v>
      </c>
      <c r="N49" s="20">
        <f ca="1">'Res OLS model'!$B$7*E49</f>
        <v>0</v>
      </c>
      <c r="O49" s="20">
        <f>'Res OLS model'!$B$8*F49</f>
        <v>-205202.74240340496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ca="1" si="3"/>
        <v>13595387.760156116</v>
      </c>
    </row>
    <row r="50" spans="1:20" x14ac:dyDescent="0.3">
      <c r="A50" s="22">
        <f>'Monthly Data'!A50</f>
        <v>40544</v>
      </c>
      <c r="B50" s="88">
        <f t="shared" si="2"/>
        <v>2011</v>
      </c>
      <c r="C50" s="20">
        <f ca="1">'Monthly Data'!E50</f>
        <v>14730818.468051754</v>
      </c>
      <c r="D50" s="88">
        <f t="shared" ca="1" si="4"/>
        <v>729.54999999999984</v>
      </c>
      <c r="E50" s="88">
        <f t="shared" ca="1" si="4"/>
        <v>0</v>
      </c>
      <c r="F50" s="88">
        <f>'Monthly Data'!AT50</f>
        <v>49</v>
      </c>
      <c r="G50" s="88">
        <f>'Monthly Data'!AO50</f>
        <v>0</v>
      </c>
      <c r="H50" s="88">
        <f>'Monthly Data'!AV50</f>
        <v>0</v>
      </c>
      <c r="I50" s="88">
        <f>'Monthly Data'!AZ50</f>
        <v>0</v>
      </c>
      <c r="J50" s="88">
        <f>'Monthly Data'!BC50</f>
        <v>0</v>
      </c>
      <c r="K50" s="88"/>
      <c r="L50" s="20">
        <f>'Res OLS model'!$B$5</f>
        <v>10397563.9954574</v>
      </c>
      <c r="M50" s="20">
        <f ca="1">'Res OLS model'!$B$6*D50</f>
        <v>4066230.9818139928</v>
      </c>
      <c r="N50" s="20">
        <f ca="1">'Res OLS model'!$B$7*E50</f>
        <v>0</v>
      </c>
      <c r="O50" s="20">
        <f>'Res OLS model'!$B$8*F50</f>
        <v>-209477.79953680921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ca="1" si="3"/>
        <v>14254317.177734584</v>
      </c>
    </row>
    <row r="51" spans="1:20" x14ac:dyDescent="0.3">
      <c r="A51" s="22">
        <f>'Monthly Data'!A51</f>
        <v>40575</v>
      </c>
      <c r="B51" s="88">
        <f t="shared" si="2"/>
        <v>2011</v>
      </c>
      <c r="C51" s="20">
        <f ca="1">'Monthly Data'!E51</f>
        <v>12474857.468051754</v>
      </c>
      <c r="D51" s="88">
        <f t="shared" ca="1" si="4"/>
        <v>678.56000000000006</v>
      </c>
      <c r="E51" s="88">
        <f t="shared" ca="1" si="4"/>
        <v>0</v>
      </c>
      <c r="F51" s="88">
        <f>'Monthly Data'!AT51</f>
        <v>50</v>
      </c>
      <c r="G51" s="88">
        <f>'Monthly Data'!AO51</f>
        <v>0</v>
      </c>
      <c r="H51" s="88">
        <f>'Monthly Data'!AV51</f>
        <v>1</v>
      </c>
      <c r="I51" s="88">
        <f>'Monthly Data'!AZ51</f>
        <v>0</v>
      </c>
      <c r="J51" s="88">
        <f>'Monthly Data'!BC51</f>
        <v>0</v>
      </c>
      <c r="K51" s="88"/>
      <c r="L51" s="20">
        <f>'Res OLS model'!$B$5</f>
        <v>10397563.9954574</v>
      </c>
      <c r="M51" s="20">
        <f ca="1">'Res OLS model'!$B$6*D51</f>
        <v>3782032.341881576</v>
      </c>
      <c r="N51" s="20">
        <f ca="1">'Res OLS model'!$B$7*E51</f>
        <v>0</v>
      </c>
      <c r="O51" s="20">
        <f>'Res OLS model'!$B$8*F51</f>
        <v>-213752.85667021348</v>
      </c>
      <c r="P51" s="20">
        <f>'Res OLS model'!$B$9*G51</f>
        <v>0</v>
      </c>
      <c r="Q51" s="20">
        <f>'Res OLS model'!$B$10*H51</f>
        <v>-473349.26469262998</v>
      </c>
      <c r="R51" s="20">
        <f>'Res OLS model'!$B$11*I51</f>
        <v>0</v>
      </c>
      <c r="S51" s="20">
        <f>'Res OLS model'!$B$12*J51</f>
        <v>0</v>
      </c>
      <c r="T51" s="20">
        <f t="shared" ca="1" si="3"/>
        <v>13492494.215976132</v>
      </c>
    </row>
    <row r="52" spans="1:20" x14ac:dyDescent="0.3">
      <c r="A52" s="22">
        <f>'Monthly Data'!A52</f>
        <v>40603</v>
      </c>
      <c r="B52" s="88">
        <f t="shared" si="2"/>
        <v>2011</v>
      </c>
      <c r="C52" s="20">
        <f ca="1">'Monthly Data'!E52</f>
        <v>11284297.468051754</v>
      </c>
      <c r="D52" s="88">
        <f t="shared" ca="1" si="4"/>
        <v>544.77</v>
      </c>
      <c r="E52" s="88">
        <f t="shared" ca="1" si="4"/>
        <v>0.22000000000000003</v>
      </c>
      <c r="F52" s="88">
        <f>'Monthly Data'!AT52</f>
        <v>51</v>
      </c>
      <c r="G52" s="88">
        <f>'Monthly Data'!AO52</f>
        <v>1</v>
      </c>
      <c r="H52" s="88">
        <f>'Monthly Data'!AV52</f>
        <v>0</v>
      </c>
      <c r="I52" s="88">
        <f>'Monthly Data'!AZ52</f>
        <v>0</v>
      </c>
      <c r="J52" s="88">
        <f>'Monthly Data'!BC52</f>
        <v>0</v>
      </c>
      <c r="K52" s="88"/>
      <c r="L52" s="20">
        <f>'Res OLS model'!$B$5</f>
        <v>10397563.9954574</v>
      </c>
      <c r="M52" s="20">
        <f ca="1">'Res OLS model'!$B$6*D52</f>
        <v>3036338.3619529973</v>
      </c>
      <c r="N52" s="20">
        <f ca="1">'Res OLS model'!$B$7*E52</f>
        <v>6055.4260695655776</v>
      </c>
      <c r="O52" s="20">
        <f>'Res OLS model'!$B$8*F52</f>
        <v>-218027.91380361776</v>
      </c>
      <c r="P52" s="20">
        <f>'Res OLS model'!$B$9*G52</f>
        <v>-1419959.8612913999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ca="1" si="3"/>
        <v>11801970.008384945</v>
      </c>
    </row>
    <row r="53" spans="1:20" x14ac:dyDescent="0.3">
      <c r="A53" s="22">
        <f>'Monthly Data'!A53</f>
        <v>40634</v>
      </c>
      <c r="B53" s="88">
        <f t="shared" si="2"/>
        <v>2011</v>
      </c>
      <c r="C53" s="20">
        <f ca="1">'Monthly Data'!E53</f>
        <v>11134118.468051754</v>
      </c>
      <c r="D53" s="88">
        <f t="shared" ca="1" si="4"/>
        <v>328.11</v>
      </c>
      <c r="E53" s="88">
        <f t="shared" ca="1" si="4"/>
        <v>0.32</v>
      </c>
      <c r="F53" s="88">
        <f>'Monthly Data'!AT53</f>
        <v>52</v>
      </c>
      <c r="G53" s="88">
        <f>'Monthly Data'!AO53</f>
        <v>1</v>
      </c>
      <c r="H53" s="88">
        <f>'Monthly Data'!AV53</f>
        <v>0</v>
      </c>
      <c r="I53" s="88">
        <f>'Monthly Data'!AZ53</f>
        <v>0</v>
      </c>
      <c r="J53" s="88">
        <f>'Monthly Data'!BC53</f>
        <v>0</v>
      </c>
      <c r="K53" s="88"/>
      <c r="L53" s="20">
        <f>'Res OLS model'!$B$5</f>
        <v>10397563.9954574</v>
      </c>
      <c r="M53" s="20">
        <f ca="1">'Res OLS model'!$B$6*D53</f>
        <v>1828758.8889630451</v>
      </c>
      <c r="N53" s="20">
        <f ca="1">'Res OLS model'!$B$7*E53</f>
        <v>8807.8924648226566</v>
      </c>
      <c r="O53" s="20">
        <f>'Res OLS model'!$B$8*F53</f>
        <v>-222302.97093702204</v>
      </c>
      <c r="P53" s="20">
        <f>'Res OLS model'!$B$9*G53</f>
        <v>-1419959.8612913999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ca="1" si="3"/>
        <v>10592867.944656845</v>
      </c>
    </row>
    <row r="54" spans="1:20" x14ac:dyDescent="0.3">
      <c r="A54" s="22">
        <f>'Monthly Data'!A54</f>
        <v>40664</v>
      </c>
      <c r="B54" s="88">
        <f t="shared" si="2"/>
        <v>2011</v>
      </c>
      <c r="C54" s="20">
        <f ca="1">'Monthly Data'!E54</f>
        <v>10309537.648051754</v>
      </c>
      <c r="D54" s="88">
        <f t="shared" ca="1" si="4"/>
        <v>134.47999999999999</v>
      </c>
      <c r="E54" s="88">
        <f t="shared" ca="1" si="4"/>
        <v>20.889999999999997</v>
      </c>
      <c r="F54" s="88">
        <f>'Monthly Data'!AT54</f>
        <v>53</v>
      </c>
      <c r="G54" s="88">
        <f>'Monthly Data'!AO54</f>
        <v>1</v>
      </c>
      <c r="H54" s="88">
        <f>'Monthly Data'!AV54</f>
        <v>0</v>
      </c>
      <c r="I54" s="88">
        <f>'Monthly Data'!AZ54</f>
        <v>0</v>
      </c>
      <c r="J54" s="88">
        <f>'Monthly Data'!BC54</f>
        <v>0</v>
      </c>
      <c r="K54" s="88"/>
      <c r="L54" s="20">
        <f>'Res OLS model'!$B$5</f>
        <v>10397563.9954574</v>
      </c>
      <c r="M54" s="20">
        <f ca="1">'Res OLS model'!$B$6*D54</f>
        <v>749539.77442854608</v>
      </c>
      <c r="N54" s="20">
        <f ca="1">'Res OLS model'!$B$7*E54</f>
        <v>574990.22996920394</v>
      </c>
      <c r="O54" s="20">
        <f>'Res OLS model'!$B$8*F54</f>
        <v>-226578.02807042628</v>
      </c>
      <c r="P54" s="20">
        <f>'Res OLS model'!$B$9*G54</f>
        <v>-1419959.8612913999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ca="1" si="3"/>
        <v>10075556.110493325</v>
      </c>
    </row>
    <row r="55" spans="1:20" x14ac:dyDescent="0.3">
      <c r="A55" s="22">
        <f>'Monthly Data'!A55</f>
        <v>40695</v>
      </c>
      <c r="B55" s="88">
        <f t="shared" si="2"/>
        <v>2011</v>
      </c>
      <c r="C55" s="20">
        <f ca="1">'Monthly Data'!E55</f>
        <v>10923118.348051753</v>
      </c>
      <c r="D55" s="88">
        <f t="shared" ca="1" si="4"/>
        <v>30.429999999999996</v>
      </c>
      <c r="E55" s="88">
        <f t="shared" ca="1" si="4"/>
        <v>56.129999999999995</v>
      </c>
      <c r="F55" s="88">
        <f>'Monthly Data'!AT55</f>
        <v>54</v>
      </c>
      <c r="G55" s="88">
        <f>'Monthly Data'!AO55</f>
        <v>0</v>
      </c>
      <c r="H55" s="88">
        <f>'Monthly Data'!AV55</f>
        <v>0</v>
      </c>
      <c r="I55" s="88">
        <f>'Monthly Data'!AZ55</f>
        <v>1</v>
      </c>
      <c r="J55" s="88">
        <f>'Monthly Data'!BC55</f>
        <v>0</v>
      </c>
      <c r="K55" s="88"/>
      <c r="L55" s="20">
        <f>'Res OLS model'!$B$5</f>
        <v>10397563.9954574</v>
      </c>
      <c r="M55" s="20">
        <f ca="1">'Res OLS model'!$B$6*D55</f>
        <v>169605.11106380619</v>
      </c>
      <c r="N55" s="20">
        <f ca="1">'Res OLS model'!$B$7*E55</f>
        <v>1544959.3876577991</v>
      </c>
      <c r="O55" s="20">
        <f>'Res OLS model'!$B$8*F55</f>
        <v>-230853.08520383056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-773164.55099904304</v>
      </c>
      <c r="S55" s="20">
        <f>'Res OLS model'!$B$12*J55</f>
        <v>0</v>
      </c>
      <c r="T55" s="20">
        <f t="shared" ca="1" si="3"/>
        <v>11108110.857976131</v>
      </c>
    </row>
    <row r="56" spans="1:20" x14ac:dyDescent="0.3">
      <c r="A56" s="22">
        <f>'Monthly Data'!A56</f>
        <v>40725</v>
      </c>
      <c r="B56" s="88">
        <f t="shared" si="2"/>
        <v>2011</v>
      </c>
      <c r="C56" s="20">
        <f ca="1">'Monthly Data'!E56</f>
        <v>13973996.748051755</v>
      </c>
      <c r="D56" s="88">
        <f t="shared" ca="1" si="4"/>
        <v>7.85</v>
      </c>
      <c r="E56" s="88">
        <f t="shared" ca="1" si="4"/>
        <v>99.97999999999999</v>
      </c>
      <c r="F56" s="88">
        <f>'Monthly Data'!AT56</f>
        <v>55</v>
      </c>
      <c r="G56" s="88">
        <f>'Monthly Data'!AO56</f>
        <v>0</v>
      </c>
      <c r="H56" s="88">
        <f>'Monthly Data'!AV56</f>
        <v>0</v>
      </c>
      <c r="I56" s="88">
        <f>'Monthly Data'!AZ56</f>
        <v>0</v>
      </c>
      <c r="J56" s="88">
        <f>'Monthly Data'!BC56</f>
        <v>0</v>
      </c>
      <c r="K56" s="88"/>
      <c r="L56" s="20">
        <f>'Res OLS model'!$B$5</f>
        <v>10397563.9954574</v>
      </c>
      <c r="M56" s="20">
        <f ca="1">'Res OLS model'!$B$6*D56</f>
        <v>43752.879456157701</v>
      </c>
      <c r="N56" s="20">
        <f ca="1">'Res OLS model'!$B$7*E56</f>
        <v>2751915.9019780285</v>
      </c>
      <c r="O56" s="20">
        <f>'Res OLS model'!$B$8*F56</f>
        <v>-235128.14233723484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ca="1" si="3"/>
        <v>12958104.634554351</v>
      </c>
    </row>
    <row r="57" spans="1:20" x14ac:dyDescent="0.3">
      <c r="A57" s="22">
        <f>'Monthly Data'!A57</f>
        <v>40756</v>
      </c>
      <c r="B57" s="88">
        <f t="shared" si="2"/>
        <v>2011</v>
      </c>
      <c r="C57" s="20">
        <f ca="1">'Monthly Data'!E57</f>
        <v>13088259.428051755</v>
      </c>
      <c r="D57" s="88">
        <f t="shared" ca="1" si="4"/>
        <v>10.43</v>
      </c>
      <c r="E57" s="88">
        <f t="shared" ca="1" si="4"/>
        <v>80.190000000000012</v>
      </c>
      <c r="F57" s="88">
        <f>'Monthly Data'!AT57</f>
        <v>56</v>
      </c>
      <c r="G57" s="88">
        <f>'Monthly Data'!AO57</f>
        <v>0</v>
      </c>
      <c r="H57" s="88">
        <f>'Monthly Data'!AV57</f>
        <v>0</v>
      </c>
      <c r="I57" s="88">
        <f>'Monthly Data'!AZ57</f>
        <v>0</v>
      </c>
      <c r="J57" s="88">
        <f>'Monthly Data'!BC57</f>
        <v>0</v>
      </c>
      <c r="K57" s="88"/>
      <c r="L57" s="20">
        <f>'Res OLS model'!$B$5</f>
        <v>10397563.9954574</v>
      </c>
      <c r="M57" s="20">
        <f ca="1">'Res OLS model'!$B$6*D57</f>
        <v>58132.806716907617</v>
      </c>
      <c r="N57" s="20">
        <f ca="1">'Res OLS model'!$B$7*E57</f>
        <v>2207202.8023566529</v>
      </c>
      <c r="O57" s="20">
        <f>'Res OLS model'!$B$8*F57</f>
        <v>-239403.19947063911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ca="1" si="3"/>
        <v>12423496.405060321</v>
      </c>
    </row>
    <row r="58" spans="1:20" x14ac:dyDescent="0.3">
      <c r="A58" s="22">
        <f>'Monthly Data'!A58</f>
        <v>40787</v>
      </c>
      <c r="B58" s="88">
        <f t="shared" si="2"/>
        <v>2011</v>
      </c>
      <c r="C58" s="20">
        <f ca="1">'Monthly Data'!E58</f>
        <v>10428037.298051752</v>
      </c>
      <c r="D58" s="88">
        <f t="shared" ca="1" si="4"/>
        <v>70.580000000000013</v>
      </c>
      <c r="E58" s="88">
        <f t="shared" ca="1" si="4"/>
        <v>29.429999999999996</v>
      </c>
      <c r="F58" s="88">
        <f>'Monthly Data'!AT58</f>
        <v>57</v>
      </c>
      <c r="G58" s="88">
        <f>'Monthly Data'!AO58</f>
        <v>1</v>
      </c>
      <c r="H58" s="88">
        <f>'Monthly Data'!AV58</f>
        <v>0</v>
      </c>
      <c r="I58" s="88">
        <f>'Monthly Data'!AZ58</f>
        <v>0</v>
      </c>
      <c r="J58" s="88">
        <f>'Monthly Data'!BC58</f>
        <v>1</v>
      </c>
      <c r="K58" s="88"/>
      <c r="L58" s="20">
        <f>'Res OLS model'!$B$5</f>
        <v>10397563.9954574</v>
      </c>
      <c r="M58" s="20">
        <f ca="1">'Res OLS model'!$B$6*D58</f>
        <v>393385.76204020524</v>
      </c>
      <c r="N58" s="20">
        <f ca="1">'Res OLS model'!$B$7*E58</f>
        <v>810050.86012415856</v>
      </c>
      <c r="O58" s="20">
        <f>'Res OLS model'!$B$8*F58</f>
        <v>-243678.25660404339</v>
      </c>
      <c r="P58" s="20">
        <f>'Res OLS model'!$B$9*G58</f>
        <v>-1419959.8612913999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772942.00624980999</v>
      </c>
      <c r="T58" s="20">
        <f t="shared" ca="1" si="3"/>
        <v>10710304.505976129</v>
      </c>
    </row>
    <row r="59" spans="1:20" x14ac:dyDescent="0.3">
      <c r="A59" s="22">
        <f>'Monthly Data'!A59</f>
        <v>40817</v>
      </c>
      <c r="B59" s="88">
        <f t="shared" si="2"/>
        <v>2011</v>
      </c>
      <c r="C59" s="20">
        <f ca="1">'Monthly Data'!E59</f>
        <v>9961883.1680517532</v>
      </c>
      <c r="D59" s="88">
        <f t="shared" ca="1" si="4"/>
        <v>241.15</v>
      </c>
      <c r="E59" s="88">
        <f t="shared" ca="1" si="4"/>
        <v>2.87</v>
      </c>
      <c r="F59" s="88">
        <f>'Monthly Data'!AT59</f>
        <v>58</v>
      </c>
      <c r="G59" s="88">
        <f>'Monthly Data'!AO59</f>
        <v>1</v>
      </c>
      <c r="H59" s="88">
        <f>'Monthly Data'!AV59</f>
        <v>0</v>
      </c>
      <c r="I59" s="88">
        <f>'Monthly Data'!AZ59</f>
        <v>0</v>
      </c>
      <c r="J59" s="88">
        <f>'Monthly Data'!BC59</f>
        <v>0</v>
      </c>
      <c r="K59" s="88"/>
      <c r="L59" s="20">
        <f>'Res OLS model'!$B$5</f>
        <v>10397563.9954574</v>
      </c>
      <c r="M59" s="20">
        <f ca="1">'Res OLS model'!$B$6*D59</f>
        <v>1344077.30966273</v>
      </c>
      <c r="N59" s="20">
        <f ca="1">'Res OLS model'!$B$7*E59</f>
        <v>78995.785543878199</v>
      </c>
      <c r="O59" s="20">
        <f>'Res OLS model'!$B$8*F59</f>
        <v>-247953.31373744764</v>
      </c>
      <c r="P59" s="20">
        <f>'Res OLS model'!$B$9*G59</f>
        <v>-1419959.8612913999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ca="1" si="3"/>
        <v>10152723.915635159</v>
      </c>
    </row>
    <row r="60" spans="1:20" x14ac:dyDescent="0.3">
      <c r="A60" s="22">
        <f>'Monthly Data'!A60</f>
        <v>40848</v>
      </c>
      <c r="B60" s="88">
        <f t="shared" si="2"/>
        <v>2011</v>
      </c>
      <c r="C60" s="20">
        <f ca="1">'Monthly Data'!E60</f>
        <v>10558824.248051753</v>
      </c>
      <c r="D60" s="88">
        <f t="shared" ca="1" si="4"/>
        <v>421.52</v>
      </c>
      <c r="E60" s="88">
        <f t="shared" ca="1" si="4"/>
        <v>0</v>
      </c>
      <c r="F60" s="88">
        <f>'Monthly Data'!AT60</f>
        <v>59</v>
      </c>
      <c r="G60" s="88">
        <f>'Monthly Data'!AO60</f>
        <v>1</v>
      </c>
      <c r="H60" s="88">
        <f>'Monthly Data'!AV60</f>
        <v>0</v>
      </c>
      <c r="I60" s="88">
        <f>'Monthly Data'!AZ60</f>
        <v>0</v>
      </c>
      <c r="J60" s="88">
        <f>'Monthly Data'!BC60</f>
        <v>0</v>
      </c>
      <c r="K60" s="88"/>
      <c r="L60" s="20">
        <f>'Res OLS model'!$B$5</f>
        <v>10397563.9954574</v>
      </c>
      <c r="M60" s="20">
        <f ca="1">'Res OLS model'!$B$6*D60</f>
        <v>2349390.2864152347</v>
      </c>
      <c r="N60" s="20">
        <f ca="1">'Res OLS model'!$B$7*E60</f>
        <v>0</v>
      </c>
      <c r="O60" s="20">
        <f>'Res OLS model'!$B$8*F60</f>
        <v>-252228.37087085191</v>
      </c>
      <c r="P60" s="20">
        <f>'Res OLS model'!$B$9*G60</f>
        <v>-1419959.8612913999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ca="1" si="3"/>
        <v>11074766.049710384</v>
      </c>
    </row>
    <row r="61" spans="1:20" x14ac:dyDescent="0.3">
      <c r="A61" s="22">
        <f>'Monthly Data'!A61</f>
        <v>40878</v>
      </c>
      <c r="B61" s="88">
        <f t="shared" si="2"/>
        <v>2011</v>
      </c>
      <c r="C61" s="20">
        <f ca="1">'Monthly Data'!E61</f>
        <v>12756788.608051755</v>
      </c>
      <c r="D61" s="88">
        <f t="shared" ca="1" si="4"/>
        <v>610.56000000000006</v>
      </c>
      <c r="E61" s="88">
        <f t="shared" ca="1" si="4"/>
        <v>0</v>
      </c>
      <c r="F61" s="88">
        <f>'Monthly Data'!AT61</f>
        <v>60</v>
      </c>
      <c r="G61" s="88">
        <f>'Monthly Data'!AO61</f>
        <v>0</v>
      </c>
      <c r="H61" s="88">
        <f>'Monthly Data'!AV61</f>
        <v>0</v>
      </c>
      <c r="I61" s="88">
        <f>'Monthly Data'!AZ61</f>
        <v>0</v>
      </c>
      <c r="J61" s="88">
        <f>'Monthly Data'!BC61</f>
        <v>0</v>
      </c>
      <c r="K61" s="88"/>
      <c r="L61" s="20">
        <f>'Res OLS model'!$B$5</f>
        <v>10397563.9954574</v>
      </c>
      <c r="M61" s="20">
        <f ca="1">'Res OLS model'!$B$6*D61</f>
        <v>3403026.5071021207</v>
      </c>
      <c r="N61" s="20">
        <f ca="1">'Res OLS model'!$B$7*E61</f>
        <v>0</v>
      </c>
      <c r="O61" s="20">
        <f>'Res OLS model'!$B$8*F61</f>
        <v>-256503.42800425619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ca="1" si="3"/>
        <v>13544087.074555265</v>
      </c>
    </row>
    <row r="62" spans="1:20" x14ac:dyDescent="0.3">
      <c r="A62" s="22">
        <f>'Monthly Data'!A62</f>
        <v>40909</v>
      </c>
      <c r="B62" s="88">
        <f t="shared" si="2"/>
        <v>2012</v>
      </c>
      <c r="C62" s="20">
        <f ca="1">'Monthly Data'!E62</f>
        <v>13701990.338784929</v>
      </c>
      <c r="D62" s="88">
        <f t="shared" ca="1" si="4"/>
        <v>729.54999999999984</v>
      </c>
      <c r="E62" s="88">
        <f t="shared" ca="1" si="4"/>
        <v>0</v>
      </c>
      <c r="F62" s="88">
        <f>'Monthly Data'!AT62</f>
        <v>61</v>
      </c>
      <c r="G62" s="88">
        <f>'Monthly Data'!AO62</f>
        <v>0</v>
      </c>
      <c r="H62" s="88">
        <f>'Monthly Data'!AV62</f>
        <v>0</v>
      </c>
      <c r="I62" s="88">
        <f>'Monthly Data'!AZ62</f>
        <v>0</v>
      </c>
      <c r="J62" s="88">
        <f>'Monthly Data'!BC62</f>
        <v>0</v>
      </c>
      <c r="K62" s="88"/>
      <c r="L62" s="20">
        <f>'Res OLS model'!$B$5</f>
        <v>10397563.9954574</v>
      </c>
      <c r="M62" s="20">
        <f ca="1">'Res OLS model'!$B$6*D62</f>
        <v>4066230.9818139928</v>
      </c>
      <c r="N62" s="20">
        <f ca="1">'Res OLS model'!$B$7*E62</f>
        <v>0</v>
      </c>
      <c r="O62" s="20">
        <f>'Res OLS model'!$B$8*F62</f>
        <v>-260778.48513766046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ca="1" si="3"/>
        <v>14203016.492133733</v>
      </c>
    </row>
    <row r="63" spans="1:20" x14ac:dyDescent="0.3">
      <c r="A63" s="22">
        <f>'Monthly Data'!A63</f>
        <v>40940</v>
      </c>
      <c r="B63" s="88">
        <f t="shared" si="2"/>
        <v>2012</v>
      </c>
      <c r="C63" s="20">
        <f ca="1">'Monthly Data'!E63</f>
        <v>12419248.918784933</v>
      </c>
      <c r="D63" s="88">
        <f t="shared" ca="1" si="4"/>
        <v>678.56000000000006</v>
      </c>
      <c r="E63" s="88">
        <f t="shared" ca="1" si="4"/>
        <v>0</v>
      </c>
      <c r="F63" s="88">
        <f>'Monthly Data'!AT63</f>
        <v>62</v>
      </c>
      <c r="G63" s="88">
        <f>'Monthly Data'!AO63</f>
        <v>0</v>
      </c>
      <c r="H63" s="88">
        <f>'Monthly Data'!AV63</f>
        <v>1</v>
      </c>
      <c r="I63" s="88">
        <f>'Monthly Data'!AZ63</f>
        <v>0</v>
      </c>
      <c r="J63" s="88">
        <f>'Monthly Data'!BC63</f>
        <v>0</v>
      </c>
      <c r="K63" s="88"/>
      <c r="L63" s="20">
        <f>'Res OLS model'!$B$5</f>
        <v>10397563.9954574</v>
      </c>
      <c r="M63" s="20">
        <f ca="1">'Res OLS model'!$B$6*D63</f>
        <v>3782032.341881576</v>
      </c>
      <c r="N63" s="20">
        <f ca="1">'Res OLS model'!$B$7*E63</f>
        <v>0</v>
      </c>
      <c r="O63" s="20">
        <f>'Res OLS model'!$B$8*F63</f>
        <v>-265053.54227106471</v>
      </c>
      <c r="P63" s="20">
        <f>'Res OLS model'!$B$9*G63</f>
        <v>0</v>
      </c>
      <c r="Q63" s="20">
        <f>'Res OLS model'!$B$10*H63</f>
        <v>-473349.26469262998</v>
      </c>
      <c r="R63" s="20">
        <f>'Res OLS model'!$B$11*I63</f>
        <v>0</v>
      </c>
      <c r="S63" s="20">
        <f>'Res OLS model'!$B$12*J63</f>
        <v>0</v>
      </c>
      <c r="T63" s="20">
        <f t="shared" ca="1" si="3"/>
        <v>13441193.530375281</v>
      </c>
    </row>
    <row r="64" spans="1:20" x14ac:dyDescent="0.3">
      <c r="A64" s="22">
        <f>'Monthly Data'!A64</f>
        <v>40969</v>
      </c>
      <c r="B64" s="88">
        <f t="shared" si="2"/>
        <v>2012</v>
      </c>
      <c r="C64" s="20">
        <f ca="1">'Monthly Data'!E64</f>
        <v>10625784.518784931</v>
      </c>
      <c r="D64" s="88">
        <f t="shared" ca="1" si="4"/>
        <v>544.77</v>
      </c>
      <c r="E64" s="88">
        <f t="shared" ca="1" si="4"/>
        <v>0.22000000000000003</v>
      </c>
      <c r="F64" s="88">
        <f>'Monthly Data'!AT64</f>
        <v>63</v>
      </c>
      <c r="G64" s="88">
        <f>'Monthly Data'!AO64</f>
        <v>1</v>
      </c>
      <c r="H64" s="88">
        <f>'Monthly Data'!AV64</f>
        <v>0</v>
      </c>
      <c r="I64" s="88">
        <f>'Monthly Data'!AZ64</f>
        <v>0</v>
      </c>
      <c r="J64" s="88">
        <f>'Monthly Data'!BC64</f>
        <v>0</v>
      </c>
      <c r="K64" s="88"/>
      <c r="L64" s="20">
        <f>'Res OLS model'!$B$5</f>
        <v>10397563.9954574</v>
      </c>
      <c r="M64" s="20">
        <f ca="1">'Res OLS model'!$B$6*D64</f>
        <v>3036338.3619529973</v>
      </c>
      <c r="N64" s="20">
        <f ca="1">'Res OLS model'!$B$7*E64</f>
        <v>6055.4260695655776</v>
      </c>
      <c r="O64" s="20">
        <f>'Res OLS model'!$B$8*F64</f>
        <v>-269328.59940446902</v>
      </c>
      <c r="P64" s="20">
        <f>'Res OLS model'!$B$9*G64</f>
        <v>-1419959.8612913999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ca="1" si="3"/>
        <v>11750669.322784094</v>
      </c>
    </row>
    <row r="65" spans="1:20" x14ac:dyDescent="0.3">
      <c r="A65" s="22">
        <f>'Monthly Data'!A65</f>
        <v>41000</v>
      </c>
      <c r="B65" s="88">
        <f t="shared" si="2"/>
        <v>2012</v>
      </c>
      <c r="C65" s="20">
        <f ca="1">'Monthly Data'!E65</f>
        <v>9308329.4287849367</v>
      </c>
      <c r="D65" s="88">
        <f t="shared" ca="1" si="4"/>
        <v>328.11</v>
      </c>
      <c r="E65" s="88">
        <f t="shared" ca="1" si="4"/>
        <v>0.32</v>
      </c>
      <c r="F65" s="88">
        <f>'Monthly Data'!AT65</f>
        <v>64</v>
      </c>
      <c r="G65" s="88">
        <f>'Monthly Data'!AO65</f>
        <v>1</v>
      </c>
      <c r="H65" s="88">
        <f>'Monthly Data'!AV65</f>
        <v>0</v>
      </c>
      <c r="I65" s="88">
        <f>'Monthly Data'!AZ65</f>
        <v>0</v>
      </c>
      <c r="J65" s="88">
        <f>'Monthly Data'!BC65</f>
        <v>0</v>
      </c>
      <c r="K65" s="88"/>
      <c r="L65" s="20">
        <f>'Res OLS model'!$B$5</f>
        <v>10397563.9954574</v>
      </c>
      <c r="M65" s="20">
        <f ca="1">'Res OLS model'!$B$6*D65</f>
        <v>1828758.8889630451</v>
      </c>
      <c r="N65" s="20">
        <f ca="1">'Res OLS model'!$B$7*E65</f>
        <v>8807.8924648226566</v>
      </c>
      <c r="O65" s="20">
        <f>'Res OLS model'!$B$8*F65</f>
        <v>-273603.65653787326</v>
      </c>
      <c r="P65" s="20">
        <f>'Res OLS model'!$B$9*G65</f>
        <v>-1419959.8612913999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ca="1" si="3"/>
        <v>10541567.259055994</v>
      </c>
    </row>
    <row r="66" spans="1:20" x14ac:dyDescent="0.3">
      <c r="A66" s="22">
        <f>'Monthly Data'!A66</f>
        <v>41030</v>
      </c>
      <c r="B66" s="88">
        <f t="shared" si="2"/>
        <v>2012</v>
      </c>
      <c r="C66" s="20">
        <f ca="1">'Monthly Data'!E66</f>
        <v>10160706.668784929</v>
      </c>
      <c r="D66" s="88">
        <f t="shared" ca="1" si="4"/>
        <v>134.47999999999999</v>
      </c>
      <c r="E66" s="88">
        <f t="shared" ca="1" si="4"/>
        <v>20.889999999999997</v>
      </c>
      <c r="F66" s="88">
        <f>'Monthly Data'!AT66</f>
        <v>65</v>
      </c>
      <c r="G66" s="88">
        <f>'Monthly Data'!AO66</f>
        <v>1</v>
      </c>
      <c r="H66" s="88">
        <f>'Monthly Data'!AV66</f>
        <v>0</v>
      </c>
      <c r="I66" s="88">
        <f>'Monthly Data'!AZ66</f>
        <v>0</v>
      </c>
      <c r="J66" s="88">
        <f>'Monthly Data'!BC66</f>
        <v>0</v>
      </c>
      <c r="K66" s="88"/>
      <c r="L66" s="20">
        <f>'Res OLS model'!$B$5</f>
        <v>10397563.9954574</v>
      </c>
      <c r="M66" s="20">
        <f ca="1">'Res OLS model'!$B$6*D66</f>
        <v>749539.77442854608</v>
      </c>
      <c r="N66" s="20">
        <f ca="1">'Res OLS model'!$B$7*E66</f>
        <v>574990.22996920394</v>
      </c>
      <c r="O66" s="20">
        <f>'Res OLS model'!$B$8*F66</f>
        <v>-277878.71367127751</v>
      </c>
      <c r="P66" s="20">
        <f>'Res OLS model'!$B$9*G66</f>
        <v>-1419959.8612913999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ca="1" si="3"/>
        <v>10024255.424892472</v>
      </c>
    </row>
    <row r="67" spans="1:20" x14ac:dyDescent="0.3">
      <c r="A67" s="22">
        <f>'Monthly Data'!A67</f>
        <v>41061</v>
      </c>
      <c r="B67" s="88">
        <f t="shared" ref="B67:B130" si="5">YEAR(A67)</f>
        <v>2012</v>
      </c>
      <c r="C67" s="20">
        <f ca="1">'Monthly Data'!E67</f>
        <v>11226621.57878493</v>
      </c>
      <c r="D67" s="88">
        <f t="shared" ca="1" si="4"/>
        <v>30.429999999999996</v>
      </c>
      <c r="E67" s="88">
        <f t="shared" ca="1" si="4"/>
        <v>56.129999999999995</v>
      </c>
      <c r="F67" s="88">
        <f>'Monthly Data'!AT67</f>
        <v>66</v>
      </c>
      <c r="G67" s="88">
        <f>'Monthly Data'!AO67</f>
        <v>0</v>
      </c>
      <c r="H67" s="88">
        <f>'Monthly Data'!AV67</f>
        <v>0</v>
      </c>
      <c r="I67" s="88">
        <f>'Monthly Data'!AZ67</f>
        <v>1</v>
      </c>
      <c r="J67" s="88">
        <f>'Monthly Data'!BC67</f>
        <v>0</v>
      </c>
      <c r="K67" s="88"/>
      <c r="L67" s="20">
        <f>'Res OLS model'!$B$5</f>
        <v>10397563.9954574</v>
      </c>
      <c r="M67" s="20">
        <f ca="1">'Res OLS model'!$B$6*D67</f>
        <v>169605.11106380619</v>
      </c>
      <c r="N67" s="20">
        <f ca="1">'Res OLS model'!$B$7*E67</f>
        <v>1544959.3876577991</v>
      </c>
      <c r="O67" s="20">
        <f>'Res OLS model'!$B$8*F67</f>
        <v>-282153.77080468182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-773164.55099904304</v>
      </c>
      <c r="S67" s="20">
        <f>'Res OLS model'!$B$12*J67</f>
        <v>0</v>
      </c>
      <c r="T67" s="20">
        <f t="shared" ref="T67:T130" ca="1" si="6">SUM(L67:S67)</f>
        <v>11056810.172375279</v>
      </c>
    </row>
    <row r="68" spans="1:20" x14ac:dyDescent="0.3">
      <c r="A68" s="22">
        <f>'Monthly Data'!A68</f>
        <v>41091</v>
      </c>
      <c r="B68" s="88">
        <f t="shared" si="5"/>
        <v>2012</v>
      </c>
      <c r="C68" s="20">
        <f ca="1">'Monthly Data'!E68</f>
        <v>14521070.218784928</v>
      </c>
      <c r="D68" s="88">
        <f t="shared" ca="1" si="4"/>
        <v>7.85</v>
      </c>
      <c r="E68" s="88">
        <f t="shared" ca="1" si="4"/>
        <v>99.97999999999999</v>
      </c>
      <c r="F68" s="88">
        <f>'Monthly Data'!AT68</f>
        <v>67</v>
      </c>
      <c r="G68" s="88">
        <f>'Monthly Data'!AO68</f>
        <v>0</v>
      </c>
      <c r="H68" s="88">
        <f>'Monthly Data'!AV68</f>
        <v>0</v>
      </c>
      <c r="I68" s="88">
        <f>'Monthly Data'!AZ68</f>
        <v>0</v>
      </c>
      <c r="J68" s="88">
        <f>'Monthly Data'!BC68</f>
        <v>0</v>
      </c>
      <c r="K68" s="88"/>
      <c r="L68" s="20">
        <f>'Res OLS model'!$B$5</f>
        <v>10397563.9954574</v>
      </c>
      <c r="M68" s="20">
        <f ca="1">'Res OLS model'!$B$6*D68</f>
        <v>43752.879456157701</v>
      </c>
      <c r="N68" s="20">
        <f ca="1">'Res OLS model'!$B$7*E68</f>
        <v>2751915.9019780285</v>
      </c>
      <c r="O68" s="20">
        <f>'Res OLS model'!$B$8*F68</f>
        <v>-286428.82793808606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ca="1" si="6"/>
        <v>12906803.9489535</v>
      </c>
    </row>
    <row r="69" spans="1:20" x14ac:dyDescent="0.3">
      <c r="A69" s="22">
        <f>'Monthly Data'!A69</f>
        <v>41122</v>
      </c>
      <c r="B69" s="88">
        <f t="shared" si="5"/>
        <v>2012</v>
      </c>
      <c r="C69" s="20">
        <f ca="1">'Monthly Data'!E69</f>
        <v>12646001.058784934</v>
      </c>
      <c r="D69" s="88">
        <f t="shared" ca="1" si="4"/>
        <v>10.43</v>
      </c>
      <c r="E69" s="88">
        <f t="shared" ca="1" si="4"/>
        <v>80.190000000000012</v>
      </c>
      <c r="F69" s="88">
        <f>'Monthly Data'!AT69</f>
        <v>68</v>
      </c>
      <c r="G69" s="88">
        <f>'Monthly Data'!AO69</f>
        <v>0</v>
      </c>
      <c r="H69" s="88">
        <f>'Monthly Data'!AV69</f>
        <v>0</v>
      </c>
      <c r="I69" s="88">
        <f>'Monthly Data'!AZ69</f>
        <v>0</v>
      </c>
      <c r="J69" s="88">
        <f>'Monthly Data'!BC69</f>
        <v>0</v>
      </c>
      <c r="K69" s="88"/>
      <c r="L69" s="20">
        <f>'Res OLS model'!$B$5</f>
        <v>10397563.9954574</v>
      </c>
      <c r="M69" s="20">
        <f ca="1">'Res OLS model'!$B$6*D69</f>
        <v>58132.806716907617</v>
      </c>
      <c r="N69" s="20">
        <f ca="1">'Res OLS model'!$B$7*E69</f>
        <v>2207202.8023566529</v>
      </c>
      <c r="O69" s="20">
        <f>'Res OLS model'!$B$8*F69</f>
        <v>-290703.88507149037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ca="1" si="6"/>
        <v>12372195.71945947</v>
      </c>
    </row>
    <row r="70" spans="1:20" x14ac:dyDescent="0.3">
      <c r="A70" s="22">
        <f>'Monthly Data'!A70</f>
        <v>41153</v>
      </c>
      <c r="B70" s="88">
        <f t="shared" si="5"/>
        <v>2012</v>
      </c>
      <c r="C70" s="20">
        <f ca="1">'Monthly Data'!E70</f>
        <v>10714417.028784934</v>
      </c>
      <c r="D70" s="88">
        <f t="shared" ca="1" si="4"/>
        <v>70.580000000000013</v>
      </c>
      <c r="E70" s="88">
        <f t="shared" ca="1" si="4"/>
        <v>29.429999999999996</v>
      </c>
      <c r="F70" s="88">
        <f>'Monthly Data'!AT70</f>
        <v>69</v>
      </c>
      <c r="G70" s="88">
        <f>'Monthly Data'!AO70</f>
        <v>1</v>
      </c>
      <c r="H70" s="88">
        <f>'Monthly Data'!AV70</f>
        <v>0</v>
      </c>
      <c r="I70" s="88">
        <f>'Monthly Data'!AZ70</f>
        <v>0</v>
      </c>
      <c r="J70" s="88">
        <f>'Monthly Data'!BC70</f>
        <v>1</v>
      </c>
      <c r="K70" s="88"/>
      <c r="L70" s="20">
        <f>'Res OLS model'!$B$5</f>
        <v>10397563.9954574</v>
      </c>
      <c r="M70" s="20">
        <f ca="1">'Res OLS model'!$B$6*D70</f>
        <v>393385.76204020524</v>
      </c>
      <c r="N70" s="20">
        <f ca="1">'Res OLS model'!$B$7*E70</f>
        <v>810050.86012415856</v>
      </c>
      <c r="O70" s="20">
        <f>'Res OLS model'!$B$8*F70</f>
        <v>-294978.94220489461</v>
      </c>
      <c r="P70" s="20">
        <f>'Res OLS model'!$B$9*G70</f>
        <v>-1419959.8612913999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772942.00624980999</v>
      </c>
      <c r="T70" s="20">
        <f t="shared" ca="1" si="6"/>
        <v>10659003.820375279</v>
      </c>
    </row>
    <row r="71" spans="1:20" x14ac:dyDescent="0.3">
      <c r="A71" s="22">
        <f>'Monthly Data'!A71</f>
        <v>41183</v>
      </c>
      <c r="B71" s="88">
        <f t="shared" si="5"/>
        <v>2012</v>
      </c>
      <c r="C71" s="20">
        <f ca="1">'Monthly Data'!E71</f>
        <v>9933433.2287849337</v>
      </c>
      <c r="D71" s="88">
        <f t="shared" ca="1" si="4"/>
        <v>241.15</v>
      </c>
      <c r="E71" s="88">
        <f t="shared" ca="1" si="4"/>
        <v>2.87</v>
      </c>
      <c r="F71" s="88">
        <f>'Monthly Data'!AT71</f>
        <v>70</v>
      </c>
      <c r="G71" s="88">
        <f>'Monthly Data'!AO71</f>
        <v>1</v>
      </c>
      <c r="H71" s="88">
        <f>'Monthly Data'!AV71</f>
        <v>0</v>
      </c>
      <c r="I71" s="88">
        <f>'Monthly Data'!AZ71</f>
        <v>0</v>
      </c>
      <c r="J71" s="88">
        <f>'Monthly Data'!BC71</f>
        <v>0</v>
      </c>
      <c r="K71" s="88"/>
      <c r="L71" s="20">
        <f>'Res OLS model'!$B$5</f>
        <v>10397563.9954574</v>
      </c>
      <c r="M71" s="20">
        <f ca="1">'Res OLS model'!$B$6*D71</f>
        <v>1344077.30966273</v>
      </c>
      <c r="N71" s="20">
        <f ca="1">'Res OLS model'!$B$7*E71</f>
        <v>78995.785543878199</v>
      </c>
      <c r="O71" s="20">
        <f>'Res OLS model'!$B$8*F71</f>
        <v>-299253.99933829886</v>
      </c>
      <c r="P71" s="20">
        <f>'Res OLS model'!$B$9*G71</f>
        <v>-1419959.8612913999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ca="1" si="6"/>
        <v>10101423.230034309</v>
      </c>
    </row>
    <row r="72" spans="1:20" x14ac:dyDescent="0.3">
      <c r="A72" s="22">
        <f>'Monthly Data'!A72</f>
        <v>41214</v>
      </c>
      <c r="B72" s="88">
        <f t="shared" si="5"/>
        <v>2012</v>
      </c>
      <c r="C72" s="20">
        <f ca="1">'Monthly Data'!E72</f>
        <v>11155987.468784932</v>
      </c>
      <c r="D72" s="88">
        <f t="shared" ca="1" si="4"/>
        <v>421.52</v>
      </c>
      <c r="E72" s="88">
        <f t="shared" ca="1" si="4"/>
        <v>0</v>
      </c>
      <c r="F72" s="88">
        <f>'Monthly Data'!AT72</f>
        <v>71</v>
      </c>
      <c r="G72" s="88">
        <f>'Monthly Data'!AO72</f>
        <v>1</v>
      </c>
      <c r="H72" s="88">
        <f>'Monthly Data'!AV72</f>
        <v>0</v>
      </c>
      <c r="I72" s="88">
        <f>'Monthly Data'!AZ72</f>
        <v>0</v>
      </c>
      <c r="J72" s="88">
        <f>'Monthly Data'!BC72</f>
        <v>0</v>
      </c>
      <c r="K72" s="88"/>
      <c r="L72" s="20">
        <f>'Res OLS model'!$B$5</f>
        <v>10397563.9954574</v>
      </c>
      <c r="M72" s="20">
        <f ca="1">'Res OLS model'!$B$6*D72</f>
        <v>2349390.2864152347</v>
      </c>
      <c r="N72" s="20">
        <f ca="1">'Res OLS model'!$B$7*E72</f>
        <v>0</v>
      </c>
      <c r="O72" s="20">
        <f>'Res OLS model'!$B$8*F72</f>
        <v>-303529.05647170317</v>
      </c>
      <c r="P72" s="20">
        <f>'Res OLS model'!$B$9*G72</f>
        <v>-1419959.8612913999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ca="1" si="6"/>
        <v>11023465.364109531</v>
      </c>
    </row>
    <row r="73" spans="1:20" x14ac:dyDescent="0.3">
      <c r="A73" s="22">
        <f>'Monthly Data'!A73</f>
        <v>41244</v>
      </c>
      <c r="B73" s="88">
        <f t="shared" si="5"/>
        <v>2012</v>
      </c>
      <c r="C73" s="20">
        <f ca="1">'Monthly Data'!E73</f>
        <v>12721788.438784931</v>
      </c>
      <c r="D73" s="88">
        <f t="shared" ca="1" si="4"/>
        <v>610.56000000000006</v>
      </c>
      <c r="E73" s="88">
        <f t="shared" ca="1" si="4"/>
        <v>0</v>
      </c>
      <c r="F73" s="88">
        <f>'Monthly Data'!AT73</f>
        <v>72</v>
      </c>
      <c r="G73" s="88">
        <f>'Monthly Data'!AO73</f>
        <v>0</v>
      </c>
      <c r="H73" s="88">
        <f>'Monthly Data'!AV73</f>
        <v>0</v>
      </c>
      <c r="I73" s="88">
        <f>'Monthly Data'!AZ73</f>
        <v>0</v>
      </c>
      <c r="J73" s="88">
        <f>'Monthly Data'!BC73</f>
        <v>0</v>
      </c>
      <c r="K73" s="88"/>
      <c r="L73" s="20">
        <f>'Res OLS model'!$B$5</f>
        <v>10397563.9954574</v>
      </c>
      <c r="M73" s="20">
        <f ca="1">'Res OLS model'!$B$6*D73</f>
        <v>3403026.5071021207</v>
      </c>
      <c r="N73" s="20">
        <f ca="1">'Res OLS model'!$B$7*E73</f>
        <v>0</v>
      </c>
      <c r="O73" s="20">
        <f>'Res OLS model'!$B$8*F73</f>
        <v>-307804.11360510741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ca="1" si="6"/>
        <v>13492786.388954412</v>
      </c>
    </row>
    <row r="74" spans="1:20" x14ac:dyDescent="0.3">
      <c r="A74" s="22">
        <f>'Monthly Data'!A74</f>
        <v>41275</v>
      </c>
      <c r="B74" s="88">
        <f t="shared" si="5"/>
        <v>2013</v>
      </c>
      <c r="C74" s="20">
        <f ca="1">'Monthly Data'!E74</f>
        <v>13766519.236842874</v>
      </c>
      <c r="D74" s="88">
        <f t="shared" ca="1" si="4"/>
        <v>729.54999999999984</v>
      </c>
      <c r="E74" s="88">
        <f t="shared" ca="1" si="4"/>
        <v>0</v>
      </c>
      <c r="F74" s="88">
        <f>'Monthly Data'!AT74</f>
        <v>73</v>
      </c>
      <c r="G74" s="88">
        <f>'Monthly Data'!AO74</f>
        <v>0</v>
      </c>
      <c r="H74" s="88">
        <f>'Monthly Data'!AV74</f>
        <v>0</v>
      </c>
      <c r="I74" s="88">
        <f>'Monthly Data'!AZ74</f>
        <v>0</v>
      </c>
      <c r="J74" s="88">
        <f>'Monthly Data'!BC74</f>
        <v>0</v>
      </c>
      <c r="K74" s="88"/>
      <c r="L74" s="20">
        <f>'Res OLS model'!$B$5</f>
        <v>10397563.9954574</v>
      </c>
      <c r="M74" s="20">
        <f ca="1">'Res OLS model'!$B$6*D74</f>
        <v>4066230.9818139928</v>
      </c>
      <c r="N74" s="20">
        <f ca="1">'Res OLS model'!$B$7*E74</f>
        <v>0</v>
      </c>
      <c r="O74" s="20">
        <f>'Res OLS model'!$B$8*F74</f>
        <v>-312079.17073851172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ca="1" si="6"/>
        <v>14151715.806532882</v>
      </c>
    </row>
    <row r="75" spans="1:20" x14ac:dyDescent="0.3">
      <c r="A75" s="22">
        <f>'Monthly Data'!A75</f>
        <v>41306</v>
      </c>
      <c r="B75" s="88">
        <f t="shared" si="5"/>
        <v>2013</v>
      </c>
      <c r="C75" s="20">
        <f ca="1">'Monthly Data'!E75</f>
        <v>13037264.436842877</v>
      </c>
      <c r="D75" s="88">
        <f t="shared" ca="1" si="4"/>
        <v>678.56000000000006</v>
      </c>
      <c r="E75" s="88">
        <f t="shared" ca="1" si="4"/>
        <v>0</v>
      </c>
      <c r="F75" s="88">
        <f>'Monthly Data'!AT75</f>
        <v>74</v>
      </c>
      <c r="G75" s="88">
        <f>'Monthly Data'!AO75</f>
        <v>0</v>
      </c>
      <c r="H75" s="88">
        <f>'Monthly Data'!AV75</f>
        <v>1</v>
      </c>
      <c r="I75" s="88">
        <f>'Monthly Data'!AZ75</f>
        <v>0</v>
      </c>
      <c r="J75" s="88">
        <f>'Monthly Data'!BC75</f>
        <v>0</v>
      </c>
      <c r="K75" s="88"/>
      <c r="L75" s="20">
        <f>'Res OLS model'!$B$5</f>
        <v>10397563.9954574</v>
      </c>
      <c r="M75" s="20">
        <f ca="1">'Res OLS model'!$B$6*D75</f>
        <v>3782032.341881576</v>
      </c>
      <c r="N75" s="20">
        <f ca="1">'Res OLS model'!$B$7*E75</f>
        <v>0</v>
      </c>
      <c r="O75" s="20">
        <f>'Res OLS model'!$B$8*F75</f>
        <v>-316354.22787191597</v>
      </c>
      <c r="P75" s="20">
        <f>'Res OLS model'!$B$9*G75</f>
        <v>0</v>
      </c>
      <c r="Q75" s="20">
        <f>'Res OLS model'!$B$10*H75</f>
        <v>-473349.26469262998</v>
      </c>
      <c r="R75" s="20">
        <f>'Res OLS model'!$B$11*I75</f>
        <v>0</v>
      </c>
      <c r="S75" s="20">
        <f>'Res OLS model'!$B$12*J75</f>
        <v>0</v>
      </c>
      <c r="T75" s="20">
        <f t="shared" ca="1" si="6"/>
        <v>13389892.844774431</v>
      </c>
    </row>
    <row r="76" spans="1:20" x14ac:dyDescent="0.3">
      <c r="A76" s="22">
        <f>'Monthly Data'!A76</f>
        <v>41334</v>
      </c>
      <c r="B76" s="88">
        <f t="shared" si="5"/>
        <v>2013</v>
      </c>
      <c r="C76" s="20">
        <f ca="1">'Monthly Data'!E76</f>
        <v>11968675.47684288</v>
      </c>
      <c r="D76" s="88">
        <f t="shared" ca="1" si="4"/>
        <v>544.77</v>
      </c>
      <c r="E76" s="88">
        <f t="shared" ca="1" si="4"/>
        <v>0.22000000000000003</v>
      </c>
      <c r="F76" s="88">
        <f>'Monthly Data'!AT76</f>
        <v>75</v>
      </c>
      <c r="G76" s="88">
        <f>'Monthly Data'!AO76</f>
        <v>1</v>
      </c>
      <c r="H76" s="88">
        <f>'Monthly Data'!AV76</f>
        <v>0</v>
      </c>
      <c r="I76" s="88">
        <f>'Monthly Data'!AZ76</f>
        <v>0</v>
      </c>
      <c r="J76" s="88">
        <f>'Monthly Data'!BC76</f>
        <v>0</v>
      </c>
      <c r="K76" s="88"/>
      <c r="L76" s="20">
        <f>'Res OLS model'!$B$5</f>
        <v>10397563.9954574</v>
      </c>
      <c r="M76" s="20">
        <f ca="1">'Res OLS model'!$B$6*D76</f>
        <v>3036338.3619529973</v>
      </c>
      <c r="N76" s="20">
        <f ca="1">'Res OLS model'!$B$7*E76</f>
        <v>6055.4260695655776</v>
      </c>
      <c r="O76" s="20">
        <f>'Res OLS model'!$B$8*F76</f>
        <v>-320629.28500532021</v>
      </c>
      <c r="P76" s="20">
        <f>'Res OLS model'!$B$9*G76</f>
        <v>-1419959.8612913999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ca="1" si="6"/>
        <v>11699368.637183243</v>
      </c>
    </row>
    <row r="77" spans="1:20" x14ac:dyDescent="0.3">
      <c r="A77" s="22">
        <f>'Monthly Data'!A77</f>
        <v>41365</v>
      </c>
      <c r="B77" s="88">
        <f t="shared" si="5"/>
        <v>2013</v>
      </c>
      <c r="C77" s="20">
        <f ca="1">'Monthly Data'!E77</f>
        <v>10955923.596842881</v>
      </c>
      <c r="D77" s="88">
        <f t="shared" ca="1" si="4"/>
        <v>328.11</v>
      </c>
      <c r="E77" s="88">
        <f t="shared" ca="1" si="4"/>
        <v>0.32</v>
      </c>
      <c r="F77" s="88">
        <f>'Monthly Data'!AT77</f>
        <v>76</v>
      </c>
      <c r="G77" s="88">
        <f>'Monthly Data'!AO77</f>
        <v>1</v>
      </c>
      <c r="H77" s="88">
        <f>'Monthly Data'!AV77</f>
        <v>0</v>
      </c>
      <c r="I77" s="88">
        <f>'Monthly Data'!AZ77</f>
        <v>0</v>
      </c>
      <c r="J77" s="88">
        <f>'Monthly Data'!BC77</f>
        <v>0</v>
      </c>
      <c r="K77" s="88"/>
      <c r="L77" s="20">
        <f>'Res OLS model'!$B$5</f>
        <v>10397563.9954574</v>
      </c>
      <c r="M77" s="20">
        <f ca="1">'Res OLS model'!$B$6*D77</f>
        <v>1828758.8889630451</v>
      </c>
      <c r="N77" s="20">
        <f ca="1">'Res OLS model'!$B$7*E77</f>
        <v>8807.8924648226566</v>
      </c>
      <c r="O77" s="20">
        <f>'Res OLS model'!$B$8*F77</f>
        <v>-324904.34213872452</v>
      </c>
      <c r="P77" s="20">
        <f>'Res OLS model'!$B$9*G77</f>
        <v>-1419959.8612913999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ca="1" si="6"/>
        <v>10490266.573455144</v>
      </c>
    </row>
    <row r="78" spans="1:20" x14ac:dyDescent="0.3">
      <c r="A78" s="22">
        <f>'Monthly Data'!A78</f>
        <v>41395</v>
      </c>
      <c r="B78" s="88">
        <f t="shared" si="5"/>
        <v>2013</v>
      </c>
      <c r="C78" s="20">
        <f ca="1">'Monthly Data'!E78</f>
        <v>9805347.5568428785</v>
      </c>
      <c r="D78" s="88">
        <f t="shared" ca="1" si="4"/>
        <v>134.47999999999999</v>
      </c>
      <c r="E78" s="88">
        <f t="shared" ca="1" si="4"/>
        <v>20.889999999999997</v>
      </c>
      <c r="F78" s="88">
        <f>'Monthly Data'!AT78</f>
        <v>77</v>
      </c>
      <c r="G78" s="88">
        <f>'Monthly Data'!AO78</f>
        <v>1</v>
      </c>
      <c r="H78" s="88">
        <f>'Monthly Data'!AV78</f>
        <v>0</v>
      </c>
      <c r="I78" s="88">
        <f>'Monthly Data'!AZ78</f>
        <v>0</v>
      </c>
      <c r="J78" s="88">
        <f>'Monthly Data'!BC78</f>
        <v>0</v>
      </c>
      <c r="K78" s="88"/>
      <c r="L78" s="20">
        <f>'Res OLS model'!$B$5</f>
        <v>10397563.9954574</v>
      </c>
      <c r="M78" s="20">
        <f ca="1">'Res OLS model'!$B$6*D78</f>
        <v>749539.77442854608</v>
      </c>
      <c r="N78" s="20">
        <f ca="1">'Res OLS model'!$B$7*E78</f>
        <v>574990.22996920394</v>
      </c>
      <c r="O78" s="20">
        <f>'Res OLS model'!$B$8*F78</f>
        <v>-329179.39927212877</v>
      </c>
      <c r="P78" s="20">
        <f>'Res OLS model'!$B$9*G78</f>
        <v>-1419959.8612913999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ca="1" si="6"/>
        <v>9972954.7392916214</v>
      </c>
    </row>
    <row r="79" spans="1:20" x14ac:dyDescent="0.3">
      <c r="A79" s="22">
        <f>'Monthly Data'!A79</f>
        <v>41426</v>
      </c>
      <c r="B79" s="88">
        <f t="shared" si="5"/>
        <v>2013</v>
      </c>
      <c r="C79" s="20">
        <f ca="1">'Monthly Data'!E79</f>
        <v>10790040.57684288</v>
      </c>
      <c r="D79" s="88">
        <f t="shared" ref="D79:E142" ca="1" si="7">D67</f>
        <v>30.429999999999996</v>
      </c>
      <c r="E79" s="88">
        <f t="shared" ca="1" si="7"/>
        <v>56.129999999999995</v>
      </c>
      <c r="F79" s="88">
        <f>'Monthly Data'!AT79</f>
        <v>78</v>
      </c>
      <c r="G79" s="88">
        <f>'Monthly Data'!AO79</f>
        <v>0</v>
      </c>
      <c r="H79" s="88">
        <f>'Monthly Data'!AV79</f>
        <v>0</v>
      </c>
      <c r="I79" s="88">
        <f>'Monthly Data'!AZ79</f>
        <v>1</v>
      </c>
      <c r="J79" s="88">
        <f>'Monthly Data'!BC79</f>
        <v>0</v>
      </c>
      <c r="K79" s="88"/>
      <c r="L79" s="20">
        <f>'Res OLS model'!$B$5</f>
        <v>10397563.9954574</v>
      </c>
      <c r="M79" s="20">
        <f ca="1">'Res OLS model'!$B$6*D79</f>
        <v>169605.11106380619</v>
      </c>
      <c r="N79" s="20">
        <f ca="1">'Res OLS model'!$B$7*E79</f>
        <v>1544959.3876577991</v>
      </c>
      <c r="O79" s="20">
        <f>'Res OLS model'!$B$8*F79</f>
        <v>-333454.45640553301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-773164.55099904304</v>
      </c>
      <c r="S79" s="20">
        <f>'Res OLS model'!$B$12*J79</f>
        <v>0</v>
      </c>
      <c r="T79" s="20">
        <f t="shared" ca="1" si="6"/>
        <v>11005509.486774428</v>
      </c>
    </row>
    <row r="80" spans="1:20" x14ac:dyDescent="0.3">
      <c r="A80" s="22">
        <f>'Monthly Data'!A80</f>
        <v>41456</v>
      </c>
      <c r="B80" s="88">
        <f t="shared" si="5"/>
        <v>2013</v>
      </c>
      <c r="C80" s="20">
        <f ca="1">'Monthly Data'!E80</f>
        <v>13306627.046842881</v>
      </c>
      <c r="D80" s="88">
        <f t="shared" ca="1" si="7"/>
        <v>7.85</v>
      </c>
      <c r="E80" s="88">
        <f t="shared" ca="1" si="7"/>
        <v>99.97999999999999</v>
      </c>
      <c r="F80" s="88">
        <f>'Monthly Data'!AT80</f>
        <v>79</v>
      </c>
      <c r="G80" s="88">
        <f>'Monthly Data'!AO80</f>
        <v>0</v>
      </c>
      <c r="H80" s="88">
        <f>'Monthly Data'!AV80</f>
        <v>0</v>
      </c>
      <c r="I80" s="88">
        <f>'Monthly Data'!AZ80</f>
        <v>0</v>
      </c>
      <c r="J80" s="88">
        <f>'Monthly Data'!BC80</f>
        <v>0</v>
      </c>
      <c r="K80" s="88"/>
      <c r="L80" s="20">
        <f>'Res OLS model'!$B$5</f>
        <v>10397563.9954574</v>
      </c>
      <c r="M80" s="20">
        <f ca="1">'Res OLS model'!$B$6*D80</f>
        <v>43752.879456157701</v>
      </c>
      <c r="N80" s="20">
        <f ca="1">'Res OLS model'!$B$7*E80</f>
        <v>2751915.9019780285</v>
      </c>
      <c r="O80" s="20">
        <f>'Res OLS model'!$B$8*F80</f>
        <v>-337729.51353893732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ca="1" si="6"/>
        <v>12855503.263352647</v>
      </c>
    </row>
    <row r="81" spans="1:20" x14ac:dyDescent="0.3">
      <c r="A81" s="22">
        <f>'Monthly Data'!A81</f>
        <v>41487</v>
      </c>
      <c r="B81" s="88">
        <f t="shared" si="5"/>
        <v>2013</v>
      </c>
      <c r="C81" s="20">
        <f ca="1">'Monthly Data'!E81</f>
        <v>11765359.706842881</v>
      </c>
      <c r="D81" s="88">
        <f t="shared" ca="1" si="7"/>
        <v>10.43</v>
      </c>
      <c r="E81" s="88">
        <f t="shared" ca="1" si="7"/>
        <v>80.190000000000012</v>
      </c>
      <c r="F81" s="88">
        <f>'Monthly Data'!AT81</f>
        <v>80</v>
      </c>
      <c r="G81" s="88">
        <f>'Monthly Data'!AO81</f>
        <v>0</v>
      </c>
      <c r="H81" s="88">
        <f>'Monthly Data'!AV81</f>
        <v>0</v>
      </c>
      <c r="I81" s="88">
        <f>'Monthly Data'!AZ81</f>
        <v>0</v>
      </c>
      <c r="J81" s="88">
        <f>'Monthly Data'!BC81</f>
        <v>0</v>
      </c>
      <c r="K81" s="88"/>
      <c r="L81" s="20">
        <f>'Res OLS model'!$B$5</f>
        <v>10397563.9954574</v>
      </c>
      <c r="M81" s="20">
        <f ca="1">'Res OLS model'!$B$6*D81</f>
        <v>58132.806716907617</v>
      </c>
      <c r="N81" s="20">
        <f ca="1">'Res OLS model'!$B$7*E81</f>
        <v>2207202.8023566529</v>
      </c>
      <c r="O81" s="20">
        <f>'Res OLS model'!$B$8*F81</f>
        <v>-342004.57067234156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ca="1" si="6"/>
        <v>12320895.03385862</v>
      </c>
    </row>
    <row r="82" spans="1:20" x14ac:dyDescent="0.3">
      <c r="A82" s="22">
        <f>'Monthly Data'!A82</f>
        <v>41518</v>
      </c>
      <c r="B82" s="88">
        <f t="shared" si="5"/>
        <v>2013</v>
      </c>
      <c r="C82" s="20">
        <f ca="1">'Monthly Data'!E82</f>
        <v>10845549.38684288</v>
      </c>
      <c r="D82" s="88">
        <f t="shared" ca="1" si="7"/>
        <v>70.580000000000013</v>
      </c>
      <c r="E82" s="88">
        <f t="shared" ca="1" si="7"/>
        <v>29.429999999999996</v>
      </c>
      <c r="F82" s="88">
        <f>'Monthly Data'!AT82</f>
        <v>81</v>
      </c>
      <c r="G82" s="88">
        <f>'Monthly Data'!AO82</f>
        <v>1</v>
      </c>
      <c r="H82" s="88">
        <f>'Monthly Data'!AV82</f>
        <v>0</v>
      </c>
      <c r="I82" s="88">
        <f>'Monthly Data'!AZ82</f>
        <v>0</v>
      </c>
      <c r="J82" s="88">
        <f>'Monthly Data'!BC82</f>
        <v>1</v>
      </c>
      <c r="K82" s="88"/>
      <c r="L82" s="20">
        <f>'Res OLS model'!$B$5</f>
        <v>10397563.9954574</v>
      </c>
      <c r="M82" s="20">
        <f ca="1">'Res OLS model'!$B$6*D82</f>
        <v>393385.76204020524</v>
      </c>
      <c r="N82" s="20">
        <f ca="1">'Res OLS model'!$B$7*E82</f>
        <v>810050.86012415856</v>
      </c>
      <c r="O82" s="20">
        <f>'Res OLS model'!$B$8*F82</f>
        <v>-346279.62780574587</v>
      </c>
      <c r="P82" s="20">
        <f>'Res OLS model'!$B$9*G82</f>
        <v>-1419959.8612913999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772942.00624980999</v>
      </c>
      <c r="T82" s="20">
        <f t="shared" ca="1" si="6"/>
        <v>10607703.134774428</v>
      </c>
    </row>
    <row r="83" spans="1:20" x14ac:dyDescent="0.3">
      <c r="A83" s="22">
        <f>'Monthly Data'!A83</f>
        <v>41548</v>
      </c>
      <c r="B83" s="88">
        <f t="shared" si="5"/>
        <v>2013</v>
      </c>
      <c r="C83" s="20">
        <f ca="1">'Monthly Data'!E83</f>
        <v>10013800.05684288</v>
      </c>
      <c r="D83" s="88">
        <f t="shared" ca="1" si="7"/>
        <v>241.15</v>
      </c>
      <c r="E83" s="88">
        <f t="shared" ca="1" si="7"/>
        <v>2.87</v>
      </c>
      <c r="F83" s="88">
        <f>'Monthly Data'!AT83</f>
        <v>82</v>
      </c>
      <c r="G83" s="88">
        <f>'Monthly Data'!AO83</f>
        <v>1</v>
      </c>
      <c r="H83" s="88">
        <f>'Monthly Data'!AV83</f>
        <v>0</v>
      </c>
      <c r="I83" s="88">
        <f>'Monthly Data'!AZ83</f>
        <v>0</v>
      </c>
      <c r="J83" s="88">
        <f>'Monthly Data'!BC83</f>
        <v>0</v>
      </c>
      <c r="K83" s="88"/>
      <c r="L83" s="20">
        <f>'Res OLS model'!$B$5</f>
        <v>10397563.9954574</v>
      </c>
      <c r="M83" s="20">
        <f ca="1">'Res OLS model'!$B$6*D83</f>
        <v>1344077.30966273</v>
      </c>
      <c r="N83" s="20">
        <f ca="1">'Res OLS model'!$B$7*E83</f>
        <v>78995.785543878199</v>
      </c>
      <c r="O83" s="20">
        <f>'Res OLS model'!$B$8*F83</f>
        <v>-350554.68493915012</v>
      </c>
      <c r="P83" s="20">
        <f>'Res OLS model'!$B$9*G83</f>
        <v>-1419959.8612913999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ca="1" si="6"/>
        <v>10050122.544433458</v>
      </c>
    </row>
    <row r="84" spans="1:20" x14ac:dyDescent="0.3">
      <c r="A84" s="22">
        <f>'Monthly Data'!A84</f>
        <v>41579</v>
      </c>
      <c r="B84" s="88">
        <f t="shared" si="5"/>
        <v>2013</v>
      </c>
      <c r="C84" s="20">
        <f ca="1">'Monthly Data'!E84</f>
        <v>11605954.256842878</v>
      </c>
      <c r="D84" s="88">
        <f t="shared" ca="1" si="7"/>
        <v>421.52</v>
      </c>
      <c r="E84" s="88">
        <f t="shared" ca="1" si="7"/>
        <v>0</v>
      </c>
      <c r="F84" s="88">
        <f>'Monthly Data'!AT84</f>
        <v>83</v>
      </c>
      <c r="G84" s="88">
        <f>'Monthly Data'!AO84</f>
        <v>1</v>
      </c>
      <c r="H84" s="88">
        <f>'Monthly Data'!AV84</f>
        <v>0</v>
      </c>
      <c r="I84" s="88">
        <f>'Monthly Data'!AZ84</f>
        <v>0</v>
      </c>
      <c r="J84" s="88">
        <f>'Monthly Data'!BC84</f>
        <v>0</v>
      </c>
      <c r="K84" s="88"/>
      <c r="L84" s="20">
        <f>'Res OLS model'!$B$5</f>
        <v>10397563.9954574</v>
      </c>
      <c r="M84" s="20">
        <f ca="1">'Res OLS model'!$B$6*D84</f>
        <v>2349390.2864152347</v>
      </c>
      <c r="N84" s="20">
        <f ca="1">'Res OLS model'!$B$7*E84</f>
        <v>0</v>
      </c>
      <c r="O84" s="20">
        <f>'Res OLS model'!$B$8*F84</f>
        <v>-354829.74207255436</v>
      </c>
      <c r="P84" s="20">
        <f>'Res OLS model'!$B$9*G84</f>
        <v>-1419959.8612913999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ca="1" si="6"/>
        <v>10972164.67850868</v>
      </c>
    </row>
    <row r="85" spans="1:20" x14ac:dyDescent="0.3">
      <c r="A85" s="22">
        <f>'Monthly Data'!A85</f>
        <v>41609</v>
      </c>
      <c r="B85" s="88">
        <f t="shared" si="5"/>
        <v>2013</v>
      </c>
      <c r="C85" s="20">
        <f ca="1">'Monthly Data'!E85</f>
        <v>13860420.196842877</v>
      </c>
      <c r="D85" s="88">
        <f t="shared" ca="1" si="7"/>
        <v>610.56000000000006</v>
      </c>
      <c r="E85" s="88">
        <f t="shared" ca="1" si="7"/>
        <v>0</v>
      </c>
      <c r="F85" s="88">
        <f>'Monthly Data'!AT85</f>
        <v>84</v>
      </c>
      <c r="G85" s="88">
        <f>'Monthly Data'!AO85</f>
        <v>0</v>
      </c>
      <c r="H85" s="88">
        <f>'Monthly Data'!AV85</f>
        <v>0</v>
      </c>
      <c r="I85" s="88">
        <f>'Monthly Data'!AZ85</f>
        <v>0</v>
      </c>
      <c r="J85" s="88">
        <f>'Monthly Data'!BC85</f>
        <v>0</v>
      </c>
      <c r="K85" s="88"/>
      <c r="L85" s="20">
        <f>'Res OLS model'!$B$5</f>
        <v>10397563.9954574</v>
      </c>
      <c r="M85" s="20">
        <f ca="1">'Res OLS model'!$B$6*D85</f>
        <v>3403026.5071021207</v>
      </c>
      <c r="N85" s="20">
        <f ca="1">'Res OLS model'!$B$7*E85</f>
        <v>0</v>
      </c>
      <c r="O85" s="20">
        <f>'Res OLS model'!$B$8*F85</f>
        <v>-359104.79920595867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ca="1" si="6"/>
        <v>13441485.703353561</v>
      </c>
    </row>
    <row r="86" spans="1:20" x14ac:dyDescent="0.3">
      <c r="A86" s="22">
        <f>'Monthly Data'!A86</f>
        <v>41640</v>
      </c>
      <c r="B86" s="88">
        <f t="shared" si="5"/>
        <v>2014</v>
      </c>
      <c r="C86" s="20">
        <f ca="1">'Monthly Data'!E86</f>
        <v>14722169.100343866</v>
      </c>
      <c r="D86" s="88">
        <f t="shared" ca="1" si="7"/>
        <v>729.54999999999984</v>
      </c>
      <c r="E86" s="88">
        <f t="shared" ca="1" si="7"/>
        <v>0</v>
      </c>
      <c r="F86" s="88">
        <f>'Monthly Data'!AT86</f>
        <v>85</v>
      </c>
      <c r="G86" s="88">
        <f>'Monthly Data'!AO86</f>
        <v>0</v>
      </c>
      <c r="H86" s="88">
        <f>'Monthly Data'!AV86</f>
        <v>0</v>
      </c>
      <c r="I86" s="88">
        <f>'Monthly Data'!AZ86</f>
        <v>0</v>
      </c>
      <c r="J86" s="88">
        <f>'Monthly Data'!BC86</f>
        <v>0</v>
      </c>
      <c r="K86" s="88"/>
      <c r="L86" s="20">
        <f>'Res OLS model'!$B$5</f>
        <v>10397563.9954574</v>
      </c>
      <c r="M86" s="20">
        <f ca="1">'Res OLS model'!$B$6*D86</f>
        <v>4066230.9818139928</v>
      </c>
      <c r="N86" s="20">
        <f ca="1">'Res OLS model'!$B$7*E86</f>
        <v>0</v>
      </c>
      <c r="O86" s="20">
        <f>'Res OLS model'!$B$8*F86</f>
        <v>-363379.85633936292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ca="1" si="6"/>
        <v>14100415.12093203</v>
      </c>
    </row>
    <row r="87" spans="1:20" x14ac:dyDescent="0.3">
      <c r="A87" s="22">
        <f>'Monthly Data'!A87</f>
        <v>41671</v>
      </c>
      <c r="B87" s="88">
        <f t="shared" si="5"/>
        <v>2014</v>
      </c>
      <c r="C87" s="20">
        <f ca="1">'Monthly Data'!E87</f>
        <v>13790924.590343861</v>
      </c>
      <c r="D87" s="88">
        <f t="shared" ca="1" si="7"/>
        <v>678.56000000000006</v>
      </c>
      <c r="E87" s="88">
        <f t="shared" ca="1" si="7"/>
        <v>0</v>
      </c>
      <c r="F87" s="88">
        <f>'Monthly Data'!AT87</f>
        <v>86</v>
      </c>
      <c r="G87" s="88">
        <f>'Monthly Data'!AO87</f>
        <v>0</v>
      </c>
      <c r="H87" s="88">
        <f>'Monthly Data'!AV87</f>
        <v>1</v>
      </c>
      <c r="I87" s="88">
        <f>'Monthly Data'!AZ87</f>
        <v>0</v>
      </c>
      <c r="J87" s="88">
        <f>'Monthly Data'!BC87</f>
        <v>0</v>
      </c>
      <c r="K87" s="88"/>
      <c r="L87" s="20">
        <f>'Res OLS model'!$B$5</f>
        <v>10397563.9954574</v>
      </c>
      <c r="M87" s="20">
        <f ca="1">'Res OLS model'!$B$6*D87</f>
        <v>3782032.341881576</v>
      </c>
      <c r="N87" s="20">
        <f ca="1">'Res OLS model'!$B$7*E87</f>
        <v>0</v>
      </c>
      <c r="O87" s="20">
        <f>'Res OLS model'!$B$8*F87</f>
        <v>-367654.91347276722</v>
      </c>
      <c r="P87" s="20">
        <f>'Res OLS model'!$B$9*G87</f>
        <v>0</v>
      </c>
      <c r="Q87" s="20">
        <f>'Res OLS model'!$B$10*H87</f>
        <v>-473349.26469262998</v>
      </c>
      <c r="R87" s="20">
        <f>'Res OLS model'!$B$11*I87</f>
        <v>0</v>
      </c>
      <c r="S87" s="20">
        <f>'Res OLS model'!$B$12*J87</f>
        <v>0</v>
      </c>
      <c r="T87" s="20">
        <f t="shared" ca="1" si="6"/>
        <v>13338592.159173578</v>
      </c>
    </row>
    <row r="88" spans="1:20" x14ac:dyDescent="0.3">
      <c r="A88" s="22">
        <f>'Monthly Data'!A88</f>
        <v>41699</v>
      </c>
      <c r="B88" s="88">
        <f t="shared" si="5"/>
        <v>2014</v>
      </c>
      <c r="C88" s="20">
        <f ca="1">'Monthly Data'!E88</f>
        <v>12528889.650343863</v>
      </c>
      <c r="D88" s="88">
        <f t="shared" ca="1" si="7"/>
        <v>544.77</v>
      </c>
      <c r="E88" s="88">
        <f t="shared" ca="1" si="7"/>
        <v>0.22000000000000003</v>
      </c>
      <c r="F88" s="88">
        <f>'Monthly Data'!AT88</f>
        <v>87</v>
      </c>
      <c r="G88" s="88">
        <f>'Monthly Data'!AO88</f>
        <v>1</v>
      </c>
      <c r="H88" s="88">
        <f>'Monthly Data'!AV88</f>
        <v>0</v>
      </c>
      <c r="I88" s="88">
        <f>'Monthly Data'!AZ88</f>
        <v>0</v>
      </c>
      <c r="J88" s="88">
        <f>'Monthly Data'!BC88</f>
        <v>0</v>
      </c>
      <c r="K88" s="88"/>
      <c r="L88" s="20">
        <f>'Res OLS model'!$B$5</f>
        <v>10397563.9954574</v>
      </c>
      <c r="M88" s="20">
        <f ca="1">'Res OLS model'!$B$6*D88</f>
        <v>3036338.3619529973</v>
      </c>
      <c r="N88" s="20">
        <f ca="1">'Res OLS model'!$B$7*E88</f>
        <v>6055.4260695655776</v>
      </c>
      <c r="O88" s="20">
        <f>'Res OLS model'!$B$8*F88</f>
        <v>-371929.97060617147</v>
      </c>
      <c r="P88" s="20">
        <f>'Res OLS model'!$B$9*G88</f>
        <v>-1419959.8612913999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ca="1" si="6"/>
        <v>11648067.951582393</v>
      </c>
    </row>
    <row r="89" spans="1:20" x14ac:dyDescent="0.3">
      <c r="A89" s="22">
        <f>'Monthly Data'!A89</f>
        <v>41730</v>
      </c>
      <c r="B89" s="88">
        <f t="shared" si="5"/>
        <v>2014</v>
      </c>
      <c r="C89" s="20">
        <f ca="1">'Monthly Data'!E89</f>
        <v>10816440.440343862</v>
      </c>
      <c r="D89" s="88">
        <f t="shared" ca="1" si="7"/>
        <v>328.11</v>
      </c>
      <c r="E89" s="88">
        <f t="shared" ca="1" si="7"/>
        <v>0.32</v>
      </c>
      <c r="F89" s="88">
        <f>'Monthly Data'!AT89</f>
        <v>88</v>
      </c>
      <c r="G89" s="88">
        <f>'Monthly Data'!AO89</f>
        <v>1</v>
      </c>
      <c r="H89" s="88">
        <f>'Monthly Data'!AV89</f>
        <v>0</v>
      </c>
      <c r="I89" s="88">
        <f>'Monthly Data'!AZ89</f>
        <v>0</v>
      </c>
      <c r="J89" s="88">
        <f>'Monthly Data'!BC89</f>
        <v>0</v>
      </c>
      <c r="K89" s="88"/>
      <c r="L89" s="20">
        <f>'Res OLS model'!$B$5</f>
        <v>10397563.9954574</v>
      </c>
      <c r="M89" s="20">
        <f ca="1">'Res OLS model'!$B$6*D89</f>
        <v>1828758.8889630451</v>
      </c>
      <c r="N89" s="20">
        <f ca="1">'Res OLS model'!$B$7*E89</f>
        <v>8807.8924648226566</v>
      </c>
      <c r="O89" s="20">
        <f>'Res OLS model'!$B$8*F89</f>
        <v>-376205.02773957571</v>
      </c>
      <c r="P89" s="20">
        <f>'Res OLS model'!$B$9*G89</f>
        <v>-1419959.8612913999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ca="1" si="6"/>
        <v>10438965.887854293</v>
      </c>
    </row>
    <row r="90" spans="1:20" x14ac:dyDescent="0.3">
      <c r="A90" s="22">
        <f>'Monthly Data'!A90</f>
        <v>41760</v>
      </c>
      <c r="B90" s="88">
        <f t="shared" si="5"/>
        <v>2014</v>
      </c>
      <c r="C90" s="20">
        <f ca="1">'Monthly Data'!E90</f>
        <v>9703088.1603438631</v>
      </c>
      <c r="D90" s="88">
        <f t="shared" ca="1" si="7"/>
        <v>134.47999999999999</v>
      </c>
      <c r="E90" s="88">
        <f t="shared" ca="1" si="7"/>
        <v>20.889999999999997</v>
      </c>
      <c r="F90" s="88">
        <f>'Monthly Data'!AT90</f>
        <v>89</v>
      </c>
      <c r="G90" s="88">
        <f>'Monthly Data'!AO90</f>
        <v>1</v>
      </c>
      <c r="H90" s="88">
        <f>'Monthly Data'!AV90</f>
        <v>0</v>
      </c>
      <c r="I90" s="88">
        <f>'Monthly Data'!AZ90</f>
        <v>0</v>
      </c>
      <c r="J90" s="88">
        <f>'Monthly Data'!BC90</f>
        <v>0</v>
      </c>
      <c r="K90" s="88"/>
      <c r="L90" s="20">
        <f>'Res OLS model'!$B$5</f>
        <v>10397563.9954574</v>
      </c>
      <c r="M90" s="20">
        <f ca="1">'Res OLS model'!$B$6*D90</f>
        <v>749539.77442854608</v>
      </c>
      <c r="N90" s="20">
        <f ca="1">'Res OLS model'!$B$7*E90</f>
        <v>574990.22996920394</v>
      </c>
      <c r="O90" s="20">
        <f>'Res OLS model'!$B$8*F90</f>
        <v>-380480.08487298002</v>
      </c>
      <c r="P90" s="20">
        <f>'Res OLS model'!$B$9*G90</f>
        <v>-1419959.8612913999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ca="1" si="6"/>
        <v>9921654.0536907706</v>
      </c>
    </row>
    <row r="91" spans="1:20" x14ac:dyDescent="0.3">
      <c r="A91" s="22">
        <f>'Monthly Data'!A91</f>
        <v>41791</v>
      </c>
      <c r="B91" s="88">
        <f t="shared" si="5"/>
        <v>2014</v>
      </c>
      <c r="C91" s="20">
        <f ca="1">'Monthly Data'!E91</f>
        <v>10912677.660343865</v>
      </c>
      <c r="D91" s="88">
        <f t="shared" ca="1" si="7"/>
        <v>30.429999999999996</v>
      </c>
      <c r="E91" s="88">
        <f t="shared" ca="1" si="7"/>
        <v>56.129999999999995</v>
      </c>
      <c r="F91" s="88">
        <f>'Monthly Data'!AT91</f>
        <v>90</v>
      </c>
      <c r="G91" s="88">
        <f>'Monthly Data'!AO91</f>
        <v>0</v>
      </c>
      <c r="H91" s="88">
        <f>'Monthly Data'!AV91</f>
        <v>0</v>
      </c>
      <c r="I91" s="88">
        <f>'Monthly Data'!AZ91</f>
        <v>1</v>
      </c>
      <c r="J91" s="88">
        <f>'Monthly Data'!BC91</f>
        <v>0</v>
      </c>
      <c r="K91" s="88"/>
      <c r="L91" s="20">
        <f>'Res OLS model'!$B$5</f>
        <v>10397563.9954574</v>
      </c>
      <c r="M91" s="20">
        <f ca="1">'Res OLS model'!$B$6*D91</f>
        <v>169605.11106380619</v>
      </c>
      <c r="N91" s="20">
        <f ca="1">'Res OLS model'!$B$7*E91</f>
        <v>1544959.3876577991</v>
      </c>
      <c r="O91" s="20">
        <f>'Res OLS model'!$B$8*F91</f>
        <v>-384755.14200638427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-773164.55099904304</v>
      </c>
      <c r="S91" s="20">
        <f>'Res OLS model'!$B$12*J91</f>
        <v>0</v>
      </c>
      <c r="T91" s="20">
        <f t="shared" ca="1" si="6"/>
        <v>10954208.801173577</v>
      </c>
    </row>
    <row r="92" spans="1:20" x14ac:dyDescent="0.3">
      <c r="A92" s="22">
        <f>'Monthly Data'!A92</f>
        <v>41821</v>
      </c>
      <c r="B92" s="88">
        <f t="shared" si="5"/>
        <v>2014</v>
      </c>
      <c r="C92" s="20">
        <f ca="1">'Monthly Data'!E92</f>
        <v>11600834.720343864</v>
      </c>
      <c r="D92" s="88">
        <f t="shared" ca="1" si="7"/>
        <v>7.85</v>
      </c>
      <c r="E92" s="88">
        <f t="shared" ca="1" si="7"/>
        <v>99.97999999999999</v>
      </c>
      <c r="F92" s="88">
        <f>'Monthly Data'!AT92</f>
        <v>91</v>
      </c>
      <c r="G92" s="88">
        <f>'Monthly Data'!AO92</f>
        <v>0</v>
      </c>
      <c r="H92" s="88">
        <f>'Monthly Data'!AV92</f>
        <v>0</v>
      </c>
      <c r="I92" s="88">
        <f>'Monthly Data'!AZ92</f>
        <v>0</v>
      </c>
      <c r="J92" s="88">
        <f>'Monthly Data'!BC92</f>
        <v>0</v>
      </c>
      <c r="K92" s="88"/>
      <c r="L92" s="20">
        <f>'Res OLS model'!$B$5</f>
        <v>10397563.9954574</v>
      </c>
      <c r="M92" s="20">
        <f ca="1">'Res OLS model'!$B$6*D92</f>
        <v>43752.879456157701</v>
      </c>
      <c r="N92" s="20">
        <f ca="1">'Res OLS model'!$B$7*E92</f>
        <v>2751915.9019780285</v>
      </c>
      <c r="O92" s="20">
        <f>'Res OLS model'!$B$8*F92</f>
        <v>-389030.19913978857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ca="1" si="6"/>
        <v>12804202.577751797</v>
      </c>
    </row>
    <row r="93" spans="1:20" x14ac:dyDescent="0.3">
      <c r="A93" s="22">
        <f>'Monthly Data'!A93</f>
        <v>41852</v>
      </c>
      <c r="B93" s="88">
        <f t="shared" si="5"/>
        <v>2014</v>
      </c>
      <c r="C93" s="20">
        <f ca="1">'Monthly Data'!E93</f>
        <v>11466154.010343865</v>
      </c>
      <c r="D93" s="88">
        <f t="shared" ca="1" si="7"/>
        <v>10.43</v>
      </c>
      <c r="E93" s="88">
        <f t="shared" ca="1" si="7"/>
        <v>80.190000000000012</v>
      </c>
      <c r="F93" s="88">
        <f>'Monthly Data'!AT93</f>
        <v>92</v>
      </c>
      <c r="G93" s="88">
        <f>'Monthly Data'!AO93</f>
        <v>0</v>
      </c>
      <c r="H93" s="88">
        <f>'Monthly Data'!AV93</f>
        <v>0</v>
      </c>
      <c r="I93" s="88">
        <f>'Monthly Data'!AZ93</f>
        <v>0</v>
      </c>
      <c r="J93" s="88">
        <f>'Monthly Data'!BC93</f>
        <v>0</v>
      </c>
      <c r="K93" s="88"/>
      <c r="L93" s="20">
        <f>'Res OLS model'!$B$5</f>
        <v>10397563.9954574</v>
      </c>
      <c r="M93" s="20">
        <f ca="1">'Res OLS model'!$B$6*D93</f>
        <v>58132.806716907617</v>
      </c>
      <c r="N93" s="20">
        <f ca="1">'Res OLS model'!$B$7*E93</f>
        <v>2207202.8023566529</v>
      </c>
      <c r="O93" s="20">
        <f>'Res OLS model'!$B$8*F93</f>
        <v>-393305.25627319282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ca="1" si="6"/>
        <v>12269594.348257767</v>
      </c>
    </row>
    <row r="94" spans="1:20" x14ac:dyDescent="0.3">
      <c r="A94" s="22">
        <f>'Monthly Data'!A94</f>
        <v>41883</v>
      </c>
      <c r="B94" s="88">
        <f t="shared" si="5"/>
        <v>2014</v>
      </c>
      <c r="C94" s="20">
        <f ca="1">'Monthly Data'!E94</f>
        <v>10578662.600343861</v>
      </c>
      <c r="D94" s="88">
        <f t="shared" ca="1" si="7"/>
        <v>70.580000000000013</v>
      </c>
      <c r="E94" s="88">
        <f t="shared" ca="1" si="7"/>
        <v>29.429999999999996</v>
      </c>
      <c r="F94" s="88">
        <f>'Monthly Data'!AT94</f>
        <v>93</v>
      </c>
      <c r="G94" s="88">
        <f>'Monthly Data'!AO94</f>
        <v>1</v>
      </c>
      <c r="H94" s="88">
        <f>'Monthly Data'!AV94</f>
        <v>0</v>
      </c>
      <c r="I94" s="88">
        <f>'Monthly Data'!AZ94</f>
        <v>0</v>
      </c>
      <c r="J94" s="88">
        <f>'Monthly Data'!BC94</f>
        <v>1</v>
      </c>
      <c r="K94" s="88"/>
      <c r="L94" s="20">
        <f>'Res OLS model'!$B$5</f>
        <v>10397563.9954574</v>
      </c>
      <c r="M94" s="20">
        <f ca="1">'Res OLS model'!$B$6*D94</f>
        <v>393385.76204020524</v>
      </c>
      <c r="N94" s="20">
        <f ca="1">'Res OLS model'!$B$7*E94</f>
        <v>810050.86012415856</v>
      </c>
      <c r="O94" s="20">
        <f>'Res OLS model'!$B$8*F94</f>
        <v>-397580.31340659707</v>
      </c>
      <c r="P94" s="20">
        <f>'Res OLS model'!$B$9*G94</f>
        <v>-1419959.8612913999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772942.00624980999</v>
      </c>
      <c r="T94" s="20">
        <f t="shared" ca="1" si="6"/>
        <v>10556402.449173575</v>
      </c>
    </row>
    <row r="95" spans="1:20" x14ac:dyDescent="0.3">
      <c r="A95" s="22">
        <f>'Monthly Data'!A95</f>
        <v>41913</v>
      </c>
      <c r="B95" s="88">
        <f t="shared" si="5"/>
        <v>2014</v>
      </c>
      <c r="C95" s="20">
        <f ca="1">'Monthly Data'!E95</f>
        <v>9927126.3503438644</v>
      </c>
      <c r="D95" s="88">
        <f t="shared" ca="1" si="7"/>
        <v>241.15</v>
      </c>
      <c r="E95" s="88">
        <f t="shared" ca="1" si="7"/>
        <v>2.87</v>
      </c>
      <c r="F95" s="88">
        <f>'Monthly Data'!AT95</f>
        <v>94</v>
      </c>
      <c r="G95" s="88">
        <f>'Monthly Data'!AO95</f>
        <v>1</v>
      </c>
      <c r="H95" s="88">
        <f>'Monthly Data'!AV95</f>
        <v>0</v>
      </c>
      <c r="I95" s="88">
        <f>'Monthly Data'!AZ95</f>
        <v>0</v>
      </c>
      <c r="J95" s="88">
        <f>'Monthly Data'!BC95</f>
        <v>0</v>
      </c>
      <c r="K95" s="88"/>
      <c r="L95" s="20">
        <f>'Res OLS model'!$B$5</f>
        <v>10397563.9954574</v>
      </c>
      <c r="M95" s="20">
        <f ca="1">'Res OLS model'!$B$6*D95</f>
        <v>1344077.30966273</v>
      </c>
      <c r="N95" s="20">
        <f ca="1">'Res OLS model'!$B$7*E95</f>
        <v>78995.785543878199</v>
      </c>
      <c r="O95" s="20">
        <f>'Res OLS model'!$B$8*F95</f>
        <v>-401855.37054000137</v>
      </c>
      <c r="P95" s="20">
        <f>'Res OLS model'!$B$9*G95</f>
        <v>-1419959.8612913999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ca="1" si="6"/>
        <v>9998821.858832607</v>
      </c>
    </row>
    <row r="96" spans="1:20" x14ac:dyDescent="0.3">
      <c r="A96" s="22">
        <f>'Monthly Data'!A96</f>
        <v>41944</v>
      </c>
      <c r="B96" s="88">
        <f t="shared" si="5"/>
        <v>2014</v>
      </c>
      <c r="C96" s="20">
        <f ca="1">'Monthly Data'!E96</f>
        <v>11544026.020343866</v>
      </c>
      <c r="D96" s="88">
        <f t="shared" ca="1" si="7"/>
        <v>421.52</v>
      </c>
      <c r="E96" s="88">
        <f t="shared" ca="1" si="7"/>
        <v>0</v>
      </c>
      <c r="F96" s="88">
        <f>'Monthly Data'!AT96</f>
        <v>95</v>
      </c>
      <c r="G96" s="88">
        <f>'Monthly Data'!AO96</f>
        <v>1</v>
      </c>
      <c r="H96" s="88">
        <f>'Monthly Data'!AV96</f>
        <v>0</v>
      </c>
      <c r="I96" s="88">
        <f>'Monthly Data'!AZ96</f>
        <v>0</v>
      </c>
      <c r="J96" s="88">
        <f>'Monthly Data'!BC96</f>
        <v>0</v>
      </c>
      <c r="K96" s="88"/>
      <c r="L96" s="20">
        <f>'Res OLS model'!$B$5</f>
        <v>10397563.9954574</v>
      </c>
      <c r="M96" s="20">
        <f ca="1">'Res OLS model'!$B$6*D96</f>
        <v>2349390.2864152347</v>
      </c>
      <c r="N96" s="20">
        <f ca="1">'Res OLS model'!$B$7*E96</f>
        <v>0</v>
      </c>
      <c r="O96" s="20">
        <f>'Res OLS model'!$B$8*F96</f>
        <v>-406130.42767340562</v>
      </c>
      <c r="P96" s="20">
        <f>'Res OLS model'!$B$9*G96</f>
        <v>-1419959.8612913999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ca="1" si="6"/>
        <v>10920863.99290783</v>
      </c>
    </row>
    <row r="97" spans="1:20" x14ac:dyDescent="0.3">
      <c r="A97" s="22">
        <f>'Monthly Data'!A97</f>
        <v>41974</v>
      </c>
      <c r="B97" s="88">
        <f t="shared" si="5"/>
        <v>2014</v>
      </c>
      <c r="C97" s="20">
        <f ca="1">'Monthly Data'!E97</f>
        <v>13053158.70034386</v>
      </c>
      <c r="D97" s="88">
        <f t="shared" ca="1" si="7"/>
        <v>610.56000000000006</v>
      </c>
      <c r="E97" s="88">
        <f t="shared" ca="1" si="7"/>
        <v>0</v>
      </c>
      <c r="F97" s="88">
        <f>'Monthly Data'!AT97</f>
        <v>96</v>
      </c>
      <c r="G97" s="88">
        <f>'Monthly Data'!AO97</f>
        <v>0</v>
      </c>
      <c r="H97" s="88">
        <f>'Monthly Data'!AV97</f>
        <v>0</v>
      </c>
      <c r="I97" s="88">
        <f>'Monthly Data'!AZ97</f>
        <v>0</v>
      </c>
      <c r="J97" s="88">
        <f>'Monthly Data'!BC97</f>
        <v>0</v>
      </c>
      <c r="K97" s="88"/>
      <c r="L97" s="20">
        <f>'Res OLS model'!$B$5</f>
        <v>10397563.9954574</v>
      </c>
      <c r="M97" s="20">
        <f ca="1">'Res OLS model'!$B$6*D97</f>
        <v>3403026.5071021207</v>
      </c>
      <c r="N97" s="20">
        <f ca="1">'Res OLS model'!$B$7*E97</f>
        <v>0</v>
      </c>
      <c r="O97" s="20">
        <f>'Res OLS model'!$B$8*F97</f>
        <v>-410405.48480680992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ca="1" si="6"/>
        <v>13390185.017752711</v>
      </c>
    </row>
    <row r="98" spans="1:20" x14ac:dyDescent="0.3">
      <c r="A98" s="22">
        <f>'Monthly Data'!A98</f>
        <v>42005</v>
      </c>
      <c r="B98" s="88">
        <f t="shared" si="5"/>
        <v>2015</v>
      </c>
      <c r="C98" s="20">
        <f ca="1">'Monthly Data'!E98</f>
        <v>14179956.538303483</v>
      </c>
      <c r="D98" s="88">
        <f t="shared" ca="1" si="7"/>
        <v>729.54999999999984</v>
      </c>
      <c r="E98" s="88">
        <f t="shared" ca="1" si="7"/>
        <v>0</v>
      </c>
      <c r="F98" s="88">
        <f>'Monthly Data'!AT98</f>
        <v>97</v>
      </c>
      <c r="G98" s="88">
        <f>'Monthly Data'!AO98</f>
        <v>0</v>
      </c>
      <c r="H98" s="88">
        <f>'Monthly Data'!AV98</f>
        <v>0</v>
      </c>
      <c r="I98" s="88">
        <f>'Monthly Data'!AZ98</f>
        <v>0</v>
      </c>
      <c r="J98" s="88">
        <f>'Monthly Data'!BC98</f>
        <v>0</v>
      </c>
      <c r="K98" s="88"/>
      <c r="L98" s="20">
        <f>'Res OLS model'!$B$5</f>
        <v>10397563.9954574</v>
      </c>
      <c r="M98" s="20">
        <f ca="1">'Res OLS model'!$B$6*D98</f>
        <v>4066230.9818139928</v>
      </c>
      <c r="N98" s="20">
        <f ca="1">'Res OLS model'!$B$7*E98</f>
        <v>0</v>
      </c>
      <c r="O98" s="20">
        <f>'Res OLS model'!$B$8*F98</f>
        <v>-414680.54194021417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ca="1" si="6"/>
        <v>14049114.435331179</v>
      </c>
    </row>
    <row r="99" spans="1:20" x14ac:dyDescent="0.3">
      <c r="A99" s="22">
        <f>'Monthly Data'!A99</f>
        <v>42036</v>
      </c>
      <c r="B99" s="88">
        <f t="shared" si="5"/>
        <v>2015</v>
      </c>
      <c r="C99" s="20">
        <f ca="1">'Monthly Data'!E99</f>
        <v>13790999.848303484</v>
      </c>
      <c r="D99" s="88">
        <f t="shared" ca="1" si="7"/>
        <v>678.56000000000006</v>
      </c>
      <c r="E99" s="88">
        <f t="shared" ca="1" si="7"/>
        <v>0</v>
      </c>
      <c r="F99" s="88">
        <f>'Monthly Data'!AT99</f>
        <v>98</v>
      </c>
      <c r="G99" s="88">
        <f>'Monthly Data'!AO99</f>
        <v>0</v>
      </c>
      <c r="H99" s="88">
        <f>'Monthly Data'!AV99</f>
        <v>1</v>
      </c>
      <c r="I99" s="88">
        <f>'Monthly Data'!AZ99</f>
        <v>0</v>
      </c>
      <c r="J99" s="88">
        <f>'Monthly Data'!BC99</f>
        <v>0</v>
      </c>
      <c r="K99" s="88"/>
      <c r="L99" s="20">
        <f>'Res OLS model'!$B$5</f>
        <v>10397563.9954574</v>
      </c>
      <c r="M99" s="20">
        <f ca="1">'Res OLS model'!$B$6*D99</f>
        <v>3782032.341881576</v>
      </c>
      <c r="N99" s="20">
        <f ca="1">'Res OLS model'!$B$7*E99</f>
        <v>0</v>
      </c>
      <c r="O99" s="20">
        <f>'Res OLS model'!$B$8*F99</f>
        <v>-418955.59907361842</v>
      </c>
      <c r="P99" s="20">
        <f>'Res OLS model'!$B$9*G99</f>
        <v>0</v>
      </c>
      <c r="Q99" s="20">
        <f>'Res OLS model'!$B$10*H99</f>
        <v>-473349.26469262998</v>
      </c>
      <c r="R99" s="20">
        <f>'Res OLS model'!$B$11*I99</f>
        <v>0</v>
      </c>
      <c r="S99" s="20">
        <f>'Res OLS model'!$B$12*J99</f>
        <v>0</v>
      </c>
      <c r="T99" s="20">
        <f t="shared" ca="1" si="6"/>
        <v>13287291.473572727</v>
      </c>
    </row>
    <row r="100" spans="1:20" x14ac:dyDescent="0.3">
      <c r="A100" s="22">
        <f>'Monthly Data'!A100</f>
        <v>42064</v>
      </c>
      <c r="B100" s="88">
        <f t="shared" si="5"/>
        <v>2015</v>
      </c>
      <c r="C100" s="20">
        <f ca="1">'Monthly Data'!E100</f>
        <v>12167181.358303482</v>
      </c>
      <c r="D100" s="88">
        <f t="shared" ca="1" si="7"/>
        <v>544.77</v>
      </c>
      <c r="E100" s="88">
        <f t="shared" ca="1" si="7"/>
        <v>0.22000000000000003</v>
      </c>
      <c r="F100" s="88">
        <f>'Monthly Data'!AT100</f>
        <v>99</v>
      </c>
      <c r="G100" s="88">
        <f>'Monthly Data'!AO100</f>
        <v>1</v>
      </c>
      <c r="H100" s="88">
        <f>'Monthly Data'!AV100</f>
        <v>0</v>
      </c>
      <c r="I100" s="88">
        <f>'Monthly Data'!AZ100</f>
        <v>0</v>
      </c>
      <c r="J100" s="88">
        <f>'Monthly Data'!BC100</f>
        <v>0</v>
      </c>
      <c r="K100" s="88"/>
      <c r="L100" s="20">
        <f>'Res OLS model'!$B$5</f>
        <v>10397563.9954574</v>
      </c>
      <c r="M100" s="20">
        <f ca="1">'Res OLS model'!$B$6*D100</f>
        <v>3036338.3619529973</v>
      </c>
      <c r="N100" s="20">
        <f ca="1">'Res OLS model'!$B$7*E100</f>
        <v>6055.4260695655776</v>
      </c>
      <c r="O100" s="20">
        <f>'Res OLS model'!$B$8*F100</f>
        <v>-423230.65620702272</v>
      </c>
      <c r="P100" s="20">
        <f>'Res OLS model'!$B$9*G100</f>
        <v>-1419959.8612913999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ca="1" si="6"/>
        <v>11596767.26598154</v>
      </c>
    </row>
    <row r="101" spans="1:20" x14ac:dyDescent="0.3">
      <c r="A101" s="22">
        <f>'Monthly Data'!A101</f>
        <v>42095</v>
      </c>
      <c r="B101" s="88">
        <f t="shared" si="5"/>
        <v>2015</v>
      </c>
      <c r="C101" s="20">
        <f ca="1">'Monthly Data'!E101</f>
        <v>10541757.03830348</v>
      </c>
      <c r="D101" s="88">
        <f t="shared" ca="1" si="7"/>
        <v>328.11</v>
      </c>
      <c r="E101" s="88">
        <f t="shared" ca="1" si="7"/>
        <v>0.32</v>
      </c>
      <c r="F101" s="88">
        <f>'Monthly Data'!AT101</f>
        <v>100</v>
      </c>
      <c r="G101" s="88">
        <f>'Monthly Data'!AO101</f>
        <v>1</v>
      </c>
      <c r="H101" s="88">
        <f>'Monthly Data'!AV101</f>
        <v>0</v>
      </c>
      <c r="I101" s="88">
        <f>'Monthly Data'!AZ101</f>
        <v>0</v>
      </c>
      <c r="J101" s="88">
        <f>'Monthly Data'!BC101</f>
        <v>0</v>
      </c>
      <c r="K101" s="88"/>
      <c r="L101" s="20">
        <f>'Res OLS model'!$B$5</f>
        <v>10397563.9954574</v>
      </c>
      <c r="M101" s="20">
        <f ca="1">'Res OLS model'!$B$6*D101</f>
        <v>1828758.8889630451</v>
      </c>
      <c r="N101" s="20">
        <f ca="1">'Res OLS model'!$B$7*E101</f>
        <v>8807.8924648226566</v>
      </c>
      <c r="O101" s="20">
        <f>'Res OLS model'!$B$8*F101</f>
        <v>-427505.71334042697</v>
      </c>
      <c r="P101" s="20">
        <f>'Res OLS model'!$B$9*G101</f>
        <v>-1419959.8612913999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ca="1" si="6"/>
        <v>10387665.20225344</v>
      </c>
    </row>
    <row r="102" spans="1:20" x14ac:dyDescent="0.3">
      <c r="A102" s="22">
        <f>'Monthly Data'!A102</f>
        <v>42125</v>
      </c>
      <c r="B102" s="88">
        <f t="shared" si="5"/>
        <v>2015</v>
      </c>
      <c r="C102" s="20">
        <f ca="1">'Monthly Data'!E102</f>
        <v>9816749.928303482</v>
      </c>
      <c r="D102" s="88">
        <f t="shared" ca="1" si="7"/>
        <v>134.47999999999999</v>
      </c>
      <c r="E102" s="88">
        <f t="shared" ca="1" si="7"/>
        <v>20.889999999999997</v>
      </c>
      <c r="F102" s="88">
        <f>'Monthly Data'!AT102</f>
        <v>101</v>
      </c>
      <c r="G102" s="88">
        <f>'Monthly Data'!AO102</f>
        <v>1</v>
      </c>
      <c r="H102" s="88">
        <f>'Monthly Data'!AV102</f>
        <v>0</v>
      </c>
      <c r="I102" s="88">
        <f>'Monthly Data'!AZ102</f>
        <v>0</v>
      </c>
      <c r="J102" s="88">
        <f>'Monthly Data'!BC102</f>
        <v>0</v>
      </c>
      <c r="K102" s="88"/>
      <c r="L102" s="20">
        <f>'Res OLS model'!$B$5</f>
        <v>10397563.9954574</v>
      </c>
      <c r="M102" s="20">
        <f ca="1">'Res OLS model'!$B$6*D102</f>
        <v>749539.77442854608</v>
      </c>
      <c r="N102" s="20">
        <f ca="1">'Res OLS model'!$B$7*E102</f>
        <v>574990.22996920394</v>
      </c>
      <c r="O102" s="20">
        <f>'Res OLS model'!$B$8*F102</f>
        <v>-431780.77047383122</v>
      </c>
      <c r="P102" s="20">
        <f>'Res OLS model'!$B$9*G102</f>
        <v>-1419959.8612913999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ca="1" si="6"/>
        <v>9870353.3680899199</v>
      </c>
    </row>
    <row r="103" spans="1:20" x14ac:dyDescent="0.3">
      <c r="A103" s="22">
        <f>'Monthly Data'!A103</f>
        <v>42156</v>
      </c>
      <c r="B103" s="88">
        <f t="shared" si="5"/>
        <v>2015</v>
      </c>
      <c r="C103" s="20">
        <f ca="1">'Monthly Data'!E103</f>
        <v>10526013.478303481</v>
      </c>
      <c r="D103" s="88">
        <f t="shared" ca="1" si="7"/>
        <v>30.429999999999996</v>
      </c>
      <c r="E103" s="88">
        <f t="shared" ca="1" si="7"/>
        <v>56.129999999999995</v>
      </c>
      <c r="F103" s="88">
        <f>'Monthly Data'!AT103</f>
        <v>102</v>
      </c>
      <c r="G103" s="88">
        <f>'Monthly Data'!AO103</f>
        <v>0</v>
      </c>
      <c r="H103" s="88">
        <f>'Monthly Data'!AV103</f>
        <v>0</v>
      </c>
      <c r="I103" s="88">
        <f>'Monthly Data'!AZ103</f>
        <v>1</v>
      </c>
      <c r="J103" s="88">
        <f>'Monthly Data'!BC103</f>
        <v>0</v>
      </c>
      <c r="K103" s="88"/>
      <c r="L103" s="20">
        <f>'Res OLS model'!$B$5</f>
        <v>10397563.9954574</v>
      </c>
      <c r="M103" s="20">
        <f ca="1">'Res OLS model'!$B$6*D103</f>
        <v>169605.11106380619</v>
      </c>
      <c r="N103" s="20">
        <f ca="1">'Res OLS model'!$B$7*E103</f>
        <v>1544959.3876577991</v>
      </c>
      <c r="O103" s="20">
        <f>'Res OLS model'!$B$8*F103</f>
        <v>-436055.82760723552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-773164.55099904304</v>
      </c>
      <c r="S103" s="20">
        <f>'Res OLS model'!$B$12*J103</f>
        <v>0</v>
      </c>
      <c r="T103" s="20">
        <f t="shared" ca="1" si="6"/>
        <v>10902908.115572726</v>
      </c>
    </row>
    <row r="104" spans="1:20" x14ac:dyDescent="0.3">
      <c r="A104" s="22">
        <f>'Monthly Data'!A104</f>
        <v>42186</v>
      </c>
      <c r="B104" s="88">
        <f t="shared" si="5"/>
        <v>2015</v>
      </c>
      <c r="C104" s="20">
        <f ca="1">'Monthly Data'!E104</f>
        <v>12091575.198303482</v>
      </c>
      <c r="D104" s="88">
        <f t="shared" ca="1" si="7"/>
        <v>7.85</v>
      </c>
      <c r="E104" s="88">
        <f t="shared" ca="1" si="7"/>
        <v>99.97999999999999</v>
      </c>
      <c r="F104" s="88">
        <f>'Monthly Data'!AT104</f>
        <v>103</v>
      </c>
      <c r="G104" s="88">
        <f>'Monthly Data'!AO104</f>
        <v>0</v>
      </c>
      <c r="H104" s="88">
        <f>'Monthly Data'!AV104</f>
        <v>0</v>
      </c>
      <c r="I104" s="88">
        <f>'Monthly Data'!AZ104</f>
        <v>0</v>
      </c>
      <c r="J104" s="88">
        <f>'Monthly Data'!BC104</f>
        <v>0</v>
      </c>
      <c r="K104" s="88"/>
      <c r="L104" s="20">
        <f>'Res OLS model'!$B$5</f>
        <v>10397563.9954574</v>
      </c>
      <c r="M104" s="20">
        <f ca="1">'Res OLS model'!$B$6*D104</f>
        <v>43752.879456157701</v>
      </c>
      <c r="N104" s="20">
        <f ca="1">'Res OLS model'!$B$7*E104</f>
        <v>2751915.9019780285</v>
      </c>
      <c r="O104" s="20">
        <f>'Res OLS model'!$B$8*F104</f>
        <v>-440330.88474063977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ca="1" si="6"/>
        <v>12752901.892150946</v>
      </c>
    </row>
    <row r="105" spans="1:20" x14ac:dyDescent="0.3">
      <c r="A105" s="22">
        <f>'Monthly Data'!A105</f>
        <v>42217</v>
      </c>
      <c r="B105" s="88">
        <f t="shared" si="5"/>
        <v>2015</v>
      </c>
      <c r="C105" s="20">
        <f ca="1">'Monthly Data'!E105</f>
        <v>12608290.718303479</v>
      </c>
      <c r="D105" s="88">
        <f t="shared" ca="1" si="7"/>
        <v>10.43</v>
      </c>
      <c r="E105" s="88">
        <f t="shared" ca="1" si="7"/>
        <v>80.190000000000012</v>
      </c>
      <c r="F105" s="88">
        <f>'Monthly Data'!AT105</f>
        <v>104</v>
      </c>
      <c r="G105" s="88">
        <f>'Monthly Data'!AO105</f>
        <v>0</v>
      </c>
      <c r="H105" s="88">
        <f>'Monthly Data'!AV105</f>
        <v>0</v>
      </c>
      <c r="I105" s="88">
        <f>'Monthly Data'!AZ105</f>
        <v>0</v>
      </c>
      <c r="J105" s="88">
        <f>'Monthly Data'!BC105</f>
        <v>0</v>
      </c>
      <c r="K105" s="88"/>
      <c r="L105" s="20">
        <f>'Res OLS model'!$B$5</f>
        <v>10397563.9954574</v>
      </c>
      <c r="M105" s="20">
        <f ca="1">'Res OLS model'!$B$6*D105</f>
        <v>58132.806716907617</v>
      </c>
      <c r="N105" s="20">
        <f ca="1">'Res OLS model'!$B$7*E105</f>
        <v>2207202.8023566529</v>
      </c>
      <c r="O105" s="20">
        <f>'Res OLS model'!$B$8*F105</f>
        <v>-444605.94187404407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ca="1" si="6"/>
        <v>12218293.662656916</v>
      </c>
    </row>
    <row r="106" spans="1:20" x14ac:dyDescent="0.3">
      <c r="A106" s="22">
        <f>'Monthly Data'!A106</f>
        <v>42248</v>
      </c>
      <c r="B106" s="88">
        <f t="shared" si="5"/>
        <v>2015</v>
      </c>
      <c r="C106" s="20">
        <f ca="1">'Monthly Data'!E106</f>
        <v>11472336.978303481</v>
      </c>
      <c r="D106" s="88">
        <f t="shared" ca="1" si="7"/>
        <v>70.580000000000013</v>
      </c>
      <c r="E106" s="88">
        <f t="shared" ca="1" si="7"/>
        <v>29.429999999999996</v>
      </c>
      <c r="F106" s="88">
        <f>'Monthly Data'!AT106</f>
        <v>105</v>
      </c>
      <c r="G106" s="88">
        <f>'Monthly Data'!AO106</f>
        <v>1</v>
      </c>
      <c r="H106" s="88">
        <f>'Monthly Data'!AV106</f>
        <v>0</v>
      </c>
      <c r="I106" s="88">
        <f>'Monthly Data'!AZ106</f>
        <v>0</v>
      </c>
      <c r="J106" s="88">
        <f>'Monthly Data'!BC106</f>
        <v>1</v>
      </c>
      <c r="K106" s="88"/>
      <c r="L106" s="20">
        <f>'Res OLS model'!$B$5</f>
        <v>10397563.9954574</v>
      </c>
      <c r="M106" s="20">
        <f ca="1">'Res OLS model'!$B$6*D106</f>
        <v>393385.76204020524</v>
      </c>
      <c r="N106" s="20">
        <f ca="1">'Res OLS model'!$B$7*E106</f>
        <v>810050.86012415856</v>
      </c>
      <c r="O106" s="20">
        <f>'Res OLS model'!$B$8*F106</f>
        <v>-448880.99900744832</v>
      </c>
      <c r="P106" s="20">
        <f>'Res OLS model'!$B$9*G106</f>
        <v>-1419959.8612913999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772942.00624980999</v>
      </c>
      <c r="T106" s="20">
        <f t="shared" ca="1" si="6"/>
        <v>10505101.763572725</v>
      </c>
    </row>
    <row r="107" spans="1:20" x14ac:dyDescent="0.3">
      <c r="A107" s="22">
        <f>'Monthly Data'!A107</f>
        <v>42278</v>
      </c>
      <c r="B107" s="88">
        <f t="shared" si="5"/>
        <v>2015</v>
      </c>
      <c r="C107" s="20">
        <f ca="1">'Monthly Data'!E107</f>
        <v>9760874.6783034839</v>
      </c>
      <c r="D107" s="88">
        <f t="shared" ca="1" si="7"/>
        <v>241.15</v>
      </c>
      <c r="E107" s="88">
        <f t="shared" ca="1" si="7"/>
        <v>2.87</v>
      </c>
      <c r="F107" s="88">
        <f>'Monthly Data'!AT107</f>
        <v>106</v>
      </c>
      <c r="G107" s="88">
        <f>'Monthly Data'!AO107</f>
        <v>1</v>
      </c>
      <c r="H107" s="88">
        <f>'Monthly Data'!AV107</f>
        <v>0</v>
      </c>
      <c r="I107" s="88">
        <f>'Monthly Data'!AZ107</f>
        <v>0</v>
      </c>
      <c r="J107" s="88">
        <f>'Monthly Data'!BC107</f>
        <v>0</v>
      </c>
      <c r="K107" s="88"/>
      <c r="L107" s="20">
        <f>'Res OLS model'!$B$5</f>
        <v>10397563.9954574</v>
      </c>
      <c r="M107" s="20">
        <f ca="1">'Res OLS model'!$B$6*D107</f>
        <v>1344077.30966273</v>
      </c>
      <c r="N107" s="20">
        <f ca="1">'Res OLS model'!$B$7*E107</f>
        <v>78995.785543878199</v>
      </c>
      <c r="O107" s="20">
        <f>'Res OLS model'!$B$8*F107</f>
        <v>-453156.05614085257</v>
      </c>
      <c r="P107" s="20">
        <f>'Res OLS model'!$B$9*G107</f>
        <v>-1419959.8612913999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ca="1" si="6"/>
        <v>9947521.1732317545</v>
      </c>
    </row>
    <row r="108" spans="1:20" x14ac:dyDescent="0.3">
      <c r="A108" s="22">
        <f>'Monthly Data'!A108</f>
        <v>42309</v>
      </c>
      <c r="B108" s="88">
        <f t="shared" si="5"/>
        <v>2015</v>
      </c>
      <c r="C108" s="20">
        <f ca="1">'Monthly Data'!E108</f>
        <v>10610626.948303482</v>
      </c>
      <c r="D108" s="88">
        <f t="shared" ca="1" si="7"/>
        <v>421.52</v>
      </c>
      <c r="E108" s="88">
        <f t="shared" ca="1" si="7"/>
        <v>0</v>
      </c>
      <c r="F108" s="88">
        <f>'Monthly Data'!AT108</f>
        <v>107</v>
      </c>
      <c r="G108" s="88">
        <f>'Monthly Data'!AO108</f>
        <v>1</v>
      </c>
      <c r="H108" s="88">
        <f>'Monthly Data'!AV108</f>
        <v>0</v>
      </c>
      <c r="I108" s="88">
        <f>'Monthly Data'!AZ108</f>
        <v>0</v>
      </c>
      <c r="J108" s="88">
        <f>'Monthly Data'!BC108</f>
        <v>0</v>
      </c>
      <c r="K108" s="88"/>
      <c r="L108" s="20">
        <f>'Res OLS model'!$B$5</f>
        <v>10397563.9954574</v>
      </c>
      <c r="M108" s="20">
        <f ca="1">'Res OLS model'!$B$6*D108</f>
        <v>2349390.2864152347</v>
      </c>
      <c r="N108" s="20">
        <f ca="1">'Res OLS model'!$B$7*E108</f>
        <v>0</v>
      </c>
      <c r="O108" s="20">
        <f>'Res OLS model'!$B$8*F108</f>
        <v>-457431.11327425687</v>
      </c>
      <c r="P108" s="20">
        <f>'Res OLS model'!$B$9*G108</f>
        <v>-1419959.8612913999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ca="1" si="6"/>
        <v>10869563.307306977</v>
      </c>
    </row>
    <row r="109" spans="1:20" x14ac:dyDescent="0.3">
      <c r="A109" s="22">
        <f>'Monthly Data'!A109</f>
        <v>42339</v>
      </c>
      <c r="B109" s="88">
        <f t="shared" si="5"/>
        <v>2015</v>
      </c>
      <c r="C109" s="20">
        <f ca="1">'Monthly Data'!E109</f>
        <v>11935835.708303479</v>
      </c>
      <c r="D109" s="88">
        <f t="shared" ca="1" si="7"/>
        <v>610.56000000000006</v>
      </c>
      <c r="E109" s="88">
        <f t="shared" ca="1" si="7"/>
        <v>0</v>
      </c>
      <c r="F109" s="88">
        <f>'Monthly Data'!AT109</f>
        <v>108</v>
      </c>
      <c r="G109" s="88">
        <f>'Monthly Data'!AO109</f>
        <v>0</v>
      </c>
      <c r="H109" s="88">
        <f>'Monthly Data'!AV109</f>
        <v>0</v>
      </c>
      <c r="I109" s="88">
        <f>'Monthly Data'!AZ109</f>
        <v>0</v>
      </c>
      <c r="J109" s="88">
        <f>'Monthly Data'!BC109</f>
        <v>0</v>
      </c>
      <c r="K109" s="88"/>
      <c r="L109" s="20">
        <f>'Res OLS model'!$B$5</f>
        <v>10397563.9954574</v>
      </c>
      <c r="M109" s="20">
        <f ca="1">'Res OLS model'!$B$6*D109</f>
        <v>3403026.5071021207</v>
      </c>
      <c r="N109" s="20">
        <f ca="1">'Res OLS model'!$B$7*E109</f>
        <v>0</v>
      </c>
      <c r="O109" s="20">
        <f>'Res OLS model'!$B$8*F109</f>
        <v>-461706.17040766112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ca="1" si="6"/>
        <v>13338884.33215186</v>
      </c>
    </row>
    <row r="110" spans="1:20" x14ac:dyDescent="0.3">
      <c r="A110" s="22">
        <f>'Monthly Data'!A110</f>
        <v>42370</v>
      </c>
      <c r="B110" s="88">
        <f t="shared" si="5"/>
        <v>2016</v>
      </c>
      <c r="C110" s="20">
        <f ca="1">'Monthly Data'!E110</f>
        <v>13040485.289731631</v>
      </c>
      <c r="D110" s="88">
        <f t="shared" ca="1" si="7"/>
        <v>729.54999999999984</v>
      </c>
      <c r="E110" s="88">
        <f t="shared" ca="1" si="7"/>
        <v>0</v>
      </c>
      <c r="F110" s="88">
        <f>'Monthly Data'!AT110</f>
        <v>109</v>
      </c>
      <c r="G110" s="88">
        <f>'Monthly Data'!AO110</f>
        <v>0</v>
      </c>
      <c r="H110" s="88">
        <f>'Monthly Data'!AV110</f>
        <v>0</v>
      </c>
      <c r="I110" s="88">
        <f>'Monthly Data'!AZ110</f>
        <v>0</v>
      </c>
      <c r="J110" s="88">
        <f>'Monthly Data'!BC110</f>
        <v>0</v>
      </c>
      <c r="K110" s="88"/>
      <c r="L110" s="20">
        <f>'Res OLS model'!$B$5</f>
        <v>10397563.9954574</v>
      </c>
      <c r="M110" s="20">
        <f ca="1">'Res OLS model'!$B$6*D110</f>
        <v>4066230.9818139928</v>
      </c>
      <c r="N110" s="20">
        <f ca="1">'Res OLS model'!$B$7*E110</f>
        <v>0</v>
      </c>
      <c r="O110" s="20">
        <f>'Res OLS model'!$B$8*F110</f>
        <v>-465981.22754106543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ca="1" si="6"/>
        <v>13997813.749730328</v>
      </c>
    </row>
    <row r="111" spans="1:20" x14ac:dyDescent="0.3">
      <c r="A111" s="22">
        <f>'Monthly Data'!A111</f>
        <v>42401</v>
      </c>
      <c r="B111" s="88">
        <f t="shared" si="5"/>
        <v>2016</v>
      </c>
      <c r="C111" s="20">
        <f ca="1">'Monthly Data'!E111</f>
        <v>12219959.469731636</v>
      </c>
      <c r="D111" s="88">
        <f t="shared" ca="1" si="7"/>
        <v>678.56000000000006</v>
      </c>
      <c r="E111" s="88">
        <f t="shared" ca="1" si="7"/>
        <v>0</v>
      </c>
      <c r="F111" s="88">
        <f>'Monthly Data'!AT111</f>
        <v>110</v>
      </c>
      <c r="G111" s="88">
        <f>'Monthly Data'!AO111</f>
        <v>0</v>
      </c>
      <c r="H111" s="88">
        <f>'Monthly Data'!AV111</f>
        <v>1</v>
      </c>
      <c r="I111" s="88">
        <f>'Monthly Data'!AZ111</f>
        <v>0</v>
      </c>
      <c r="J111" s="88">
        <f>'Monthly Data'!BC111</f>
        <v>0</v>
      </c>
      <c r="K111" s="88"/>
      <c r="L111" s="20">
        <f>'Res OLS model'!$B$5</f>
        <v>10397563.9954574</v>
      </c>
      <c r="M111" s="20">
        <f ca="1">'Res OLS model'!$B$6*D111</f>
        <v>3782032.341881576</v>
      </c>
      <c r="N111" s="20">
        <f ca="1">'Res OLS model'!$B$7*E111</f>
        <v>0</v>
      </c>
      <c r="O111" s="20">
        <f>'Res OLS model'!$B$8*F111</f>
        <v>-470256.28467446967</v>
      </c>
      <c r="P111" s="20">
        <f>'Res OLS model'!$B$9*G111</f>
        <v>0</v>
      </c>
      <c r="Q111" s="20">
        <f>'Res OLS model'!$B$10*H111</f>
        <v>-473349.26469262998</v>
      </c>
      <c r="R111" s="20">
        <f>'Res OLS model'!$B$11*I111</f>
        <v>0</v>
      </c>
      <c r="S111" s="20">
        <f>'Res OLS model'!$B$12*J111</f>
        <v>0</v>
      </c>
      <c r="T111" s="20">
        <f t="shared" ca="1" si="6"/>
        <v>13235990.787971877</v>
      </c>
    </row>
    <row r="112" spans="1:20" x14ac:dyDescent="0.3">
      <c r="A112" s="22">
        <f>'Monthly Data'!A112</f>
        <v>42430</v>
      </c>
      <c r="B112" s="88">
        <f t="shared" si="5"/>
        <v>2016</v>
      </c>
      <c r="C112" s="20">
        <f ca="1">'Monthly Data'!E112</f>
        <v>11209716.929731634</v>
      </c>
      <c r="D112" s="88">
        <f t="shared" ca="1" si="7"/>
        <v>544.77</v>
      </c>
      <c r="E112" s="88">
        <f t="shared" ca="1" si="7"/>
        <v>0.22000000000000003</v>
      </c>
      <c r="F112" s="88">
        <f>'Monthly Data'!AT112</f>
        <v>111</v>
      </c>
      <c r="G112" s="88">
        <f>'Monthly Data'!AO112</f>
        <v>1</v>
      </c>
      <c r="H112" s="88">
        <f>'Monthly Data'!AV112</f>
        <v>0</v>
      </c>
      <c r="I112" s="88">
        <f>'Monthly Data'!AZ112</f>
        <v>0</v>
      </c>
      <c r="J112" s="88">
        <f>'Monthly Data'!BC112</f>
        <v>0</v>
      </c>
      <c r="K112" s="88"/>
      <c r="L112" s="20">
        <f>'Res OLS model'!$B$5</f>
        <v>10397563.9954574</v>
      </c>
      <c r="M112" s="20">
        <f ca="1">'Res OLS model'!$B$6*D112</f>
        <v>3036338.3619529973</v>
      </c>
      <c r="N112" s="20">
        <f ca="1">'Res OLS model'!$B$7*E112</f>
        <v>6055.4260695655776</v>
      </c>
      <c r="O112" s="20">
        <f>'Res OLS model'!$B$8*F112</f>
        <v>-474531.34180787392</v>
      </c>
      <c r="P112" s="20">
        <f>'Res OLS model'!$B$9*G112</f>
        <v>-1419959.8612913999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ca="1" si="6"/>
        <v>11545466.580380689</v>
      </c>
    </row>
    <row r="113" spans="1:20" x14ac:dyDescent="0.3">
      <c r="A113" s="22">
        <f>'Monthly Data'!A113</f>
        <v>42461</v>
      </c>
      <c r="B113" s="88">
        <f t="shared" si="5"/>
        <v>2016</v>
      </c>
      <c r="C113" s="20">
        <f ca="1">'Monthly Data'!E113</f>
        <v>10535031.609731635</v>
      </c>
      <c r="D113" s="88">
        <f t="shared" ca="1" si="7"/>
        <v>328.11</v>
      </c>
      <c r="E113" s="88">
        <f t="shared" ca="1" si="7"/>
        <v>0.32</v>
      </c>
      <c r="F113" s="88">
        <f>'Monthly Data'!AT113</f>
        <v>112</v>
      </c>
      <c r="G113" s="88">
        <f>'Monthly Data'!AO113</f>
        <v>1</v>
      </c>
      <c r="H113" s="88">
        <f>'Monthly Data'!AV113</f>
        <v>0</v>
      </c>
      <c r="I113" s="88">
        <f>'Monthly Data'!AZ113</f>
        <v>0</v>
      </c>
      <c r="J113" s="88">
        <f>'Monthly Data'!BC113</f>
        <v>0</v>
      </c>
      <c r="K113" s="88"/>
      <c r="L113" s="20">
        <f>'Res OLS model'!$B$5</f>
        <v>10397563.9954574</v>
      </c>
      <c r="M113" s="20">
        <f ca="1">'Res OLS model'!$B$6*D113</f>
        <v>1828758.8889630451</v>
      </c>
      <c r="N113" s="20">
        <f ca="1">'Res OLS model'!$B$7*E113</f>
        <v>8807.8924648226566</v>
      </c>
      <c r="O113" s="20">
        <f>'Res OLS model'!$B$8*F113</f>
        <v>-478806.39894127822</v>
      </c>
      <c r="P113" s="20">
        <f>'Res OLS model'!$B$9*G113</f>
        <v>-1419959.8612913999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ca="1" si="6"/>
        <v>10336364.51665259</v>
      </c>
    </row>
    <row r="114" spans="1:20" x14ac:dyDescent="0.3">
      <c r="A114" s="22">
        <f>'Monthly Data'!A114</f>
        <v>42491</v>
      </c>
      <c r="B114" s="88">
        <f t="shared" si="5"/>
        <v>2016</v>
      </c>
      <c r="C114" s="20">
        <f ca="1">'Monthly Data'!E114</f>
        <v>9802426.5897316337</v>
      </c>
      <c r="D114" s="88">
        <f t="shared" ca="1" si="7"/>
        <v>134.47999999999999</v>
      </c>
      <c r="E114" s="88">
        <f t="shared" ca="1" si="7"/>
        <v>20.889999999999997</v>
      </c>
      <c r="F114" s="88">
        <f>'Monthly Data'!AT114</f>
        <v>113</v>
      </c>
      <c r="G114" s="88">
        <f>'Monthly Data'!AO114</f>
        <v>1</v>
      </c>
      <c r="H114" s="88">
        <f>'Monthly Data'!AV114</f>
        <v>0</v>
      </c>
      <c r="I114" s="88">
        <f>'Monthly Data'!AZ114</f>
        <v>0</v>
      </c>
      <c r="J114" s="88">
        <f>'Monthly Data'!BC114</f>
        <v>0</v>
      </c>
      <c r="K114" s="88"/>
      <c r="L114" s="20">
        <f>'Res OLS model'!$B$5</f>
        <v>10397563.9954574</v>
      </c>
      <c r="M114" s="20">
        <f ca="1">'Res OLS model'!$B$6*D114</f>
        <v>749539.77442854608</v>
      </c>
      <c r="N114" s="20">
        <f ca="1">'Res OLS model'!$B$7*E114</f>
        <v>574990.22996920394</v>
      </c>
      <c r="O114" s="20">
        <f>'Res OLS model'!$B$8*F114</f>
        <v>-483081.45607468247</v>
      </c>
      <c r="P114" s="20">
        <f>'Res OLS model'!$B$9*G114</f>
        <v>-1419959.8612913999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ca="1" si="6"/>
        <v>9819052.6824890673</v>
      </c>
    </row>
    <row r="115" spans="1:20" x14ac:dyDescent="0.3">
      <c r="A115" s="22">
        <f>'Monthly Data'!A115</f>
        <v>42522</v>
      </c>
      <c r="B115" s="88">
        <f t="shared" si="5"/>
        <v>2016</v>
      </c>
      <c r="C115" s="20">
        <f ca="1">'Monthly Data'!E115</f>
        <v>11190418.029731637</v>
      </c>
      <c r="D115" s="88">
        <f t="shared" ca="1" si="7"/>
        <v>30.429999999999996</v>
      </c>
      <c r="E115" s="88">
        <f t="shared" ca="1" si="7"/>
        <v>56.129999999999995</v>
      </c>
      <c r="F115" s="88">
        <f>'Monthly Data'!AT115</f>
        <v>114</v>
      </c>
      <c r="G115" s="88">
        <f>'Monthly Data'!AO115</f>
        <v>0</v>
      </c>
      <c r="H115" s="88">
        <f>'Monthly Data'!AV115</f>
        <v>0</v>
      </c>
      <c r="I115" s="88">
        <f>'Monthly Data'!AZ115</f>
        <v>1</v>
      </c>
      <c r="J115" s="88">
        <f>'Monthly Data'!BC115</f>
        <v>0</v>
      </c>
      <c r="K115" s="88"/>
      <c r="L115" s="20">
        <f>'Res OLS model'!$B$5</f>
        <v>10397563.9954574</v>
      </c>
      <c r="M115" s="20">
        <f ca="1">'Res OLS model'!$B$6*D115</f>
        <v>169605.11106380619</v>
      </c>
      <c r="N115" s="20">
        <f ca="1">'Res OLS model'!$B$7*E115</f>
        <v>1544959.3876577991</v>
      </c>
      <c r="O115" s="20">
        <f>'Res OLS model'!$B$8*F115</f>
        <v>-487356.51320808678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-773164.55099904304</v>
      </c>
      <c r="S115" s="20">
        <f>'Res OLS model'!$B$12*J115</f>
        <v>0</v>
      </c>
      <c r="T115" s="20">
        <f t="shared" ca="1" si="6"/>
        <v>10851607.429971874</v>
      </c>
    </row>
    <row r="116" spans="1:20" x14ac:dyDescent="0.3">
      <c r="A116" s="22">
        <f>'Monthly Data'!A116</f>
        <v>42552</v>
      </c>
      <c r="B116" s="88">
        <f t="shared" si="5"/>
        <v>2016</v>
      </c>
      <c r="C116" s="20">
        <f ca="1">'Monthly Data'!E116</f>
        <v>13653579.789731635</v>
      </c>
      <c r="D116" s="88">
        <f t="shared" ca="1" si="7"/>
        <v>7.85</v>
      </c>
      <c r="E116" s="88">
        <f t="shared" ca="1" si="7"/>
        <v>99.97999999999999</v>
      </c>
      <c r="F116" s="88">
        <f>'Monthly Data'!AT116</f>
        <v>115</v>
      </c>
      <c r="G116" s="88">
        <f>'Monthly Data'!AO116</f>
        <v>0</v>
      </c>
      <c r="H116" s="88">
        <f>'Monthly Data'!AV116</f>
        <v>0</v>
      </c>
      <c r="I116" s="88">
        <f>'Monthly Data'!AZ116</f>
        <v>0</v>
      </c>
      <c r="J116" s="88">
        <f>'Monthly Data'!BC116</f>
        <v>0</v>
      </c>
      <c r="K116" s="88"/>
      <c r="L116" s="20">
        <f>'Res OLS model'!$B$5</f>
        <v>10397563.9954574</v>
      </c>
      <c r="M116" s="20">
        <f ca="1">'Res OLS model'!$B$6*D116</f>
        <v>43752.879456157701</v>
      </c>
      <c r="N116" s="20">
        <f ca="1">'Res OLS model'!$B$7*E116</f>
        <v>2751915.9019780285</v>
      </c>
      <c r="O116" s="20">
        <f>'Res OLS model'!$B$8*F116</f>
        <v>-491631.57034149102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ca="1" si="6"/>
        <v>12701601.206550095</v>
      </c>
    </row>
    <row r="117" spans="1:20" x14ac:dyDescent="0.3">
      <c r="A117" s="22">
        <f>'Monthly Data'!A117</f>
        <v>42583</v>
      </c>
      <c r="B117" s="88">
        <f t="shared" si="5"/>
        <v>2016</v>
      </c>
      <c r="C117" s="20">
        <f ca="1">'Monthly Data'!E117</f>
        <v>14761841.349731633</v>
      </c>
      <c r="D117" s="88">
        <f t="shared" ca="1" si="7"/>
        <v>10.43</v>
      </c>
      <c r="E117" s="88">
        <f t="shared" ca="1" si="7"/>
        <v>80.190000000000012</v>
      </c>
      <c r="F117" s="88">
        <f>'Monthly Data'!AT117</f>
        <v>116</v>
      </c>
      <c r="G117" s="88">
        <f>'Monthly Data'!AO117</f>
        <v>0</v>
      </c>
      <c r="H117" s="88">
        <f>'Monthly Data'!AV117</f>
        <v>0</v>
      </c>
      <c r="I117" s="88">
        <f>'Monthly Data'!AZ117</f>
        <v>0</v>
      </c>
      <c r="J117" s="88">
        <f>'Monthly Data'!BC117</f>
        <v>0</v>
      </c>
      <c r="K117" s="88"/>
      <c r="L117" s="20">
        <f>'Res OLS model'!$B$5</f>
        <v>10397563.9954574</v>
      </c>
      <c r="M117" s="20">
        <f ca="1">'Res OLS model'!$B$6*D117</f>
        <v>58132.806716907617</v>
      </c>
      <c r="N117" s="20">
        <f ca="1">'Res OLS model'!$B$7*E117</f>
        <v>2207202.8023566529</v>
      </c>
      <c r="O117" s="20">
        <f>'Res OLS model'!$B$8*F117</f>
        <v>-495906.62747489527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ca="1" si="6"/>
        <v>12166992.977056066</v>
      </c>
    </row>
    <row r="118" spans="1:20" x14ac:dyDescent="0.3">
      <c r="A118" s="22">
        <f>'Monthly Data'!A118</f>
        <v>42614</v>
      </c>
      <c r="B118" s="88">
        <f t="shared" si="5"/>
        <v>2016</v>
      </c>
      <c r="C118" s="20">
        <f ca="1">'Monthly Data'!E118</f>
        <v>11769949.059731634</v>
      </c>
      <c r="D118" s="88">
        <f t="shared" ca="1" si="7"/>
        <v>70.580000000000013</v>
      </c>
      <c r="E118" s="88">
        <f t="shared" ca="1" si="7"/>
        <v>29.429999999999996</v>
      </c>
      <c r="F118" s="88">
        <f>'Monthly Data'!AT118</f>
        <v>117</v>
      </c>
      <c r="G118" s="88">
        <f>'Monthly Data'!AO118</f>
        <v>1</v>
      </c>
      <c r="H118" s="88">
        <f>'Monthly Data'!AV118</f>
        <v>0</v>
      </c>
      <c r="I118" s="88">
        <f>'Monthly Data'!AZ118</f>
        <v>0</v>
      </c>
      <c r="J118" s="88">
        <f>'Monthly Data'!BC118</f>
        <v>1</v>
      </c>
      <c r="K118" s="88"/>
      <c r="L118" s="20">
        <f>'Res OLS model'!$B$5</f>
        <v>10397563.9954574</v>
      </c>
      <c r="M118" s="20">
        <f ca="1">'Res OLS model'!$B$6*D118</f>
        <v>393385.76204020524</v>
      </c>
      <c r="N118" s="20">
        <f ca="1">'Res OLS model'!$B$7*E118</f>
        <v>810050.86012415856</v>
      </c>
      <c r="O118" s="20">
        <f>'Res OLS model'!$B$8*F118</f>
        <v>-500181.68460829958</v>
      </c>
      <c r="P118" s="20">
        <f>'Res OLS model'!$B$9*G118</f>
        <v>-1419959.8612913999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772942.00624980999</v>
      </c>
      <c r="T118" s="20">
        <f t="shared" ca="1" si="6"/>
        <v>10453801.077971874</v>
      </c>
    </row>
    <row r="119" spans="1:20" x14ac:dyDescent="0.3">
      <c r="A119" s="22">
        <f>'Monthly Data'!A119</f>
        <v>42644</v>
      </c>
      <c r="B119" s="88">
        <f t="shared" si="5"/>
        <v>2016</v>
      </c>
      <c r="C119" s="20">
        <f ca="1">'Monthly Data'!E119</f>
        <v>9824702.8897316344</v>
      </c>
      <c r="D119" s="88">
        <f t="shared" ca="1" si="7"/>
        <v>241.15</v>
      </c>
      <c r="E119" s="88">
        <f t="shared" ca="1" si="7"/>
        <v>2.87</v>
      </c>
      <c r="F119" s="88">
        <f>'Monthly Data'!AT119</f>
        <v>118</v>
      </c>
      <c r="G119" s="88">
        <f>'Monthly Data'!AO119</f>
        <v>1</v>
      </c>
      <c r="H119" s="88">
        <f>'Monthly Data'!AV119</f>
        <v>0</v>
      </c>
      <c r="I119" s="88">
        <f>'Monthly Data'!AZ119</f>
        <v>0</v>
      </c>
      <c r="J119" s="88">
        <f>'Monthly Data'!BC119</f>
        <v>0</v>
      </c>
      <c r="K119" s="88"/>
      <c r="L119" s="20">
        <f>'Res OLS model'!$B$5</f>
        <v>10397563.9954574</v>
      </c>
      <c r="M119" s="20">
        <f ca="1">'Res OLS model'!$B$6*D119</f>
        <v>1344077.30966273</v>
      </c>
      <c r="N119" s="20">
        <f ca="1">'Res OLS model'!$B$7*E119</f>
        <v>78995.785543878199</v>
      </c>
      <c r="O119" s="20">
        <f>'Res OLS model'!$B$8*F119</f>
        <v>-504456.74174170382</v>
      </c>
      <c r="P119" s="20">
        <f>'Res OLS model'!$B$9*G119</f>
        <v>-1419959.8612913999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ca="1" si="6"/>
        <v>9896220.4876309037</v>
      </c>
    </row>
    <row r="120" spans="1:20" x14ac:dyDescent="0.3">
      <c r="A120" s="22">
        <f>'Monthly Data'!A120</f>
        <v>42675</v>
      </c>
      <c r="B120" s="88">
        <f t="shared" si="5"/>
        <v>2016</v>
      </c>
      <c r="C120" s="20">
        <f ca="1">'Monthly Data'!E120</f>
        <v>10371409.499731634</v>
      </c>
      <c r="D120" s="88">
        <f t="shared" ca="1" si="7"/>
        <v>421.52</v>
      </c>
      <c r="E120" s="88">
        <f t="shared" ca="1" si="7"/>
        <v>0</v>
      </c>
      <c r="F120" s="88">
        <f>'Monthly Data'!AT120</f>
        <v>119</v>
      </c>
      <c r="G120" s="88">
        <f>'Monthly Data'!AO120</f>
        <v>1</v>
      </c>
      <c r="H120" s="88">
        <f>'Monthly Data'!AV120</f>
        <v>0</v>
      </c>
      <c r="I120" s="88">
        <f>'Monthly Data'!AZ120</f>
        <v>0</v>
      </c>
      <c r="J120" s="88">
        <f>'Monthly Data'!BC120</f>
        <v>0</v>
      </c>
      <c r="K120" s="88"/>
      <c r="L120" s="20">
        <f>'Res OLS model'!$B$5</f>
        <v>10397563.9954574</v>
      </c>
      <c r="M120" s="20">
        <f ca="1">'Res OLS model'!$B$6*D120</f>
        <v>2349390.2864152347</v>
      </c>
      <c r="N120" s="20">
        <f ca="1">'Res OLS model'!$B$7*E120</f>
        <v>0</v>
      </c>
      <c r="O120" s="20">
        <f>'Res OLS model'!$B$8*F120</f>
        <v>-508731.79887510807</v>
      </c>
      <c r="P120" s="20">
        <f>'Res OLS model'!$B$9*G120</f>
        <v>-1419959.8612913999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ca="1" si="6"/>
        <v>10818262.621706126</v>
      </c>
    </row>
    <row r="121" spans="1:20" x14ac:dyDescent="0.3">
      <c r="A121" s="22">
        <f>'Monthly Data'!A121</f>
        <v>42705</v>
      </c>
      <c r="B121" s="88">
        <f t="shared" si="5"/>
        <v>2016</v>
      </c>
      <c r="C121" s="20">
        <f ca="1">'Monthly Data'!E121</f>
        <v>12858747.429731634</v>
      </c>
      <c r="D121" s="88">
        <f t="shared" ca="1" si="7"/>
        <v>610.56000000000006</v>
      </c>
      <c r="E121" s="88">
        <f t="shared" ca="1" si="7"/>
        <v>0</v>
      </c>
      <c r="F121" s="88">
        <f>'Monthly Data'!AT121</f>
        <v>120</v>
      </c>
      <c r="G121" s="88">
        <f>'Monthly Data'!AO121</f>
        <v>0</v>
      </c>
      <c r="H121" s="88">
        <f>'Monthly Data'!AV121</f>
        <v>0</v>
      </c>
      <c r="I121" s="88">
        <f>'Monthly Data'!AZ121</f>
        <v>0</v>
      </c>
      <c r="J121" s="88">
        <f>'Monthly Data'!BC121</f>
        <v>0</v>
      </c>
      <c r="K121" s="88"/>
      <c r="L121" s="20">
        <f>'Res OLS model'!$B$5</f>
        <v>10397563.9954574</v>
      </c>
      <c r="M121" s="20">
        <f ca="1">'Res OLS model'!$B$6*D121</f>
        <v>3403026.5071021207</v>
      </c>
      <c r="N121" s="20">
        <f ca="1">'Res OLS model'!$B$7*E121</f>
        <v>0</v>
      </c>
      <c r="O121" s="20">
        <f>'Res OLS model'!$B$8*F121</f>
        <v>-513006.85600851238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ca="1" si="6"/>
        <v>13287583.646551007</v>
      </c>
    </row>
    <row r="122" spans="1:20" x14ac:dyDescent="0.3">
      <c r="A122" s="22">
        <v>42736</v>
      </c>
      <c r="B122" s="88">
        <f t="shared" si="5"/>
        <v>2017</v>
      </c>
      <c r="C122" s="20">
        <f>'Monthly Data'!E122</f>
        <v>0</v>
      </c>
      <c r="D122" s="88">
        <f t="shared" ca="1" si="7"/>
        <v>729.54999999999984</v>
      </c>
      <c r="E122" s="88">
        <f t="shared" ca="1" si="7"/>
        <v>0</v>
      </c>
      <c r="F122" s="88">
        <f>F121+1</f>
        <v>121</v>
      </c>
      <c r="G122" s="88">
        <f>G110</f>
        <v>0</v>
      </c>
      <c r="H122" s="88">
        <f t="shared" ref="H122:J122" si="8">H110</f>
        <v>0</v>
      </c>
      <c r="I122" s="88">
        <f t="shared" si="8"/>
        <v>0</v>
      </c>
      <c r="J122" s="88">
        <f t="shared" si="8"/>
        <v>0</v>
      </c>
      <c r="K122" s="88"/>
      <c r="L122" s="20">
        <f>'Res OLS model'!$B$5</f>
        <v>10397563.9954574</v>
      </c>
      <c r="M122" s="20">
        <f ca="1">'Res OLS model'!$B$6*D122</f>
        <v>4066230.9818139928</v>
      </c>
      <c r="N122" s="20">
        <f ca="1">'Res OLS model'!$B$7*E122</f>
        <v>0</v>
      </c>
      <c r="O122" s="20">
        <f>'Res OLS model'!$B$8*F122</f>
        <v>-517281.91314191662</v>
      </c>
      <c r="P122" s="20">
        <f>'Res OLS model'!$B$9*G122</f>
        <v>0</v>
      </c>
      <c r="Q122" s="20">
        <f>'Res OLS model'!$B$10*H122</f>
        <v>0</v>
      </c>
      <c r="R122" s="20">
        <f>'Res OLS model'!$B$11*I122</f>
        <v>0</v>
      </c>
      <c r="S122" s="20">
        <f>'Res OLS model'!$B$12*J122</f>
        <v>0</v>
      </c>
      <c r="T122" s="20">
        <f t="shared" ca="1" si="6"/>
        <v>13946513.064129476</v>
      </c>
    </row>
    <row r="123" spans="1:20" x14ac:dyDescent="0.3">
      <c r="A123" s="22">
        <v>42767</v>
      </c>
      <c r="B123" s="88">
        <f t="shared" si="5"/>
        <v>2017</v>
      </c>
      <c r="C123" s="20">
        <f>'Monthly Data'!E123</f>
        <v>0</v>
      </c>
      <c r="D123" s="88">
        <f t="shared" ca="1" si="7"/>
        <v>678.56000000000006</v>
      </c>
      <c r="E123" s="88">
        <f t="shared" ca="1" si="7"/>
        <v>0</v>
      </c>
      <c r="F123" s="88">
        <f t="shared" ref="F123:F145" si="9">F122+1</f>
        <v>122</v>
      </c>
      <c r="G123" s="88">
        <f t="shared" ref="G123:J123" si="10">G111</f>
        <v>0</v>
      </c>
      <c r="H123" s="88">
        <f t="shared" si="10"/>
        <v>1</v>
      </c>
      <c r="I123" s="88">
        <f t="shared" si="10"/>
        <v>0</v>
      </c>
      <c r="J123" s="88">
        <f t="shared" si="10"/>
        <v>0</v>
      </c>
      <c r="K123" s="88"/>
      <c r="L123" s="20">
        <f>'Res OLS model'!$B$5</f>
        <v>10397563.9954574</v>
      </c>
      <c r="M123" s="20">
        <f ca="1">'Res OLS model'!$B$6*D123</f>
        <v>3782032.341881576</v>
      </c>
      <c r="N123" s="20">
        <f ca="1">'Res OLS model'!$B$7*E123</f>
        <v>0</v>
      </c>
      <c r="O123" s="20">
        <f>'Res OLS model'!$B$8*F123</f>
        <v>-521556.97027532093</v>
      </c>
      <c r="P123" s="20">
        <f>'Res OLS model'!$B$9*G123</f>
        <v>0</v>
      </c>
      <c r="Q123" s="20">
        <f>'Res OLS model'!$B$10*H123</f>
        <v>-473349.26469262998</v>
      </c>
      <c r="R123" s="20">
        <f>'Res OLS model'!$B$11*I123</f>
        <v>0</v>
      </c>
      <c r="S123" s="20">
        <f>'Res OLS model'!$B$12*J123</f>
        <v>0</v>
      </c>
      <c r="T123" s="20">
        <f t="shared" ca="1" si="6"/>
        <v>13184690.102371026</v>
      </c>
    </row>
    <row r="124" spans="1:20" x14ac:dyDescent="0.3">
      <c r="A124" s="22">
        <v>42795</v>
      </c>
      <c r="B124" s="88">
        <f t="shared" si="5"/>
        <v>2017</v>
      </c>
      <c r="C124" s="20">
        <f>'Monthly Data'!E124</f>
        <v>0</v>
      </c>
      <c r="D124" s="88">
        <f t="shared" ca="1" si="7"/>
        <v>544.77</v>
      </c>
      <c r="E124" s="88">
        <f t="shared" ca="1" si="7"/>
        <v>0.22000000000000003</v>
      </c>
      <c r="F124" s="88">
        <f t="shared" si="9"/>
        <v>123</v>
      </c>
      <c r="G124" s="88">
        <f t="shared" ref="G124:J124" si="11">G112</f>
        <v>1</v>
      </c>
      <c r="H124" s="88">
        <f t="shared" si="11"/>
        <v>0</v>
      </c>
      <c r="I124" s="88">
        <f t="shared" si="11"/>
        <v>0</v>
      </c>
      <c r="J124" s="88">
        <f t="shared" si="11"/>
        <v>0</v>
      </c>
      <c r="K124" s="88"/>
      <c r="L124" s="20">
        <f>'Res OLS model'!$B$5</f>
        <v>10397563.9954574</v>
      </c>
      <c r="M124" s="20">
        <f ca="1">'Res OLS model'!$B$6*D124</f>
        <v>3036338.3619529973</v>
      </c>
      <c r="N124" s="20">
        <f ca="1">'Res OLS model'!$B$7*E124</f>
        <v>6055.4260695655776</v>
      </c>
      <c r="O124" s="20">
        <f>'Res OLS model'!$B$8*F124</f>
        <v>-525832.02740872523</v>
      </c>
      <c r="P124" s="20">
        <f>'Res OLS model'!$B$9*G124</f>
        <v>-1419959.8612913999</v>
      </c>
      <c r="Q124" s="20">
        <f>'Res OLS model'!$B$10*H124</f>
        <v>0</v>
      </c>
      <c r="R124" s="20">
        <f>'Res OLS model'!$B$11*I124</f>
        <v>0</v>
      </c>
      <c r="S124" s="20">
        <f>'Res OLS model'!$B$12*J124</f>
        <v>0</v>
      </c>
      <c r="T124" s="20">
        <f t="shared" ca="1" si="6"/>
        <v>11494165.894779839</v>
      </c>
    </row>
    <row r="125" spans="1:20" x14ac:dyDescent="0.3">
      <c r="A125" s="22">
        <v>42826</v>
      </c>
      <c r="B125" s="88">
        <f t="shared" si="5"/>
        <v>2017</v>
      </c>
      <c r="C125" s="20">
        <f>'Monthly Data'!E125</f>
        <v>0</v>
      </c>
      <c r="D125" s="88">
        <f t="shared" ca="1" si="7"/>
        <v>328.11</v>
      </c>
      <c r="E125" s="88">
        <f t="shared" ca="1" si="7"/>
        <v>0.32</v>
      </c>
      <c r="F125" s="88">
        <f t="shared" si="9"/>
        <v>124</v>
      </c>
      <c r="G125" s="88">
        <f t="shared" ref="G125:J125" si="12">G113</f>
        <v>1</v>
      </c>
      <c r="H125" s="88">
        <f t="shared" si="12"/>
        <v>0</v>
      </c>
      <c r="I125" s="88">
        <f t="shared" si="12"/>
        <v>0</v>
      </c>
      <c r="J125" s="88">
        <f t="shared" si="12"/>
        <v>0</v>
      </c>
      <c r="K125" s="88"/>
      <c r="L125" s="20">
        <f>'Res OLS model'!$B$5</f>
        <v>10397563.9954574</v>
      </c>
      <c r="M125" s="20">
        <f ca="1">'Res OLS model'!$B$6*D125</f>
        <v>1828758.8889630451</v>
      </c>
      <c r="N125" s="20">
        <f ca="1">'Res OLS model'!$B$7*E125</f>
        <v>8807.8924648226566</v>
      </c>
      <c r="O125" s="20">
        <f>'Res OLS model'!$B$8*F125</f>
        <v>-530107.08454212942</v>
      </c>
      <c r="P125" s="20">
        <f>'Res OLS model'!$B$9*G125</f>
        <v>-1419959.8612913999</v>
      </c>
      <c r="Q125" s="20">
        <f>'Res OLS model'!$B$10*H125</f>
        <v>0</v>
      </c>
      <c r="R125" s="20">
        <f>'Res OLS model'!$B$11*I125</f>
        <v>0</v>
      </c>
      <c r="S125" s="20">
        <f>'Res OLS model'!$B$12*J125</f>
        <v>0</v>
      </c>
      <c r="T125" s="20">
        <f t="shared" ca="1" si="6"/>
        <v>10285063.831051739</v>
      </c>
    </row>
    <row r="126" spans="1:20" x14ac:dyDescent="0.3">
      <c r="A126" s="22">
        <v>42856</v>
      </c>
      <c r="B126" s="88">
        <f t="shared" si="5"/>
        <v>2017</v>
      </c>
      <c r="C126" s="20">
        <f>'Monthly Data'!E126</f>
        <v>0</v>
      </c>
      <c r="D126" s="88">
        <f t="shared" ca="1" si="7"/>
        <v>134.47999999999999</v>
      </c>
      <c r="E126" s="88">
        <f t="shared" ca="1" si="7"/>
        <v>20.889999999999997</v>
      </c>
      <c r="F126" s="88">
        <f t="shared" si="9"/>
        <v>125</v>
      </c>
      <c r="G126" s="88">
        <f t="shared" ref="G126:J126" si="13">G114</f>
        <v>1</v>
      </c>
      <c r="H126" s="88">
        <f t="shared" si="13"/>
        <v>0</v>
      </c>
      <c r="I126" s="88">
        <f t="shared" si="13"/>
        <v>0</v>
      </c>
      <c r="J126" s="88">
        <f t="shared" si="13"/>
        <v>0</v>
      </c>
      <c r="K126" s="88"/>
      <c r="L126" s="20">
        <f>'Res OLS model'!$B$5</f>
        <v>10397563.9954574</v>
      </c>
      <c r="M126" s="20">
        <f ca="1">'Res OLS model'!$B$6*D126</f>
        <v>749539.77442854608</v>
      </c>
      <c r="N126" s="20">
        <f ca="1">'Res OLS model'!$B$7*E126</f>
        <v>574990.22996920394</v>
      </c>
      <c r="O126" s="20">
        <f>'Res OLS model'!$B$8*F126</f>
        <v>-534382.14167553373</v>
      </c>
      <c r="P126" s="20">
        <f>'Res OLS model'!$B$9*G126</f>
        <v>-1419959.8612913999</v>
      </c>
      <c r="Q126" s="20">
        <f>'Res OLS model'!$B$10*H126</f>
        <v>0</v>
      </c>
      <c r="R126" s="20">
        <f>'Res OLS model'!$B$11*I126</f>
        <v>0</v>
      </c>
      <c r="S126" s="20">
        <f>'Res OLS model'!$B$12*J126</f>
        <v>0</v>
      </c>
      <c r="T126" s="20">
        <f t="shared" ca="1" si="6"/>
        <v>9767751.9968882166</v>
      </c>
    </row>
    <row r="127" spans="1:20" x14ac:dyDescent="0.3">
      <c r="A127" s="22">
        <v>42887</v>
      </c>
      <c r="B127" s="88">
        <f t="shared" si="5"/>
        <v>2017</v>
      </c>
      <c r="C127" s="20">
        <f>'Monthly Data'!E127</f>
        <v>0</v>
      </c>
      <c r="D127" s="88">
        <f t="shared" ca="1" si="7"/>
        <v>30.429999999999996</v>
      </c>
      <c r="E127" s="88">
        <f t="shared" ca="1" si="7"/>
        <v>56.129999999999995</v>
      </c>
      <c r="F127" s="88">
        <f t="shared" si="9"/>
        <v>126</v>
      </c>
      <c r="G127" s="88">
        <f t="shared" ref="G127:J127" si="14">G115</f>
        <v>0</v>
      </c>
      <c r="H127" s="88">
        <f t="shared" si="14"/>
        <v>0</v>
      </c>
      <c r="I127" s="88">
        <f t="shared" si="14"/>
        <v>1</v>
      </c>
      <c r="J127" s="88">
        <f t="shared" si="14"/>
        <v>0</v>
      </c>
      <c r="K127" s="88"/>
      <c r="L127" s="20">
        <f>'Res OLS model'!$B$5</f>
        <v>10397563.9954574</v>
      </c>
      <c r="M127" s="20">
        <f ca="1">'Res OLS model'!$B$6*D127</f>
        <v>169605.11106380619</v>
      </c>
      <c r="N127" s="20">
        <f ca="1">'Res OLS model'!$B$7*E127</f>
        <v>1544959.3876577991</v>
      </c>
      <c r="O127" s="20">
        <f>'Res OLS model'!$B$8*F127</f>
        <v>-538657.19880893803</v>
      </c>
      <c r="P127" s="20">
        <f>'Res OLS model'!$B$9*G127</f>
        <v>0</v>
      </c>
      <c r="Q127" s="20">
        <f>'Res OLS model'!$B$10*H127</f>
        <v>0</v>
      </c>
      <c r="R127" s="20">
        <f>'Res OLS model'!$B$11*I127</f>
        <v>-773164.55099904304</v>
      </c>
      <c r="S127" s="20">
        <f>'Res OLS model'!$B$12*J127</f>
        <v>0</v>
      </c>
      <c r="T127" s="20">
        <f t="shared" ca="1" si="6"/>
        <v>10800306.744371023</v>
      </c>
    </row>
    <row r="128" spans="1:20" x14ac:dyDescent="0.3">
      <c r="A128" s="22">
        <v>42917</v>
      </c>
      <c r="B128" s="88">
        <f t="shared" si="5"/>
        <v>2017</v>
      </c>
      <c r="C128" s="20">
        <f>'Monthly Data'!E128</f>
        <v>0</v>
      </c>
      <c r="D128" s="88">
        <f t="shared" ca="1" si="7"/>
        <v>7.85</v>
      </c>
      <c r="E128" s="88">
        <f t="shared" ca="1" si="7"/>
        <v>99.97999999999999</v>
      </c>
      <c r="F128" s="88">
        <f t="shared" si="9"/>
        <v>127</v>
      </c>
      <c r="G128" s="88">
        <f t="shared" ref="G128:J128" si="15">G116</f>
        <v>0</v>
      </c>
      <c r="H128" s="88">
        <f t="shared" si="15"/>
        <v>0</v>
      </c>
      <c r="I128" s="88">
        <f t="shared" si="15"/>
        <v>0</v>
      </c>
      <c r="J128" s="88">
        <f t="shared" si="15"/>
        <v>0</v>
      </c>
      <c r="K128" s="88"/>
      <c r="L128" s="20">
        <f>'Res OLS model'!$B$5</f>
        <v>10397563.9954574</v>
      </c>
      <c r="M128" s="20">
        <f ca="1">'Res OLS model'!$B$6*D128</f>
        <v>43752.879456157701</v>
      </c>
      <c r="N128" s="20">
        <f ca="1">'Res OLS model'!$B$7*E128</f>
        <v>2751915.9019780285</v>
      </c>
      <c r="O128" s="20">
        <f>'Res OLS model'!$B$8*F128</f>
        <v>-542932.25594234222</v>
      </c>
      <c r="P128" s="20">
        <f>'Res OLS model'!$B$9*G128</f>
        <v>0</v>
      </c>
      <c r="Q128" s="20">
        <f>'Res OLS model'!$B$10*H128</f>
        <v>0</v>
      </c>
      <c r="R128" s="20">
        <f>'Res OLS model'!$B$11*I128</f>
        <v>0</v>
      </c>
      <c r="S128" s="20">
        <f>'Res OLS model'!$B$12*J128</f>
        <v>0</v>
      </c>
      <c r="T128" s="20">
        <f t="shared" ca="1" si="6"/>
        <v>12650300.520949243</v>
      </c>
    </row>
    <row r="129" spans="1:20" x14ac:dyDescent="0.3">
      <c r="A129" s="22">
        <v>42948</v>
      </c>
      <c r="B129" s="88">
        <f t="shared" si="5"/>
        <v>2017</v>
      </c>
      <c r="C129" s="20">
        <f>'Monthly Data'!E129</f>
        <v>0</v>
      </c>
      <c r="D129" s="88">
        <f t="shared" ca="1" si="7"/>
        <v>10.43</v>
      </c>
      <c r="E129" s="88">
        <f t="shared" ca="1" si="7"/>
        <v>80.190000000000012</v>
      </c>
      <c r="F129" s="88">
        <f t="shared" si="9"/>
        <v>128</v>
      </c>
      <c r="G129" s="88">
        <f t="shared" ref="G129:J129" si="16">G117</f>
        <v>0</v>
      </c>
      <c r="H129" s="88">
        <f t="shared" si="16"/>
        <v>0</v>
      </c>
      <c r="I129" s="88">
        <f t="shared" si="16"/>
        <v>0</v>
      </c>
      <c r="J129" s="88">
        <f t="shared" si="16"/>
        <v>0</v>
      </c>
      <c r="K129" s="88"/>
      <c r="L129" s="20">
        <f>'Res OLS model'!$B$5</f>
        <v>10397563.9954574</v>
      </c>
      <c r="M129" s="20">
        <f ca="1">'Res OLS model'!$B$6*D129</f>
        <v>58132.806716907617</v>
      </c>
      <c r="N129" s="20">
        <f ca="1">'Res OLS model'!$B$7*E129</f>
        <v>2207202.8023566529</v>
      </c>
      <c r="O129" s="20">
        <f>'Res OLS model'!$B$8*F129</f>
        <v>-547207.31307574653</v>
      </c>
      <c r="P129" s="20">
        <f>'Res OLS model'!$B$9*G129</f>
        <v>0</v>
      </c>
      <c r="Q129" s="20">
        <f>'Res OLS model'!$B$10*H129</f>
        <v>0</v>
      </c>
      <c r="R129" s="20">
        <f>'Res OLS model'!$B$11*I129</f>
        <v>0</v>
      </c>
      <c r="S129" s="20">
        <f>'Res OLS model'!$B$12*J129</f>
        <v>0</v>
      </c>
      <c r="T129" s="20">
        <f t="shared" ca="1" si="6"/>
        <v>12115692.291455213</v>
      </c>
    </row>
    <row r="130" spans="1:20" x14ac:dyDescent="0.3">
      <c r="A130" s="22">
        <v>42979</v>
      </c>
      <c r="B130" s="88">
        <f t="shared" si="5"/>
        <v>2017</v>
      </c>
      <c r="C130" s="20">
        <f>'Monthly Data'!E130</f>
        <v>0</v>
      </c>
      <c r="D130" s="88">
        <f t="shared" ca="1" si="7"/>
        <v>70.580000000000013</v>
      </c>
      <c r="E130" s="88">
        <f t="shared" ca="1" si="7"/>
        <v>29.429999999999996</v>
      </c>
      <c r="F130" s="88">
        <f t="shared" si="9"/>
        <v>129</v>
      </c>
      <c r="G130" s="88">
        <f t="shared" ref="G130:J130" si="17">G118</f>
        <v>1</v>
      </c>
      <c r="H130" s="88">
        <f t="shared" si="17"/>
        <v>0</v>
      </c>
      <c r="I130" s="88">
        <f t="shared" si="17"/>
        <v>0</v>
      </c>
      <c r="J130" s="88">
        <f t="shared" si="17"/>
        <v>1</v>
      </c>
      <c r="K130" s="88"/>
      <c r="L130" s="20">
        <f>'Res OLS model'!$B$5</f>
        <v>10397563.9954574</v>
      </c>
      <c r="M130" s="20">
        <f ca="1">'Res OLS model'!$B$6*D130</f>
        <v>393385.76204020524</v>
      </c>
      <c r="N130" s="20">
        <f ca="1">'Res OLS model'!$B$7*E130</f>
        <v>810050.86012415856</v>
      </c>
      <c r="O130" s="20">
        <f>'Res OLS model'!$B$8*F130</f>
        <v>-551482.37020915083</v>
      </c>
      <c r="P130" s="20">
        <f>'Res OLS model'!$B$9*G130</f>
        <v>-1419959.8612913999</v>
      </c>
      <c r="Q130" s="20">
        <f>'Res OLS model'!$B$10*H130</f>
        <v>0</v>
      </c>
      <c r="R130" s="20">
        <f>'Res OLS model'!$B$11*I130</f>
        <v>0</v>
      </c>
      <c r="S130" s="20">
        <f>'Res OLS model'!$B$12*J130</f>
        <v>772942.00624980999</v>
      </c>
      <c r="T130" s="20">
        <f t="shared" ca="1" si="6"/>
        <v>10402500.392371023</v>
      </c>
    </row>
    <row r="131" spans="1:20" x14ac:dyDescent="0.3">
      <c r="A131" s="22">
        <v>43009</v>
      </c>
      <c r="B131" s="88">
        <f t="shared" ref="B131:B145" si="18">YEAR(A131)</f>
        <v>2017</v>
      </c>
      <c r="C131" s="20">
        <f>'Monthly Data'!E131</f>
        <v>0</v>
      </c>
      <c r="D131" s="88">
        <f t="shared" ca="1" si="7"/>
        <v>241.15</v>
      </c>
      <c r="E131" s="88">
        <f t="shared" ca="1" si="7"/>
        <v>2.87</v>
      </c>
      <c r="F131" s="88">
        <f t="shared" si="9"/>
        <v>130</v>
      </c>
      <c r="G131" s="88">
        <f t="shared" ref="G131:J131" si="19">G119</f>
        <v>1</v>
      </c>
      <c r="H131" s="88">
        <f t="shared" si="19"/>
        <v>0</v>
      </c>
      <c r="I131" s="88">
        <f t="shared" si="19"/>
        <v>0</v>
      </c>
      <c r="J131" s="88">
        <f t="shared" si="19"/>
        <v>0</v>
      </c>
      <c r="K131" s="88"/>
      <c r="L131" s="20">
        <f>'Res OLS model'!$B$5</f>
        <v>10397563.9954574</v>
      </c>
      <c r="M131" s="20">
        <f ca="1">'Res OLS model'!$B$6*D131</f>
        <v>1344077.30966273</v>
      </c>
      <c r="N131" s="20">
        <f ca="1">'Res OLS model'!$B$7*E131</f>
        <v>78995.785543878199</v>
      </c>
      <c r="O131" s="20">
        <f>'Res OLS model'!$B$8*F131</f>
        <v>-555757.42734255502</v>
      </c>
      <c r="P131" s="20">
        <f>'Res OLS model'!$B$9*G131</f>
        <v>-1419959.8612913999</v>
      </c>
      <c r="Q131" s="20">
        <f>'Res OLS model'!$B$10*H131</f>
        <v>0</v>
      </c>
      <c r="R131" s="20">
        <f>'Res OLS model'!$B$11*I131</f>
        <v>0</v>
      </c>
      <c r="S131" s="20">
        <f>'Res OLS model'!$B$12*J131</f>
        <v>0</v>
      </c>
      <c r="T131" s="20">
        <f t="shared" ref="T131:T145" ca="1" si="20">SUM(L131:S131)</f>
        <v>9844919.802030053</v>
      </c>
    </row>
    <row r="132" spans="1:20" x14ac:dyDescent="0.3">
      <c r="A132" s="22">
        <v>43040</v>
      </c>
      <c r="B132" s="88">
        <f t="shared" si="18"/>
        <v>2017</v>
      </c>
      <c r="C132" s="20">
        <f>'Monthly Data'!E132</f>
        <v>0</v>
      </c>
      <c r="D132" s="88">
        <f t="shared" ca="1" si="7"/>
        <v>421.52</v>
      </c>
      <c r="E132" s="88">
        <f t="shared" ca="1" si="7"/>
        <v>0</v>
      </c>
      <c r="F132" s="88">
        <f t="shared" si="9"/>
        <v>131</v>
      </c>
      <c r="G132" s="88">
        <f t="shared" ref="G132:J132" si="21">G120</f>
        <v>1</v>
      </c>
      <c r="H132" s="88">
        <f t="shared" si="21"/>
        <v>0</v>
      </c>
      <c r="I132" s="88">
        <f t="shared" si="21"/>
        <v>0</v>
      </c>
      <c r="J132" s="88">
        <f t="shared" si="21"/>
        <v>0</v>
      </c>
      <c r="K132" s="88"/>
      <c r="L132" s="20">
        <f>'Res OLS model'!$B$5</f>
        <v>10397563.9954574</v>
      </c>
      <c r="M132" s="20">
        <f ca="1">'Res OLS model'!$B$6*D132</f>
        <v>2349390.2864152347</v>
      </c>
      <c r="N132" s="20">
        <f ca="1">'Res OLS model'!$B$7*E132</f>
        <v>0</v>
      </c>
      <c r="O132" s="20">
        <f>'Res OLS model'!$B$8*F132</f>
        <v>-560032.48447595933</v>
      </c>
      <c r="P132" s="20">
        <f>'Res OLS model'!$B$9*G132</f>
        <v>-1419959.8612913999</v>
      </c>
      <c r="Q132" s="20">
        <f>'Res OLS model'!$B$10*H132</f>
        <v>0</v>
      </c>
      <c r="R132" s="20">
        <f>'Res OLS model'!$B$11*I132</f>
        <v>0</v>
      </c>
      <c r="S132" s="20">
        <f>'Res OLS model'!$B$12*J132</f>
        <v>0</v>
      </c>
      <c r="T132" s="20">
        <f t="shared" ca="1" si="20"/>
        <v>10766961.936105276</v>
      </c>
    </row>
    <row r="133" spans="1:20" x14ac:dyDescent="0.3">
      <c r="A133" s="22">
        <v>43070</v>
      </c>
      <c r="B133" s="88">
        <f t="shared" si="18"/>
        <v>2017</v>
      </c>
      <c r="C133" s="20">
        <f>'Monthly Data'!E133</f>
        <v>0</v>
      </c>
      <c r="D133" s="88">
        <f t="shared" ca="1" si="7"/>
        <v>610.56000000000006</v>
      </c>
      <c r="E133" s="88">
        <f t="shared" ca="1" si="7"/>
        <v>0</v>
      </c>
      <c r="F133" s="88">
        <f t="shared" si="9"/>
        <v>132</v>
      </c>
      <c r="G133" s="88">
        <f t="shared" ref="G133:J133" si="22">G121</f>
        <v>0</v>
      </c>
      <c r="H133" s="88">
        <f t="shared" si="22"/>
        <v>0</v>
      </c>
      <c r="I133" s="88">
        <f t="shared" si="22"/>
        <v>0</v>
      </c>
      <c r="J133" s="88">
        <f t="shared" si="22"/>
        <v>0</v>
      </c>
      <c r="K133" s="88"/>
      <c r="L133" s="20">
        <f>'Res OLS model'!$B$5</f>
        <v>10397563.9954574</v>
      </c>
      <c r="M133" s="20">
        <f ca="1">'Res OLS model'!$B$6*D133</f>
        <v>3403026.5071021207</v>
      </c>
      <c r="N133" s="20">
        <f ca="1">'Res OLS model'!$B$7*E133</f>
        <v>0</v>
      </c>
      <c r="O133" s="20">
        <f>'Res OLS model'!$B$8*F133</f>
        <v>-564307.54160936363</v>
      </c>
      <c r="P133" s="20">
        <f>'Res OLS model'!$B$9*G133</f>
        <v>0</v>
      </c>
      <c r="Q133" s="20">
        <f>'Res OLS model'!$B$10*H133</f>
        <v>0</v>
      </c>
      <c r="R133" s="20">
        <f>'Res OLS model'!$B$11*I133</f>
        <v>0</v>
      </c>
      <c r="S133" s="20">
        <f>'Res OLS model'!$B$12*J133</f>
        <v>0</v>
      </c>
      <c r="T133" s="20">
        <f t="shared" ca="1" si="20"/>
        <v>13236282.960950157</v>
      </c>
    </row>
    <row r="134" spans="1:20" x14ac:dyDescent="0.3">
      <c r="A134" s="22">
        <v>43101</v>
      </c>
      <c r="B134" s="88">
        <f t="shared" si="18"/>
        <v>2018</v>
      </c>
      <c r="C134" s="20">
        <f>'Monthly Data'!E134</f>
        <v>0</v>
      </c>
      <c r="D134" s="88">
        <f t="shared" ca="1" si="7"/>
        <v>729.54999999999984</v>
      </c>
      <c r="E134" s="88">
        <f t="shared" ca="1" si="7"/>
        <v>0</v>
      </c>
      <c r="F134" s="88">
        <f t="shared" si="9"/>
        <v>133</v>
      </c>
      <c r="G134" s="88">
        <f t="shared" ref="G134:J134" si="23">G122</f>
        <v>0</v>
      </c>
      <c r="H134" s="88">
        <f t="shared" si="23"/>
        <v>0</v>
      </c>
      <c r="I134" s="88">
        <f t="shared" si="23"/>
        <v>0</v>
      </c>
      <c r="J134" s="88">
        <f t="shared" si="23"/>
        <v>0</v>
      </c>
      <c r="K134" s="88"/>
      <c r="L134" s="20">
        <f>'Res OLS model'!$B$5</f>
        <v>10397563.9954574</v>
      </c>
      <c r="M134" s="20">
        <f ca="1">'Res OLS model'!$B$6*D134</f>
        <v>4066230.9818139928</v>
      </c>
      <c r="N134" s="20">
        <f ca="1">'Res OLS model'!$B$7*E134</f>
        <v>0</v>
      </c>
      <c r="O134" s="20">
        <f>'Res OLS model'!$B$8*F134</f>
        <v>-568582.59874276782</v>
      </c>
      <c r="P134" s="20">
        <f>'Res OLS model'!$B$9*G134</f>
        <v>0</v>
      </c>
      <c r="Q134" s="20">
        <f>'Res OLS model'!$B$10*H134</f>
        <v>0</v>
      </c>
      <c r="R134" s="20">
        <f>'Res OLS model'!$B$11*I134</f>
        <v>0</v>
      </c>
      <c r="S134" s="20">
        <f>'Res OLS model'!$B$12*J134</f>
        <v>0</v>
      </c>
      <c r="T134" s="20">
        <f t="shared" ca="1" si="20"/>
        <v>13895212.378528625</v>
      </c>
    </row>
    <row r="135" spans="1:20" x14ac:dyDescent="0.3">
      <c r="A135" s="22">
        <v>43132</v>
      </c>
      <c r="B135" s="88">
        <f t="shared" si="18"/>
        <v>2018</v>
      </c>
      <c r="C135" s="20">
        <f>'Monthly Data'!E135</f>
        <v>0</v>
      </c>
      <c r="D135" s="88">
        <f t="shared" ca="1" si="7"/>
        <v>678.56000000000006</v>
      </c>
      <c r="E135" s="88">
        <f t="shared" ca="1" si="7"/>
        <v>0</v>
      </c>
      <c r="F135" s="88">
        <f t="shared" si="9"/>
        <v>134</v>
      </c>
      <c r="G135" s="88">
        <f t="shared" ref="G135:J135" si="24">G123</f>
        <v>0</v>
      </c>
      <c r="H135" s="88">
        <f t="shared" si="24"/>
        <v>1</v>
      </c>
      <c r="I135" s="88">
        <f t="shared" si="24"/>
        <v>0</v>
      </c>
      <c r="J135" s="88">
        <f t="shared" si="24"/>
        <v>0</v>
      </c>
      <c r="K135" s="88"/>
      <c r="L135" s="20">
        <f>'Res OLS model'!$B$5</f>
        <v>10397563.9954574</v>
      </c>
      <c r="M135" s="20">
        <f ca="1">'Res OLS model'!$B$6*D135</f>
        <v>3782032.341881576</v>
      </c>
      <c r="N135" s="20">
        <f ca="1">'Res OLS model'!$B$7*E135</f>
        <v>0</v>
      </c>
      <c r="O135" s="20">
        <f>'Res OLS model'!$B$8*F135</f>
        <v>-572857.65587617212</v>
      </c>
      <c r="P135" s="20">
        <f>'Res OLS model'!$B$9*G135</f>
        <v>0</v>
      </c>
      <c r="Q135" s="20">
        <f>'Res OLS model'!$B$10*H135</f>
        <v>-473349.26469262998</v>
      </c>
      <c r="R135" s="20">
        <f>'Res OLS model'!$B$11*I135</f>
        <v>0</v>
      </c>
      <c r="S135" s="20">
        <f>'Res OLS model'!$B$12*J135</f>
        <v>0</v>
      </c>
      <c r="T135" s="20">
        <f t="shared" ca="1" si="20"/>
        <v>13133389.416770173</v>
      </c>
    </row>
    <row r="136" spans="1:20" x14ac:dyDescent="0.3">
      <c r="A136" s="22">
        <v>43160</v>
      </c>
      <c r="B136" s="88">
        <f t="shared" si="18"/>
        <v>2018</v>
      </c>
      <c r="C136" s="20">
        <f>'Monthly Data'!E136</f>
        <v>0</v>
      </c>
      <c r="D136" s="88">
        <f t="shared" ca="1" si="7"/>
        <v>544.77</v>
      </c>
      <c r="E136" s="88">
        <f t="shared" ca="1" si="7"/>
        <v>0.22000000000000003</v>
      </c>
      <c r="F136" s="88">
        <f t="shared" si="9"/>
        <v>135</v>
      </c>
      <c r="G136" s="88">
        <f t="shared" ref="G136:J136" si="25">G124</f>
        <v>1</v>
      </c>
      <c r="H136" s="88">
        <f t="shared" si="25"/>
        <v>0</v>
      </c>
      <c r="I136" s="88">
        <f t="shared" si="25"/>
        <v>0</v>
      </c>
      <c r="J136" s="88">
        <f t="shared" si="25"/>
        <v>0</v>
      </c>
      <c r="K136" s="88"/>
      <c r="L136" s="20">
        <f>'Res OLS model'!$B$5</f>
        <v>10397563.9954574</v>
      </c>
      <c r="M136" s="20">
        <f ca="1">'Res OLS model'!$B$6*D136</f>
        <v>3036338.3619529973</v>
      </c>
      <c r="N136" s="20">
        <f ca="1">'Res OLS model'!$B$7*E136</f>
        <v>6055.4260695655776</v>
      </c>
      <c r="O136" s="20">
        <f>'Res OLS model'!$B$8*F136</f>
        <v>-577132.71300957643</v>
      </c>
      <c r="P136" s="20">
        <f>'Res OLS model'!$B$9*G136</f>
        <v>-1419959.8612913999</v>
      </c>
      <c r="Q136" s="20">
        <f>'Res OLS model'!$B$10*H136</f>
        <v>0</v>
      </c>
      <c r="R136" s="20">
        <f>'Res OLS model'!$B$11*I136</f>
        <v>0</v>
      </c>
      <c r="S136" s="20">
        <f>'Res OLS model'!$B$12*J136</f>
        <v>0</v>
      </c>
      <c r="T136" s="20">
        <f t="shared" ca="1" si="20"/>
        <v>11442865.209178986</v>
      </c>
    </row>
    <row r="137" spans="1:20" x14ac:dyDescent="0.3">
      <c r="A137" s="22">
        <v>43191</v>
      </c>
      <c r="B137" s="88">
        <f t="shared" si="18"/>
        <v>2018</v>
      </c>
      <c r="C137" s="20">
        <f>'Monthly Data'!E137</f>
        <v>0</v>
      </c>
      <c r="D137" s="88">
        <f t="shared" ca="1" si="7"/>
        <v>328.11</v>
      </c>
      <c r="E137" s="88">
        <f t="shared" ca="1" si="7"/>
        <v>0.32</v>
      </c>
      <c r="F137" s="88">
        <f t="shared" si="9"/>
        <v>136</v>
      </c>
      <c r="G137" s="88">
        <f t="shared" ref="G137:J137" si="26">G125</f>
        <v>1</v>
      </c>
      <c r="H137" s="88">
        <f t="shared" si="26"/>
        <v>0</v>
      </c>
      <c r="I137" s="88">
        <f t="shared" si="26"/>
        <v>0</v>
      </c>
      <c r="J137" s="88">
        <f t="shared" si="26"/>
        <v>0</v>
      </c>
      <c r="K137" s="88"/>
      <c r="L137" s="20">
        <f>'Res OLS model'!$B$5</f>
        <v>10397563.9954574</v>
      </c>
      <c r="M137" s="20">
        <f ca="1">'Res OLS model'!$B$6*D137</f>
        <v>1828758.8889630451</v>
      </c>
      <c r="N137" s="20">
        <f ca="1">'Res OLS model'!$B$7*E137</f>
        <v>8807.8924648226566</v>
      </c>
      <c r="O137" s="20">
        <f>'Res OLS model'!$B$8*F137</f>
        <v>-581407.77014298073</v>
      </c>
      <c r="P137" s="20">
        <f>'Res OLS model'!$B$9*G137</f>
        <v>-1419959.8612913999</v>
      </c>
      <c r="Q137" s="20">
        <f>'Res OLS model'!$B$10*H137</f>
        <v>0</v>
      </c>
      <c r="R137" s="20">
        <f>'Res OLS model'!$B$11*I137</f>
        <v>0</v>
      </c>
      <c r="S137" s="20">
        <f>'Res OLS model'!$B$12*J137</f>
        <v>0</v>
      </c>
      <c r="T137" s="20">
        <f t="shared" ca="1" si="20"/>
        <v>10233763.145450888</v>
      </c>
    </row>
    <row r="138" spans="1:20" x14ac:dyDescent="0.3">
      <c r="A138" s="22">
        <v>43221</v>
      </c>
      <c r="B138" s="88">
        <f t="shared" si="18"/>
        <v>2018</v>
      </c>
      <c r="C138" s="20">
        <f>'Monthly Data'!E138</f>
        <v>0</v>
      </c>
      <c r="D138" s="88">
        <f t="shared" ca="1" si="7"/>
        <v>134.47999999999999</v>
      </c>
      <c r="E138" s="88">
        <f t="shared" ca="1" si="7"/>
        <v>20.889999999999997</v>
      </c>
      <c r="F138" s="88">
        <f t="shared" si="9"/>
        <v>137</v>
      </c>
      <c r="G138" s="88">
        <f t="shared" ref="G138:J138" si="27">G126</f>
        <v>1</v>
      </c>
      <c r="H138" s="88">
        <f t="shared" si="27"/>
        <v>0</v>
      </c>
      <c r="I138" s="88">
        <f t="shared" si="27"/>
        <v>0</v>
      </c>
      <c r="J138" s="88">
        <f t="shared" si="27"/>
        <v>0</v>
      </c>
      <c r="K138" s="88"/>
      <c r="L138" s="20">
        <f>'Res OLS model'!$B$5</f>
        <v>10397563.9954574</v>
      </c>
      <c r="M138" s="20">
        <f ca="1">'Res OLS model'!$B$6*D138</f>
        <v>749539.77442854608</v>
      </c>
      <c r="N138" s="20">
        <f ca="1">'Res OLS model'!$B$7*E138</f>
        <v>574990.22996920394</v>
      </c>
      <c r="O138" s="20">
        <f>'Res OLS model'!$B$8*F138</f>
        <v>-585682.82727638492</v>
      </c>
      <c r="P138" s="20">
        <f>'Res OLS model'!$B$9*G138</f>
        <v>-1419959.8612913999</v>
      </c>
      <c r="Q138" s="20">
        <f>'Res OLS model'!$B$10*H138</f>
        <v>0</v>
      </c>
      <c r="R138" s="20">
        <f>'Res OLS model'!$B$11*I138</f>
        <v>0</v>
      </c>
      <c r="S138" s="20">
        <f>'Res OLS model'!$B$12*J138</f>
        <v>0</v>
      </c>
      <c r="T138" s="20">
        <f t="shared" ca="1" si="20"/>
        <v>9716451.3112873659</v>
      </c>
    </row>
    <row r="139" spans="1:20" x14ac:dyDescent="0.3">
      <c r="A139" s="22">
        <v>43252</v>
      </c>
      <c r="B139" s="88">
        <f t="shared" si="18"/>
        <v>2018</v>
      </c>
      <c r="C139" s="20">
        <f>'Monthly Data'!E139</f>
        <v>0</v>
      </c>
      <c r="D139" s="88">
        <f t="shared" ca="1" si="7"/>
        <v>30.429999999999996</v>
      </c>
      <c r="E139" s="88">
        <f t="shared" ca="1" si="7"/>
        <v>56.129999999999995</v>
      </c>
      <c r="F139" s="88">
        <f t="shared" si="9"/>
        <v>138</v>
      </c>
      <c r="G139" s="88">
        <f t="shared" ref="G139:J139" si="28">G127</f>
        <v>0</v>
      </c>
      <c r="H139" s="88">
        <f t="shared" si="28"/>
        <v>0</v>
      </c>
      <c r="I139" s="88">
        <f t="shared" si="28"/>
        <v>1</v>
      </c>
      <c r="J139" s="88">
        <f t="shared" si="28"/>
        <v>0</v>
      </c>
      <c r="K139" s="88"/>
      <c r="L139" s="20">
        <f>'Res OLS model'!$B$5</f>
        <v>10397563.9954574</v>
      </c>
      <c r="M139" s="20">
        <f ca="1">'Res OLS model'!$B$6*D139</f>
        <v>169605.11106380619</v>
      </c>
      <c r="N139" s="20">
        <f ca="1">'Res OLS model'!$B$7*E139</f>
        <v>1544959.3876577991</v>
      </c>
      <c r="O139" s="20">
        <f>'Res OLS model'!$B$8*F139</f>
        <v>-589957.88440978923</v>
      </c>
      <c r="P139" s="20">
        <f>'Res OLS model'!$B$9*G139</f>
        <v>0</v>
      </c>
      <c r="Q139" s="20">
        <f>'Res OLS model'!$B$10*H139</f>
        <v>0</v>
      </c>
      <c r="R139" s="20">
        <f>'Res OLS model'!$B$11*I139</f>
        <v>-773164.55099904304</v>
      </c>
      <c r="S139" s="20">
        <f>'Res OLS model'!$B$12*J139</f>
        <v>0</v>
      </c>
      <c r="T139" s="20">
        <f t="shared" ca="1" si="20"/>
        <v>10749006.058770172</v>
      </c>
    </row>
    <row r="140" spans="1:20" x14ac:dyDescent="0.3">
      <c r="A140" s="22">
        <v>43282</v>
      </c>
      <c r="B140" s="88">
        <f t="shared" si="18"/>
        <v>2018</v>
      </c>
      <c r="C140" s="20">
        <f>'Monthly Data'!E140</f>
        <v>0</v>
      </c>
      <c r="D140" s="88">
        <f t="shared" ca="1" si="7"/>
        <v>7.85</v>
      </c>
      <c r="E140" s="88">
        <f t="shared" ca="1" si="7"/>
        <v>99.97999999999999</v>
      </c>
      <c r="F140" s="88">
        <f t="shared" si="9"/>
        <v>139</v>
      </c>
      <c r="G140" s="88">
        <f t="shared" ref="G140:J140" si="29">G128</f>
        <v>0</v>
      </c>
      <c r="H140" s="88">
        <f t="shared" si="29"/>
        <v>0</v>
      </c>
      <c r="I140" s="88">
        <f t="shared" si="29"/>
        <v>0</v>
      </c>
      <c r="J140" s="88">
        <f t="shared" si="29"/>
        <v>0</v>
      </c>
      <c r="K140" s="88"/>
      <c r="L140" s="20">
        <f>'Res OLS model'!$B$5</f>
        <v>10397563.9954574</v>
      </c>
      <c r="M140" s="20">
        <f ca="1">'Res OLS model'!$B$6*D140</f>
        <v>43752.879456157701</v>
      </c>
      <c r="N140" s="20">
        <f ca="1">'Res OLS model'!$B$7*E140</f>
        <v>2751915.9019780285</v>
      </c>
      <c r="O140" s="20">
        <f>'Res OLS model'!$B$8*F140</f>
        <v>-594232.94154319353</v>
      </c>
      <c r="P140" s="20">
        <f>'Res OLS model'!$B$9*G140</f>
        <v>0</v>
      </c>
      <c r="Q140" s="20">
        <f>'Res OLS model'!$B$10*H140</f>
        <v>0</v>
      </c>
      <c r="R140" s="20">
        <f>'Res OLS model'!$B$11*I140</f>
        <v>0</v>
      </c>
      <c r="S140" s="20">
        <f>'Res OLS model'!$B$12*J140</f>
        <v>0</v>
      </c>
      <c r="T140" s="20">
        <f t="shared" ca="1" si="20"/>
        <v>12598999.835348392</v>
      </c>
    </row>
    <row r="141" spans="1:20" x14ac:dyDescent="0.3">
      <c r="A141" s="22">
        <v>43313</v>
      </c>
      <c r="B141" s="88">
        <f t="shared" si="18"/>
        <v>2018</v>
      </c>
      <c r="C141" s="20">
        <f>'Monthly Data'!E141</f>
        <v>0</v>
      </c>
      <c r="D141" s="88">
        <f t="shared" ca="1" si="7"/>
        <v>10.43</v>
      </c>
      <c r="E141" s="88">
        <f t="shared" ca="1" si="7"/>
        <v>80.190000000000012</v>
      </c>
      <c r="F141" s="88">
        <f t="shared" si="9"/>
        <v>140</v>
      </c>
      <c r="G141" s="88">
        <f t="shared" ref="G141:J141" si="30">G129</f>
        <v>0</v>
      </c>
      <c r="H141" s="88">
        <f t="shared" si="30"/>
        <v>0</v>
      </c>
      <c r="I141" s="88">
        <f t="shared" si="30"/>
        <v>0</v>
      </c>
      <c r="J141" s="88">
        <f t="shared" si="30"/>
        <v>0</v>
      </c>
      <c r="K141" s="88"/>
      <c r="L141" s="20">
        <f>'Res OLS model'!$B$5</f>
        <v>10397563.9954574</v>
      </c>
      <c r="M141" s="20">
        <f ca="1">'Res OLS model'!$B$6*D141</f>
        <v>58132.806716907617</v>
      </c>
      <c r="N141" s="20">
        <f ca="1">'Res OLS model'!$B$7*E141</f>
        <v>2207202.8023566529</v>
      </c>
      <c r="O141" s="20">
        <f>'Res OLS model'!$B$8*F141</f>
        <v>-598507.99867659772</v>
      </c>
      <c r="P141" s="20">
        <f>'Res OLS model'!$B$9*G141</f>
        <v>0</v>
      </c>
      <c r="Q141" s="20">
        <f>'Res OLS model'!$B$10*H141</f>
        <v>0</v>
      </c>
      <c r="R141" s="20">
        <f>'Res OLS model'!$B$11*I141</f>
        <v>0</v>
      </c>
      <c r="S141" s="20">
        <f>'Res OLS model'!$B$12*J141</f>
        <v>0</v>
      </c>
      <c r="T141" s="20">
        <f t="shared" ca="1" si="20"/>
        <v>12064391.605854362</v>
      </c>
    </row>
    <row r="142" spans="1:20" x14ac:dyDescent="0.3">
      <c r="A142" s="22">
        <v>43344</v>
      </c>
      <c r="B142" s="88">
        <f t="shared" si="18"/>
        <v>2018</v>
      </c>
      <c r="C142" s="20">
        <f>'Monthly Data'!E142</f>
        <v>0</v>
      </c>
      <c r="D142" s="88">
        <f t="shared" ca="1" si="7"/>
        <v>70.580000000000013</v>
      </c>
      <c r="E142" s="88">
        <f t="shared" ca="1" si="7"/>
        <v>29.429999999999996</v>
      </c>
      <c r="F142" s="88">
        <f t="shared" si="9"/>
        <v>141</v>
      </c>
      <c r="G142" s="88">
        <f t="shared" ref="G142:J142" si="31">G130</f>
        <v>1</v>
      </c>
      <c r="H142" s="88">
        <f t="shared" si="31"/>
        <v>0</v>
      </c>
      <c r="I142" s="88">
        <f t="shared" si="31"/>
        <v>0</v>
      </c>
      <c r="J142" s="88">
        <f t="shared" si="31"/>
        <v>1</v>
      </c>
      <c r="K142" s="88"/>
      <c r="L142" s="20">
        <f>'Res OLS model'!$B$5</f>
        <v>10397563.9954574</v>
      </c>
      <c r="M142" s="20">
        <f ca="1">'Res OLS model'!$B$6*D142</f>
        <v>393385.76204020524</v>
      </c>
      <c r="N142" s="20">
        <f ca="1">'Res OLS model'!$B$7*E142</f>
        <v>810050.86012415856</v>
      </c>
      <c r="O142" s="20">
        <f>'Res OLS model'!$B$8*F142</f>
        <v>-602783.05581000203</v>
      </c>
      <c r="P142" s="20">
        <f>'Res OLS model'!$B$9*G142</f>
        <v>-1419959.8612913999</v>
      </c>
      <c r="Q142" s="20">
        <f>'Res OLS model'!$B$10*H142</f>
        <v>0</v>
      </c>
      <c r="R142" s="20">
        <f>'Res OLS model'!$B$11*I142</f>
        <v>0</v>
      </c>
      <c r="S142" s="20">
        <f>'Res OLS model'!$B$12*J142</f>
        <v>772942.00624980999</v>
      </c>
      <c r="T142" s="20">
        <f t="shared" ca="1" si="20"/>
        <v>10351199.70677017</v>
      </c>
    </row>
    <row r="143" spans="1:20" x14ac:dyDescent="0.3">
      <c r="A143" s="22">
        <v>43374</v>
      </c>
      <c r="B143" s="88">
        <f t="shared" si="18"/>
        <v>2018</v>
      </c>
      <c r="C143" s="20">
        <f>'Monthly Data'!E143</f>
        <v>0</v>
      </c>
      <c r="D143" s="88">
        <f t="shared" ref="D143:E145" ca="1" si="32">D131</f>
        <v>241.15</v>
      </c>
      <c r="E143" s="88">
        <f t="shared" ca="1" si="32"/>
        <v>2.87</v>
      </c>
      <c r="F143" s="88">
        <f t="shared" si="9"/>
        <v>142</v>
      </c>
      <c r="G143" s="88">
        <f t="shared" ref="G143:J143" si="33">G131</f>
        <v>1</v>
      </c>
      <c r="H143" s="88">
        <f t="shared" si="33"/>
        <v>0</v>
      </c>
      <c r="I143" s="88">
        <f t="shared" si="33"/>
        <v>0</v>
      </c>
      <c r="J143" s="88">
        <f t="shared" si="33"/>
        <v>0</v>
      </c>
      <c r="K143" s="88"/>
      <c r="L143" s="20">
        <f>'Res OLS model'!$B$5</f>
        <v>10397563.9954574</v>
      </c>
      <c r="M143" s="20">
        <f ca="1">'Res OLS model'!$B$6*D143</f>
        <v>1344077.30966273</v>
      </c>
      <c r="N143" s="20">
        <f ca="1">'Res OLS model'!$B$7*E143</f>
        <v>78995.785543878199</v>
      </c>
      <c r="O143" s="20">
        <f>'Res OLS model'!$B$8*F143</f>
        <v>-607058.11294340633</v>
      </c>
      <c r="P143" s="20">
        <f>'Res OLS model'!$B$9*G143</f>
        <v>-1419959.8612913999</v>
      </c>
      <c r="Q143" s="20">
        <f>'Res OLS model'!$B$10*H143</f>
        <v>0</v>
      </c>
      <c r="R143" s="20">
        <f>'Res OLS model'!$B$11*I143</f>
        <v>0</v>
      </c>
      <c r="S143" s="20">
        <f>'Res OLS model'!$B$12*J143</f>
        <v>0</v>
      </c>
      <c r="T143" s="20">
        <f t="shared" ca="1" si="20"/>
        <v>9793619.1164292004</v>
      </c>
    </row>
    <row r="144" spans="1:20" x14ac:dyDescent="0.3">
      <c r="A144" s="22">
        <v>43405</v>
      </c>
      <c r="B144" s="88">
        <f t="shared" si="18"/>
        <v>2018</v>
      </c>
      <c r="C144" s="20">
        <f>'Monthly Data'!E144</f>
        <v>0</v>
      </c>
      <c r="D144" s="88">
        <f t="shared" ca="1" si="32"/>
        <v>421.52</v>
      </c>
      <c r="E144" s="88">
        <f t="shared" ca="1" si="32"/>
        <v>0</v>
      </c>
      <c r="F144" s="88">
        <f t="shared" si="9"/>
        <v>143</v>
      </c>
      <c r="G144" s="88">
        <f t="shared" ref="G144:J144" si="34">G132</f>
        <v>1</v>
      </c>
      <c r="H144" s="88">
        <f t="shared" si="34"/>
        <v>0</v>
      </c>
      <c r="I144" s="88">
        <f t="shared" si="34"/>
        <v>0</v>
      </c>
      <c r="J144" s="88">
        <f t="shared" si="34"/>
        <v>0</v>
      </c>
      <c r="K144" s="88"/>
      <c r="L144" s="20">
        <f>'Res OLS model'!$B$5</f>
        <v>10397563.9954574</v>
      </c>
      <c r="M144" s="20">
        <f ca="1">'Res OLS model'!$B$6*D144</f>
        <v>2349390.2864152347</v>
      </c>
      <c r="N144" s="20">
        <f ca="1">'Res OLS model'!$B$7*E144</f>
        <v>0</v>
      </c>
      <c r="O144" s="20">
        <f>'Res OLS model'!$B$8*F144</f>
        <v>-611333.17007681052</v>
      </c>
      <c r="P144" s="20">
        <f>'Res OLS model'!$B$9*G144</f>
        <v>-1419959.8612913999</v>
      </c>
      <c r="Q144" s="20">
        <f>'Res OLS model'!$B$10*H144</f>
        <v>0</v>
      </c>
      <c r="R144" s="20">
        <f>'Res OLS model'!$B$11*I144</f>
        <v>0</v>
      </c>
      <c r="S144" s="20">
        <f>'Res OLS model'!$B$12*J144</f>
        <v>0</v>
      </c>
      <c r="T144" s="20">
        <f t="shared" ca="1" si="20"/>
        <v>10715661.250504425</v>
      </c>
    </row>
    <row r="145" spans="1:20" x14ac:dyDescent="0.3">
      <c r="A145" s="22">
        <v>43435</v>
      </c>
      <c r="B145" s="88">
        <f t="shared" si="18"/>
        <v>2018</v>
      </c>
      <c r="C145" s="20">
        <f>'Monthly Data'!E145</f>
        <v>0</v>
      </c>
      <c r="D145" s="88">
        <f t="shared" ca="1" si="32"/>
        <v>610.56000000000006</v>
      </c>
      <c r="E145" s="88">
        <f t="shared" ca="1" si="32"/>
        <v>0</v>
      </c>
      <c r="F145" s="88">
        <f t="shared" si="9"/>
        <v>144</v>
      </c>
      <c r="G145" s="88">
        <f t="shared" ref="G145:J145" si="35">G133</f>
        <v>0</v>
      </c>
      <c r="H145" s="88">
        <f t="shared" si="35"/>
        <v>0</v>
      </c>
      <c r="I145" s="88">
        <f t="shared" si="35"/>
        <v>0</v>
      </c>
      <c r="J145" s="88">
        <f t="shared" si="35"/>
        <v>0</v>
      </c>
      <c r="K145" s="88"/>
      <c r="L145" s="20">
        <f>'Res OLS model'!$B$5</f>
        <v>10397563.9954574</v>
      </c>
      <c r="M145" s="20">
        <f ca="1">'Res OLS model'!$B$6*D145</f>
        <v>3403026.5071021207</v>
      </c>
      <c r="N145" s="20">
        <f ca="1">'Res OLS model'!$B$7*E145</f>
        <v>0</v>
      </c>
      <c r="O145" s="20">
        <f>'Res OLS model'!$B$8*F145</f>
        <v>-615608.22721021483</v>
      </c>
      <c r="P145" s="20">
        <f>'Res OLS model'!$B$9*G145</f>
        <v>0</v>
      </c>
      <c r="Q145" s="20">
        <f>'Res OLS model'!$B$10*H145</f>
        <v>0</v>
      </c>
      <c r="R145" s="20">
        <f>'Res OLS model'!$B$11*I145</f>
        <v>0</v>
      </c>
      <c r="S145" s="20">
        <f>'Res OLS model'!$B$12*J145</f>
        <v>0</v>
      </c>
      <c r="T145" s="20">
        <f t="shared" ca="1" si="20"/>
        <v>13184982.275349306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topLeftCell="A106" workbookViewId="0">
      <selection activeCell="G122" sqref="G122"/>
    </sheetView>
  </sheetViews>
  <sheetFormatPr defaultColWidth="9.109375" defaultRowHeight="13.2" x14ac:dyDescent="0.25"/>
  <cols>
    <col min="1" max="1" width="10.33203125" style="4" bestFit="1" customWidth="1"/>
    <col min="2" max="2" width="5" style="4" bestFit="1" customWidth="1"/>
    <col min="3" max="3" width="17.6640625" style="4" bestFit="1" customWidth="1"/>
    <col min="4" max="4" width="12.88671875" style="4" bestFit="1" customWidth="1"/>
    <col min="5" max="5" width="11.77734375" style="4" bestFit="1" customWidth="1"/>
    <col min="6" max="6" width="11.6640625" style="4" bestFit="1" customWidth="1"/>
    <col min="7" max="7" width="10.88671875" style="4" bestFit="1" customWidth="1"/>
    <col min="8" max="8" width="5.33203125" style="4" bestFit="1" customWidth="1"/>
    <col min="9" max="9" width="4.109375" style="88" bestFit="1" customWidth="1"/>
    <col min="10" max="10" width="4.44140625" style="88" bestFit="1" customWidth="1"/>
    <col min="11" max="11" width="4.109375" style="88" bestFit="1" customWidth="1"/>
    <col min="12" max="12" width="4" style="88" bestFit="1" customWidth="1"/>
    <col min="13" max="13" width="4.33203125" style="88" bestFit="1" customWidth="1"/>
    <col min="14" max="14" width="9.109375" style="4"/>
    <col min="15" max="15" width="11.5546875" style="4" bestFit="1" customWidth="1"/>
    <col min="16" max="16" width="14" style="4" bestFit="1" customWidth="1"/>
    <col min="17" max="17" width="12.88671875" style="4" bestFit="1" customWidth="1"/>
    <col min="18" max="18" width="12.77734375" style="4" bestFit="1" customWidth="1"/>
    <col min="19" max="19" width="12.109375" style="4" bestFit="1" customWidth="1"/>
    <col min="20" max="20" width="9.109375" style="4" bestFit="1" customWidth="1"/>
    <col min="21" max="25" width="9.109375" style="88" customWidth="1"/>
    <col min="26" max="26" width="15.6640625" style="4" bestFit="1" customWidth="1"/>
    <col min="27" max="16384" width="9.109375" style="4"/>
  </cols>
  <sheetData>
    <row r="1" spans="1:26" ht="14.4" x14ac:dyDescent="0.3">
      <c r="A1" s="88" t="str">
        <f>'Monthly Data'!A1</f>
        <v>Date</v>
      </c>
      <c r="B1" s="88" t="s">
        <v>89</v>
      </c>
      <c r="C1" s="20" t="str">
        <f>'Monthly Data'!H1</f>
        <v>GS_lt_50_no_CDM</v>
      </c>
      <c r="D1" s="88" t="str">
        <f>'Monthly Data'!AC1</f>
        <v>GS_lt_50_Cust</v>
      </c>
      <c r="E1" s="88" t="str">
        <f>'Monthly Data'!AK1</f>
        <v>London_HDD</v>
      </c>
      <c r="F1" s="88" t="str">
        <f>'Monthly Data'!AL1</f>
        <v>London_CDD</v>
      </c>
      <c r="G1" s="88" t="str">
        <f>'Monthly Data'!AQ1</f>
        <v>London_FTE</v>
      </c>
      <c r="H1" s="88" t="str">
        <f>'Monthly Data'!AT1</f>
        <v>Trend</v>
      </c>
      <c r="I1" s="88" t="str">
        <f>'Monthly Data'!AW1</f>
        <v>Mar</v>
      </c>
      <c r="J1" s="88" t="str">
        <f>'Monthly Data'!AZ1</f>
        <v>June</v>
      </c>
      <c r="K1" s="88" t="str">
        <f>'Monthly Data'!BA1</f>
        <v>July</v>
      </c>
      <c r="L1" s="88" t="str">
        <f>'Monthly Data'!BB1</f>
        <v>Aug</v>
      </c>
      <c r="M1" s="88" t="str">
        <f>'Monthly Data'!BC1</f>
        <v>Sept</v>
      </c>
      <c r="O1" s="20" t="s">
        <v>74</v>
      </c>
      <c r="P1" s="20" t="str">
        <f>D1</f>
        <v>GS_lt_50_Cust</v>
      </c>
      <c r="Q1" s="20" t="str">
        <f>E1</f>
        <v>London_HDD</v>
      </c>
      <c r="R1" s="20" t="str">
        <f>F1</f>
        <v>London_CDD</v>
      </c>
      <c r="S1" s="20" t="str">
        <f>G1</f>
        <v>London_FTE</v>
      </c>
      <c r="T1" s="20" t="str">
        <f>H1</f>
        <v>Trend</v>
      </c>
      <c r="U1" s="20" t="str">
        <f t="shared" ref="U1:Y1" si="0">I1</f>
        <v>Mar</v>
      </c>
      <c r="V1" s="20" t="str">
        <f t="shared" si="0"/>
        <v>June</v>
      </c>
      <c r="W1" s="20" t="str">
        <f t="shared" si="0"/>
        <v>July</v>
      </c>
      <c r="X1" s="20" t="str">
        <f t="shared" si="0"/>
        <v>Aug</v>
      </c>
      <c r="Y1" s="20" t="str">
        <f t="shared" si="0"/>
        <v>Sept</v>
      </c>
      <c r="Z1" s="20" t="s">
        <v>102</v>
      </c>
    </row>
    <row r="2" spans="1:26" ht="14.4" x14ac:dyDescent="0.3">
      <c r="A2" s="22">
        <f>'Monthly Data'!A2</f>
        <v>39083</v>
      </c>
      <c r="B2" s="88">
        <f t="shared" ref="B2" si="1">YEAR(A2)</f>
        <v>2007</v>
      </c>
      <c r="C2" s="20">
        <f ca="1">'Monthly Data'!H2</f>
        <v>4555426.1688953731</v>
      </c>
      <c r="D2" s="88">
        <f>'Monthly Data'!AC2</f>
        <v>1878</v>
      </c>
      <c r="E2" s="88">
        <f ca="1">Weather!G66</f>
        <v>729.54999999999984</v>
      </c>
      <c r="F2" s="88">
        <f ca="1">Weather!H66</f>
        <v>0</v>
      </c>
      <c r="G2" s="88">
        <f>'Monthly Data'!AQ2</f>
        <v>254</v>
      </c>
      <c r="H2" s="88">
        <f>'Monthly Data'!AT2</f>
        <v>1</v>
      </c>
      <c r="I2" s="88">
        <f>'Monthly Data'!AW2</f>
        <v>0</v>
      </c>
      <c r="J2" s="88">
        <f>'Monthly Data'!AZ2</f>
        <v>0</v>
      </c>
      <c r="K2" s="88">
        <f>'Monthly Data'!BA2</f>
        <v>0</v>
      </c>
      <c r="L2" s="88">
        <f>'Monthly Data'!BB2</f>
        <v>0</v>
      </c>
      <c r="M2" s="88">
        <f>'Monthly Data'!BC2</f>
        <v>0</v>
      </c>
      <c r="O2" s="20">
        <f>'GS &lt; 50 OLS model'!$B$5</f>
        <v>-11631489.5525492</v>
      </c>
      <c r="P2" s="20">
        <f>'GS &lt; 50 OLS model'!$B$6*D2</f>
        <v>12303018.356864853</v>
      </c>
      <c r="Q2" s="20">
        <f ca="1">'GS &lt; 50 OLS model'!$B$7*E2</f>
        <v>1527731.0725796996</v>
      </c>
      <c r="R2" s="20">
        <f ca="1">'GS &lt; 50 OLS model'!$B$8*F2</f>
        <v>0</v>
      </c>
      <c r="S2" s="20">
        <f>'GS &lt; 50 OLS model'!$B$9*G2</f>
        <v>2647058.4153656471</v>
      </c>
      <c r="T2" s="20">
        <f>'GS &lt; 50 OLS model'!$B$10*H2</f>
        <v>-4822.6940773163997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 ca="1">SUM(O2:Y2)</f>
        <v>4841495.5981836822</v>
      </c>
    </row>
    <row r="3" spans="1:26" ht="14.4" x14ac:dyDescent="0.3">
      <c r="A3" s="22">
        <f>'Monthly Data'!A3</f>
        <v>39114</v>
      </c>
      <c r="B3" s="88">
        <f t="shared" ref="B3:B66" si="2">YEAR(A3)</f>
        <v>2007</v>
      </c>
      <c r="C3" s="20">
        <f ca="1">'Monthly Data'!H3</f>
        <v>5124464.9388953727</v>
      </c>
      <c r="D3" s="88">
        <f>'Monthly Data'!AC3</f>
        <v>1879</v>
      </c>
      <c r="E3" s="88">
        <f ca="1">Weather!G67</f>
        <v>678.56000000000006</v>
      </c>
      <c r="F3" s="88">
        <f ca="1">Weather!H67</f>
        <v>0</v>
      </c>
      <c r="G3" s="88">
        <f>'Monthly Data'!AQ3</f>
        <v>253.3</v>
      </c>
      <c r="H3" s="88">
        <f>'Monthly Data'!AT3</f>
        <v>2</v>
      </c>
      <c r="I3" s="88">
        <f>'Monthly Data'!AW3</f>
        <v>0</v>
      </c>
      <c r="J3" s="88">
        <f>'Monthly Data'!AZ3</f>
        <v>0</v>
      </c>
      <c r="K3" s="88">
        <f>'Monthly Data'!BA3</f>
        <v>0</v>
      </c>
      <c r="L3" s="88">
        <f>'Monthly Data'!BB3</f>
        <v>0</v>
      </c>
      <c r="M3" s="88">
        <f>'Monthly Data'!BC3</f>
        <v>0</v>
      </c>
      <c r="O3" s="20">
        <f>'GS &lt; 50 OLS model'!$B$5</f>
        <v>-11631489.5525492</v>
      </c>
      <c r="P3" s="20">
        <f>'GS &lt; 50 OLS model'!$B$6*D3</f>
        <v>12309569.484850405</v>
      </c>
      <c r="Q3" s="20">
        <f ca="1">'GS &lt; 50 OLS model'!$B$7*E3</f>
        <v>1420954.2822420413</v>
      </c>
      <c r="R3" s="20">
        <f ca="1">'GS &lt; 50 OLS model'!$B$8*F3</f>
        <v>0</v>
      </c>
      <c r="S3" s="20">
        <f>'GS &lt; 50 OLS model'!$B$9*G3</f>
        <v>2639763.3724886551</v>
      </c>
      <c r="T3" s="20">
        <f>'GS &lt; 50 OLS model'!$B$10*H3</f>
        <v>-9645.3881546327993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ca="1" si="3">SUM(O3:Y3)</f>
        <v>4729152.1988772685</v>
      </c>
    </row>
    <row r="4" spans="1:26" ht="14.4" x14ac:dyDescent="0.3">
      <c r="A4" s="22">
        <f>'Monthly Data'!A4</f>
        <v>39142</v>
      </c>
      <c r="B4" s="88">
        <f t="shared" si="2"/>
        <v>2007</v>
      </c>
      <c r="C4" s="20">
        <f ca="1">'Monthly Data'!H4</f>
        <v>4404053.8488953728</v>
      </c>
      <c r="D4" s="88">
        <f>'Monthly Data'!AC4</f>
        <v>1880</v>
      </c>
      <c r="E4" s="88">
        <f ca="1">Weather!G68</f>
        <v>544.77</v>
      </c>
      <c r="F4" s="88">
        <f ca="1">Weather!H68</f>
        <v>0.22000000000000003</v>
      </c>
      <c r="G4" s="88">
        <f>'Monthly Data'!AQ4</f>
        <v>250.9</v>
      </c>
      <c r="H4" s="88">
        <f>'Monthly Data'!AT4</f>
        <v>3</v>
      </c>
      <c r="I4" s="88">
        <f>'Monthly Data'!AW4</f>
        <v>1</v>
      </c>
      <c r="J4" s="88">
        <f>'Monthly Data'!AZ4</f>
        <v>0</v>
      </c>
      <c r="K4" s="88">
        <f>'Monthly Data'!BA4</f>
        <v>0</v>
      </c>
      <c r="L4" s="88">
        <f>'Monthly Data'!BB4</f>
        <v>0</v>
      </c>
      <c r="M4" s="88">
        <f>'Monthly Data'!BC4</f>
        <v>0</v>
      </c>
      <c r="O4" s="20">
        <f>'GS &lt; 50 OLS model'!$B$5</f>
        <v>-11631489.5525492</v>
      </c>
      <c r="P4" s="20">
        <f>'GS &lt; 50 OLS model'!$B$6*D4</f>
        <v>12316120.612835955</v>
      </c>
      <c r="Q4" s="20">
        <f ca="1">'GS &lt; 50 OLS model'!$B$7*E4</f>
        <v>1140788.2344037327</v>
      </c>
      <c r="R4" s="20">
        <f ca="1">'GS &lt; 50 OLS model'!$B$8*F4</f>
        <v>1303.4686613274766</v>
      </c>
      <c r="S4" s="20">
        <f>'GS &lt; 50 OLS model'!$B$9*G4</f>
        <v>2614751.7969103968</v>
      </c>
      <c r="T4" s="20">
        <f>'GS &lt; 50 OLS model'!$B$10*H4</f>
        <v>-14468.0822319492</v>
      </c>
      <c r="U4" s="20">
        <f>'GS &lt; 50 OLS model'!$B$11*I4</f>
        <v>-156104.06645044801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ca="1" si="3"/>
        <v>4270902.4115798147</v>
      </c>
    </row>
    <row r="5" spans="1:26" ht="14.4" x14ac:dyDescent="0.3">
      <c r="A5" s="22">
        <f>'Monthly Data'!A5</f>
        <v>39173</v>
      </c>
      <c r="B5" s="88">
        <f t="shared" si="2"/>
        <v>2007</v>
      </c>
      <c r="C5" s="20">
        <f ca="1">'Monthly Data'!H5</f>
        <v>4345291.2888953723</v>
      </c>
      <c r="D5" s="88">
        <f>'Monthly Data'!AC5</f>
        <v>1883</v>
      </c>
      <c r="E5" s="88">
        <f ca="1">Weather!G69</f>
        <v>328.11</v>
      </c>
      <c r="F5" s="88">
        <f ca="1">Weather!H69</f>
        <v>0.32</v>
      </c>
      <c r="G5" s="88">
        <f>'Monthly Data'!AQ5</f>
        <v>249.3</v>
      </c>
      <c r="H5" s="88">
        <f>'Monthly Data'!AT5</f>
        <v>4</v>
      </c>
      <c r="I5" s="88">
        <f>'Monthly Data'!AW5</f>
        <v>0</v>
      </c>
      <c r="J5" s="88">
        <f>'Monthly Data'!AZ5</f>
        <v>0</v>
      </c>
      <c r="K5" s="88">
        <f>'Monthly Data'!BA5</f>
        <v>0</v>
      </c>
      <c r="L5" s="88">
        <f>'Monthly Data'!BB5</f>
        <v>0</v>
      </c>
      <c r="M5" s="88">
        <f>'Monthly Data'!BC5</f>
        <v>0</v>
      </c>
      <c r="O5" s="20">
        <f>'GS &lt; 50 OLS model'!$B$5</f>
        <v>-11631489.5525492</v>
      </c>
      <c r="P5" s="20">
        <f>'GS &lt; 50 OLS model'!$B$6*D5</f>
        <v>12335773.996792609</v>
      </c>
      <c r="Q5" s="20">
        <f ca="1">'GS &lt; 50 OLS model'!$B$7*E5</f>
        <v>687086.34394369868</v>
      </c>
      <c r="R5" s="20">
        <f ca="1">'GS &lt; 50 OLS model'!$B$8*F5</f>
        <v>1895.9544164763295</v>
      </c>
      <c r="S5" s="20">
        <f>'GS &lt; 50 OLS model'!$B$9*G5</f>
        <v>2598077.4131915583</v>
      </c>
      <c r="T5" s="20">
        <f>'GS &lt; 50 OLS model'!$B$10*H5</f>
        <v>-19290.776309265599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ca="1" si="3"/>
        <v>3972053.3794858763</v>
      </c>
    </row>
    <row r="6" spans="1:26" ht="14.4" x14ac:dyDescent="0.3">
      <c r="A6" s="22">
        <f>'Monthly Data'!A6</f>
        <v>39203</v>
      </c>
      <c r="B6" s="88">
        <f t="shared" si="2"/>
        <v>2007</v>
      </c>
      <c r="C6" s="20">
        <f ca="1">'Monthly Data'!H6</f>
        <v>4011075.588895373</v>
      </c>
      <c r="D6" s="88">
        <f>'Monthly Data'!AC6</f>
        <v>1883</v>
      </c>
      <c r="E6" s="88">
        <f ca="1">Weather!G70</f>
        <v>134.47999999999999</v>
      </c>
      <c r="F6" s="88">
        <f ca="1">Weather!H70</f>
        <v>20.889999999999997</v>
      </c>
      <c r="G6" s="88">
        <f>'Monthly Data'!AQ6</f>
        <v>248.9</v>
      </c>
      <c r="H6" s="88">
        <f>'Monthly Data'!AT6</f>
        <v>5</v>
      </c>
      <c r="I6" s="88">
        <f>'Monthly Data'!AW6</f>
        <v>0</v>
      </c>
      <c r="J6" s="88">
        <f>'Monthly Data'!AZ6</f>
        <v>0</v>
      </c>
      <c r="K6" s="88">
        <f>'Monthly Data'!BA6</f>
        <v>0</v>
      </c>
      <c r="L6" s="88">
        <f>'Monthly Data'!BB6</f>
        <v>0</v>
      </c>
      <c r="M6" s="88">
        <f>'Monthly Data'!BC6</f>
        <v>0</v>
      </c>
      <c r="O6" s="20">
        <f>'GS &lt; 50 OLS model'!$B$5</f>
        <v>-11631489.5525492</v>
      </c>
      <c r="P6" s="20">
        <f>'GS &lt; 50 OLS model'!$B$6*D6</f>
        <v>12335773.996792609</v>
      </c>
      <c r="Q6" s="20">
        <f ca="1">'GS &lt; 50 OLS model'!$B$7*E6</f>
        <v>281610.95831748069</v>
      </c>
      <c r="R6" s="20">
        <f ca="1">'GS &lt; 50 OLS model'!$B$8*F6</f>
        <v>123770.27425059536</v>
      </c>
      <c r="S6" s="20">
        <f>'GS &lt; 50 OLS model'!$B$9*G6</f>
        <v>2593908.8172618486</v>
      </c>
      <c r="T6" s="20">
        <f>'GS &lt; 50 OLS model'!$B$10*H6</f>
        <v>-24113.470386581997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ca="1" si="3"/>
        <v>3679461.0236867513</v>
      </c>
    </row>
    <row r="7" spans="1:26" ht="14.4" x14ac:dyDescent="0.3">
      <c r="A7" s="22">
        <f>'Monthly Data'!A7</f>
        <v>39234</v>
      </c>
      <c r="B7" s="88">
        <f t="shared" si="2"/>
        <v>2007</v>
      </c>
      <c r="C7" s="20">
        <f ca="1">'Monthly Data'!H7</f>
        <v>4301202.6388953729</v>
      </c>
      <c r="D7" s="88">
        <f>'Monthly Data'!AC7</f>
        <v>1882</v>
      </c>
      <c r="E7" s="88">
        <f ca="1">Weather!G71</f>
        <v>30.429999999999996</v>
      </c>
      <c r="F7" s="88">
        <f ca="1">Weather!H71</f>
        <v>56.129999999999995</v>
      </c>
      <c r="G7" s="88">
        <f>'Monthly Data'!AQ7</f>
        <v>250.2</v>
      </c>
      <c r="H7" s="88">
        <f>'Monthly Data'!AT7</f>
        <v>6</v>
      </c>
      <c r="I7" s="88">
        <f>'Monthly Data'!AW7</f>
        <v>0</v>
      </c>
      <c r="J7" s="88">
        <f>'Monthly Data'!AZ7</f>
        <v>1</v>
      </c>
      <c r="K7" s="88">
        <f>'Monthly Data'!BA7</f>
        <v>0</v>
      </c>
      <c r="L7" s="88">
        <f>'Monthly Data'!BB7</f>
        <v>0</v>
      </c>
      <c r="M7" s="88">
        <f>'Monthly Data'!BC7</f>
        <v>0</v>
      </c>
      <c r="O7" s="20">
        <f>'GS &lt; 50 OLS model'!$B$5</f>
        <v>-11631489.5525492</v>
      </c>
      <c r="P7" s="20">
        <f>'GS &lt; 50 OLS model'!$B$6*D7</f>
        <v>12329222.868807057</v>
      </c>
      <c r="Q7" s="20">
        <f ca="1">'GS &lt; 50 OLS model'!$B$7*E7</f>
        <v>63722.646204647062</v>
      </c>
      <c r="R7" s="20">
        <f ca="1">'GS &lt; 50 OLS model'!$B$8*F7</f>
        <v>332562.25436505117</v>
      </c>
      <c r="S7" s="20">
        <f>'GS &lt; 50 OLS model'!$B$9*G7</f>
        <v>2607456.7540334049</v>
      </c>
      <c r="T7" s="20">
        <f>'GS &lt; 50 OLS model'!$B$10*H7</f>
        <v>-28936.1644638984</v>
      </c>
      <c r="U7" s="20">
        <f>'GS &lt; 50 OLS model'!$B$11*I7</f>
        <v>0</v>
      </c>
      <c r="V7" s="20">
        <f>'GS &lt; 50 OLS model'!$B$12*J7</f>
        <v>359272.711714848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ca="1" si="3"/>
        <v>4031811.5181119097</v>
      </c>
    </row>
    <row r="8" spans="1:26" ht="14.4" x14ac:dyDescent="0.3">
      <c r="A8" s="22">
        <f>'Monthly Data'!A8</f>
        <v>39264</v>
      </c>
      <c r="B8" s="88">
        <f t="shared" si="2"/>
        <v>2007</v>
      </c>
      <c r="C8" s="20">
        <f ca="1">'Monthly Data'!H8</f>
        <v>4466238.0788953733</v>
      </c>
      <c r="D8" s="88">
        <f>'Monthly Data'!AC8</f>
        <v>1889</v>
      </c>
      <c r="E8" s="88">
        <f ca="1">Weather!G72</f>
        <v>7.85</v>
      </c>
      <c r="F8" s="88">
        <f ca="1">Weather!H72</f>
        <v>99.97999999999999</v>
      </c>
      <c r="G8" s="88">
        <f>'Monthly Data'!AQ8</f>
        <v>254.9</v>
      </c>
      <c r="H8" s="88">
        <f>'Monthly Data'!AT8</f>
        <v>7</v>
      </c>
      <c r="I8" s="88">
        <f>'Monthly Data'!AW8</f>
        <v>0</v>
      </c>
      <c r="J8" s="88">
        <f>'Monthly Data'!AZ8</f>
        <v>0</v>
      </c>
      <c r="K8" s="88">
        <f>'Monthly Data'!BA8</f>
        <v>1</v>
      </c>
      <c r="L8" s="88">
        <f>'Monthly Data'!BB8</f>
        <v>0</v>
      </c>
      <c r="M8" s="88">
        <f>'Monthly Data'!BC8</f>
        <v>0</v>
      </c>
      <c r="O8" s="20">
        <f>'GS &lt; 50 OLS model'!$B$5</f>
        <v>-11631489.5525492</v>
      </c>
      <c r="P8" s="20">
        <f>'GS &lt; 50 OLS model'!$B$6*D8</f>
        <v>12375080.764705915</v>
      </c>
      <c r="Q8" s="20">
        <f ca="1">'GS &lt; 50 OLS model'!$B$7*E8</f>
        <v>16438.474292030216</v>
      </c>
      <c r="R8" s="20">
        <f ca="1">'GS &lt; 50 OLS model'!$B$8*F8</f>
        <v>592367.25799782318</v>
      </c>
      <c r="S8" s="20">
        <f>'GS &lt; 50 OLS model'!$B$9*G8</f>
        <v>2656437.7562074936</v>
      </c>
      <c r="T8" s="20">
        <f>'GS &lt; 50 OLS model'!$B$10*H8</f>
        <v>-33758.858541214795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411098.30587285903</v>
      </c>
      <c r="X8" s="20">
        <f>'GS &lt; 50 OLS model'!$B$14*L8</f>
        <v>0</v>
      </c>
      <c r="Y8" s="20">
        <f>'GS &lt; 50 OLS model'!$B$15*M8</f>
        <v>0</v>
      </c>
      <c r="Z8" s="20">
        <f t="shared" ca="1" si="3"/>
        <v>4386174.1479857061</v>
      </c>
    </row>
    <row r="9" spans="1:26" ht="14.4" x14ac:dyDescent="0.3">
      <c r="A9" s="22">
        <f>'Monthly Data'!A9</f>
        <v>39295</v>
      </c>
      <c r="B9" s="88">
        <f t="shared" si="2"/>
        <v>2007</v>
      </c>
      <c r="C9" s="20">
        <f ca="1">'Monthly Data'!H9</f>
        <v>3950116.3988953726</v>
      </c>
      <c r="D9" s="88">
        <f>'Monthly Data'!AC9</f>
        <v>1890</v>
      </c>
      <c r="E9" s="88">
        <f ca="1">Weather!G73</f>
        <v>10.43</v>
      </c>
      <c r="F9" s="88">
        <f ca="1">Weather!H73</f>
        <v>80.190000000000012</v>
      </c>
      <c r="G9" s="88">
        <f>'Monthly Data'!AQ9</f>
        <v>257.8</v>
      </c>
      <c r="H9" s="88">
        <f>'Monthly Data'!AT9</f>
        <v>8</v>
      </c>
      <c r="I9" s="88">
        <f>'Monthly Data'!AW9</f>
        <v>0</v>
      </c>
      <c r="J9" s="88">
        <f>'Monthly Data'!AZ9</f>
        <v>0</v>
      </c>
      <c r="K9" s="88">
        <f>'Monthly Data'!BA9</f>
        <v>0</v>
      </c>
      <c r="L9" s="88">
        <f>'Monthly Data'!BB9</f>
        <v>1</v>
      </c>
      <c r="M9" s="88">
        <f>'Monthly Data'!BC9</f>
        <v>0</v>
      </c>
      <c r="O9" s="20">
        <f>'GS &lt; 50 OLS model'!$B$5</f>
        <v>-11631489.5525492</v>
      </c>
      <c r="P9" s="20">
        <f>'GS &lt; 50 OLS model'!$B$6*D9</f>
        <v>12381631.892691465</v>
      </c>
      <c r="Q9" s="20">
        <f ca="1">'GS &lt; 50 OLS model'!$B$7*E9</f>
        <v>21841.183040238873</v>
      </c>
      <c r="R9" s="20">
        <f ca="1">'GS &lt; 50 OLS model'!$B$8*F9</f>
        <v>475114.32705386524</v>
      </c>
      <c r="S9" s="20">
        <f>'GS &lt; 50 OLS model'!$B$9*G9</f>
        <v>2686660.0766978888</v>
      </c>
      <c r="T9" s="20">
        <f>'GS &lt; 50 OLS model'!$B$10*H9</f>
        <v>-38581.552618531197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494220.92313005403</v>
      </c>
      <c r="Y9" s="20">
        <f>'GS &lt; 50 OLS model'!$B$15*M9</f>
        <v>0</v>
      </c>
      <c r="Z9" s="20">
        <f t="shared" ca="1" si="3"/>
        <v>4389397.2974457815</v>
      </c>
    </row>
    <row r="10" spans="1:26" ht="14.4" x14ac:dyDescent="0.3">
      <c r="A10" s="22">
        <f>'Monthly Data'!A10</f>
        <v>39326</v>
      </c>
      <c r="B10" s="88">
        <f t="shared" si="2"/>
        <v>2007</v>
      </c>
      <c r="C10" s="20">
        <f ca="1">'Monthly Data'!H10</f>
        <v>3891422.0488953725</v>
      </c>
      <c r="D10" s="88">
        <f>'Monthly Data'!AC10</f>
        <v>1891</v>
      </c>
      <c r="E10" s="88">
        <f ca="1">Weather!G74</f>
        <v>70.580000000000013</v>
      </c>
      <c r="F10" s="88">
        <f ca="1">Weather!H74</f>
        <v>29.429999999999996</v>
      </c>
      <c r="G10" s="88">
        <f>'Monthly Data'!AQ10</f>
        <v>260.2</v>
      </c>
      <c r="H10" s="88">
        <f>'Monthly Data'!AT10</f>
        <v>9</v>
      </c>
      <c r="I10" s="88">
        <f>'Monthly Data'!AW10</f>
        <v>0</v>
      </c>
      <c r="J10" s="88">
        <f>'Monthly Data'!AZ10</f>
        <v>0</v>
      </c>
      <c r="K10" s="88">
        <f>'Monthly Data'!BA10</f>
        <v>0</v>
      </c>
      <c r="L10" s="88">
        <f>'Monthly Data'!BB10</f>
        <v>0</v>
      </c>
      <c r="M10" s="88">
        <f>'Monthly Data'!BC10</f>
        <v>1</v>
      </c>
      <c r="O10" s="20">
        <f>'GS &lt; 50 OLS model'!$B$5</f>
        <v>-11631489.5525492</v>
      </c>
      <c r="P10" s="20">
        <f>'GS &lt; 50 OLS model'!$B$6*D10</f>
        <v>12388183.020677017</v>
      </c>
      <c r="Q10" s="20">
        <f ca="1">'GS &lt; 50 OLS model'!$B$7*E10</f>
        <v>147799.68350719655</v>
      </c>
      <c r="R10" s="20">
        <f ca="1">'GS &lt; 50 OLS model'!$B$8*F10</f>
        <v>174368.55774030741</v>
      </c>
      <c r="S10" s="20">
        <f>'GS &lt; 50 OLS model'!$B$9*G10</f>
        <v>2711671.6522761467</v>
      </c>
      <c r="T10" s="20">
        <f>'GS &lt; 50 OLS model'!$B$10*H10</f>
        <v>-43404.2466958476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249265.131543444</v>
      </c>
      <c r="Z10" s="20">
        <f t="shared" ca="1" si="3"/>
        <v>3996394.2464990639</v>
      </c>
    </row>
    <row r="11" spans="1:26" ht="14.4" x14ac:dyDescent="0.3">
      <c r="A11" s="22">
        <f>'Monthly Data'!A11</f>
        <v>39356</v>
      </c>
      <c r="B11" s="88">
        <f t="shared" si="2"/>
        <v>2007</v>
      </c>
      <c r="C11" s="20">
        <f ca="1">'Monthly Data'!H11</f>
        <v>4074204.6888953727</v>
      </c>
      <c r="D11" s="88">
        <f>'Monthly Data'!AC11</f>
        <v>1888</v>
      </c>
      <c r="E11" s="88">
        <f ca="1">Weather!G75</f>
        <v>241.15</v>
      </c>
      <c r="F11" s="88">
        <f ca="1">Weather!H75</f>
        <v>2.87</v>
      </c>
      <c r="G11" s="88">
        <f>'Monthly Data'!AQ11</f>
        <v>259.2</v>
      </c>
      <c r="H11" s="88">
        <f>'Monthly Data'!AT11</f>
        <v>10</v>
      </c>
      <c r="I11" s="88">
        <f>'Monthly Data'!AW11</f>
        <v>0</v>
      </c>
      <c r="J11" s="88">
        <f>'Monthly Data'!AZ11</f>
        <v>0</v>
      </c>
      <c r="K11" s="88">
        <f>'Monthly Data'!BA11</f>
        <v>0</v>
      </c>
      <c r="L11" s="88">
        <f>'Monthly Data'!BB11</f>
        <v>0</v>
      </c>
      <c r="M11" s="88">
        <f>'Monthly Data'!BC11</f>
        <v>0</v>
      </c>
      <c r="O11" s="20">
        <f>'GS &lt; 50 OLS model'!$B$5</f>
        <v>-11631489.5525492</v>
      </c>
      <c r="P11" s="20">
        <f>'GS &lt; 50 OLS model'!$B$6*D11</f>
        <v>12368529.636720363</v>
      </c>
      <c r="Q11" s="20">
        <f ca="1">'GS &lt; 50 OLS model'!$B$7*E11</f>
        <v>504985.74210485182</v>
      </c>
      <c r="R11" s="20">
        <f ca="1">'GS &lt; 50 OLS model'!$B$8*F11</f>
        <v>17004.341172772081</v>
      </c>
      <c r="S11" s="20">
        <f>'GS &lt; 50 OLS model'!$B$9*G11</f>
        <v>2701250.1624518726</v>
      </c>
      <c r="T11" s="20">
        <f>'GS &lt; 50 OLS model'!$B$10*H11</f>
        <v>-48226.940773163995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ca="1" si="3"/>
        <v>3912053.3891274957</v>
      </c>
    </row>
    <row r="12" spans="1:26" ht="14.4" x14ac:dyDescent="0.3">
      <c r="A12" s="22">
        <f>'Monthly Data'!A12</f>
        <v>39387</v>
      </c>
      <c r="B12" s="88">
        <f t="shared" si="2"/>
        <v>2007</v>
      </c>
      <c r="C12" s="20">
        <f ca="1">'Monthly Data'!H12</f>
        <v>4098618.8288953728</v>
      </c>
      <c r="D12" s="88">
        <f>'Monthly Data'!AC12</f>
        <v>1887</v>
      </c>
      <c r="E12" s="88">
        <f ca="1">Weather!G76</f>
        <v>421.52</v>
      </c>
      <c r="F12" s="88">
        <f ca="1">Weather!H76</f>
        <v>0</v>
      </c>
      <c r="G12" s="88">
        <f>'Monthly Data'!AQ12</f>
        <v>255.7</v>
      </c>
      <c r="H12" s="88">
        <f>'Monthly Data'!AT12</f>
        <v>11</v>
      </c>
      <c r="I12" s="88">
        <f>'Monthly Data'!AW12</f>
        <v>0</v>
      </c>
      <c r="J12" s="88">
        <f>'Monthly Data'!AZ12</f>
        <v>0</v>
      </c>
      <c r="K12" s="88">
        <f>'Monthly Data'!BA12</f>
        <v>0</v>
      </c>
      <c r="L12" s="88">
        <f>'Monthly Data'!BB12</f>
        <v>0</v>
      </c>
      <c r="M12" s="88">
        <f>'Monthly Data'!BC12</f>
        <v>0</v>
      </c>
      <c r="O12" s="20">
        <f>'GS &lt; 50 OLS model'!$B$5</f>
        <v>-11631489.5525492</v>
      </c>
      <c r="P12" s="20">
        <f>'GS &lt; 50 OLS model'!$B$6*D12</f>
        <v>12361978.508734813</v>
      </c>
      <c r="Q12" s="20">
        <f ca="1">'GS &lt; 50 OLS model'!$B$7*E12</f>
        <v>882693.71765306708</v>
      </c>
      <c r="R12" s="20">
        <f ca="1">'GS &lt; 50 OLS model'!$B$8*F12</f>
        <v>0</v>
      </c>
      <c r="S12" s="20">
        <f>'GS &lt; 50 OLS model'!$B$9*G12</f>
        <v>2664774.9480669131</v>
      </c>
      <c r="T12" s="20">
        <f>'GS &lt; 50 OLS model'!$B$10*H12</f>
        <v>-53049.634850480397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ca="1" si="3"/>
        <v>4224907.9870551126</v>
      </c>
    </row>
    <row r="13" spans="1:26" ht="14.4" x14ac:dyDescent="0.3">
      <c r="A13" s="22">
        <f>'Monthly Data'!A13</f>
        <v>39417</v>
      </c>
      <c r="B13" s="88">
        <f t="shared" si="2"/>
        <v>2007</v>
      </c>
      <c r="C13" s="20">
        <f ca="1">'Monthly Data'!H13</f>
        <v>4775518.7488953732</v>
      </c>
      <c r="D13" s="88">
        <f>'Monthly Data'!AC13</f>
        <v>1889</v>
      </c>
      <c r="E13" s="88">
        <f ca="1">Weather!G77</f>
        <v>610.56000000000006</v>
      </c>
      <c r="F13" s="88">
        <f ca="1">Weather!H77</f>
        <v>0</v>
      </c>
      <c r="G13" s="88">
        <f>'Monthly Data'!AQ13</f>
        <v>251.7</v>
      </c>
      <c r="H13" s="88">
        <f>'Monthly Data'!AT13</f>
        <v>12</v>
      </c>
      <c r="I13" s="88">
        <f>'Monthly Data'!AW13</f>
        <v>0</v>
      </c>
      <c r="J13" s="88">
        <f>'Monthly Data'!AZ13</f>
        <v>0</v>
      </c>
      <c r="K13" s="88">
        <f>'Monthly Data'!BA13</f>
        <v>0</v>
      </c>
      <c r="L13" s="88">
        <f>'Monthly Data'!BB13</f>
        <v>0</v>
      </c>
      <c r="M13" s="88">
        <f>'Monthly Data'!BC13</f>
        <v>0</v>
      </c>
      <c r="O13" s="20">
        <f>'GS &lt; 50 OLS model'!$B$5</f>
        <v>-11631489.5525492</v>
      </c>
      <c r="P13" s="20">
        <f>'GS &lt; 50 OLS model'!$B$6*D13</f>
        <v>12375080.764705915</v>
      </c>
      <c r="Q13" s="20">
        <f ca="1">'GS &lt; 50 OLS model'!$B$7*E13</f>
        <v>1278557.3074830535</v>
      </c>
      <c r="R13" s="20">
        <f ca="1">'GS &lt; 50 OLS model'!$B$8*F13</f>
        <v>0</v>
      </c>
      <c r="S13" s="20">
        <f>'GS &lt; 50 OLS model'!$B$9*G13</f>
        <v>2623088.9887698162</v>
      </c>
      <c r="T13" s="20">
        <f>'GS &lt; 50 OLS model'!$B$10*H13</f>
        <v>-57872.3289277968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ca="1" si="3"/>
        <v>4587365.1794817876</v>
      </c>
    </row>
    <row r="14" spans="1:26" ht="14.4" x14ac:dyDescent="0.3">
      <c r="A14" s="22">
        <f>'Monthly Data'!A14</f>
        <v>39448</v>
      </c>
      <c r="B14" s="88">
        <f t="shared" si="2"/>
        <v>2008</v>
      </c>
      <c r="C14" s="20">
        <f ca="1">'Monthly Data'!H14</f>
        <v>4386861.076303375</v>
      </c>
      <c r="D14" s="88">
        <f>'Monthly Data'!AC14</f>
        <v>1891</v>
      </c>
      <c r="E14" s="88">
        <f t="shared" ref="E14:F14" ca="1" si="4">E2</f>
        <v>729.54999999999984</v>
      </c>
      <c r="F14" s="88">
        <f t="shared" ca="1" si="4"/>
        <v>0</v>
      </c>
      <c r="G14" s="88">
        <f>'Monthly Data'!AQ14</f>
        <v>247</v>
      </c>
      <c r="H14" s="88">
        <f>H13+1</f>
        <v>13</v>
      </c>
      <c r="I14" s="88">
        <f>I2</f>
        <v>0</v>
      </c>
      <c r="J14" s="88">
        <f t="shared" ref="J14:M14" si="5">J2</f>
        <v>0</v>
      </c>
      <c r="K14" s="88">
        <f t="shared" si="5"/>
        <v>0</v>
      </c>
      <c r="L14" s="88">
        <f t="shared" si="5"/>
        <v>0</v>
      </c>
      <c r="M14" s="88">
        <f t="shared" si="5"/>
        <v>0</v>
      </c>
      <c r="O14" s="20">
        <f>'GS &lt; 50 OLS model'!$B$5</f>
        <v>-11631489.5525492</v>
      </c>
      <c r="P14" s="20">
        <f>'GS &lt; 50 OLS model'!$B$6*D14</f>
        <v>12388183.020677017</v>
      </c>
      <c r="Q14" s="20">
        <f ca="1">'GS &lt; 50 OLS model'!$B$7*E14</f>
        <v>1527731.0725796996</v>
      </c>
      <c r="R14" s="20">
        <f ca="1">'GS &lt; 50 OLS model'!$B$8*F14</f>
        <v>0</v>
      </c>
      <c r="S14" s="20">
        <f>'GS &lt; 50 OLS model'!$B$9*G14</f>
        <v>2574107.9865957275</v>
      </c>
      <c r="T14" s="20">
        <f>'GS &lt; 50 OLS model'!$B$10*H14</f>
        <v>-62695.023005113195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ca="1" si="3"/>
        <v>4795837.504298131</v>
      </c>
    </row>
    <row r="15" spans="1:26" ht="14.4" x14ac:dyDescent="0.3">
      <c r="A15" s="22">
        <f>'Monthly Data'!A15</f>
        <v>39479</v>
      </c>
      <c r="B15" s="88">
        <f t="shared" si="2"/>
        <v>2008</v>
      </c>
      <c r="C15" s="20">
        <f ca="1">'Monthly Data'!H15</f>
        <v>4617150.8063033754</v>
      </c>
      <c r="D15" s="88">
        <f>'Monthly Data'!AC15</f>
        <v>1891</v>
      </c>
      <c r="E15" s="88">
        <f t="shared" ref="E15:F15" ca="1" si="6">E3</f>
        <v>678.56000000000006</v>
      </c>
      <c r="F15" s="88">
        <f t="shared" ca="1" si="6"/>
        <v>0</v>
      </c>
      <c r="G15" s="88">
        <f>'Monthly Data'!AQ15</f>
        <v>245.3</v>
      </c>
      <c r="H15" s="88">
        <f t="shared" ref="H15:H78" si="7">H14+1</f>
        <v>14</v>
      </c>
      <c r="I15" s="88">
        <f t="shared" ref="I15:M15" si="8">I3</f>
        <v>0</v>
      </c>
      <c r="J15" s="88">
        <f t="shared" si="8"/>
        <v>0</v>
      </c>
      <c r="K15" s="88">
        <f t="shared" si="8"/>
        <v>0</v>
      </c>
      <c r="L15" s="88">
        <f t="shared" si="8"/>
        <v>0</v>
      </c>
      <c r="M15" s="88">
        <f t="shared" si="8"/>
        <v>0</v>
      </c>
      <c r="O15" s="20">
        <f>'GS &lt; 50 OLS model'!$B$5</f>
        <v>-11631489.5525492</v>
      </c>
      <c r="P15" s="20">
        <f>'GS &lt; 50 OLS model'!$B$6*D15</f>
        <v>12388183.020677017</v>
      </c>
      <c r="Q15" s="20">
        <f ca="1">'GS &lt; 50 OLS model'!$B$7*E15</f>
        <v>1420954.2822420413</v>
      </c>
      <c r="R15" s="20">
        <f ca="1">'GS &lt; 50 OLS model'!$B$8*F15</f>
        <v>0</v>
      </c>
      <c r="S15" s="20">
        <f>'GS &lt; 50 OLS model'!$B$9*G15</f>
        <v>2556391.4538944615</v>
      </c>
      <c r="T15" s="20">
        <f>'GS &lt; 50 OLS model'!$B$10*H15</f>
        <v>-67517.71708242959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ca="1" si="3"/>
        <v>4666521.4871818898</v>
      </c>
    </row>
    <row r="16" spans="1:26" ht="14.4" x14ac:dyDescent="0.3">
      <c r="A16" s="22">
        <f>'Monthly Data'!A16</f>
        <v>39508</v>
      </c>
      <c r="B16" s="88">
        <f t="shared" si="2"/>
        <v>2008</v>
      </c>
      <c r="C16" s="20">
        <f ca="1">'Monthly Data'!H16</f>
        <v>4413735.7663033754</v>
      </c>
      <c r="D16" s="88">
        <f>'Monthly Data'!AC16</f>
        <v>1892</v>
      </c>
      <c r="E16" s="88">
        <f t="shared" ref="E16:F16" ca="1" si="9">E4</f>
        <v>544.77</v>
      </c>
      <c r="F16" s="88">
        <f t="shared" ca="1" si="9"/>
        <v>0.22000000000000003</v>
      </c>
      <c r="G16" s="88">
        <f>'Monthly Data'!AQ16</f>
        <v>244.3</v>
      </c>
      <c r="H16" s="88">
        <f t="shared" si="7"/>
        <v>15</v>
      </c>
      <c r="I16" s="88">
        <f t="shared" ref="I16:M16" si="10">I4</f>
        <v>1</v>
      </c>
      <c r="J16" s="88">
        <f t="shared" si="10"/>
        <v>0</v>
      </c>
      <c r="K16" s="88">
        <f t="shared" si="10"/>
        <v>0</v>
      </c>
      <c r="L16" s="88">
        <f t="shared" si="10"/>
        <v>0</v>
      </c>
      <c r="M16" s="88">
        <f t="shared" si="10"/>
        <v>0</v>
      </c>
      <c r="O16" s="20">
        <f>'GS &lt; 50 OLS model'!$B$5</f>
        <v>-11631489.5525492</v>
      </c>
      <c r="P16" s="20">
        <f>'GS &lt; 50 OLS model'!$B$6*D16</f>
        <v>12394734.148662567</v>
      </c>
      <c r="Q16" s="20">
        <f ca="1">'GS &lt; 50 OLS model'!$B$7*E16</f>
        <v>1140788.2344037327</v>
      </c>
      <c r="R16" s="20">
        <f ca="1">'GS &lt; 50 OLS model'!$B$8*F16</f>
        <v>1303.4686613274766</v>
      </c>
      <c r="S16" s="20">
        <f>'GS &lt; 50 OLS model'!$B$9*G16</f>
        <v>2545969.9640701874</v>
      </c>
      <c r="T16" s="20">
        <f>'GS &lt; 50 OLS model'!$B$10*H16</f>
        <v>-72340.411159746</v>
      </c>
      <c r="U16" s="20">
        <f>'GS &lt; 50 OLS model'!$B$11*I16</f>
        <v>-156104.06645044801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ca="1" si="3"/>
        <v>4222861.7856384208</v>
      </c>
    </row>
    <row r="17" spans="1:26" ht="14.4" x14ac:dyDescent="0.3">
      <c r="A17" s="22">
        <f>'Monthly Data'!A17</f>
        <v>39539</v>
      </c>
      <c r="B17" s="88">
        <f t="shared" si="2"/>
        <v>2008</v>
      </c>
      <c r="C17" s="20">
        <f ca="1">'Monthly Data'!H17</f>
        <v>3748649.5063033756</v>
      </c>
      <c r="D17" s="88">
        <f>'Monthly Data'!AC17</f>
        <v>1889</v>
      </c>
      <c r="E17" s="88">
        <f t="shared" ref="E17:F17" ca="1" si="11">E5</f>
        <v>328.11</v>
      </c>
      <c r="F17" s="88">
        <f t="shared" ca="1" si="11"/>
        <v>0.32</v>
      </c>
      <c r="G17" s="88">
        <f>'Monthly Data'!AQ17</f>
        <v>244.1</v>
      </c>
      <c r="H17" s="88">
        <f t="shared" si="7"/>
        <v>16</v>
      </c>
      <c r="I17" s="88">
        <f t="shared" ref="I17:M17" si="12">I5</f>
        <v>0</v>
      </c>
      <c r="J17" s="88">
        <f t="shared" si="12"/>
        <v>0</v>
      </c>
      <c r="K17" s="88">
        <f t="shared" si="12"/>
        <v>0</v>
      </c>
      <c r="L17" s="88">
        <f t="shared" si="12"/>
        <v>0</v>
      </c>
      <c r="M17" s="88">
        <f t="shared" si="12"/>
        <v>0</v>
      </c>
      <c r="O17" s="20">
        <f>'GS &lt; 50 OLS model'!$B$5</f>
        <v>-11631489.5525492</v>
      </c>
      <c r="P17" s="20">
        <f>'GS &lt; 50 OLS model'!$B$6*D17</f>
        <v>12375080.764705915</v>
      </c>
      <c r="Q17" s="20">
        <f ca="1">'GS &lt; 50 OLS model'!$B$7*E17</f>
        <v>687086.34394369868</v>
      </c>
      <c r="R17" s="20">
        <f ca="1">'GS &lt; 50 OLS model'!$B$8*F17</f>
        <v>1895.9544164763295</v>
      </c>
      <c r="S17" s="20">
        <f>'GS &lt; 50 OLS model'!$B$9*G17</f>
        <v>2543885.6661053323</v>
      </c>
      <c r="T17" s="20">
        <f>'GS &lt; 50 OLS model'!$B$10*H17</f>
        <v>-77163.105237062395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ca="1" si="3"/>
        <v>3899296.0713851596</v>
      </c>
    </row>
    <row r="18" spans="1:26" ht="14.4" x14ac:dyDescent="0.3">
      <c r="A18" s="22">
        <f>'Monthly Data'!A18</f>
        <v>39569</v>
      </c>
      <c r="B18" s="88">
        <f t="shared" si="2"/>
        <v>2008</v>
      </c>
      <c r="C18" s="20">
        <f ca="1">'Monthly Data'!H18</f>
        <v>3704971.2463033753</v>
      </c>
      <c r="D18" s="88">
        <f>'Monthly Data'!AC18</f>
        <v>1890</v>
      </c>
      <c r="E18" s="88">
        <f t="shared" ref="E18:F18" ca="1" si="13">E6</f>
        <v>134.47999999999999</v>
      </c>
      <c r="F18" s="88">
        <f t="shared" ca="1" si="13"/>
        <v>20.889999999999997</v>
      </c>
      <c r="G18" s="88">
        <f>'Monthly Data'!AQ18</f>
        <v>245.1</v>
      </c>
      <c r="H18" s="88">
        <f t="shared" si="7"/>
        <v>17</v>
      </c>
      <c r="I18" s="88">
        <f t="shared" ref="I18:M18" si="14">I6</f>
        <v>0</v>
      </c>
      <c r="J18" s="88">
        <f t="shared" si="14"/>
        <v>0</v>
      </c>
      <c r="K18" s="88">
        <f t="shared" si="14"/>
        <v>0</v>
      </c>
      <c r="L18" s="88">
        <f t="shared" si="14"/>
        <v>0</v>
      </c>
      <c r="M18" s="88">
        <f t="shared" si="14"/>
        <v>0</v>
      </c>
      <c r="O18" s="20">
        <f>'GS &lt; 50 OLS model'!$B$5</f>
        <v>-11631489.5525492</v>
      </c>
      <c r="P18" s="20">
        <f>'GS &lt; 50 OLS model'!$B$6*D18</f>
        <v>12381631.892691465</v>
      </c>
      <c r="Q18" s="20">
        <f ca="1">'GS &lt; 50 OLS model'!$B$7*E18</f>
        <v>281610.95831748069</v>
      </c>
      <c r="R18" s="20">
        <f ca="1">'GS &lt; 50 OLS model'!$B$8*F18</f>
        <v>123770.27425059536</v>
      </c>
      <c r="S18" s="20">
        <f>'GS &lt; 50 OLS model'!$B$9*G18</f>
        <v>2554307.1559296064</v>
      </c>
      <c r="T18" s="20">
        <f>'GS &lt; 50 OLS model'!$B$10*H18</f>
        <v>-81985.79931437879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ca="1" si="3"/>
        <v>3627844.9293255685</v>
      </c>
    </row>
    <row r="19" spans="1:26" ht="14.4" x14ac:dyDescent="0.3">
      <c r="A19" s="22">
        <f>'Monthly Data'!A19</f>
        <v>39600</v>
      </c>
      <c r="B19" s="88">
        <f t="shared" si="2"/>
        <v>2008</v>
      </c>
      <c r="C19" s="20">
        <f ca="1">'Monthly Data'!H19</f>
        <v>3809792.8063033754</v>
      </c>
      <c r="D19" s="88">
        <f>'Monthly Data'!AC19</f>
        <v>1892</v>
      </c>
      <c r="E19" s="88">
        <f t="shared" ref="E19:F19" ca="1" si="15">E7</f>
        <v>30.429999999999996</v>
      </c>
      <c r="F19" s="88">
        <f t="shared" ca="1" si="15"/>
        <v>56.129999999999995</v>
      </c>
      <c r="G19" s="88">
        <f>'Monthly Data'!AQ19</f>
        <v>248</v>
      </c>
      <c r="H19" s="88">
        <f t="shared" si="7"/>
        <v>18</v>
      </c>
      <c r="I19" s="88">
        <f t="shared" ref="I19:M19" si="16">I7</f>
        <v>0</v>
      </c>
      <c r="J19" s="88">
        <f t="shared" si="16"/>
        <v>1</v>
      </c>
      <c r="K19" s="88">
        <f t="shared" si="16"/>
        <v>0</v>
      </c>
      <c r="L19" s="88">
        <f t="shared" si="16"/>
        <v>0</v>
      </c>
      <c r="M19" s="88">
        <f t="shared" si="16"/>
        <v>0</v>
      </c>
      <c r="O19" s="20">
        <f>'GS &lt; 50 OLS model'!$B$5</f>
        <v>-11631489.5525492</v>
      </c>
      <c r="P19" s="20">
        <f>'GS &lt; 50 OLS model'!$B$6*D19</f>
        <v>12394734.148662567</v>
      </c>
      <c r="Q19" s="20">
        <f ca="1">'GS &lt; 50 OLS model'!$B$7*E19</f>
        <v>63722.646204647062</v>
      </c>
      <c r="R19" s="20">
        <f ca="1">'GS &lt; 50 OLS model'!$B$8*F19</f>
        <v>332562.25436505117</v>
      </c>
      <c r="S19" s="20">
        <f>'GS &lt; 50 OLS model'!$B$9*G19</f>
        <v>2584529.4764200016</v>
      </c>
      <c r="T19" s="20">
        <f>'GS &lt; 50 OLS model'!$B$10*H19</f>
        <v>-86808.4933916952</v>
      </c>
      <c r="U19" s="20">
        <f>'GS &lt; 50 OLS model'!$B$11*I19</f>
        <v>0</v>
      </c>
      <c r="V19" s="20">
        <f>'GS &lt; 50 OLS model'!$B$12*J19</f>
        <v>359272.711714848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ca="1" si="3"/>
        <v>4016523.1914262194</v>
      </c>
    </row>
    <row r="20" spans="1:26" ht="14.4" x14ac:dyDescent="0.3">
      <c r="A20" s="22">
        <f>'Monthly Data'!A20</f>
        <v>39630</v>
      </c>
      <c r="B20" s="88">
        <f t="shared" si="2"/>
        <v>2008</v>
      </c>
      <c r="C20" s="20">
        <f ca="1">'Monthly Data'!H20</f>
        <v>4272219.4863033751</v>
      </c>
      <c r="D20" s="88">
        <f>'Monthly Data'!AC20</f>
        <v>1892</v>
      </c>
      <c r="E20" s="88">
        <f t="shared" ref="E20:F20" ca="1" si="17">E8</f>
        <v>7.85</v>
      </c>
      <c r="F20" s="88">
        <f t="shared" ca="1" si="17"/>
        <v>99.97999999999999</v>
      </c>
      <c r="G20" s="88">
        <f>'Monthly Data'!AQ20</f>
        <v>251.1</v>
      </c>
      <c r="H20" s="88">
        <f t="shared" si="7"/>
        <v>19</v>
      </c>
      <c r="I20" s="88">
        <f t="shared" ref="I20:M20" si="18">I8</f>
        <v>0</v>
      </c>
      <c r="J20" s="88">
        <f t="shared" si="18"/>
        <v>0</v>
      </c>
      <c r="K20" s="88">
        <f t="shared" si="18"/>
        <v>1</v>
      </c>
      <c r="L20" s="88">
        <f t="shared" si="18"/>
        <v>0</v>
      </c>
      <c r="M20" s="88">
        <f t="shared" si="18"/>
        <v>0</v>
      </c>
      <c r="O20" s="20">
        <f>'GS &lt; 50 OLS model'!$B$5</f>
        <v>-11631489.5525492</v>
      </c>
      <c r="P20" s="20">
        <f>'GS &lt; 50 OLS model'!$B$6*D20</f>
        <v>12394734.148662567</v>
      </c>
      <c r="Q20" s="20">
        <f ca="1">'GS &lt; 50 OLS model'!$B$7*E20</f>
        <v>16438.474292030216</v>
      </c>
      <c r="R20" s="20">
        <f ca="1">'GS &lt; 50 OLS model'!$B$8*F20</f>
        <v>592367.25799782318</v>
      </c>
      <c r="S20" s="20">
        <f>'GS &lt; 50 OLS model'!$B$9*G20</f>
        <v>2616836.0948752514</v>
      </c>
      <c r="T20" s="20">
        <f>'GS &lt; 50 OLS model'!$B$10*H20</f>
        <v>-91631.187469011595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411098.30587285903</v>
      </c>
      <c r="X20" s="20">
        <f>'GS &lt; 50 OLS model'!$B$14*L20</f>
        <v>0</v>
      </c>
      <c r="Y20" s="20">
        <f>'GS &lt; 50 OLS model'!$B$15*M20</f>
        <v>0</v>
      </c>
      <c r="Z20" s="20">
        <f t="shared" ca="1" si="3"/>
        <v>4308353.5416823197</v>
      </c>
    </row>
    <row r="21" spans="1:26" ht="14.4" x14ac:dyDescent="0.3">
      <c r="A21" s="22">
        <f>'Monthly Data'!A21</f>
        <v>39661</v>
      </c>
      <c r="B21" s="88">
        <f t="shared" si="2"/>
        <v>2008</v>
      </c>
      <c r="C21" s="20">
        <f ca="1">'Monthly Data'!H21</f>
        <v>4005871.1463033753</v>
      </c>
      <c r="D21" s="88">
        <f>'Monthly Data'!AC21</f>
        <v>1892</v>
      </c>
      <c r="E21" s="88">
        <f t="shared" ref="E21:F21" ca="1" si="19">E9</f>
        <v>10.43</v>
      </c>
      <c r="F21" s="88">
        <f t="shared" ca="1" si="19"/>
        <v>80.190000000000012</v>
      </c>
      <c r="G21" s="88">
        <f>'Monthly Data'!AQ21</f>
        <v>253.3</v>
      </c>
      <c r="H21" s="88">
        <f t="shared" si="7"/>
        <v>20</v>
      </c>
      <c r="I21" s="88">
        <f t="shared" ref="I21:M21" si="20">I9</f>
        <v>0</v>
      </c>
      <c r="J21" s="88">
        <f t="shared" si="20"/>
        <v>0</v>
      </c>
      <c r="K21" s="88">
        <f t="shared" si="20"/>
        <v>0</v>
      </c>
      <c r="L21" s="88">
        <f t="shared" si="20"/>
        <v>1</v>
      </c>
      <c r="M21" s="88">
        <f t="shared" si="20"/>
        <v>0</v>
      </c>
      <c r="O21" s="20">
        <f>'GS &lt; 50 OLS model'!$B$5</f>
        <v>-11631489.5525492</v>
      </c>
      <c r="P21" s="20">
        <f>'GS &lt; 50 OLS model'!$B$6*D21</f>
        <v>12394734.148662567</v>
      </c>
      <c r="Q21" s="20">
        <f ca="1">'GS &lt; 50 OLS model'!$B$7*E21</f>
        <v>21841.183040238873</v>
      </c>
      <c r="R21" s="20">
        <f ca="1">'GS &lt; 50 OLS model'!$B$8*F21</f>
        <v>475114.32705386524</v>
      </c>
      <c r="S21" s="20">
        <f>'GS &lt; 50 OLS model'!$B$9*G21</f>
        <v>2639763.3724886551</v>
      </c>
      <c r="T21" s="20">
        <f>'GS &lt; 50 OLS model'!$B$10*H21</f>
        <v>-96453.88154632799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494220.92313005403</v>
      </c>
      <c r="Y21" s="20">
        <f>'GS &lt; 50 OLS model'!$B$15*M21</f>
        <v>0</v>
      </c>
      <c r="Z21" s="20">
        <f t="shared" ca="1" si="3"/>
        <v>4297730.5202798527</v>
      </c>
    </row>
    <row r="22" spans="1:26" ht="14.4" x14ac:dyDescent="0.3">
      <c r="A22" s="22">
        <f>'Monthly Data'!A22</f>
        <v>39692</v>
      </c>
      <c r="B22" s="88">
        <f t="shared" si="2"/>
        <v>2008</v>
      </c>
      <c r="C22" s="20">
        <f ca="1">'Monthly Data'!H22</f>
        <v>3874520.8063033754</v>
      </c>
      <c r="D22" s="88">
        <f>'Monthly Data'!AC22</f>
        <v>1892</v>
      </c>
      <c r="E22" s="88">
        <f t="shared" ref="E22:F22" ca="1" si="21">E10</f>
        <v>70.580000000000013</v>
      </c>
      <c r="F22" s="88">
        <f t="shared" ca="1" si="21"/>
        <v>29.429999999999996</v>
      </c>
      <c r="G22" s="88">
        <f>'Monthly Data'!AQ22</f>
        <v>252.7</v>
      </c>
      <c r="H22" s="88">
        <f t="shared" si="7"/>
        <v>21</v>
      </c>
      <c r="I22" s="88">
        <f t="shared" ref="I22:M22" si="22">I10</f>
        <v>0</v>
      </c>
      <c r="J22" s="88">
        <f t="shared" si="22"/>
        <v>0</v>
      </c>
      <c r="K22" s="88">
        <f t="shared" si="22"/>
        <v>0</v>
      </c>
      <c r="L22" s="88">
        <f t="shared" si="22"/>
        <v>0</v>
      </c>
      <c r="M22" s="88">
        <f t="shared" si="22"/>
        <v>1</v>
      </c>
      <c r="O22" s="20">
        <f>'GS &lt; 50 OLS model'!$B$5</f>
        <v>-11631489.5525492</v>
      </c>
      <c r="P22" s="20">
        <f>'GS &lt; 50 OLS model'!$B$6*D22</f>
        <v>12394734.148662567</v>
      </c>
      <c r="Q22" s="20">
        <f ca="1">'GS &lt; 50 OLS model'!$B$7*E22</f>
        <v>147799.68350719655</v>
      </c>
      <c r="R22" s="20">
        <f ca="1">'GS &lt; 50 OLS model'!$B$8*F22</f>
        <v>174368.55774030741</v>
      </c>
      <c r="S22" s="20">
        <f>'GS &lt; 50 OLS model'!$B$9*G22</f>
        <v>2633510.4785940903</v>
      </c>
      <c r="T22" s="20">
        <f>'GS &lt; 50 OLS model'!$B$10*H22</f>
        <v>-101276.5756236444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249265.131543444</v>
      </c>
      <c r="Z22" s="20">
        <f t="shared" ca="1" si="3"/>
        <v>3866911.8718747608</v>
      </c>
    </row>
    <row r="23" spans="1:26" ht="14.4" x14ac:dyDescent="0.3">
      <c r="A23" s="22">
        <f>'Monthly Data'!A23</f>
        <v>39722</v>
      </c>
      <c r="B23" s="88">
        <f t="shared" si="2"/>
        <v>2008</v>
      </c>
      <c r="C23" s="20">
        <f ca="1">'Monthly Data'!H23</f>
        <v>3746732.2963033756</v>
      </c>
      <c r="D23" s="88">
        <f>'Monthly Data'!AC23</f>
        <v>1894</v>
      </c>
      <c r="E23" s="88">
        <f t="shared" ref="E23:F23" ca="1" si="23">E11</f>
        <v>241.15</v>
      </c>
      <c r="F23" s="88">
        <f t="shared" ca="1" si="23"/>
        <v>2.87</v>
      </c>
      <c r="G23" s="88">
        <f>'Monthly Data'!AQ23</f>
        <v>252.3</v>
      </c>
      <c r="H23" s="88">
        <f t="shared" si="7"/>
        <v>22</v>
      </c>
      <c r="I23" s="88">
        <f t="shared" ref="I23:M23" si="24">I11</f>
        <v>0</v>
      </c>
      <c r="J23" s="88">
        <f t="shared" si="24"/>
        <v>0</v>
      </c>
      <c r="K23" s="88">
        <f t="shared" si="24"/>
        <v>0</v>
      </c>
      <c r="L23" s="88">
        <f t="shared" si="24"/>
        <v>0</v>
      </c>
      <c r="M23" s="88">
        <f t="shared" si="24"/>
        <v>0</v>
      </c>
      <c r="O23" s="20">
        <f>'GS &lt; 50 OLS model'!$B$5</f>
        <v>-11631489.5525492</v>
      </c>
      <c r="P23" s="20">
        <f>'GS &lt; 50 OLS model'!$B$6*D23</f>
        <v>12407836.404633669</v>
      </c>
      <c r="Q23" s="20">
        <f ca="1">'GS &lt; 50 OLS model'!$B$7*E23</f>
        <v>504985.74210485182</v>
      </c>
      <c r="R23" s="20">
        <f ca="1">'GS &lt; 50 OLS model'!$B$8*F23</f>
        <v>17004.341172772081</v>
      </c>
      <c r="S23" s="20">
        <f>'GS &lt; 50 OLS model'!$B$9*G23</f>
        <v>2629341.8826643806</v>
      </c>
      <c r="T23" s="20">
        <f>'GS &lt; 50 OLS model'!$B$10*H23</f>
        <v>-106099.26970096079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ca="1" si="3"/>
        <v>3821579.548325513</v>
      </c>
    </row>
    <row r="24" spans="1:26" ht="14.4" x14ac:dyDescent="0.3">
      <c r="A24" s="22">
        <f>'Monthly Data'!A24</f>
        <v>39753</v>
      </c>
      <c r="B24" s="88">
        <f t="shared" si="2"/>
        <v>2008</v>
      </c>
      <c r="C24" s="20">
        <f ca="1">'Monthly Data'!H24</f>
        <v>3849751.9163033753</v>
      </c>
      <c r="D24" s="88">
        <f>'Monthly Data'!AC24</f>
        <v>1892</v>
      </c>
      <c r="E24" s="88">
        <f t="shared" ref="E24:F24" ca="1" si="25">E12</f>
        <v>421.52</v>
      </c>
      <c r="F24" s="88">
        <f t="shared" ca="1" si="25"/>
        <v>0</v>
      </c>
      <c r="G24" s="88">
        <f>'Monthly Data'!AQ24</f>
        <v>250.5</v>
      </c>
      <c r="H24" s="88">
        <f t="shared" si="7"/>
        <v>23</v>
      </c>
      <c r="I24" s="88">
        <f t="shared" ref="I24:M24" si="26">I12</f>
        <v>0</v>
      </c>
      <c r="J24" s="88">
        <f t="shared" si="26"/>
        <v>0</v>
      </c>
      <c r="K24" s="88">
        <f t="shared" si="26"/>
        <v>0</v>
      </c>
      <c r="L24" s="88">
        <f t="shared" si="26"/>
        <v>0</v>
      </c>
      <c r="M24" s="88">
        <f t="shared" si="26"/>
        <v>0</v>
      </c>
      <c r="O24" s="20">
        <f>'GS &lt; 50 OLS model'!$B$5</f>
        <v>-11631489.5525492</v>
      </c>
      <c r="P24" s="20">
        <f>'GS &lt; 50 OLS model'!$B$6*D24</f>
        <v>12394734.148662567</v>
      </c>
      <c r="Q24" s="20">
        <f ca="1">'GS &lt; 50 OLS model'!$B$7*E24</f>
        <v>882693.71765306708</v>
      </c>
      <c r="R24" s="20">
        <f ca="1">'GS &lt; 50 OLS model'!$B$8*F24</f>
        <v>0</v>
      </c>
      <c r="S24" s="20">
        <f>'GS &lt; 50 OLS model'!$B$9*G24</f>
        <v>2610583.200980687</v>
      </c>
      <c r="T24" s="20">
        <f>'GS &lt; 50 OLS model'!$B$10*H24</f>
        <v>-110921.96377827719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ca="1" si="3"/>
        <v>4145599.550968844</v>
      </c>
    </row>
    <row r="25" spans="1:26" ht="14.4" x14ac:dyDescent="0.3">
      <c r="A25" s="22">
        <f>'Monthly Data'!A25</f>
        <v>39783</v>
      </c>
      <c r="B25" s="88">
        <f t="shared" si="2"/>
        <v>2008</v>
      </c>
      <c r="C25" s="20">
        <f ca="1">'Monthly Data'!H25</f>
        <v>4512959.3163033752</v>
      </c>
      <c r="D25" s="88">
        <f>'Monthly Data'!AC25</f>
        <v>1892</v>
      </c>
      <c r="E25" s="88">
        <f t="shared" ref="E25:F25" ca="1" si="27">E13</f>
        <v>610.56000000000006</v>
      </c>
      <c r="F25" s="88">
        <f t="shared" ca="1" si="27"/>
        <v>0</v>
      </c>
      <c r="G25" s="88">
        <f>'Monthly Data'!AQ25</f>
        <v>248.2</v>
      </c>
      <c r="H25" s="88">
        <f t="shared" si="7"/>
        <v>24</v>
      </c>
      <c r="I25" s="88">
        <f t="shared" ref="I25:M25" si="28">I13</f>
        <v>0</v>
      </c>
      <c r="J25" s="88">
        <f t="shared" si="28"/>
        <v>0</v>
      </c>
      <c r="K25" s="88">
        <f t="shared" si="28"/>
        <v>0</v>
      </c>
      <c r="L25" s="88">
        <f t="shared" si="28"/>
        <v>0</v>
      </c>
      <c r="M25" s="88">
        <f t="shared" si="28"/>
        <v>0</v>
      </c>
      <c r="O25" s="20">
        <f>'GS &lt; 50 OLS model'!$B$5</f>
        <v>-11631489.5525492</v>
      </c>
      <c r="P25" s="20">
        <f>'GS &lt; 50 OLS model'!$B$6*D25</f>
        <v>12394734.148662567</v>
      </c>
      <c r="Q25" s="20">
        <f ca="1">'GS &lt; 50 OLS model'!$B$7*E25</f>
        <v>1278557.3074830535</v>
      </c>
      <c r="R25" s="20">
        <f ca="1">'GS &lt; 50 OLS model'!$B$8*F25</f>
        <v>0</v>
      </c>
      <c r="S25" s="20">
        <f>'GS &lt; 50 OLS model'!$B$9*G25</f>
        <v>2586613.7743848562</v>
      </c>
      <c r="T25" s="20">
        <f>'GS &lt; 50 OLS model'!$B$10*H25</f>
        <v>-115744.6578555936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ca="1" si="3"/>
        <v>4512671.0201256834</v>
      </c>
    </row>
    <row r="26" spans="1:26" ht="14.4" x14ac:dyDescent="0.3">
      <c r="A26" s="22">
        <f>'Monthly Data'!A26</f>
        <v>39814</v>
      </c>
      <c r="B26" s="88">
        <f t="shared" si="2"/>
        <v>2009</v>
      </c>
      <c r="C26" s="20">
        <f ca="1">'Monthly Data'!H26</f>
        <v>5264694.9925258188</v>
      </c>
      <c r="D26" s="88">
        <f>'Monthly Data'!AC26</f>
        <v>1895</v>
      </c>
      <c r="E26" s="88">
        <f t="shared" ref="E26:F26" ca="1" si="29">E14</f>
        <v>729.54999999999984</v>
      </c>
      <c r="F26" s="88">
        <f t="shared" ca="1" si="29"/>
        <v>0</v>
      </c>
      <c r="G26" s="88">
        <f>'Monthly Data'!AQ26</f>
        <v>245.8</v>
      </c>
      <c r="H26" s="88">
        <f t="shared" si="7"/>
        <v>25</v>
      </c>
      <c r="I26" s="88">
        <f t="shared" ref="I26:M26" si="30">I14</f>
        <v>0</v>
      </c>
      <c r="J26" s="88">
        <f t="shared" si="30"/>
        <v>0</v>
      </c>
      <c r="K26" s="88">
        <f t="shared" si="30"/>
        <v>0</v>
      </c>
      <c r="L26" s="88">
        <f t="shared" si="30"/>
        <v>0</v>
      </c>
      <c r="M26" s="88">
        <f t="shared" si="30"/>
        <v>0</v>
      </c>
      <c r="O26" s="20">
        <f>'GS &lt; 50 OLS model'!$B$5</f>
        <v>-11631489.5525492</v>
      </c>
      <c r="P26" s="20">
        <f>'GS &lt; 50 OLS model'!$B$6*D26</f>
        <v>12414387.532619221</v>
      </c>
      <c r="Q26" s="20">
        <f ca="1">'GS &lt; 50 OLS model'!$B$7*E26</f>
        <v>1527731.0725796996</v>
      </c>
      <c r="R26" s="20">
        <f ca="1">'GS &lt; 50 OLS model'!$B$8*F26</f>
        <v>0</v>
      </c>
      <c r="S26" s="20">
        <f>'GS &lt; 50 OLS model'!$B$9*G26</f>
        <v>2561602.1988065983</v>
      </c>
      <c r="T26" s="20">
        <f>'GS &lt; 50 OLS model'!$B$10*H26</f>
        <v>-120567.35193290999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ca="1" si="3"/>
        <v>4751663.8995234082</v>
      </c>
    </row>
    <row r="27" spans="1:26" ht="14.4" x14ac:dyDescent="0.3">
      <c r="A27" s="22">
        <f>'Monthly Data'!A27</f>
        <v>39845</v>
      </c>
      <c r="B27" s="88">
        <f t="shared" si="2"/>
        <v>2009</v>
      </c>
      <c r="C27" s="20">
        <f ca="1">'Monthly Data'!H27</f>
        <v>4426769.6925258189</v>
      </c>
      <c r="D27" s="88">
        <f>'Monthly Data'!AC27</f>
        <v>1895</v>
      </c>
      <c r="E27" s="88">
        <f t="shared" ref="E27:F27" ca="1" si="31">E15</f>
        <v>678.56000000000006</v>
      </c>
      <c r="F27" s="88">
        <f t="shared" ca="1" si="31"/>
        <v>0</v>
      </c>
      <c r="G27" s="88">
        <f>'Monthly Data'!AQ27</f>
        <v>242.2</v>
      </c>
      <c r="H27" s="88">
        <f t="shared" si="7"/>
        <v>26</v>
      </c>
      <c r="I27" s="88">
        <f t="shared" ref="I27:M27" si="32">I15</f>
        <v>0</v>
      </c>
      <c r="J27" s="88">
        <f t="shared" si="32"/>
        <v>0</v>
      </c>
      <c r="K27" s="88">
        <f t="shared" si="32"/>
        <v>0</v>
      </c>
      <c r="L27" s="88">
        <f t="shared" si="32"/>
        <v>0</v>
      </c>
      <c r="M27" s="88">
        <f t="shared" si="32"/>
        <v>0</v>
      </c>
      <c r="O27" s="20">
        <f>'GS &lt; 50 OLS model'!$B$5</f>
        <v>-11631489.5525492</v>
      </c>
      <c r="P27" s="20">
        <f>'GS &lt; 50 OLS model'!$B$6*D27</f>
        <v>12414387.532619221</v>
      </c>
      <c r="Q27" s="20">
        <f ca="1">'GS &lt; 50 OLS model'!$B$7*E27</f>
        <v>1420954.2822420413</v>
      </c>
      <c r="R27" s="20">
        <f ca="1">'GS &lt; 50 OLS model'!$B$8*F27</f>
        <v>0</v>
      </c>
      <c r="S27" s="20">
        <f>'GS &lt; 50 OLS model'!$B$9*G27</f>
        <v>2524084.8354392112</v>
      </c>
      <c r="T27" s="20">
        <f>'GS &lt; 50 OLS model'!$B$10*H27</f>
        <v>-125390.04601022639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ca="1" si="3"/>
        <v>4602547.0517410468</v>
      </c>
    </row>
    <row r="28" spans="1:26" ht="14.4" x14ac:dyDescent="0.3">
      <c r="A28" s="22">
        <f>'Monthly Data'!A28</f>
        <v>39873</v>
      </c>
      <c r="B28" s="88">
        <f t="shared" si="2"/>
        <v>2009</v>
      </c>
      <c r="C28" s="20">
        <f ca="1">'Monthly Data'!H28</f>
        <v>4207822.7925258186</v>
      </c>
      <c r="D28" s="88">
        <f>'Monthly Data'!AC28</f>
        <v>1896</v>
      </c>
      <c r="E28" s="88">
        <f t="shared" ref="E28:F28" ca="1" si="33">E16</f>
        <v>544.77</v>
      </c>
      <c r="F28" s="88">
        <f t="shared" ca="1" si="33"/>
        <v>0.22000000000000003</v>
      </c>
      <c r="G28" s="88">
        <f>'Monthly Data'!AQ28</f>
        <v>238.1</v>
      </c>
      <c r="H28" s="88">
        <f t="shared" si="7"/>
        <v>27</v>
      </c>
      <c r="I28" s="88">
        <f t="shared" ref="I28:M28" si="34">I16</f>
        <v>1</v>
      </c>
      <c r="J28" s="88">
        <f t="shared" si="34"/>
        <v>0</v>
      </c>
      <c r="K28" s="88">
        <f t="shared" si="34"/>
        <v>0</v>
      </c>
      <c r="L28" s="88">
        <f t="shared" si="34"/>
        <v>0</v>
      </c>
      <c r="M28" s="88">
        <f t="shared" si="34"/>
        <v>0</v>
      </c>
      <c r="O28" s="20">
        <f>'GS &lt; 50 OLS model'!$B$5</f>
        <v>-11631489.5525492</v>
      </c>
      <c r="P28" s="20">
        <f>'GS &lt; 50 OLS model'!$B$6*D28</f>
        <v>12420938.660604773</v>
      </c>
      <c r="Q28" s="20">
        <f ca="1">'GS &lt; 50 OLS model'!$B$7*E28</f>
        <v>1140788.2344037327</v>
      </c>
      <c r="R28" s="20">
        <f ca="1">'GS &lt; 50 OLS model'!$B$8*F28</f>
        <v>1303.4686613274766</v>
      </c>
      <c r="S28" s="20">
        <f>'GS &lt; 50 OLS model'!$B$9*G28</f>
        <v>2481356.7271596869</v>
      </c>
      <c r="T28" s="20">
        <f>'GS &lt; 50 OLS model'!$B$10*H28</f>
        <v>-130212.74008754278</v>
      </c>
      <c r="U28" s="20">
        <f>'GS &lt; 50 OLS model'!$B$11*I28</f>
        <v>-156104.06645044801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ca="1" si="3"/>
        <v>4126580.731742329</v>
      </c>
    </row>
    <row r="29" spans="1:26" ht="14.4" x14ac:dyDescent="0.3">
      <c r="A29" s="22">
        <f>'Monthly Data'!A29</f>
        <v>39904</v>
      </c>
      <c r="B29" s="88">
        <f t="shared" si="2"/>
        <v>2009</v>
      </c>
      <c r="C29" s="20">
        <f ca="1">'Monthly Data'!H29</f>
        <v>3915902.482525819</v>
      </c>
      <c r="D29" s="88">
        <f>'Monthly Data'!AC29</f>
        <v>1897</v>
      </c>
      <c r="E29" s="88">
        <f t="shared" ref="E29:F29" ca="1" si="35">E17</f>
        <v>328.11</v>
      </c>
      <c r="F29" s="88">
        <f t="shared" ca="1" si="35"/>
        <v>0.32</v>
      </c>
      <c r="G29" s="88">
        <f>'Monthly Data'!AQ29</f>
        <v>234.6</v>
      </c>
      <c r="H29" s="88">
        <f t="shared" si="7"/>
        <v>28</v>
      </c>
      <c r="I29" s="88">
        <f t="shared" ref="I29:M29" si="36">I17</f>
        <v>0</v>
      </c>
      <c r="J29" s="88">
        <f t="shared" si="36"/>
        <v>0</v>
      </c>
      <c r="K29" s="88">
        <f t="shared" si="36"/>
        <v>0</v>
      </c>
      <c r="L29" s="88">
        <f t="shared" si="36"/>
        <v>0</v>
      </c>
      <c r="M29" s="88">
        <f t="shared" si="36"/>
        <v>0</v>
      </c>
      <c r="O29" s="20">
        <f>'GS &lt; 50 OLS model'!$B$5</f>
        <v>-11631489.5525492</v>
      </c>
      <c r="P29" s="20">
        <f>'GS &lt; 50 OLS model'!$B$6*D29</f>
        <v>12427489.788590323</v>
      </c>
      <c r="Q29" s="20">
        <f ca="1">'GS &lt; 50 OLS model'!$B$7*E29</f>
        <v>687086.34394369868</v>
      </c>
      <c r="R29" s="20">
        <f ca="1">'GS &lt; 50 OLS model'!$B$8*F29</f>
        <v>1895.9544164763295</v>
      </c>
      <c r="S29" s="20">
        <f>'GS &lt; 50 OLS model'!$B$9*G29</f>
        <v>2444881.5127747273</v>
      </c>
      <c r="T29" s="20">
        <f>'GS &lt; 50 OLS model'!$B$10*H29</f>
        <v>-135035.43416485918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ca="1" si="3"/>
        <v>3794828.6130111665</v>
      </c>
    </row>
    <row r="30" spans="1:26" ht="14.4" x14ac:dyDescent="0.3">
      <c r="A30" s="22">
        <f>'Monthly Data'!A30</f>
        <v>39934</v>
      </c>
      <c r="B30" s="88">
        <f t="shared" si="2"/>
        <v>2009</v>
      </c>
      <c r="C30" s="20">
        <f ca="1">'Monthly Data'!H30</f>
        <v>3342046.7525258185</v>
      </c>
      <c r="D30" s="88">
        <f>'Monthly Data'!AC30</f>
        <v>1896</v>
      </c>
      <c r="E30" s="88">
        <f t="shared" ref="E30:F30" ca="1" si="37">E18</f>
        <v>134.47999999999999</v>
      </c>
      <c r="F30" s="88">
        <f t="shared" ca="1" si="37"/>
        <v>20.889999999999997</v>
      </c>
      <c r="G30" s="88">
        <f>'Monthly Data'!AQ30</f>
        <v>235</v>
      </c>
      <c r="H30" s="88">
        <f t="shared" si="7"/>
        <v>29</v>
      </c>
      <c r="I30" s="88">
        <f t="shared" ref="I30:M30" si="38">I18</f>
        <v>0</v>
      </c>
      <c r="J30" s="88">
        <f t="shared" si="38"/>
        <v>0</v>
      </c>
      <c r="K30" s="88">
        <f t="shared" si="38"/>
        <v>0</v>
      </c>
      <c r="L30" s="88">
        <f t="shared" si="38"/>
        <v>0</v>
      </c>
      <c r="M30" s="88">
        <f t="shared" si="38"/>
        <v>0</v>
      </c>
      <c r="O30" s="20">
        <f>'GS &lt; 50 OLS model'!$B$5</f>
        <v>-11631489.5525492</v>
      </c>
      <c r="P30" s="20">
        <f>'GS &lt; 50 OLS model'!$B$6*D30</f>
        <v>12420938.660604773</v>
      </c>
      <c r="Q30" s="20">
        <f ca="1">'GS &lt; 50 OLS model'!$B$7*E30</f>
        <v>281610.95831748069</v>
      </c>
      <c r="R30" s="20">
        <f ca="1">'GS &lt; 50 OLS model'!$B$8*F30</f>
        <v>123770.27425059536</v>
      </c>
      <c r="S30" s="20">
        <f>'GS &lt; 50 OLS model'!$B$9*G30</f>
        <v>2449050.108704437</v>
      </c>
      <c r="T30" s="20">
        <f>'GS &lt; 50 OLS model'!$B$10*H30</f>
        <v>-139858.12824217559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ca="1" si="3"/>
        <v>3504022.3210859108</v>
      </c>
    </row>
    <row r="31" spans="1:26" ht="14.4" x14ac:dyDescent="0.3">
      <c r="A31" s="22">
        <f>'Monthly Data'!A31</f>
        <v>39965</v>
      </c>
      <c r="B31" s="88">
        <f t="shared" si="2"/>
        <v>2009</v>
      </c>
      <c r="C31" s="20">
        <f ca="1">'Monthly Data'!H31</f>
        <v>3660108.4125258187</v>
      </c>
      <c r="D31" s="88">
        <f>'Monthly Data'!AC31</f>
        <v>1896</v>
      </c>
      <c r="E31" s="88">
        <f t="shared" ref="E31:F31" ca="1" si="39">E19</f>
        <v>30.429999999999996</v>
      </c>
      <c r="F31" s="88">
        <f t="shared" ca="1" si="39"/>
        <v>56.129999999999995</v>
      </c>
      <c r="G31" s="88">
        <f>'Monthly Data'!AQ31</f>
        <v>237.3</v>
      </c>
      <c r="H31" s="88">
        <f t="shared" si="7"/>
        <v>30</v>
      </c>
      <c r="I31" s="88">
        <f t="shared" ref="I31:M31" si="40">I19</f>
        <v>0</v>
      </c>
      <c r="J31" s="88">
        <f t="shared" si="40"/>
        <v>1</v>
      </c>
      <c r="K31" s="88">
        <f t="shared" si="40"/>
        <v>0</v>
      </c>
      <c r="L31" s="88">
        <f t="shared" si="40"/>
        <v>0</v>
      </c>
      <c r="M31" s="88">
        <f t="shared" si="40"/>
        <v>0</v>
      </c>
      <c r="O31" s="20">
        <f>'GS &lt; 50 OLS model'!$B$5</f>
        <v>-11631489.5525492</v>
      </c>
      <c r="P31" s="20">
        <f>'GS &lt; 50 OLS model'!$B$6*D31</f>
        <v>12420938.660604773</v>
      </c>
      <c r="Q31" s="20">
        <f ca="1">'GS &lt; 50 OLS model'!$B$7*E31</f>
        <v>63722.646204647062</v>
      </c>
      <c r="R31" s="20">
        <f ca="1">'GS &lt; 50 OLS model'!$B$8*F31</f>
        <v>332562.25436505117</v>
      </c>
      <c r="S31" s="20">
        <f>'GS &lt; 50 OLS model'!$B$9*G31</f>
        <v>2473019.5353002679</v>
      </c>
      <c r="T31" s="20">
        <f>'GS &lt; 50 OLS model'!$B$10*H31</f>
        <v>-144680.822319492</v>
      </c>
      <c r="U31" s="20">
        <f>'GS &lt; 50 OLS model'!$B$11*I31</f>
        <v>0</v>
      </c>
      <c r="V31" s="20">
        <f>'GS &lt; 50 OLS model'!$B$12*J31</f>
        <v>359272.711714848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ca="1" si="3"/>
        <v>3873345.4333208948</v>
      </c>
    </row>
    <row r="32" spans="1:26" ht="14.4" x14ac:dyDescent="0.3">
      <c r="A32" s="22">
        <f>'Monthly Data'!A32</f>
        <v>39995</v>
      </c>
      <c r="B32" s="88">
        <f t="shared" si="2"/>
        <v>2009</v>
      </c>
      <c r="C32" s="20">
        <f ca="1">'Monthly Data'!H32</f>
        <v>3970794.0225258186</v>
      </c>
      <c r="D32" s="88">
        <f>'Monthly Data'!AC32</f>
        <v>1895</v>
      </c>
      <c r="E32" s="88">
        <f t="shared" ref="E32:F32" ca="1" si="41">E20</f>
        <v>7.85</v>
      </c>
      <c r="F32" s="88">
        <f t="shared" ca="1" si="41"/>
        <v>99.97999999999999</v>
      </c>
      <c r="G32" s="88">
        <f>'Monthly Data'!AQ32</f>
        <v>238.3</v>
      </c>
      <c r="H32" s="88">
        <f t="shared" si="7"/>
        <v>31</v>
      </c>
      <c r="I32" s="88">
        <f t="shared" ref="I32:M32" si="42">I20</f>
        <v>0</v>
      </c>
      <c r="J32" s="88">
        <f t="shared" si="42"/>
        <v>0</v>
      </c>
      <c r="K32" s="88">
        <f t="shared" si="42"/>
        <v>1</v>
      </c>
      <c r="L32" s="88">
        <f t="shared" si="42"/>
        <v>0</v>
      </c>
      <c r="M32" s="88">
        <f t="shared" si="42"/>
        <v>0</v>
      </c>
      <c r="O32" s="20">
        <f>'GS &lt; 50 OLS model'!$B$5</f>
        <v>-11631489.5525492</v>
      </c>
      <c r="P32" s="20">
        <f>'GS &lt; 50 OLS model'!$B$6*D32</f>
        <v>12414387.532619221</v>
      </c>
      <c r="Q32" s="20">
        <f ca="1">'GS &lt; 50 OLS model'!$B$7*E32</f>
        <v>16438.474292030216</v>
      </c>
      <c r="R32" s="20">
        <f ca="1">'GS &lt; 50 OLS model'!$B$8*F32</f>
        <v>592367.25799782318</v>
      </c>
      <c r="S32" s="20">
        <f>'GS &lt; 50 OLS model'!$B$9*G32</f>
        <v>2483441.0251245419</v>
      </c>
      <c r="T32" s="20">
        <f>'GS &lt; 50 OLS model'!$B$10*H32</f>
        <v>-149503.51639680838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411098.30587285903</v>
      </c>
      <c r="X32" s="20">
        <f>'GS &lt; 50 OLS model'!$B$14*L32</f>
        <v>0</v>
      </c>
      <c r="Y32" s="20">
        <f>'GS &lt; 50 OLS model'!$B$15*M32</f>
        <v>0</v>
      </c>
      <c r="Z32" s="20">
        <f t="shared" ca="1" si="3"/>
        <v>4136739.526960467</v>
      </c>
    </row>
    <row r="33" spans="1:26" ht="14.4" x14ac:dyDescent="0.3">
      <c r="A33" s="22">
        <f>'Monthly Data'!A33</f>
        <v>40026</v>
      </c>
      <c r="B33" s="88">
        <f t="shared" si="2"/>
        <v>2009</v>
      </c>
      <c r="C33" s="20">
        <f ca="1">'Monthly Data'!H33</f>
        <v>3932148.8625258189</v>
      </c>
      <c r="D33" s="88">
        <f>'Monthly Data'!AC33</f>
        <v>1895</v>
      </c>
      <c r="E33" s="88">
        <f t="shared" ref="E33:F33" ca="1" si="43">E21</f>
        <v>10.43</v>
      </c>
      <c r="F33" s="88">
        <f t="shared" ca="1" si="43"/>
        <v>80.190000000000012</v>
      </c>
      <c r="G33" s="88">
        <f>'Monthly Data'!AQ33</f>
        <v>236.8</v>
      </c>
      <c r="H33" s="88">
        <f t="shared" si="7"/>
        <v>32</v>
      </c>
      <c r="I33" s="88">
        <f t="shared" ref="I33:M33" si="44">I21</f>
        <v>0</v>
      </c>
      <c r="J33" s="88">
        <f t="shared" si="44"/>
        <v>0</v>
      </c>
      <c r="K33" s="88">
        <f t="shared" si="44"/>
        <v>0</v>
      </c>
      <c r="L33" s="88">
        <f t="shared" si="44"/>
        <v>1</v>
      </c>
      <c r="M33" s="88">
        <f t="shared" si="44"/>
        <v>0</v>
      </c>
      <c r="O33" s="20">
        <f>'GS &lt; 50 OLS model'!$B$5</f>
        <v>-11631489.5525492</v>
      </c>
      <c r="P33" s="20">
        <f>'GS &lt; 50 OLS model'!$B$6*D33</f>
        <v>12414387.532619221</v>
      </c>
      <c r="Q33" s="20">
        <f ca="1">'GS &lt; 50 OLS model'!$B$7*E33</f>
        <v>21841.183040238873</v>
      </c>
      <c r="R33" s="20">
        <f ca="1">'GS &lt; 50 OLS model'!$B$8*F33</f>
        <v>475114.32705386524</v>
      </c>
      <c r="S33" s="20">
        <f>'GS &lt; 50 OLS model'!$B$9*G33</f>
        <v>2467808.7903881306</v>
      </c>
      <c r="T33" s="20">
        <f>'GS &lt; 50 OLS model'!$B$10*H33</f>
        <v>-154326.21047412479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494220.92313005403</v>
      </c>
      <c r="Y33" s="20">
        <f>'GS &lt; 50 OLS model'!$B$15*M33</f>
        <v>0</v>
      </c>
      <c r="Z33" s="20">
        <f t="shared" ca="1" si="3"/>
        <v>4087556.9932081853</v>
      </c>
    </row>
    <row r="34" spans="1:26" ht="14.4" x14ac:dyDescent="0.3">
      <c r="A34" s="22">
        <f>'Monthly Data'!A34</f>
        <v>40057</v>
      </c>
      <c r="B34" s="88">
        <f t="shared" si="2"/>
        <v>2009</v>
      </c>
      <c r="C34" s="20">
        <f ca="1">'Monthly Data'!H34</f>
        <v>3515083.4425258189</v>
      </c>
      <c r="D34" s="88">
        <f>'Monthly Data'!AC34</f>
        <v>1895</v>
      </c>
      <c r="E34" s="88">
        <f t="shared" ref="E34:F34" ca="1" si="45">E22</f>
        <v>70.580000000000013</v>
      </c>
      <c r="F34" s="88">
        <f t="shared" ca="1" si="45"/>
        <v>29.429999999999996</v>
      </c>
      <c r="G34" s="88">
        <f>'Monthly Data'!AQ34</f>
        <v>235.2</v>
      </c>
      <c r="H34" s="88">
        <f t="shared" si="7"/>
        <v>33</v>
      </c>
      <c r="I34" s="88">
        <f t="shared" ref="I34:M34" si="46">I22</f>
        <v>0</v>
      </c>
      <c r="J34" s="88">
        <f t="shared" si="46"/>
        <v>0</v>
      </c>
      <c r="K34" s="88">
        <f t="shared" si="46"/>
        <v>0</v>
      </c>
      <c r="L34" s="88">
        <f t="shared" si="46"/>
        <v>0</v>
      </c>
      <c r="M34" s="88">
        <f t="shared" si="46"/>
        <v>1</v>
      </c>
      <c r="O34" s="20">
        <f>'GS &lt; 50 OLS model'!$B$5</f>
        <v>-11631489.5525492</v>
      </c>
      <c r="P34" s="20">
        <f>'GS &lt; 50 OLS model'!$B$6*D34</f>
        <v>12414387.532619221</v>
      </c>
      <c r="Q34" s="20">
        <f ca="1">'GS &lt; 50 OLS model'!$B$7*E34</f>
        <v>147799.68350719655</v>
      </c>
      <c r="R34" s="20">
        <f ca="1">'GS &lt; 50 OLS model'!$B$8*F34</f>
        <v>174368.55774030741</v>
      </c>
      <c r="S34" s="20">
        <f>'GS &lt; 50 OLS model'!$B$9*G34</f>
        <v>2451134.4066692917</v>
      </c>
      <c r="T34" s="20">
        <f>'GS &lt; 50 OLS model'!$B$10*H34</f>
        <v>-159148.9045514412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249265.131543444</v>
      </c>
      <c r="Z34" s="20">
        <f t="shared" ca="1" si="3"/>
        <v>3646316.8549788194</v>
      </c>
    </row>
    <row r="35" spans="1:26" ht="14.4" x14ac:dyDescent="0.3">
      <c r="A35" s="22">
        <f>'Monthly Data'!A35</f>
        <v>40087</v>
      </c>
      <c r="B35" s="88">
        <f t="shared" si="2"/>
        <v>2009</v>
      </c>
      <c r="C35" s="20">
        <f ca="1">'Monthly Data'!H35</f>
        <v>3471825.3125258191</v>
      </c>
      <c r="D35" s="88">
        <f>'Monthly Data'!AC35</f>
        <v>1894</v>
      </c>
      <c r="E35" s="88">
        <f t="shared" ref="E35:F35" ca="1" si="47">E23</f>
        <v>241.15</v>
      </c>
      <c r="F35" s="88">
        <f t="shared" ca="1" si="47"/>
        <v>2.87</v>
      </c>
      <c r="G35" s="88">
        <f>'Monthly Data'!AQ35</f>
        <v>237.4</v>
      </c>
      <c r="H35" s="88">
        <f t="shared" si="7"/>
        <v>34</v>
      </c>
      <c r="I35" s="88">
        <f t="shared" ref="I35:M35" si="48">I23</f>
        <v>0</v>
      </c>
      <c r="J35" s="88">
        <f t="shared" si="48"/>
        <v>0</v>
      </c>
      <c r="K35" s="88">
        <f t="shared" si="48"/>
        <v>0</v>
      </c>
      <c r="L35" s="88">
        <f t="shared" si="48"/>
        <v>0</v>
      </c>
      <c r="M35" s="88">
        <f t="shared" si="48"/>
        <v>0</v>
      </c>
      <c r="O35" s="20">
        <f>'GS &lt; 50 OLS model'!$B$5</f>
        <v>-11631489.5525492</v>
      </c>
      <c r="P35" s="20">
        <f>'GS &lt; 50 OLS model'!$B$6*D35</f>
        <v>12407836.404633669</v>
      </c>
      <c r="Q35" s="20">
        <f ca="1">'GS &lt; 50 OLS model'!$B$7*E35</f>
        <v>504985.74210485182</v>
      </c>
      <c r="R35" s="20">
        <f ca="1">'GS &lt; 50 OLS model'!$B$8*F35</f>
        <v>17004.341172772081</v>
      </c>
      <c r="S35" s="20">
        <f>'GS &lt; 50 OLS model'!$B$9*G35</f>
        <v>2474061.6842826949</v>
      </c>
      <c r="T35" s="20">
        <f>'GS &lt; 50 OLS model'!$B$10*H35</f>
        <v>-163971.59862875758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ca="1" si="3"/>
        <v>3608427.0210160306</v>
      </c>
    </row>
    <row r="36" spans="1:26" ht="14.4" x14ac:dyDescent="0.3">
      <c r="A36" s="22">
        <f>'Monthly Data'!A36</f>
        <v>40118</v>
      </c>
      <c r="B36" s="88">
        <f t="shared" si="2"/>
        <v>2009</v>
      </c>
      <c r="C36" s="20">
        <f ca="1">'Monthly Data'!H36</f>
        <v>3874484.0325258188</v>
      </c>
      <c r="D36" s="88">
        <f>'Monthly Data'!AC36</f>
        <v>1894</v>
      </c>
      <c r="E36" s="88">
        <f t="shared" ref="E36:F36" ca="1" si="49">E24</f>
        <v>421.52</v>
      </c>
      <c r="F36" s="88">
        <f t="shared" ca="1" si="49"/>
        <v>0</v>
      </c>
      <c r="G36" s="88">
        <f>'Monthly Data'!AQ36</f>
        <v>241.3</v>
      </c>
      <c r="H36" s="88">
        <f t="shared" si="7"/>
        <v>35</v>
      </c>
      <c r="I36" s="88">
        <f t="shared" ref="I36:M36" si="50">I24</f>
        <v>0</v>
      </c>
      <c r="J36" s="88">
        <f t="shared" si="50"/>
        <v>0</v>
      </c>
      <c r="K36" s="88">
        <f t="shared" si="50"/>
        <v>0</v>
      </c>
      <c r="L36" s="88">
        <f t="shared" si="50"/>
        <v>0</v>
      </c>
      <c r="M36" s="88">
        <f t="shared" si="50"/>
        <v>0</v>
      </c>
      <c r="O36" s="20">
        <f>'GS &lt; 50 OLS model'!$B$5</f>
        <v>-11631489.5525492</v>
      </c>
      <c r="P36" s="20">
        <f>'GS &lt; 50 OLS model'!$B$6*D36</f>
        <v>12407836.404633669</v>
      </c>
      <c r="Q36" s="20">
        <f ca="1">'GS &lt; 50 OLS model'!$B$7*E36</f>
        <v>882693.71765306708</v>
      </c>
      <c r="R36" s="20">
        <f ca="1">'GS &lt; 50 OLS model'!$B$8*F36</f>
        <v>0</v>
      </c>
      <c r="S36" s="20">
        <f>'GS &lt; 50 OLS model'!$B$9*G36</f>
        <v>2514705.4945973647</v>
      </c>
      <c r="T36" s="20">
        <f>'GS &lt; 50 OLS model'!$B$10*H36</f>
        <v>-168794.29270607399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ca="1" si="3"/>
        <v>4004951.7716288269</v>
      </c>
    </row>
    <row r="37" spans="1:26" ht="14.4" x14ac:dyDescent="0.3">
      <c r="A37" s="22">
        <f>'Monthly Data'!A37</f>
        <v>40148</v>
      </c>
      <c r="B37" s="88">
        <f t="shared" si="2"/>
        <v>2009</v>
      </c>
      <c r="C37" s="20">
        <f ca="1">'Monthly Data'!H37</f>
        <v>4458302.6525258189</v>
      </c>
      <c r="D37" s="88">
        <f>'Monthly Data'!AC37</f>
        <v>1895</v>
      </c>
      <c r="E37" s="88">
        <f t="shared" ref="E37:F37" ca="1" si="51">E25</f>
        <v>610.56000000000006</v>
      </c>
      <c r="F37" s="88">
        <f t="shared" ca="1" si="51"/>
        <v>0</v>
      </c>
      <c r="G37" s="88">
        <f>'Monthly Data'!AQ37</f>
        <v>244.6</v>
      </c>
      <c r="H37" s="88">
        <f t="shared" si="7"/>
        <v>36</v>
      </c>
      <c r="I37" s="88">
        <f t="shared" ref="I37:M37" si="52">I25</f>
        <v>0</v>
      </c>
      <c r="J37" s="88">
        <f t="shared" si="52"/>
        <v>0</v>
      </c>
      <c r="K37" s="88">
        <f t="shared" si="52"/>
        <v>0</v>
      </c>
      <c r="L37" s="88">
        <f t="shared" si="52"/>
        <v>0</v>
      </c>
      <c r="M37" s="88">
        <f t="shared" si="52"/>
        <v>0</v>
      </c>
      <c r="O37" s="20">
        <f>'GS &lt; 50 OLS model'!$B$5</f>
        <v>-11631489.5525492</v>
      </c>
      <c r="P37" s="20">
        <f>'GS &lt; 50 OLS model'!$B$6*D37</f>
        <v>12414387.532619221</v>
      </c>
      <c r="Q37" s="20">
        <f ca="1">'GS &lt; 50 OLS model'!$B$7*E37</f>
        <v>1278557.3074830535</v>
      </c>
      <c r="R37" s="20">
        <f ca="1">'GS &lt; 50 OLS model'!$B$8*F37</f>
        <v>0</v>
      </c>
      <c r="S37" s="20">
        <f>'GS &lt; 50 OLS model'!$B$9*G37</f>
        <v>2549096.4110174691</v>
      </c>
      <c r="T37" s="20">
        <f>'GS &lt; 50 OLS model'!$B$10*H37</f>
        <v>-173616.9867833904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ca="1" si="3"/>
        <v>4436934.711787153</v>
      </c>
    </row>
    <row r="38" spans="1:26" ht="14.4" x14ac:dyDescent="0.3">
      <c r="A38" s="22">
        <f>'Monthly Data'!A38</f>
        <v>40179</v>
      </c>
      <c r="B38" s="88">
        <f t="shared" si="2"/>
        <v>2010</v>
      </c>
      <c r="C38" s="20">
        <f ca="1">'Monthly Data'!H38</f>
        <v>4697417.7863541953</v>
      </c>
      <c r="D38" s="88">
        <f>'Monthly Data'!AC38</f>
        <v>1895</v>
      </c>
      <c r="E38" s="88">
        <f t="shared" ref="E38:F38" ca="1" si="53">E26</f>
        <v>729.54999999999984</v>
      </c>
      <c r="F38" s="88">
        <f t="shared" ca="1" si="53"/>
        <v>0</v>
      </c>
      <c r="G38" s="88">
        <f>'Monthly Data'!AQ38</f>
        <v>243.1</v>
      </c>
      <c r="H38" s="88">
        <f t="shared" si="7"/>
        <v>37</v>
      </c>
      <c r="I38" s="88">
        <f t="shared" ref="I38:M38" si="54">I26</f>
        <v>0</v>
      </c>
      <c r="J38" s="88">
        <f t="shared" si="54"/>
        <v>0</v>
      </c>
      <c r="K38" s="88">
        <f t="shared" si="54"/>
        <v>0</v>
      </c>
      <c r="L38" s="88">
        <f t="shared" si="54"/>
        <v>0</v>
      </c>
      <c r="M38" s="88">
        <f t="shared" si="54"/>
        <v>0</v>
      </c>
      <c r="O38" s="20">
        <f>'GS &lt; 50 OLS model'!$B$5</f>
        <v>-11631489.5525492</v>
      </c>
      <c r="P38" s="20">
        <f>'GS &lt; 50 OLS model'!$B$6*D38</f>
        <v>12414387.532619221</v>
      </c>
      <c r="Q38" s="20">
        <f ca="1">'GS &lt; 50 OLS model'!$B$7*E38</f>
        <v>1527731.0725796996</v>
      </c>
      <c r="R38" s="20">
        <f ca="1">'GS &lt; 50 OLS model'!$B$8*F38</f>
        <v>0</v>
      </c>
      <c r="S38" s="20">
        <f>'GS &lt; 50 OLS model'!$B$9*G38</f>
        <v>2533464.1762810578</v>
      </c>
      <c r="T38" s="20">
        <f>'GS &lt; 50 OLS model'!$B$10*H38</f>
        <v>-178439.68086070678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ca="1" si="3"/>
        <v>4665653.5480700722</v>
      </c>
    </row>
    <row r="39" spans="1:26" ht="14.4" x14ac:dyDescent="0.3">
      <c r="A39" s="22">
        <f>'Monthly Data'!A39</f>
        <v>40210</v>
      </c>
      <c r="B39" s="88">
        <f t="shared" si="2"/>
        <v>2010</v>
      </c>
      <c r="C39" s="20">
        <f ca="1">'Monthly Data'!H39</f>
        <v>5008535.2563541951</v>
      </c>
      <c r="D39" s="88">
        <f>'Monthly Data'!AC39</f>
        <v>1895</v>
      </c>
      <c r="E39" s="88">
        <f t="shared" ref="E39:F39" ca="1" si="55">E27</f>
        <v>678.56000000000006</v>
      </c>
      <c r="F39" s="88">
        <f t="shared" ca="1" si="55"/>
        <v>0</v>
      </c>
      <c r="G39" s="88">
        <f>'Monthly Data'!AQ39</f>
        <v>240.7</v>
      </c>
      <c r="H39" s="88">
        <f t="shared" si="7"/>
        <v>38</v>
      </c>
      <c r="I39" s="88">
        <f t="shared" ref="I39:M39" si="56">I27</f>
        <v>0</v>
      </c>
      <c r="J39" s="88">
        <f t="shared" si="56"/>
        <v>0</v>
      </c>
      <c r="K39" s="88">
        <f t="shared" si="56"/>
        <v>0</v>
      </c>
      <c r="L39" s="88">
        <f t="shared" si="56"/>
        <v>0</v>
      </c>
      <c r="M39" s="88">
        <f t="shared" si="56"/>
        <v>0</v>
      </c>
      <c r="O39" s="20">
        <f>'GS &lt; 50 OLS model'!$B$5</f>
        <v>-11631489.5525492</v>
      </c>
      <c r="P39" s="20">
        <f>'GS &lt; 50 OLS model'!$B$6*D39</f>
        <v>12414387.532619221</v>
      </c>
      <c r="Q39" s="20">
        <f ca="1">'GS &lt; 50 OLS model'!$B$7*E39</f>
        <v>1420954.2822420413</v>
      </c>
      <c r="R39" s="20">
        <f ca="1">'GS &lt; 50 OLS model'!$B$8*F39</f>
        <v>0</v>
      </c>
      <c r="S39" s="20">
        <f>'GS &lt; 50 OLS model'!$B$9*G39</f>
        <v>2508452.6007027999</v>
      </c>
      <c r="T39" s="20">
        <f>'GS &lt; 50 OLS model'!$B$10*H39</f>
        <v>-183262.37493802319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ca="1" si="3"/>
        <v>4529042.4880768387</v>
      </c>
    </row>
    <row r="40" spans="1:26" ht="14.4" x14ac:dyDescent="0.3">
      <c r="A40" s="22">
        <f>'Monthly Data'!A40</f>
        <v>40238</v>
      </c>
      <c r="B40" s="88">
        <f t="shared" si="2"/>
        <v>2010</v>
      </c>
      <c r="C40" s="20">
        <f ca="1">'Monthly Data'!H40</f>
        <v>3573684.3163541961</v>
      </c>
      <c r="D40" s="88">
        <f>'Monthly Data'!AC40</f>
        <v>1897</v>
      </c>
      <c r="E40" s="88">
        <f t="shared" ref="E40:F40" ca="1" si="57">E28</f>
        <v>544.77</v>
      </c>
      <c r="F40" s="88">
        <f t="shared" ca="1" si="57"/>
        <v>0.22000000000000003</v>
      </c>
      <c r="G40" s="88">
        <f>'Monthly Data'!AQ40</f>
        <v>238.3</v>
      </c>
      <c r="H40" s="88">
        <f t="shared" si="7"/>
        <v>39</v>
      </c>
      <c r="I40" s="88">
        <f t="shared" ref="I40:M40" si="58">I28</f>
        <v>1</v>
      </c>
      <c r="J40" s="88">
        <f t="shared" si="58"/>
        <v>0</v>
      </c>
      <c r="K40" s="88">
        <f t="shared" si="58"/>
        <v>0</v>
      </c>
      <c r="L40" s="88">
        <f t="shared" si="58"/>
        <v>0</v>
      </c>
      <c r="M40" s="88">
        <f t="shared" si="58"/>
        <v>0</v>
      </c>
      <c r="O40" s="20">
        <f>'GS &lt; 50 OLS model'!$B$5</f>
        <v>-11631489.5525492</v>
      </c>
      <c r="P40" s="20">
        <f>'GS &lt; 50 OLS model'!$B$6*D40</f>
        <v>12427489.788590323</v>
      </c>
      <c r="Q40" s="20">
        <f ca="1">'GS &lt; 50 OLS model'!$B$7*E40</f>
        <v>1140788.2344037327</v>
      </c>
      <c r="R40" s="20">
        <f ca="1">'GS &lt; 50 OLS model'!$B$8*F40</f>
        <v>1303.4686613274766</v>
      </c>
      <c r="S40" s="20">
        <f>'GS &lt; 50 OLS model'!$B$9*G40</f>
        <v>2483441.0251245419</v>
      </c>
      <c r="T40" s="20">
        <f>'GS &lt; 50 OLS model'!$B$10*H40</f>
        <v>-188085.0690153396</v>
      </c>
      <c r="U40" s="20">
        <f>'GS &lt; 50 OLS model'!$B$11*I40</f>
        <v>-156104.06645044801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ca="1" si="3"/>
        <v>4077343.8287649378</v>
      </c>
    </row>
    <row r="41" spans="1:26" ht="14.4" x14ac:dyDescent="0.3">
      <c r="A41" s="22">
        <f>'Monthly Data'!A41</f>
        <v>40269</v>
      </c>
      <c r="B41" s="88">
        <f t="shared" si="2"/>
        <v>2010</v>
      </c>
      <c r="C41" s="20">
        <f ca="1">'Monthly Data'!H41</f>
        <v>3590208.1563541959</v>
      </c>
      <c r="D41" s="88">
        <f>'Monthly Data'!AC41</f>
        <v>1908</v>
      </c>
      <c r="E41" s="88">
        <f t="shared" ref="E41:F41" ca="1" si="59">E29</f>
        <v>328.11</v>
      </c>
      <c r="F41" s="88">
        <f t="shared" ca="1" si="59"/>
        <v>0.32</v>
      </c>
      <c r="G41" s="88">
        <f>'Monthly Data'!AQ41</f>
        <v>240.4</v>
      </c>
      <c r="H41" s="88">
        <f t="shared" si="7"/>
        <v>40</v>
      </c>
      <c r="I41" s="88">
        <f t="shared" ref="I41:M41" si="60">I29</f>
        <v>0</v>
      </c>
      <c r="J41" s="88">
        <f t="shared" si="60"/>
        <v>0</v>
      </c>
      <c r="K41" s="88">
        <f t="shared" si="60"/>
        <v>0</v>
      </c>
      <c r="L41" s="88">
        <f t="shared" si="60"/>
        <v>0</v>
      </c>
      <c r="M41" s="88">
        <f t="shared" si="60"/>
        <v>0</v>
      </c>
      <c r="O41" s="20">
        <f>'GS &lt; 50 OLS model'!$B$5</f>
        <v>-11631489.5525492</v>
      </c>
      <c r="P41" s="20">
        <f>'GS &lt; 50 OLS model'!$B$6*D41</f>
        <v>12499552.196431385</v>
      </c>
      <c r="Q41" s="20">
        <f ca="1">'GS &lt; 50 OLS model'!$B$7*E41</f>
        <v>687086.34394369868</v>
      </c>
      <c r="R41" s="20">
        <f ca="1">'GS &lt; 50 OLS model'!$B$8*F41</f>
        <v>1895.9544164763295</v>
      </c>
      <c r="S41" s="20">
        <f>'GS &lt; 50 OLS model'!$B$9*G41</f>
        <v>2505326.1537555177</v>
      </c>
      <c r="T41" s="20">
        <f>'GS &lt; 50 OLS model'!$B$10*H41</f>
        <v>-192907.76309265598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ca="1" si="3"/>
        <v>3869463.3329052222</v>
      </c>
    </row>
    <row r="42" spans="1:26" ht="14.4" x14ac:dyDescent="0.3">
      <c r="A42" s="22">
        <f>'Monthly Data'!A42</f>
        <v>40299</v>
      </c>
      <c r="B42" s="88">
        <f t="shared" si="2"/>
        <v>2010</v>
      </c>
      <c r="C42" s="20">
        <f ca="1">'Monthly Data'!H42</f>
        <v>3758722.0363541958</v>
      </c>
      <c r="D42" s="88">
        <f>'Monthly Data'!AC42</f>
        <v>1908</v>
      </c>
      <c r="E42" s="88">
        <f t="shared" ref="E42:F42" ca="1" si="61">E30</f>
        <v>134.47999999999999</v>
      </c>
      <c r="F42" s="88">
        <f t="shared" ca="1" si="61"/>
        <v>20.889999999999997</v>
      </c>
      <c r="G42" s="88">
        <f>'Monthly Data'!AQ42</f>
        <v>242</v>
      </c>
      <c r="H42" s="88">
        <f t="shared" si="7"/>
        <v>41</v>
      </c>
      <c r="I42" s="88">
        <f t="shared" ref="I42:M42" si="62">I30</f>
        <v>0</v>
      </c>
      <c r="J42" s="88">
        <f t="shared" si="62"/>
        <v>0</v>
      </c>
      <c r="K42" s="88">
        <f t="shared" si="62"/>
        <v>0</v>
      </c>
      <c r="L42" s="88">
        <f t="shared" si="62"/>
        <v>0</v>
      </c>
      <c r="M42" s="88">
        <f t="shared" si="62"/>
        <v>0</v>
      </c>
      <c r="O42" s="20">
        <f>'GS &lt; 50 OLS model'!$B$5</f>
        <v>-11631489.5525492</v>
      </c>
      <c r="P42" s="20">
        <f>'GS &lt; 50 OLS model'!$B$6*D42</f>
        <v>12499552.196431385</v>
      </c>
      <c r="Q42" s="20">
        <f ca="1">'GS &lt; 50 OLS model'!$B$7*E42</f>
        <v>281610.95831748069</v>
      </c>
      <c r="R42" s="20">
        <f ca="1">'GS &lt; 50 OLS model'!$B$8*F42</f>
        <v>123770.27425059536</v>
      </c>
      <c r="S42" s="20">
        <f>'GS &lt; 50 OLS model'!$B$9*G42</f>
        <v>2522000.5374743566</v>
      </c>
      <c r="T42" s="20">
        <f>'GS &lt; 50 OLS model'!$B$10*H42</f>
        <v>-197730.45716997239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ca="1" si="3"/>
        <v>3597713.9567546453</v>
      </c>
    </row>
    <row r="43" spans="1:26" ht="14.4" x14ac:dyDescent="0.3">
      <c r="A43" s="22">
        <f>'Monthly Data'!A43</f>
        <v>40330</v>
      </c>
      <c r="B43" s="88">
        <f t="shared" si="2"/>
        <v>2010</v>
      </c>
      <c r="C43" s="20">
        <f ca="1">'Monthly Data'!H43</f>
        <v>4289252.2863541953</v>
      </c>
      <c r="D43" s="88">
        <f>'Monthly Data'!AC43</f>
        <v>1908</v>
      </c>
      <c r="E43" s="88">
        <f t="shared" ref="E43:F43" ca="1" si="63">E31</f>
        <v>30.429999999999996</v>
      </c>
      <c r="F43" s="88">
        <f t="shared" ca="1" si="63"/>
        <v>56.129999999999995</v>
      </c>
      <c r="G43" s="88">
        <f>'Monthly Data'!AQ43</f>
        <v>245</v>
      </c>
      <c r="H43" s="88">
        <f t="shared" si="7"/>
        <v>42</v>
      </c>
      <c r="I43" s="88">
        <f t="shared" ref="I43:M43" si="64">I31</f>
        <v>0</v>
      </c>
      <c r="J43" s="88">
        <f t="shared" si="64"/>
        <v>1</v>
      </c>
      <c r="K43" s="88">
        <f t="shared" si="64"/>
        <v>0</v>
      </c>
      <c r="L43" s="88">
        <f t="shared" si="64"/>
        <v>0</v>
      </c>
      <c r="M43" s="88">
        <f t="shared" si="64"/>
        <v>0</v>
      </c>
      <c r="O43" s="20">
        <f>'GS &lt; 50 OLS model'!$B$5</f>
        <v>-11631489.5525492</v>
      </c>
      <c r="P43" s="20">
        <f>'GS &lt; 50 OLS model'!$B$6*D43</f>
        <v>12499552.196431385</v>
      </c>
      <c r="Q43" s="20">
        <f ca="1">'GS &lt; 50 OLS model'!$B$7*E43</f>
        <v>63722.646204647062</v>
      </c>
      <c r="R43" s="20">
        <f ca="1">'GS &lt; 50 OLS model'!$B$8*F43</f>
        <v>332562.25436505117</v>
      </c>
      <c r="S43" s="20">
        <f>'GS &lt; 50 OLS model'!$B$9*G43</f>
        <v>2553265.0069471789</v>
      </c>
      <c r="T43" s="20">
        <f>'GS &lt; 50 OLS model'!$B$10*H43</f>
        <v>-202553.1512472888</v>
      </c>
      <c r="U43" s="20">
        <f>'GS &lt; 50 OLS model'!$B$11*I43</f>
        <v>0</v>
      </c>
      <c r="V43" s="20">
        <f>'GS &lt; 50 OLS model'!$B$12*J43</f>
        <v>359272.711714848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ca="1" si="3"/>
        <v>3974332.1118666213</v>
      </c>
    </row>
    <row r="44" spans="1:26" ht="14.4" x14ac:dyDescent="0.3">
      <c r="A44" s="22">
        <f>'Monthly Data'!A44</f>
        <v>40360</v>
      </c>
      <c r="B44" s="88">
        <f t="shared" si="2"/>
        <v>2010</v>
      </c>
      <c r="C44" s="20">
        <f ca="1">'Monthly Data'!H44</f>
        <v>4318847.7063541953</v>
      </c>
      <c r="D44" s="88">
        <f>'Monthly Data'!AC44</f>
        <v>1908</v>
      </c>
      <c r="E44" s="88">
        <f t="shared" ref="E44:F44" ca="1" si="65">E32</f>
        <v>7.85</v>
      </c>
      <c r="F44" s="88">
        <f t="shared" ca="1" si="65"/>
        <v>99.97999999999999</v>
      </c>
      <c r="G44" s="88">
        <f>'Monthly Data'!AQ44</f>
        <v>243.3</v>
      </c>
      <c r="H44" s="88">
        <f t="shared" si="7"/>
        <v>43</v>
      </c>
      <c r="I44" s="88">
        <f t="shared" ref="I44:M44" si="66">I32</f>
        <v>0</v>
      </c>
      <c r="J44" s="88">
        <f t="shared" si="66"/>
        <v>0</v>
      </c>
      <c r="K44" s="88">
        <f t="shared" si="66"/>
        <v>1</v>
      </c>
      <c r="L44" s="88">
        <f t="shared" si="66"/>
        <v>0</v>
      </c>
      <c r="M44" s="88">
        <f t="shared" si="66"/>
        <v>0</v>
      </c>
      <c r="O44" s="20">
        <f>'GS &lt; 50 OLS model'!$B$5</f>
        <v>-11631489.5525492</v>
      </c>
      <c r="P44" s="20">
        <f>'GS &lt; 50 OLS model'!$B$6*D44</f>
        <v>12499552.196431385</v>
      </c>
      <c r="Q44" s="20">
        <f ca="1">'GS &lt; 50 OLS model'!$B$7*E44</f>
        <v>16438.474292030216</v>
      </c>
      <c r="R44" s="20">
        <f ca="1">'GS &lt; 50 OLS model'!$B$8*F44</f>
        <v>592367.25799782318</v>
      </c>
      <c r="S44" s="20">
        <f>'GS &lt; 50 OLS model'!$B$9*G44</f>
        <v>2535548.4742459129</v>
      </c>
      <c r="T44" s="20">
        <f>'GS &lt; 50 OLS model'!$B$10*H44</f>
        <v>-207375.84532460518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411098.30587285903</v>
      </c>
      <c r="X44" s="20">
        <f>'GS &lt; 50 OLS model'!$B$14*L44</f>
        <v>0</v>
      </c>
      <c r="Y44" s="20">
        <f>'GS &lt; 50 OLS model'!$B$15*M44</f>
        <v>0</v>
      </c>
      <c r="Z44" s="20">
        <f t="shared" ca="1" si="3"/>
        <v>4216139.3109662058</v>
      </c>
    </row>
    <row r="45" spans="1:26" ht="14.4" x14ac:dyDescent="0.3">
      <c r="A45" s="22">
        <f>'Monthly Data'!A45</f>
        <v>40391</v>
      </c>
      <c r="B45" s="88">
        <f t="shared" si="2"/>
        <v>2010</v>
      </c>
      <c r="C45" s="20">
        <f ca="1">'Monthly Data'!H45</f>
        <v>4290762.7763541956</v>
      </c>
      <c r="D45" s="88">
        <f>'Monthly Data'!AC45</f>
        <v>1907</v>
      </c>
      <c r="E45" s="88">
        <f t="shared" ref="E45:F45" ca="1" si="67">E33</f>
        <v>10.43</v>
      </c>
      <c r="F45" s="88">
        <f t="shared" ca="1" si="67"/>
        <v>80.190000000000012</v>
      </c>
      <c r="G45" s="88">
        <f>'Monthly Data'!AQ45</f>
        <v>241.9</v>
      </c>
      <c r="H45" s="88">
        <f t="shared" si="7"/>
        <v>44</v>
      </c>
      <c r="I45" s="88">
        <f t="shared" ref="I45:M45" si="68">I33</f>
        <v>0</v>
      </c>
      <c r="J45" s="88">
        <f t="shared" si="68"/>
        <v>0</v>
      </c>
      <c r="K45" s="88">
        <f t="shared" si="68"/>
        <v>0</v>
      </c>
      <c r="L45" s="88">
        <f t="shared" si="68"/>
        <v>1</v>
      </c>
      <c r="M45" s="88">
        <f t="shared" si="68"/>
        <v>0</v>
      </c>
      <c r="O45" s="20">
        <f>'GS &lt; 50 OLS model'!$B$5</f>
        <v>-11631489.5525492</v>
      </c>
      <c r="P45" s="20">
        <f>'GS &lt; 50 OLS model'!$B$6*D45</f>
        <v>12493001.068445833</v>
      </c>
      <c r="Q45" s="20">
        <f ca="1">'GS &lt; 50 OLS model'!$B$7*E45</f>
        <v>21841.183040238873</v>
      </c>
      <c r="R45" s="20">
        <f ca="1">'GS &lt; 50 OLS model'!$B$8*F45</f>
        <v>475114.32705386524</v>
      </c>
      <c r="S45" s="20">
        <f>'GS &lt; 50 OLS model'!$B$9*G45</f>
        <v>2520958.388491929</v>
      </c>
      <c r="T45" s="20">
        <f>'GS &lt; 50 OLS model'!$B$10*H45</f>
        <v>-212198.53940192159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494220.92313005403</v>
      </c>
      <c r="Y45" s="20">
        <f>'GS &lt; 50 OLS model'!$B$15*M45</f>
        <v>0</v>
      </c>
      <c r="Z45" s="20">
        <f t="shared" ca="1" si="3"/>
        <v>4161447.7982107988</v>
      </c>
    </row>
    <row r="46" spans="1:26" ht="14.4" x14ac:dyDescent="0.3">
      <c r="A46" s="22">
        <f>'Monthly Data'!A46</f>
        <v>40422</v>
      </c>
      <c r="B46" s="88">
        <f t="shared" si="2"/>
        <v>2010</v>
      </c>
      <c r="C46" s="20">
        <f ca="1">'Monthly Data'!H46</f>
        <v>3747124.8363541956</v>
      </c>
      <c r="D46" s="88">
        <f>'Monthly Data'!AC46</f>
        <v>1909</v>
      </c>
      <c r="E46" s="88">
        <f t="shared" ref="E46:F46" ca="1" si="69">E34</f>
        <v>70.580000000000013</v>
      </c>
      <c r="F46" s="88">
        <f t="shared" ca="1" si="69"/>
        <v>29.429999999999996</v>
      </c>
      <c r="G46" s="88">
        <f>'Monthly Data'!AQ46</f>
        <v>237.4</v>
      </c>
      <c r="H46" s="88">
        <f t="shared" si="7"/>
        <v>45</v>
      </c>
      <c r="I46" s="88">
        <f t="shared" ref="I46:M46" si="70">I34</f>
        <v>0</v>
      </c>
      <c r="J46" s="88">
        <f t="shared" si="70"/>
        <v>0</v>
      </c>
      <c r="K46" s="88">
        <f t="shared" si="70"/>
        <v>0</v>
      </c>
      <c r="L46" s="88">
        <f t="shared" si="70"/>
        <v>0</v>
      </c>
      <c r="M46" s="88">
        <f t="shared" si="70"/>
        <v>1</v>
      </c>
      <c r="O46" s="20">
        <f>'GS &lt; 50 OLS model'!$B$5</f>
        <v>-11631489.5525492</v>
      </c>
      <c r="P46" s="20">
        <f>'GS &lt; 50 OLS model'!$B$6*D46</f>
        <v>12506103.324416935</v>
      </c>
      <c r="Q46" s="20">
        <f ca="1">'GS &lt; 50 OLS model'!$B$7*E46</f>
        <v>147799.68350719655</v>
      </c>
      <c r="R46" s="20">
        <f ca="1">'GS &lt; 50 OLS model'!$B$8*F46</f>
        <v>174368.55774030741</v>
      </c>
      <c r="S46" s="20">
        <f>'GS &lt; 50 OLS model'!$B$9*G46</f>
        <v>2474061.6842826949</v>
      </c>
      <c r="T46" s="20">
        <f>'GS &lt; 50 OLS model'!$B$10*H46</f>
        <v>-217021.233479238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249265.131543444</v>
      </c>
      <c r="Z46" s="20">
        <f t="shared" ca="1" si="3"/>
        <v>3703087.5954621402</v>
      </c>
    </row>
    <row r="47" spans="1:26" ht="14.4" x14ac:dyDescent="0.3">
      <c r="A47" s="22">
        <f>'Monthly Data'!A47</f>
        <v>40452</v>
      </c>
      <c r="B47" s="88">
        <f t="shared" si="2"/>
        <v>2010</v>
      </c>
      <c r="C47" s="20">
        <f ca="1">'Monthly Data'!H47</f>
        <v>3640387.4263541955</v>
      </c>
      <c r="D47" s="88">
        <f>'Monthly Data'!AC47</f>
        <v>1909</v>
      </c>
      <c r="E47" s="88">
        <f t="shared" ref="E47:F47" ca="1" si="71">E35</f>
        <v>241.15</v>
      </c>
      <c r="F47" s="88">
        <f t="shared" ca="1" si="71"/>
        <v>2.87</v>
      </c>
      <c r="G47" s="88">
        <f>'Monthly Data'!AQ47</f>
        <v>236.2</v>
      </c>
      <c r="H47" s="88">
        <f t="shared" si="7"/>
        <v>46</v>
      </c>
      <c r="I47" s="88">
        <f t="shared" ref="I47:M47" si="72">I35</f>
        <v>0</v>
      </c>
      <c r="J47" s="88">
        <f t="shared" si="72"/>
        <v>0</v>
      </c>
      <c r="K47" s="88">
        <f t="shared" si="72"/>
        <v>0</v>
      </c>
      <c r="L47" s="88">
        <f t="shared" si="72"/>
        <v>0</v>
      </c>
      <c r="M47" s="88">
        <f t="shared" si="72"/>
        <v>0</v>
      </c>
      <c r="O47" s="20">
        <f>'GS &lt; 50 OLS model'!$B$5</f>
        <v>-11631489.5525492</v>
      </c>
      <c r="P47" s="20">
        <f>'GS &lt; 50 OLS model'!$B$6*D47</f>
        <v>12506103.324416935</v>
      </c>
      <c r="Q47" s="20">
        <f ca="1">'GS &lt; 50 OLS model'!$B$7*E47</f>
        <v>504985.74210485182</v>
      </c>
      <c r="R47" s="20">
        <f ca="1">'GS &lt; 50 OLS model'!$B$8*F47</f>
        <v>17004.341172772081</v>
      </c>
      <c r="S47" s="20">
        <f>'GS &lt; 50 OLS model'!$B$9*G47</f>
        <v>2461555.8964935658</v>
      </c>
      <c r="T47" s="20">
        <f>'GS &lt; 50 OLS model'!$B$10*H47</f>
        <v>-221843.92755655438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ca="1" si="3"/>
        <v>3636315.8240823704</v>
      </c>
    </row>
    <row r="48" spans="1:26" ht="14.4" x14ac:dyDescent="0.3">
      <c r="A48" s="22">
        <f>'Monthly Data'!A48</f>
        <v>40483</v>
      </c>
      <c r="B48" s="88">
        <f t="shared" si="2"/>
        <v>2010</v>
      </c>
      <c r="C48" s="20">
        <f ca="1">'Monthly Data'!H48</f>
        <v>4031309.7163541955</v>
      </c>
      <c r="D48" s="88">
        <f>'Monthly Data'!AC48</f>
        <v>1909</v>
      </c>
      <c r="E48" s="88">
        <f t="shared" ref="E48:F48" ca="1" si="73">E36</f>
        <v>421.52</v>
      </c>
      <c r="F48" s="88">
        <f t="shared" ca="1" si="73"/>
        <v>0</v>
      </c>
      <c r="G48" s="88">
        <f>'Monthly Data'!AQ48</f>
        <v>237.2</v>
      </c>
      <c r="H48" s="88">
        <f t="shared" si="7"/>
        <v>47</v>
      </c>
      <c r="I48" s="88">
        <f t="shared" ref="I48:M48" si="74">I36</f>
        <v>0</v>
      </c>
      <c r="J48" s="88">
        <f t="shared" si="74"/>
        <v>0</v>
      </c>
      <c r="K48" s="88">
        <f t="shared" si="74"/>
        <v>0</v>
      </c>
      <c r="L48" s="88">
        <f t="shared" si="74"/>
        <v>0</v>
      </c>
      <c r="M48" s="88">
        <f t="shared" si="74"/>
        <v>0</v>
      </c>
      <c r="O48" s="20">
        <f>'GS &lt; 50 OLS model'!$B$5</f>
        <v>-11631489.5525492</v>
      </c>
      <c r="P48" s="20">
        <f>'GS &lt; 50 OLS model'!$B$6*D48</f>
        <v>12506103.324416935</v>
      </c>
      <c r="Q48" s="20">
        <f ca="1">'GS &lt; 50 OLS model'!$B$7*E48</f>
        <v>882693.71765306708</v>
      </c>
      <c r="R48" s="20">
        <f ca="1">'GS &lt; 50 OLS model'!$B$8*F48</f>
        <v>0</v>
      </c>
      <c r="S48" s="20">
        <f>'GS &lt; 50 OLS model'!$B$9*G48</f>
        <v>2471977.3863178403</v>
      </c>
      <c r="T48" s="20">
        <f>'GS &lt; 50 OLS model'!$B$10*H48</f>
        <v>-226666.62163387079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ca="1" si="3"/>
        <v>4002618.2542047719</v>
      </c>
    </row>
    <row r="49" spans="1:26" ht="14.4" x14ac:dyDescent="0.3">
      <c r="A49" s="22">
        <f>'Monthly Data'!A49</f>
        <v>40513</v>
      </c>
      <c r="B49" s="88">
        <f t="shared" si="2"/>
        <v>2010</v>
      </c>
      <c r="C49" s="20">
        <f ca="1">'Monthly Data'!H49</f>
        <v>4669941.6563541945</v>
      </c>
      <c r="D49" s="88">
        <f>'Monthly Data'!AC49</f>
        <v>1918</v>
      </c>
      <c r="E49" s="88">
        <f t="shared" ref="E49:F49" ca="1" si="75">E37</f>
        <v>610.56000000000006</v>
      </c>
      <c r="F49" s="88">
        <f t="shared" ca="1" si="75"/>
        <v>0</v>
      </c>
      <c r="G49" s="88">
        <f>'Monthly Data'!AQ49</f>
        <v>237.7</v>
      </c>
      <c r="H49" s="88">
        <f t="shared" si="7"/>
        <v>48</v>
      </c>
      <c r="I49" s="88">
        <f t="shared" ref="I49:M49" si="76">I37</f>
        <v>0</v>
      </c>
      <c r="J49" s="88">
        <f t="shared" si="76"/>
        <v>0</v>
      </c>
      <c r="K49" s="88">
        <f t="shared" si="76"/>
        <v>0</v>
      </c>
      <c r="L49" s="88">
        <f t="shared" si="76"/>
        <v>0</v>
      </c>
      <c r="M49" s="88">
        <f t="shared" si="76"/>
        <v>0</v>
      </c>
      <c r="O49" s="20">
        <f>'GS &lt; 50 OLS model'!$B$5</f>
        <v>-11631489.5525492</v>
      </c>
      <c r="P49" s="20">
        <f>'GS &lt; 50 OLS model'!$B$6*D49</f>
        <v>12565063.476286896</v>
      </c>
      <c r="Q49" s="20">
        <f ca="1">'GS &lt; 50 OLS model'!$B$7*E49</f>
        <v>1278557.3074830535</v>
      </c>
      <c r="R49" s="20">
        <f ca="1">'GS &lt; 50 OLS model'!$B$8*F49</f>
        <v>0</v>
      </c>
      <c r="S49" s="20">
        <f>'GS &lt; 50 OLS model'!$B$9*G49</f>
        <v>2477188.1312299771</v>
      </c>
      <c r="T49" s="20">
        <f>'GS &lt; 50 OLS model'!$B$10*H49</f>
        <v>-231489.3157111872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ca="1" si="3"/>
        <v>4457830.0467395391</v>
      </c>
    </row>
    <row r="50" spans="1:26" ht="14.4" x14ac:dyDescent="0.3">
      <c r="A50" s="22">
        <f>'Monthly Data'!A50</f>
        <v>40544</v>
      </c>
      <c r="B50" s="88">
        <f t="shared" si="2"/>
        <v>2011</v>
      </c>
      <c r="C50" s="20">
        <f ca="1">'Monthly Data'!H50</f>
        <v>4809030.2226273539</v>
      </c>
      <c r="D50" s="88">
        <f>'Monthly Data'!AC50</f>
        <v>1920</v>
      </c>
      <c r="E50" s="88">
        <f t="shared" ref="E50:F50" ca="1" si="77">E38</f>
        <v>729.54999999999984</v>
      </c>
      <c r="F50" s="88">
        <f t="shared" ca="1" si="77"/>
        <v>0</v>
      </c>
      <c r="G50" s="88">
        <f>'Monthly Data'!AQ50</f>
        <v>236.6</v>
      </c>
      <c r="H50" s="88">
        <f t="shared" si="7"/>
        <v>49</v>
      </c>
      <c r="I50" s="88">
        <f t="shared" ref="I50:M50" si="78">I38</f>
        <v>0</v>
      </c>
      <c r="J50" s="88">
        <f t="shared" si="78"/>
        <v>0</v>
      </c>
      <c r="K50" s="88">
        <f t="shared" si="78"/>
        <v>0</v>
      </c>
      <c r="L50" s="88">
        <f t="shared" si="78"/>
        <v>0</v>
      </c>
      <c r="M50" s="88">
        <f t="shared" si="78"/>
        <v>0</v>
      </c>
      <c r="O50" s="20">
        <f>'GS &lt; 50 OLS model'!$B$5</f>
        <v>-11631489.5525492</v>
      </c>
      <c r="P50" s="20">
        <f>'GS &lt; 50 OLS model'!$B$6*D50</f>
        <v>12578165.732257998</v>
      </c>
      <c r="Q50" s="20">
        <f ca="1">'GS &lt; 50 OLS model'!$B$7*E50</f>
        <v>1527731.0725796996</v>
      </c>
      <c r="R50" s="20">
        <f ca="1">'GS &lt; 50 OLS model'!$B$8*F50</f>
        <v>0</v>
      </c>
      <c r="S50" s="20">
        <f>'GS &lt; 50 OLS model'!$B$9*G50</f>
        <v>2465724.4924232755</v>
      </c>
      <c r="T50" s="20">
        <f>'GS &lt; 50 OLS model'!$B$10*H50</f>
        <v>-236312.00978850358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ca="1" si="3"/>
        <v>4703819.7349232687</v>
      </c>
    </row>
    <row r="51" spans="1:26" ht="14.4" x14ac:dyDescent="0.3">
      <c r="A51" s="22">
        <f>'Monthly Data'!A51</f>
        <v>40575</v>
      </c>
      <c r="B51" s="88">
        <f t="shared" si="2"/>
        <v>2011</v>
      </c>
      <c r="C51" s="20">
        <f ca="1">'Monthly Data'!H51</f>
        <v>4234672.8526273537</v>
      </c>
      <c r="D51" s="88">
        <f>'Monthly Data'!AC51</f>
        <v>1919</v>
      </c>
      <c r="E51" s="88">
        <f t="shared" ref="E51:F51" ca="1" si="79">E39</f>
        <v>678.56000000000006</v>
      </c>
      <c r="F51" s="88">
        <f t="shared" ca="1" si="79"/>
        <v>0</v>
      </c>
      <c r="G51" s="88">
        <f>'Monthly Data'!AQ51</f>
        <v>235</v>
      </c>
      <c r="H51" s="88">
        <f t="shared" si="7"/>
        <v>50</v>
      </c>
      <c r="I51" s="88">
        <f t="shared" ref="I51:M51" si="80">I39</f>
        <v>0</v>
      </c>
      <c r="J51" s="88">
        <f t="shared" si="80"/>
        <v>0</v>
      </c>
      <c r="K51" s="88">
        <f t="shared" si="80"/>
        <v>0</v>
      </c>
      <c r="L51" s="88">
        <f t="shared" si="80"/>
        <v>0</v>
      </c>
      <c r="M51" s="88">
        <f t="shared" si="80"/>
        <v>0</v>
      </c>
      <c r="O51" s="20">
        <f>'GS &lt; 50 OLS model'!$B$5</f>
        <v>-11631489.5525492</v>
      </c>
      <c r="P51" s="20">
        <f>'GS &lt; 50 OLS model'!$B$6*D51</f>
        <v>12571614.604272446</v>
      </c>
      <c r="Q51" s="20">
        <f ca="1">'GS &lt; 50 OLS model'!$B$7*E51</f>
        <v>1420954.2822420413</v>
      </c>
      <c r="R51" s="20">
        <f ca="1">'GS &lt; 50 OLS model'!$B$8*F51</f>
        <v>0</v>
      </c>
      <c r="S51" s="20">
        <f>'GS &lt; 50 OLS model'!$B$9*G51</f>
        <v>2449050.108704437</v>
      </c>
      <c r="T51" s="20">
        <f>'GS &lt; 50 OLS model'!$B$10*H51</f>
        <v>-241134.70386581999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ca="1" si="3"/>
        <v>4568994.7388039036</v>
      </c>
    </row>
    <row r="52" spans="1:26" ht="14.4" x14ac:dyDescent="0.3">
      <c r="A52" s="22">
        <f>'Monthly Data'!A52</f>
        <v>40603</v>
      </c>
      <c r="B52" s="88">
        <f t="shared" si="2"/>
        <v>2011</v>
      </c>
      <c r="C52" s="20">
        <f ca="1">'Monthly Data'!H52</f>
        <v>3764883.7426273539</v>
      </c>
      <c r="D52" s="88">
        <f>'Monthly Data'!AC52</f>
        <v>1919</v>
      </c>
      <c r="E52" s="88">
        <f t="shared" ref="E52:F52" ca="1" si="81">E40</f>
        <v>544.77</v>
      </c>
      <c r="F52" s="88">
        <f t="shared" ca="1" si="81"/>
        <v>0.22000000000000003</v>
      </c>
      <c r="G52" s="88">
        <f>'Monthly Data'!AQ52</f>
        <v>235.9</v>
      </c>
      <c r="H52" s="88">
        <f t="shared" si="7"/>
        <v>51</v>
      </c>
      <c r="I52" s="88">
        <f t="shared" ref="I52:M52" si="82">I40</f>
        <v>1</v>
      </c>
      <c r="J52" s="88">
        <f t="shared" si="82"/>
        <v>0</v>
      </c>
      <c r="K52" s="88">
        <f t="shared" si="82"/>
        <v>0</v>
      </c>
      <c r="L52" s="88">
        <f t="shared" si="82"/>
        <v>0</v>
      </c>
      <c r="M52" s="88">
        <f t="shared" si="82"/>
        <v>0</v>
      </c>
      <c r="O52" s="20">
        <f>'GS &lt; 50 OLS model'!$B$5</f>
        <v>-11631489.5525492</v>
      </c>
      <c r="P52" s="20">
        <f>'GS &lt; 50 OLS model'!$B$6*D52</f>
        <v>12571614.604272446</v>
      </c>
      <c r="Q52" s="20">
        <f ca="1">'GS &lt; 50 OLS model'!$B$7*E52</f>
        <v>1140788.2344037327</v>
      </c>
      <c r="R52" s="20">
        <f ca="1">'GS &lt; 50 OLS model'!$B$8*F52</f>
        <v>1303.4686613274766</v>
      </c>
      <c r="S52" s="20">
        <f>'GS &lt; 50 OLS model'!$B$9*G52</f>
        <v>2458429.449546284</v>
      </c>
      <c r="T52" s="20">
        <f>'GS &lt; 50 OLS model'!$B$10*H52</f>
        <v>-245957.39794313637</v>
      </c>
      <c r="U52" s="20">
        <f>'GS &lt; 50 OLS model'!$B$11*I52</f>
        <v>-156104.06645044801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ca="1" si="3"/>
        <v>4138584.7399410056</v>
      </c>
    </row>
    <row r="53" spans="1:26" ht="14.4" x14ac:dyDescent="0.3">
      <c r="A53" s="22">
        <f>'Monthly Data'!A53</f>
        <v>40634</v>
      </c>
      <c r="B53" s="88">
        <f t="shared" si="2"/>
        <v>2011</v>
      </c>
      <c r="C53" s="20">
        <f ca="1">'Monthly Data'!H53</f>
        <v>3866987.8226273535</v>
      </c>
      <c r="D53" s="88">
        <f>'Monthly Data'!AC53</f>
        <v>1918</v>
      </c>
      <c r="E53" s="88">
        <f t="shared" ref="E53:F53" ca="1" si="83">E41</f>
        <v>328.11</v>
      </c>
      <c r="F53" s="88">
        <f t="shared" ca="1" si="83"/>
        <v>0.32</v>
      </c>
      <c r="G53" s="88">
        <f>'Monthly Data'!AQ53</f>
        <v>237.5</v>
      </c>
      <c r="H53" s="88">
        <f t="shared" si="7"/>
        <v>52</v>
      </c>
      <c r="I53" s="88">
        <f t="shared" ref="I53:M53" si="84">I41</f>
        <v>0</v>
      </c>
      <c r="J53" s="88">
        <f t="shared" si="84"/>
        <v>0</v>
      </c>
      <c r="K53" s="88">
        <f t="shared" si="84"/>
        <v>0</v>
      </c>
      <c r="L53" s="88">
        <f t="shared" si="84"/>
        <v>0</v>
      </c>
      <c r="M53" s="88">
        <f t="shared" si="84"/>
        <v>0</v>
      </c>
      <c r="O53" s="20">
        <f>'GS &lt; 50 OLS model'!$B$5</f>
        <v>-11631489.5525492</v>
      </c>
      <c r="P53" s="20">
        <f>'GS &lt; 50 OLS model'!$B$6*D53</f>
        <v>12565063.476286896</v>
      </c>
      <c r="Q53" s="20">
        <f ca="1">'GS &lt; 50 OLS model'!$B$7*E53</f>
        <v>687086.34394369868</v>
      </c>
      <c r="R53" s="20">
        <f ca="1">'GS &lt; 50 OLS model'!$B$8*F53</f>
        <v>1895.9544164763295</v>
      </c>
      <c r="S53" s="20">
        <f>'GS &lt; 50 OLS model'!$B$9*G53</f>
        <v>2475103.8332651225</v>
      </c>
      <c r="T53" s="20">
        <f>'GS &lt; 50 OLS model'!$B$10*H53</f>
        <v>-250780.09202045278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ca="1" si="3"/>
        <v>3846879.96334254</v>
      </c>
    </row>
    <row r="54" spans="1:26" ht="14.4" x14ac:dyDescent="0.3">
      <c r="A54" s="22">
        <f>'Monthly Data'!A54</f>
        <v>40664</v>
      </c>
      <c r="B54" s="88">
        <f t="shared" si="2"/>
        <v>2011</v>
      </c>
      <c r="C54" s="20">
        <f ca="1">'Monthly Data'!H54</f>
        <v>3707027.2926273537</v>
      </c>
      <c r="D54" s="88">
        <f>'Monthly Data'!AC54</f>
        <v>1923</v>
      </c>
      <c r="E54" s="88">
        <f t="shared" ref="E54:F54" ca="1" si="85">E42</f>
        <v>134.47999999999999</v>
      </c>
      <c r="F54" s="88">
        <f t="shared" ca="1" si="85"/>
        <v>20.889999999999997</v>
      </c>
      <c r="G54" s="88">
        <f>'Monthly Data'!AQ54</f>
        <v>237.5</v>
      </c>
      <c r="H54" s="88">
        <f t="shared" si="7"/>
        <v>53</v>
      </c>
      <c r="I54" s="88">
        <f t="shared" ref="I54:M54" si="86">I42</f>
        <v>0</v>
      </c>
      <c r="J54" s="88">
        <f t="shared" si="86"/>
        <v>0</v>
      </c>
      <c r="K54" s="88">
        <f t="shared" si="86"/>
        <v>0</v>
      </c>
      <c r="L54" s="88">
        <f t="shared" si="86"/>
        <v>0</v>
      </c>
      <c r="M54" s="88">
        <f t="shared" si="86"/>
        <v>0</v>
      </c>
      <c r="O54" s="20">
        <f>'GS &lt; 50 OLS model'!$B$5</f>
        <v>-11631489.5525492</v>
      </c>
      <c r="P54" s="20">
        <f>'GS &lt; 50 OLS model'!$B$6*D54</f>
        <v>12597819.11621465</v>
      </c>
      <c r="Q54" s="20">
        <f ca="1">'GS &lt; 50 OLS model'!$B$7*E54</f>
        <v>281610.95831748069</v>
      </c>
      <c r="R54" s="20">
        <f ca="1">'GS &lt; 50 OLS model'!$B$8*F54</f>
        <v>123770.27425059536</v>
      </c>
      <c r="S54" s="20">
        <f>'GS &lt; 50 OLS model'!$B$9*G54</f>
        <v>2475103.8332651225</v>
      </c>
      <c r="T54" s="20">
        <f>'GS &lt; 50 OLS model'!$B$10*H54</f>
        <v>-255602.78609776919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ca="1" si="3"/>
        <v>3591211.8434008793</v>
      </c>
    </row>
    <row r="55" spans="1:26" ht="14.4" x14ac:dyDescent="0.3">
      <c r="A55" s="22">
        <f>'Monthly Data'!A55</f>
        <v>40695</v>
      </c>
      <c r="B55" s="88">
        <f t="shared" si="2"/>
        <v>2011</v>
      </c>
      <c r="C55" s="20">
        <f ca="1">'Monthly Data'!H55</f>
        <v>3972068.8226273539</v>
      </c>
      <c r="D55" s="88">
        <f>'Monthly Data'!AC55</f>
        <v>1930</v>
      </c>
      <c r="E55" s="88">
        <f t="shared" ref="E55:F55" ca="1" si="87">E43</f>
        <v>30.429999999999996</v>
      </c>
      <c r="F55" s="88">
        <f t="shared" ca="1" si="87"/>
        <v>56.129999999999995</v>
      </c>
      <c r="G55" s="88">
        <f>'Monthly Data'!AQ55</f>
        <v>237.1</v>
      </c>
      <c r="H55" s="88">
        <f t="shared" si="7"/>
        <v>54</v>
      </c>
      <c r="I55" s="88">
        <f t="shared" ref="I55:M55" si="88">I43</f>
        <v>0</v>
      </c>
      <c r="J55" s="88">
        <f t="shared" si="88"/>
        <v>1</v>
      </c>
      <c r="K55" s="88">
        <f t="shared" si="88"/>
        <v>0</v>
      </c>
      <c r="L55" s="88">
        <f t="shared" si="88"/>
        <v>0</v>
      </c>
      <c r="M55" s="88">
        <f t="shared" si="88"/>
        <v>0</v>
      </c>
      <c r="O55" s="20">
        <f>'GS &lt; 50 OLS model'!$B$5</f>
        <v>-11631489.5525492</v>
      </c>
      <c r="P55" s="20">
        <f>'GS &lt; 50 OLS model'!$B$6*D55</f>
        <v>12643677.012113508</v>
      </c>
      <c r="Q55" s="20">
        <f ca="1">'GS &lt; 50 OLS model'!$B$7*E55</f>
        <v>63722.646204647062</v>
      </c>
      <c r="R55" s="20">
        <f ca="1">'GS &lt; 50 OLS model'!$B$8*F55</f>
        <v>332562.25436505117</v>
      </c>
      <c r="S55" s="20">
        <f>'GS &lt; 50 OLS model'!$B$9*G55</f>
        <v>2470935.2373354128</v>
      </c>
      <c r="T55" s="20">
        <f>'GS &lt; 50 OLS model'!$B$10*H55</f>
        <v>-260425.48017508557</v>
      </c>
      <c r="U55" s="20">
        <f>'GS &lt; 50 OLS model'!$B$11*I55</f>
        <v>0</v>
      </c>
      <c r="V55" s="20">
        <f>'GS &lt; 50 OLS model'!$B$12*J55</f>
        <v>359272.711714848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ca="1" si="3"/>
        <v>3978254.8290091814</v>
      </c>
    </row>
    <row r="56" spans="1:26" ht="14.4" x14ac:dyDescent="0.3">
      <c r="A56" s="22">
        <f>'Monthly Data'!A56</f>
        <v>40725</v>
      </c>
      <c r="B56" s="88">
        <f t="shared" si="2"/>
        <v>2011</v>
      </c>
      <c r="C56" s="20">
        <f ca="1">'Monthly Data'!H56</f>
        <v>4809554.1926273536</v>
      </c>
      <c r="D56" s="88">
        <f>'Monthly Data'!AC56</f>
        <v>1930</v>
      </c>
      <c r="E56" s="88">
        <f t="shared" ref="E56:F56" ca="1" si="89">E44</f>
        <v>7.85</v>
      </c>
      <c r="F56" s="88">
        <f t="shared" ca="1" si="89"/>
        <v>99.97999999999999</v>
      </c>
      <c r="G56" s="88">
        <f>'Monthly Data'!AQ56</f>
        <v>237.9</v>
      </c>
      <c r="H56" s="88">
        <f t="shared" si="7"/>
        <v>55</v>
      </c>
      <c r="I56" s="88">
        <f t="shared" ref="I56:M56" si="90">I44</f>
        <v>0</v>
      </c>
      <c r="J56" s="88">
        <f t="shared" si="90"/>
        <v>0</v>
      </c>
      <c r="K56" s="88">
        <f t="shared" si="90"/>
        <v>1</v>
      </c>
      <c r="L56" s="88">
        <f t="shared" si="90"/>
        <v>0</v>
      </c>
      <c r="M56" s="88">
        <f t="shared" si="90"/>
        <v>0</v>
      </c>
      <c r="O56" s="20">
        <f>'GS &lt; 50 OLS model'!$B$5</f>
        <v>-11631489.5525492</v>
      </c>
      <c r="P56" s="20">
        <f>'GS &lt; 50 OLS model'!$B$6*D56</f>
        <v>12643677.012113508</v>
      </c>
      <c r="Q56" s="20">
        <f ca="1">'GS &lt; 50 OLS model'!$B$7*E56</f>
        <v>16438.474292030216</v>
      </c>
      <c r="R56" s="20">
        <f ca="1">'GS &lt; 50 OLS model'!$B$8*F56</f>
        <v>592367.25799782318</v>
      </c>
      <c r="S56" s="20">
        <f>'GS &lt; 50 OLS model'!$B$9*G56</f>
        <v>2479272.4291948322</v>
      </c>
      <c r="T56" s="20">
        <f>'GS &lt; 50 OLS model'!$B$10*H56</f>
        <v>-265248.17425240198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411098.30587285903</v>
      </c>
      <c r="X56" s="20">
        <f>'GS &lt; 50 OLS model'!$B$14*L56</f>
        <v>0</v>
      </c>
      <c r="Y56" s="20">
        <f>'GS &lt; 50 OLS model'!$B$15*M56</f>
        <v>0</v>
      </c>
      <c r="Z56" s="20">
        <f t="shared" ca="1" si="3"/>
        <v>4246115.7526694508</v>
      </c>
    </row>
    <row r="57" spans="1:26" ht="14.4" x14ac:dyDescent="0.3">
      <c r="A57" s="22">
        <f>'Monthly Data'!A57</f>
        <v>40756</v>
      </c>
      <c r="B57" s="88">
        <f t="shared" si="2"/>
        <v>2011</v>
      </c>
      <c r="C57" s="20">
        <f ca="1">'Monthly Data'!H57</f>
        <v>4444966.2726273537</v>
      </c>
      <c r="D57" s="88">
        <f>'Monthly Data'!AC57</f>
        <v>1939</v>
      </c>
      <c r="E57" s="88">
        <f t="shared" ref="E57:F57" ca="1" si="91">E45</f>
        <v>10.43</v>
      </c>
      <c r="F57" s="88">
        <f t="shared" ca="1" si="91"/>
        <v>80.190000000000012</v>
      </c>
      <c r="G57" s="88">
        <f>'Monthly Data'!AQ57</f>
        <v>240.8</v>
      </c>
      <c r="H57" s="88">
        <f t="shared" si="7"/>
        <v>56</v>
      </c>
      <c r="I57" s="88">
        <f t="shared" ref="I57:M57" si="92">I45</f>
        <v>0</v>
      </c>
      <c r="J57" s="88">
        <f t="shared" si="92"/>
        <v>0</v>
      </c>
      <c r="K57" s="88">
        <f t="shared" si="92"/>
        <v>0</v>
      </c>
      <c r="L57" s="88">
        <f t="shared" si="92"/>
        <v>1</v>
      </c>
      <c r="M57" s="88">
        <f t="shared" si="92"/>
        <v>0</v>
      </c>
      <c r="O57" s="20">
        <f>'GS &lt; 50 OLS model'!$B$5</f>
        <v>-11631489.5525492</v>
      </c>
      <c r="P57" s="20">
        <f>'GS &lt; 50 OLS model'!$B$6*D57</f>
        <v>12702637.163983466</v>
      </c>
      <c r="Q57" s="20">
        <f ca="1">'GS &lt; 50 OLS model'!$B$7*E57</f>
        <v>21841.183040238873</v>
      </c>
      <c r="R57" s="20">
        <f ca="1">'GS &lt; 50 OLS model'!$B$8*F57</f>
        <v>475114.32705386524</v>
      </c>
      <c r="S57" s="20">
        <f>'GS &lt; 50 OLS model'!$B$9*G57</f>
        <v>2509494.7496852274</v>
      </c>
      <c r="T57" s="20">
        <f>'GS &lt; 50 OLS model'!$B$10*H57</f>
        <v>-270070.86832971836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494220.92313005403</v>
      </c>
      <c r="Y57" s="20">
        <f>'GS &lt; 50 OLS model'!$B$15*M57</f>
        <v>0</v>
      </c>
      <c r="Z57" s="20">
        <f t="shared" ca="1" si="3"/>
        <v>4301747.9260139335</v>
      </c>
    </row>
    <row r="58" spans="1:26" ht="14.4" x14ac:dyDescent="0.3">
      <c r="A58" s="22">
        <f>'Monthly Data'!A58</f>
        <v>40787</v>
      </c>
      <c r="B58" s="88">
        <f t="shared" si="2"/>
        <v>2011</v>
      </c>
      <c r="C58" s="20">
        <f ca="1">'Monthly Data'!H58</f>
        <v>3611046.4826273536</v>
      </c>
      <c r="D58" s="88">
        <f>'Monthly Data'!AC58</f>
        <v>1937</v>
      </c>
      <c r="E58" s="88">
        <f t="shared" ref="E58:F58" ca="1" si="93">E46</f>
        <v>70.580000000000013</v>
      </c>
      <c r="F58" s="88">
        <f t="shared" ca="1" si="93"/>
        <v>29.429999999999996</v>
      </c>
      <c r="G58" s="88">
        <f>'Monthly Data'!AQ58</f>
        <v>240.7</v>
      </c>
      <c r="H58" s="88">
        <f t="shared" si="7"/>
        <v>57</v>
      </c>
      <c r="I58" s="88">
        <f t="shared" ref="I58:M58" si="94">I46</f>
        <v>0</v>
      </c>
      <c r="J58" s="88">
        <f t="shared" si="94"/>
        <v>0</v>
      </c>
      <c r="K58" s="88">
        <f t="shared" si="94"/>
        <v>0</v>
      </c>
      <c r="L58" s="88">
        <f t="shared" si="94"/>
        <v>0</v>
      </c>
      <c r="M58" s="88">
        <f t="shared" si="94"/>
        <v>1</v>
      </c>
      <c r="O58" s="20">
        <f>'GS &lt; 50 OLS model'!$B$5</f>
        <v>-11631489.5525492</v>
      </c>
      <c r="P58" s="20">
        <f>'GS &lt; 50 OLS model'!$B$6*D58</f>
        <v>12689534.908012364</v>
      </c>
      <c r="Q58" s="20">
        <f ca="1">'GS &lt; 50 OLS model'!$B$7*E58</f>
        <v>147799.68350719655</v>
      </c>
      <c r="R58" s="20">
        <f ca="1">'GS &lt; 50 OLS model'!$B$8*F58</f>
        <v>174368.55774030741</v>
      </c>
      <c r="S58" s="20">
        <f>'GS &lt; 50 OLS model'!$B$9*G58</f>
        <v>2508452.6007027999</v>
      </c>
      <c r="T58" s="20">
        <f>'GS &lt; 50 OLS model'!$B$10*H58</f>
        <v>-274893.5624070348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249265.131543444</v>
      </c>
      <c r="Z58" s="20">
        <f t="shared" ca="1" si="3"/>
        <v>3863037.7665498769</v>
      </c>
    </row>
    <row r="59" spans="1:26" ht="14.4" x14ac:dyDescent="0.3">
      <c r="A59" s="22">
        <f>'Monthly Data'!A59</f>
        <v>40817</v>
      </c>
      <c r="B59" s="88">
        <f t="shared" si="2"/>
        <v>2011</v>
      </c>
      <c r="C59" s="20">
        <f ca="1">'Monthly Data'!H59</f>
        <v>3816942.2326273532</v>
      </c>
      <c r="D59" s="88">
        <f>'Monthly Data'!AC59</f>
        <v>1941</v>
      </c>
      <c r="E59" s="88">
        <f t="shared" ref="E59:F59" ca="1" si="95">E47</f>
        <v>241.15</v>
      </c>
      <c r="F59" s="88">
        <f t="shared" ca="1" si="95"/>
        <v>2.87</v>
      </c>
      <c r="G59" s="88">
        <f>'Monthly Data'!AQ59</f>
        <v>239.8</v>
      </c>
      <c r="H59" s="88">
        <f t="shared" si="7"/>
        <v>58</v>
      </c>
      <c r="I59" s="88">
        <f t="shared" ref="I59:M59" si="96">I47</f>
        <v>0</v>
      </c>
      <c r="J59" s="88">
        <f t="shared" si="96"/>
        <v>0</v>
      </c>
      <c r="K59" s="88">
        <f t="shared" si="96"/>
        <v>0</v>
      </c>
      <c r="L59" s="88">
        <f t="shared" si="96"/>
        <v>0</v>
      </c>
      <c r="M59" s="88">
        <f t="shared" si="96"/>
        <v>0</v>
      </c>
      <c r="O59" s="20">
        <f>'GS &lt; 50 OLS model'!$B$5</f>
        <v>-11631489.5525492</v>
      </c>
      <c r="P59" s="20">
        <f>'GS &lt; 50 OLS model'!$B$6*D59</f>
        <v>12715739.419954568</v>
      </c>
      <c r="Q59" s="20">
        <f ca="1">'GS &lt; 50 OLS model'!$B$7*E59</f>
        <v>504985.74210485182</v>
      </c>
      <c r="R59" s="20">
        <f ca="1">'GS &lt; 50 OLS model'!$B$8*F59</f>
        <v>17004.341172772081</v>
      </c>
      <c r="S59" s="20">
        <f>'GS &lt; 50 OLS model'!$B$9*G59</f>
        <v>2499073.2598609533</v>
      </c>
      <c r="T59" s="20">
        <f>'GS &lt; 50 OLS model'!$B$10*H59</f>
        <v>-279716.25648435118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ca="1" si="3"/>
        <v>3825596.9540595943</v>
      </c>
    </row>
    <row r="60" spans="1:26" ht="14.4" x14ac:dyDescent="0.3">
      <c r="A60" s="22">
        <f>'Monthly Data'!A60</f>
        <v>40848</v>
      </c>
      <c r="B60" s="88">
        <f t="shared" si="2"/>
        <v>2011</v>
      </c>
      <c r="C60" s="20">
        <f ca="1">'Monthly Data'!H60</f>
        <v>3883653.5526273521</v>
      </c>
      <c r="D60" s="88">
        <f>'Monthly Data'!AC60</f>
        <v>1944</v>
      </c>
      <c r="E60" s="88">
        <f t="shared" ref="E60:F60" ca="1" si="97">E48</f>
        <v>421.52</v>
      </c>
      <c r="F60" s="88">
        <f t="shared" ca="1" si="97"/>
        <v>0</v>
      </c>
      <c r="G60" s="88">
        <f>'Monthly Data'!AQ60</f>
        <v>236.7</v>
      </c>
      <c r="H60" s="88">
        <f t="shared" si="7"/>
        <v>59</v>
      </c>
      <c r="I60" s="88">
        <f t="shared" ref="I60:M60" si="98">I48</f>
        <v>0</v>
      </c>
      <c r="J60" s="88">
        <f t="shared" si="98"/>
        <v>0</v>
      </c>
      <c r="K60" s="88">
        <f t="shared" si="98"/>
        <v>0</v>
      </c>
      <c r="L60" s="88">
        <f t="shared" si="98"/>
        <v>0</v>
      </c>
      <c r="M60" s="88">
        <f t="shared" si="98"/>
        <v>0</v>
      </c>
      <c r="O60" s="20">
        <f>'GS &lt; 50 OLS model'!$B$5</f>
        <v>-11631489.5525492</v>
      </c>
      <c r="P60" s="20">
        <f>'GS &lt; 50 OLS model'!$B$6*D60</f>
        <v>12735392.803911222</v>
      </c>
      <c r="Q60" s="20">
        <f ca="1">'GS &lt; 50 OLS model'!$B$7*E60</f>
        <v>882693.71765306708</v>
      </c>
      <c r="R60" s="20">
        <f ca="1">'GS &lt; 50 OLS model'!$B$8*F60</f>
        <v>0</v>
      </c>
      <c r="S60" s="20">
        <f>'GS &lt; 50 OLS model'!$B$9*G60</f>
        <v>2466766.641405703</v>
      </c>
      <c r="T60" s="20">
        <f>'GS &lt; 50 OLS model'!$B$10*H60</f>
        <v>-284538.95056166756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ca="1" si="3"/>
        <v>4168824.6598591246</v>
      </c>
    </row>
    <row r="61" spans="1:26" ht="14.4" x14ac:dyDescent="0.3">
      <c r="A61" s="22">
        <f>'Monthly Data'!A61</f>
        <v>40878</v>
      </c>
      <c r="B61" s="88">
        <f t="shared" si="2"/>
        <v>2011</v>
      </c>
      <c r="C61" s="20">
        <f ca="1">'Monthly Data'!H61</f>
        <v>4353083.5526273539</v>
      </c>
      <c r="D61" s="88">
        <f>'Monthly Data'!AC61</f>
        <v>1946</v>
      </c>
      <c r="E61" s="88">
        <f t="shared" ref="E61:F61" ca="1" si="99">E49</f>
        <v>610.56000000000006</v>
      </c>
      <c r="F61" s="88">
        <f t="shared" ca="1" si="99"/>
        <v>0</v>
      </c>
      <c r="G61" s="88">
        <f>'Monthly Data'!AQ61</f>
        <v>237</v>
      </c>
      <c r="H61" s="88">
        <f t="shared" si="7"/>
        <v>60</v>
      </c>
      <c r="I61" s="88">
        <f t="shared" ref="I61:M61" si="100">I49</f>
        <v>0</v>
      </c>
      <c r="J61" s="88">
        <f t="shared" si="100"/>
        <v>0</v>
      </c>
      <c r="K61" s="88">
        <f t="shared" si="100"/>
        <v>0</v>
      </c>
      <c r="L61" s="88">
        <f t="shared" si="100"/>
        <v>0</v>
      </c>
      <c r="M61" s="88">
        <f t="shared" si="100"/>
        <v>0</v>
      </c>
      <c r="O61" s="20">
        <f>'GS &lt; 50 OLS model'!$B$5</f>
        <v>-11631489.5525492</v>
      </c>
      <c r="P61" s="20">
        <f>'GS &lt; 50 OLS model'!$B$6*D61</f>
        <v>12748495.059882324</v>
      </c>
      <c r="Q61" s="20">
        <f ca="1">'GS &lt; 50 OLS model'!$B$7*E61</f>
        <v>1278557.3074830535</v>
      </c>
      <c r="R61" s="20">
        <f ca="1">'GS &lt; 50 OLS model'!$B$8*F61</f>
        <v>0</v>
      </c>
      <c r="S61" s="20">
        <f>'GS &lt; 50 OLS model'!$B$9*G61</f>
        <v>2469893.0883529852</v>
      </c>
      <c r="T61" s="20">
        <f>'GS &lt; 50 OLS model'!$B$10*H61</f>
        <v>-289361.644638984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ca="1" si="3"/>
        <v>4576094.258530179</v>
      </c>
    </row>
    <row r="62" spans="1:26" ht="14.4" x14ac:dyDescent="0.3">
      <c r="A62" s="22">
        <f>'Monthly Data'!A62</f>
        <v>40909</v>
      </c>
      <c r="B62" s="88">
        <f t="shared" si="2"/>
        <v>2012</v>
      </c>
      <c r="C62" s="20">
        <f ca="1">'Monthly Data'!H62</f>
        <v>4638394.9996786648</v>
      </c>
      <c r="D62" s="88">
        <f>'Monthly Data'!AC62</f>
        <v>1946</v>
      </c>
      <c r="E62" s="88">
        <f t="shared" ref="E62:F62" ca="1" si="101">E50</f>
        <v>729.54999999999984</v>
      </c>
      <c r="F62" s="88">
        <f t="shared" ca="1" si="101"/>
        <v>0</v>
      </c>
      <c r="G62" s="88">
        <f>'Monthly Data'!AQ62</f>
        <v>235.8</v>
      </c>
      <c r="H62" s="88">
        <f t="shared" si="7"/>
        <v>61</v>
      </c>
      <c r="I62" s="88">
        <f t="shared" ref="I62:M62" si="102">I50</f>
        <v>0</v>
      </c>
      <c r="J62" s="88">
        <f t="shared" si="102"/>
        <v>0</v>
      </c>
      <c r="K62" s="88">
        <f t="shared" si="102"/>
        <v>0</v>
      </c>
      <c r="L62" s="88">
        <f t="shared" si="102"/>
        <v>0</v>
      </c>
      <c r="M62" s="88">
        <f t="shared" si="102"/>
        <v>0</v>
      </c>
      <c r="O62" s="20">
        <f>'GS &lt; 50 OLS model'!$B$5</f>
        <v>-11631489.5525492</v>
      </c>
      <c r="P62" s="20">
        <f>'GS &lt; 50 OLS model'!$B$6*D62</f>
        <v>12748495.059882324</v>
      </c>
      <c r="Q62" s="20">
        <f ca="1">'GS &lt; 50 OLS model'!$B$7*E62</f>
        <v>1527731.0725796996</v>
      </c>
      <c r="R62" s="20">
        <f ca="1">'GS &lt; 50 OLS model'!$B$8*F62</f>
        <v>0</v>
      </c>
      <c r="S62" s="20">
        <f>'GS &lt; 50 OLS model'!$B$9*G62</f>
        <v>2457387.3005638565</v>
      </c>
      <c r="T62" s="20">
        <f>'GS &lt; 50 OLS model'!$B$10*H62</f>
        <v>-294184.33871630038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ca="1" si="3"/>
        <v>4807939.5417603794</v>
      </c>
    </row>
    <row r="63" spans="1:26" ht="14.4" x14ac:dyDescent="0.3">
      <c r="A63" s="22">
        <f>'Monthly Data'!A63</f>
        <v>40940</v>
      </c>
      <c r="B63" s="88">
        <f t="shared" si="2"/>
        <v>2012</v>
      </c>
      <c r="C63" s="20">
        <f ca="1">'Monthly Data'!H63</f>
        <v>4352407.2496786667</v>
      </c>
      <c r="D63" s="88">
        <f>'Monthly Data'!AC63</f>
        <v>1951</v>
      </c>
      <c r="E63" s="88">
        <f t="shared" ref="E63:F63" ca="1" si="103">E51</f>
        <v>678.56000000000006</v>
      </c>
      <c r="F63" s="88">
        <f t="shared" ca="1" si="103"/>
        <v>0</v>
      </c>
      <c r="G63" s="88">
        <f>'Monthly Data'!AQ63</f>
        <v>234</v>
      </c>
      <c r="H63" s="88">
        <f t="shared" si="7"/>
        <v>62</v>
      </c>
      <c r="I63" s="88">
        <f t="shared" ref="I63:M63" si="104">I51</f>
        <v>0</v>
      </c>
      <c r="J63" s="88">
        <f t="shared" si="104"/>
        <v>0</v>
      </c>
      <c r="K63" s="88">
        <f t="shared" si="104"/>
        <v>0</v>
      </c>
      <c r="L63" s="88">
        <f t="shared" si="104"/>
        <v>0</v>
      </c>
      <c r="M63" s="88">
        <f t="shared" si="104"/>
        <v>0</v>
      </c>
      <c r="O63" s="20">
        <f>'GS &lt; 50 OLS model'!$B$5</f>
        <v>-11631489.5525492</v>
      </c>
      <c r="P63" s="20">
        <f>'GS &lt; 50 OLS model'!$B$6*D63</f>
        <v>12781250.69981008</v>
      </c>
      <c r="Q63" s="20">
        <f ca="1">'GS &lt; 50 OLS model'!$B$7*E63</f>
        <v>1420954.2822420413</v>
      </c>
      <c r="R63" s="20">
        <f ca="1">'GS &lt; 50 OLS model'!$B$8*F63</f>
        <v>0</v>
      </c>
      <c r="S63" s="20">
        <f>'GS &lt; 50 OLS model'!$B$9*G63</f>
        <v>2438628.6188801629</v>
      </c>
      <c r="T63" s="20">
        <f>'GS &lt; 50 OLS model'!$B$10*H63</f>
        <v>-299007.03279361676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ca="1" si="3"/>
        <v>4710337.0155894672</v>
      </c>
    </row>
    <row r="64" spans="1:26" ht="14.4" x14ac:dyDescent="0.3">
      <c r="A64" s="22">
        <f>'Monthly Data'!A64</f>
        <v>40969</v>
      </c>
      <c r="B64" s="88">
        <f t="shared" si="2"/>
        <v>2012</v>
      </c>
      <c r="C64" s="20">
        <f ca="1">'Monthly Data'!H64</f>
        <v>3741681.2696786644</v>
      </c>
      <c r="D64" s="88">
        <f>'Monthly Data'!AC64</f>
        <v>1912</v>
      </c>
      <c r="E64" s="88">
        <f t="shared" ref="E64:F64" ca="1" si="105">E52</f>
        <v>544.77</v>
      </c>
      <c r="F64" s="88">
        <f t="shared" ca="1" si="105"/>
        <v>0.22000000000000003</v>
      </c>
      <c r="G64" s="88">
        <f>'Monthly Data'!AQ64</f>
        <v>232.9</v>
      </c>
      <c r="H64" s="88">
        <f t="shared" si="7"/>
        <v>63</v>
      </c>
      <c r="I64" s="88">
        <f t="shared" ref="I64:M64" si="106">I52</f>
        <v>1</v>
      </c>
      <c r="J64" s="88">
        <f t="shared" si="106"/>
        <v>0</v>
      </c>
      <c r="K64" s="88">
        <f t="shared" si="106"/>
        <v>0</v>
      </c>
      <c r="L64" s="88">
        <f t="shared" si="106"/>
        <v>0</v>
      </c>
      <c r="M64" s="88">
        <f t="shared" si="106"/>
        <v>0</v>
      </c>
      <c r="O64" s="20">
        <f>'GS &lt; 50 OLS model'!$B$5</f>
        <v>-11631489.5525492</v>
      </c>
      <c r="P64" s="20">
        <f>'GS &lt; 50 OLS model'!$B$6*D64</f>
        <v>12525756.708373589</v>
      </c>
      <c r="Q64" s="20">
        <f ca="1">'GS &lt; 50 OLS model'!$B$7*E64</f>
        <v>1140788.2344037327</v>
      </c>
      <c r="R64" s="20">
        <f ca="1">'GS &lt; 50 OLS model'!$B$8*F64</f>
        <v>1303.4686613274766</v>
      </c>
      <c r="S64" s="20">
        <f>'GS &lt; 50 OLS model'!$B$9*G64</f>
        <v>2427164.9800734613</v>
      </c>
      <c r="T64" s="20">
        <f>'GS &lt; 50 OLS model'!$B$10*H64</f>
        <v>-303829.7268709332</v>
      </c>
      <c r="U64" s="20">
        <f>'GS &lt; 50 OLS model'!$B$11*I64</f>
        <v>-156104.06645044801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ca="1" si="3"/>
        <v>4003590.0456415294</v>
      </c>
    </row>
    <row r="65" spans="1:26" ht="14.4" x14ac:dyDescent="0.3">
      <c r="A65" s="22">
        <f>'Monthly Data'!A65</f>
        <v>41000</v>
      </c>
      <c r="B65" s="88">
        <f t="shared" si="2"/>
        <v>2012</v>
      </c>
      <c r="C65" s="20">
        <f ca="1">'Monthly Data'!H65</f>
        <v>3577054.1996786655</v>
      </c>
      <c r="D65" s="88">
        <f>'Monthly Data'!AC65</f>
        <v>1909</v>
      </c>
      <c r="E65" s="88">
        <f t="shared" ref="E65:F65" ca="1" si="107">E53</f>
        <v>328.11</v>
      </c>
      <c r="F65" s="88">
        <f t="shared" ca="1" si="107"/>
        <v>0.32</v>
      </c>
      <c r="G65" s="88">
        <f>'Monthly Data'!AQ65</f>
        <v>238</v>
      </c>
      <c r="H65" s="88">
        <f t="shared" si="7"/>
        <v>64</v>
      </c>
      <c r="I65" s="88">
        <f t="shared" ref="I65:M65" si="108">I53</f>
        <v>0</v>
      </c>
      <c r="J65" s="88">
        <f t="shared" si="108"/>
        <v>0</v>
      </c>
      <c r="K65" s="88">
        <f t="shared" si="108"/>
        <v>0</v>
      </c>
      <c r="L65" s="88">
        <f t="shared" si="108"/>
        <v>0</v>
      </c>
      <c r="M65" s="88">
        <f t="shared" si="108"/>
        <v>0</v>
      </c>
      <c r="O65" s="20">
        <f>'GS &lt; 50 OLS model'!$B$5</f>
        <v>-11631489.5525492</v>
      </c>
      <c r="P65" s="20">
        <f>'GS &lt; 50 OLS model'!$B$6*D65</f>
        <v>12506103.324416935</v>
      </c>
      <c r="Q65" s="20">
        <f ca="1">'GS &lt; 50 OLS model'!$B$7*E65</f>
        <v>687086.34394369868</v>
      </c>
      <c r="R65" s="20">
        <f ca="1">'GS &lt; 50 OLS model'!$B$8*F65</f>
        <v>1895.9544164763295</v>
      </c>
      <c r="S65" s="20">
        <f>'GS &lt; 50 OLS model'!$B$9*G65</f>
        <v>2480314.5781772598</v>
      </c>
      <c r="T65" s="20">
        <f>'GS &lt; 50 OLS model'!$B$10*H65</f>
        <v>-308652.42094824958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ca="1" si="3"/>
        <v>3735258.2274569203</v>
      </c>
    </row>
    <row r="66" spans="1:26" ht="14.4" x14ac:dyDescent="0.3">
      <c r="A66" s="22">
        <f>'Monthly Data'!A66</f>
        <v>41030</v>
      </c>
      <c r="B66" s="88">
        <f t="shared" si="2"/>
        <v>2012</v>
      </c>
      <c r="C66" s="20">
        <f ca="1">'Monthly Data'!H66</f>
        <v>3254036.6896786643</v>
      </c>
      <c r="D66" s="88">
        <f>'Monthly Data'!AC66</f>
        <v>1910</v>
      </c>
      <c r="E66" s="88">
        <f t="shared" ref="E66:F66" ca="1" si="109">E54</f>
        <v>134.47999999999999</v>
      </c>
      <c r="F66" s="88">
        <f t="shared" ca="1" si="109"/>
        <v>20.889999999999997</v>
      </c>
      <c r="G66" s="88">
        <f>'Monthly Data'!AQ66</f>
        <v>243.3</v>
      </c>
      <c r="H66" s="88">
        <f t="shared" si="7"/>
        <v>65</v>
      </c>
      <c r="I66" s="88">
        <f t="shared" ref="I66:M66" si="110">I54</f>
        <v>0</v>
      </c>
      <c r="J66" s="88">
        <f t="shared" si="110"/>
        <v>0</v>
      </c>
      <c r="K66" s="88">
        <f t="shared" si="110"/>
        <v>0</v>
      </c>
      <c r="L66" s="88">
        <f t="shared" si="110"/>
        <v>0</v>
      </c>
      <c r="M66" s="88">
        <f t="shared" si="110"/>
        <v>0</v>
      </c>
      <c r="O66" s="20">
        <f>'GS &lt; 50 OLS model'!$B$5</f>
        <v>-11631489.5525492</v>
      </c>
      <c r="P66" s="20">
        <f>'GS &lt; 50 OLS model'!$B$6*D66</f>
        <v>12512654.452402487</v>
      </c>
      <c r="Q66" s="20">
        <f ca="1">'GS &lt; 50 OLS model'!$B$7*E66</f>
        <v>281610.95831748069</v>
      </c>
      <c r="R66" s="20">
        <f ca="1">'GS &lt; 50 OLS model'!$B$8*F66</f>
        <v>123770.27425059536</v>
      </c>
      <c r="S66" s="20">
        <f>'GS &lt; 50 OLS model'!$B$9*G66</f>
        <v>2535548.4742459129</v>
      </c>
      <c r="T66" s="20">
        <f>'GS &lt; 50 OLS model'!$B$10*H66</f>
        <v>-313475.11502556596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ca="1" si="3"/>
        <v>3508619.4916417105</v>
      </c>
    </row>
    <row r="67" spans="1:26" ht="14.4" x14ac:dyDescent="0.3">
      <c r="A67" s="22">
        <f>'Monthly Data'!A67</f>
        <v>41061</v>
      </c>
      <c r="B67" s="88">
        <f t="shared" ref="B67:B130" si="111">YEAR(A67)</f>
        <v>2012</v>
      </c>
      <c r="C67" s="20">
        <f ca="1">'Monthly Data'!H67</f>
        <v>3829766.4996786648</v>
      </c>
      <c r="D67" s="88">
        <f>'Monthly Data'!AC67</f>
        <v>1913</v>
      </c>
      <c r="E67" s="88">
        <f t="shared" ref="E67:F67" ca="1" si="112">E55</f>
        <v>30.429999999999996</v>
      </c>
      <c r="F67" s="88">
        <f t="shared" ca="1" si="112"/>
        <v>56.129999999999995</v>
      </c>
      <c r="G67" s="88">
        <f>'Monthly Data'!AQ67</f>
        <v>247.1</v>
      </c>
      <c r="H67" s="88">
        <f t="shared" si="7"/>
        <v>66</v>
      </c>
      <c r="I67" s="88">
        <f t="shared" ref="I67:M67" si="113">I55</f>
        <v>0</v>
      </c>
      <c r="J67" s="88">
        <f t="shared" si="113"/>
        <v>1</v>
      </c>
      <c r="K67" s="88">
        <f t="shared" si="113"/>
        <v>0</v>
      </c>
      <c r="L67" s="88">
        <f t="shared" si="113"/>
        <v>0</v>
      </c>
      <c r="M67" s="88">
        <f t="shared" si="113"/>
        <v>0</v>
      </c>
      <c r="O67" s="20">
        <f>'GS &lt; 50 OLS model'!$B$5</f>
        <v>-11631489.5525492</v>
      </c>
      <c r="P67" s="20">
        <f>'GS &lt; 50 OLS model'!$B$6*D67</f>
        <v>12532307.83635914</v>
      </c>
      <c r="Q67" s="20">
        <f ca="1">'GS &lt; 50 OLS model'!$B$7*E67</f>
        <v>63722.646204647062</v>
      </c>
      <c r="R67" s="20">
        <f ca="1">'GS &lt; 50 OLS model'!$B$8*F67</f>
        <v>332562.25436505117</v>
      </c>
      <c r="S67" s="20">
        <f>'GS &lt; 50 OLS model'!$B$9*G67</f>
        <v>2575150.1355781546</v>
      </c>
      <c r="T67" s="20">
        <f>'GS &lt; 50 OLS model'!$B$10*H67</f>
        <v>-318297.8091028824</v>
      </c>
      <c r="U67" s="20">
        <f>'GS &lt; 50 OLS model'!$B$11*I67</f>
        <v>0</v>
      </c>
      <c r="V67" s="20">
        <f>'GS &lt; 50 OLS model'!$B$12*J67</f>
        <v>359272.711714848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30" ca="1" si="114">SUM(O67:Y67)</f>
        <v>3913228.2225697581</v>
      </c>
    </row>
    <row r="68" spans="1:26" ht="14.4" x14ac:dyDescent="0.3">
      <c r="A68" s="22">
        <f>'Monthly Data'!A68</f>
        <v>41091</v>
      </c>
      <c r="B68" s="88">
        <f t="shared" si="111"/>
        <v>2012</v>
      </c>
      <c r="C68" s="20">
        <f ca="1">'Monthly Data'!H68</f>
        <v>4522721.659678665</v>
      </c>
      <c r="D68" s="88">
        <f>'Monthly Data'!AC68</f>
        <v>1911</v>
      </c>
      <c r="E68" s="88">
        <f t="shared" ref="E68:F68" ca="1" si="115">E56</f>
        <v>7.85</v>
      </c>
      <c r="F68" s="88">
        <f t="shared" ca="1" si="115"/>
        <v>99.97999999999999</v>
      </c>
      <c r="G68" s="88">
        <f>'Monthly Data'!AQ68</f>
        <v>248.4</v>
      </c>
      <c r="H68" s="88">
        <f t="shared" si="7"/>
        <v>67</v>
      </c>
      <c r="I68" s="88">
        <f t="shared" ref="I68:M68" si="116">I56</f>
        <v>0</v>
      </c>
      <c r="J68" s="88">
        <f t="shared" si="116"/>
        <v>0</v>
      </c>
      <c r="K68" s="88">
        <f t="shared" si="116"/>
        <v>1</v>
      </c>
      <c r="L68" s="88">
        <f t="shared" si="116"/>
        <v>0</v>
      </c>
      <c r="M68" s="88">
        <f t="shared" si="116"/>
        <v>0</v>
      </c>
      <c r="O68" s="20">
        <f>'GS &lt; 50 OLS model'!$B$5</f>
        <v>-11631489.5525492</v>
      </c>
      <c r="P68" s="20">
        <f>'GS &lt; 50 OLS model'!$B$6*D68</f>
        <v>12519205.580388037</v>
      </c>
      <c r="Q68" s="20">
        <f ca="1">'GS &lt; 50 OLS model'!$B$7*E68</f>
        <v>16438.474292030216</v>
      </c>
      <c r="R68" s="20">
        <f ca="1">'GS &lt; 50 OLS model'!$B$8*F68</f>
        <v>592367.25799782318</v>
      </c>
      <c r="S68" s="20">
        <f>'GS &lt; 50 OLS model'!$B$9*G68</f>
        <v>2588698.0723497113</v>
      </c>
      <c r="T68" s="20">
        <f>'GS &lt; 50 OLS model'!$B$10*H68</f>
        <v>-323120.50318019878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411098.30587285903</v>
      </c>
      <c r="X68" s="20">
        <f>'GS &lt; 50 OLS model'!$B$14*L68</f>
        <v>0</v>
      </c>
      <c r="Y68" s="20">
        <f>'GS &lt; 50 OLS model'!$B$15*M68</f>
        <v>0</v>
      </c>
      <c r="Z68" s="20">
        <f t="shared" ca="1" si="114"/>
        <v>4173197.6351710623</v>
      </c>
    </row>
    <row r="69" spans="1:26" ht="14.4" x14ac:dyDescent="0.3">
      <c r="A69" s="22">
        <f>'Monthly Data'!A69</f>
        <v>41122</v>
      </c>
      <c r="B69" s="88">
        <f t="shared" si="111"/>
        <v>2012</v>
      </c>
      <c r="C69" s="20">
        <f ca="1">'Monthly Data'!H69</f>
        <v>4924951.3196786642</v>
      </c>
      <c r="D69" s="88">
        <f>'Monthly Data'!AC69</f>
        <v>1916</v>
      </c>
      <c r="E69" s="88">
        <f t="shared" ref="E69:F69" ca="1" si="117">E57</f>
        <v>10.43</v>
      </c>
      <c r="F69" s="88">
        <f t="shared" ca="1" si="117"/>
        <v>80.190000000000012</v>
      </c>
      <c r="G69" s="88">
        <f>'Monthly Data'!AQ69</f>
        <v>249.7</v>
      </c>
      <c r="H69" s="88">
        <f t="shared" si="7"/>
        <v>68</v>
      </c>
      <c r="I69" s="88">
        <f t="shared" ref="I69:M69" si="118">I57</f>
        <v>0</v>
      </c>
      <c r="J69" s="88">
        <f t="shared" si="118"/>
        <v>0</v>
      </c>
      <c r="K69" s="88">
        <f t="shared" si="118"/>
        <v>0</v>
      </c>
      <c r="L69" s="88">
        <f t="shared" si="118"/>
        <v>1</v>
      </c>
      <c r="M69" s="88">
        <f t="shared" si="118"/>
        <v>0</v>
      </c>
      <c r="O69" s="20">
        <f>'GS &lt; 50 OLS model'!$B$5</f>
        <v>-11631489.5525492</v>
      </c>
      <c r="P69" s="20">
        <f>'GS &lt; 50 OLS model'!$B$6*D69</f>
        <v>12551961.220315794</v>
      </c>
      <c r="Q69" s="20">
        <f ca="1">'GS &lt; 50 OLS model'!$B$7*E69</f>
        <v>21841.183040238873</v>
      </c>
      <c r="R69" s="20">
        <f ca="1">'GS &lt; 50 OLS model'!$B$8*F69</f>
        <v>475114.32705386524</v>
      </c>
      <c r="S69" s="20">
        <f>'GS &lt; 50 OLS model'!$B$9*G69</f>
        <v>2602246.0091212676</v>
      </c>
      <c r="T69" s="20">
        <f>'GS &lt; 50 OLS model'!$B$10*H69</f>
        <v>-327943.19725751516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494220.92313005403</v>
      </c>
      <c r="Y69" s="20">
        <f>'GS &lt; 50 OLS model'!$B$15*M69</f>
        <v>0</v>
      </c>
      <c r="Z69" s="20">
        <f t="shared" ca="1" si="114"/>
        <v>4185950.9128545038</v>
      </c>
    </row>
    <row r="70" spans="1:26" ht="14.4" x14ac:dyDescent="0.3">
      <c r="A70" s="22">
        <f>'Monthly Data'!A70</f>
        <v>41153</v>
      </c>
      <c r="B70" s="88">
        <f t="shared" si="111"/>
        <v>2012</v>
      </c>
      <c r="C70" s="20">
        <f ca="1">'Monthly Data'!H70</f>
        <v>3928254.3996786643</v>
      </c>
      <c r="D70" s="88">
        <f>'Monthly Data'!AC70</f>
        <v>1916</v>
      </c>
      <c r="E70" s="88">
        <f t="shared" ref="E70:F70" ca="1" si="119">E58</f>
        <v>70.580000000000013</v>
      </c>
      <c r="F70" s="88">
        <f t="shared" ca="1" si="119"/>
        <v>29.429999999999996</v>
      </c>
      <c r="G70" s="88">
        <f>'Monthly Data'!AQ70</f>
        <v>248.8</v>
      </c>
      <c r="H70" s="88">
        <f t="shared" si="7"/>
        <v>69</v>
      </c>
      <c r="I70" s="88">
        <f t="shared" ref="I70:M70" si="120">I58</f>
        <v>0</v>
      </c>
      <c r="J70" s="88">
        <f t="shared" si="120"/>
        <v>0</v>
      </c>
      <c r="K70" s="88">
        <f t="shared" si="120"/>
        <v>0</v>
      </c>
      <c r="L70" s="88">
        <f t="shared" si="120"/>
        <v>0</v>
      </c>
      <c r="M70" s="88">
        <f t="shared" si="120"/>
        <v>1</v>
      </c>
      <c r="O70" s="20">
        <f>'GS &lt; 50 OLS model'!$B$5</f>
        <v>-11631489.5525492</v>
      </c>
      <c r="P70" s="20">
        <f>'GS &lt; 50 OLS model'!$B$6*D70</f>
        <v>12551961.220315794</v>
      </c>
      <c r="Q70" s="20">
        <f ca="1">'GS &lt; 50 OLS model'!$B$7*E70</f>
        <v>147799.68350719655</v>
      </c>
      <c r="R70" s="20">
        <f ca="1">'GS &lt; 50 OLS model'!$B$8*F70</f>
        <v>174368.55774030741</v>
      </c>
      <c r="S70" s="20">
        <f>'GS &lt; 50 OLS model'!$B$9*G70</f>
        <v>2592866.6682794211</v>
      </c>
      <c r="T70" s="20">
        <f>'GS &lt; 50 OLS model'!$B$10*H70</f>
        <v>-332765.8913348316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249265.131543444</v>
      </c>
      <c r="Z70" s="20">
        <f t="shared" ca="1" si="114"/>
        <v>3752005.8175021308</v>
      </c>
    </row>
    <row r="71" spans="1:26" ht="14.4" x14ac:dyDescent="0.3">
      <c r="A71" s="22">
        <f>'Monthly Data'!A71</f>
        <v>41183</v>
      </c>
      <c r="B71" s="88">
        <f t="shared" si="111"/>
        <v>2012</v>
      </c>
      <c r="C71" s="20">
        <f ca="1">'Monthly Data'!H71</f>
        <v>3893427.8796786643</v>
      </c>
      <c r="D71" s="88">
        <f>'Monthly Data'!AC71</f>
        <v>1919</v>
      </c>
      <c r="E71" s="88">
        <f t="shared" ref="E71:F71" ca="1" si="121">E59</f>
        <v>241.15</v>
      </c>
      <c r="F71" s="88">
        <f t="shared" ca="1" si="121"/>
        <v>2.87</v>
      </c>
      <c r="G71" s="88">
        <f>'Monthly Data'!AQ71</f>
        <v>244.5</v>
      </c>
      <c r="H71" s="88">
        <f t="shared" si="7"/>
        <v>70</v>
      </c>
      <c r="I71" s="88">
        <f t="shared" ref="I71:M71" si="122">I59</f>
        <v>0</v>
      </c>
      <c r="J71" s="88">
        <f t="shared" si="122"/>
        <v>0</v>
      </c>
      <c r="K71" s="88">
        <f t="shared" si="122"/>
        <v>0</v>
      </c>
      <c r="L71" s="88">
        <f t="shared" si="122"/>
        <v>0</v>
      </c>
      <c r="M71" s="88">
        <f t="shared" si="122"/>
        <v>0</v>
      </c>
      <c r="O71" s="20">
        <f>'GS &lt; 50 OLS model'!$B$5</f>
        <v>-11631489.5525492</v>
      </c>
      <c r="P71" s="20">
        <f>'GS &lt; 50 OLS model'!$B$6*D71</f>
        <v>12571614.604272446</v>
      </c>
      <c r="Q71" s="20">
        <f ca="1">'GS &lt; 50 OLS model'!$B$7*E71</f>
        <v>504985.74210485182</v>
      </c>
      <c r="R71" s="20">
        <f ca="1">'GS &lt; 50 OLS model'!$B$8*F71</f>
        <v>17004.341172772081</v>
      </c>
      <c r="S71" s="20">
        <f>'GS &lt; 50 OLS model'!$B$9*G71</f>
        <v>2548054.262035042</v>
      </c>
      <c r="T71" s="20">
        <f>'GS &lt; 50 OLS model'!$B$10*H71</f>
        <v>-337588.58541214798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ca="1" si="114"/>
        <v>3672580.8116237638</v>
      </c>
    </row>
    <row r="72" spans="1:26" ht="14.4" x14ac:dyDescent="0.3">
      <c r="A72" s="22">
        <f>'Monthly Data'!A72</f>
        <v>41214</v>
      </c>
      <c r="B72" s="88">
        <f t="shared" si="111"/>
        <v>2012</v>
      </c>
      <c r="C72" s="20">
        <f ca="1">'Monthly Data'!H72</f>
        <v>3872779.7996786651</v>
      </c>
      <c r="D72" s="88">
        <f>'Monthly Data'!AC72</f>
        <v>1923</v>
      </c>
      <c r="E72" s="88">
        <f t="shared" ref="E72:F72" ca="1" si="123">E60</f>
        <v>421.52</v>
      </c>
      <c r="F72" s="88">
        <f t="shared" ca="1" si="123"/>
        <v>0</v>
      </c>
      <c r="G72" s="88">
        <f>'Monthly Data'!AQ72</f>
        <v>242</v>
      </c>
      <c r="H72" s="88">
        <f t="shared" si="7"/>
        <v>71</v>
      </c>
      <c r="I72" s="88">
        <f t="shared" ref="I72:M72" si="124">I60</f>
        <v>0</v>
      </c>
      <c r="J72" s="88">
        <f t="shared" si="124"/>
        <v>0</v>
      </c>
      <c r="K72" s="88">
        <f t="shared" si="124"/>
        <v>0</v>
      </c>
      <c r="L72" s="88">
        <f t="shared" si="124"/>
        <v>0</v>
      </c>
      <c r="M72" s="88">
        <f t="shared" si="124"/>
        <v>0</v>
      </c>
      <c r="O72" s="20">
        <f>'GS &lt; 50 OLS model'!$B$5</f>
        <v>-11631489.5525492</v>
      </c>
      <c r="P72" s="20">
        <f>'GS &lt; 50 OLS model'!$B$6*D72</f>
        <v>12597819.11621465</v>
      </c>
      <c r="Q72" s="20">
        <f ca="1">'GS &lt; 50 OLS model'!$B$7*E72</f>
        <v>882693.71765306708</v>
      </c>
      <c r="R72" s="20">
        <f ca="1">'GS &lt; 50 OLS model'!$B$8*F72</f>
        <v>0</v>
      </c>
      <c r="S72" s="20">
        <f>'GS &lt; 50 OLS model'!$B$9*G72</f>
        <v>2522000.5374743566</v>
      </c>
      <c r="T72" s="20">
        <f>'GS &lt; 50 OLS model'!$B$10*H72</f>
        <v>-342411.27948946436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ca="1" si="114"/>
        <v>4028612.5393034089</v>
      </c>
    </row>
    <row r="73" spans="1:26" ht="14.4" x14ac:dyDescent="0.3">
      <c r="A73" s="22">
        <f>'Monthly Data'!A73</f>
        <v>41244</v>
      </c>
      <c r="B73" s="88">
        <f t="shared" si="111"/>
        <v>2012</v>
      </c>
      <c r="C73" s="20">
        <f ca="1">'Monthly Data'!H73</f>
        <v>4163615.9996786653</v>
      </c>
      <c r="D73" s="88">
        <f>'Monthly Data'!AC73</f>
        <v>1926</v>
      </c>
      <c r="E73" s="88">
        <f t="shared" ref="E73:F73" ca="1" si="125">E61</f>
        <v>610.56000000000006</v>
      </c>
      <c r="F73" s="88">
        <f t="shared" ca="1" si="125"/>
        <v>0</v>
      </c>
      <c r="G73" s="88">
        <f>'Monthly Data'!AQ73</f>
        <v>240.2</v>
      </c>
      <c r="H73" s="88">
        <f t="shared" si="7"/>
        <v>72</v>
      </c>
      <c r="I73" s="88">
        <f t="shared" ref="I73:M73" si="126">I61</f>
        <v>0</v>
      </c>
      <c r="J73" s="88">
        <f t="shared" si="126"/>
        <v>0</v>
      </c>
      <c r="K73" s="88">
        <f t="shared" si="126"/>
        <v>0</v>
      </c>
      <c r="L73" s="88">
        <f t="shared" si="126"/>
        <v>0</v>
      </c>
      <c r="M73" s="88">
        <f t="shared" si="126"/>
        <v>0</v>
      </c>
      <c r="O73" s="20">
        <f>'GS &lt; 50 OLS model'!$B$5</f>
        <v>-11631489.5525492</v>
      </c>
      <c r="P73" s="20">
        <f>'GS &lt; 50 OLS model'!$B$6*D73</f>
        <v>12617472.500171304</v>
      </c>
      <c r="Q73" s="20">
        <f ca="1">'GS &lt; 50 OLS model'!$B$7*E73</f>
        <v>1278557.3074830535</v>
      </c>
      <c r="R73" s="20">
        <f ca="1">'GS &lt; 50 OLS model'!$B$8*F73</f>
        <v>0</v>
      </c>
      <c r="S73" s="20">
        <f>'GS &lt; 50 OLS model'!$B$9*G73</f>
        <v>2503241.8557906626</v>
      </c>
      <c r="T73" s="20">
        <f>'GS &lt; 50 OLS model'!$B$10*H73</f>
        <v>-347233.9735667808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ca="1" si="114"/>
        <v>4420548.1373290392</v>
      </c>
    </row>
    <row r="74" spans="1:26" ht="14.4" x14ac:dyDescent="0.3">
      <c r="A74" s="22">
        <f>'Monthly Data'!A74</f>
        <v>41275</v>
      </c>
      <c r="B74" s="88">
        <f t="shared" si="111"/>
        <v>2013</v>
      </c>
      <c r="C74" s="20">
        <f ca="1">'Monthly Data'!H74</f>
        <v>4507142.1120230034</v>
      </c>
      <c r="D74" s="88">
        <f>'Monthly Data'!AC74</f>
        <v>1931</v>
      </c>
      <c r="E74" s="88">
        <f t="shared" ref="E74:F74" ca="1" si="127">E62</f>
        <v>729.54999999999984</v>
      </c>
      <c r="F74" s="88">
        <f t="shared" ca="1" si="127"/>
        <v>0</v>
      </c>
      <c r="G74" s="88">
        <f>'Monthly Data'!AQ74</f>
        <v>241.3</v>
      </c>
      <c r="H74" s="88">
        <f t="shared" si="7"/>
        <v>73</v>
      </c>
      <c r="I74" s="88">
        <f t="shared" ref="I74:M74" si="128">I62</f>
        <v>0</v>
      </c>
      <c r="J74" s="88">
        <f t="shared" si="128"/>
        <v>0</v>
      </c>
      <c r="K74" s="88">
        <f t="shared" si="128"/>
        <v>0</v>
      </c>
      <c r="L74" s="88">
        <f t="shared" si="128"/>
        <v>0</v>
      </c>
      <c r="M74" s="88">
        <f t="shared" si="128"/>
        <v>0</v>
      </c>
      <c r="O74" s="20">
        <f>'GS &lt; 50 OLS model'!$B$5</f>
        <v>-11631489.5525492</v>
      </c>
      <c r="P74" s="20">
        <f>'GS &lt; 50 OLS model'!$B$6*D74</f>
        <v>12650228.140099058</v>
      </c>
      <c r="Q74" s="20">
        <f ca="1">'GS &lt; 50 OLS model'!$B$7*E74</f>
        <v>1527731.0725796996</v>
      </c>
      <c r="R74" s="20">
        <f ca="1">'GS &lt; 50 OLS model'!$B$8*F74</f>
        <v>0</v>
      </c>
      <c r="S74" s="20">
        <f>'GS &lt; 50 OLS model'!$B$9*G74</f>
        <v>2514705.4945973647</v>
      </c>
      <c r="T74" s="20">
        <f>'GS &lt; 50 OLS model'!$B$10*H74</f>
        <v>-352056.66764409718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ca="1" si="114"/>
        <v>4709118.487082825</v>
      </c>
    </row>
    <row r="75" spans="1:26" ht="14.4" x14ac:dyDescent="0.3">
      <c r="A75" s="22">
        <f>'Monthly Data'!A75</f>
        <v>41306</v>
      </c>
      <c r="B75" s="88">
        <f t="shared" si="111"/>
        <v>2013</v>
      </c>
      <c r="C75" s="20">
        <f ca="1">'Monthly Data'!H75</f>
        <v>4563104.3620230034</v>
      </c>
      <c r="D75" s="88">
        <f>'Monthly Data'!AC75</f>
        <v>1934</v>
      </c>
      <c r="E75" s="88">
        <f t="shared" ref="E75:F75" ca="1" si="129">E63</f>
        <v>678.56000000000006</v>
      </c>
      <c r="F75" s="88">
        <f t="shared" ca="1" si="129"/>
        <v>0</v>
      </c>
      <c r="G75" s="88">
        <f>'Monthly Data'!AQ75</f>
        <v>238.3</v>
      </c>
      <c r="H75" s="88">
        <f t="shared" si="7"/>
        <v>74</v>
      </c>
      <c r="I75" s="88">
        <f t="shared" ref="I75:M75" si="130">I63</f>
        <v>0</v>
      </c>
      <c r="J75" s="88">
        <f t="shared" si="130"/>
        <v>0</v>
      </c>
      <c r="K75" s="88">
        <f t="shared" si="130"/>
        <v>0</v>
      </c>
      <c r="L75" s="88">
        <f t="shared" si="130"/>
        <v>0</v>
      </c>
      <c r="M75" s="88">
        <f t="shared" si="130"/>
        <v>0</v>
      </c>
      <c r="O75" s="20">
        <f>'GS &lt; 50 OLS model'!$B$5</f>
        <v>-11631489.5525492</v>
      </c>
      <c r="P75" s="20">
        <f>'GS &lt; 50 OLS model'!$B$6*D75</f>
        <v>12669881.524055712</v>
      </c>
      <c r="Q75" s="20">
        <f ca="1">'GS &lt; 50 OLS model'!$B$7*E75</f>
        <v>1420954.2822420413</v>
      </c>
      <c r="R75" s="20">
        <f ca="1">'GS &lt; 50 OLS model'!$B$8*F75</f>
        <v>0</v>
      </c>
      <c r="S75" s="20">
        <f>'GS &lt; 50 OLS model'!$B$9*G75</f>
        <v>2483441.0251245419</v>
      </c>
      <c r="T75" s="20">
        <f>'GS &lt; 50 OLS model'!$B$10*H75</f>
        <v>-356879.36172141356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ca="1" si="114"/>
        <v>4585907.9171516821</v>
      </c>
    </row>
    <row r="76" spans="1:26" ht="14.4" x14ac:dyDescent="0.3">
      <c r="A76" s="22">
        <f>'Monthly Data'!A76</f>
        <v>41334</v>
      </c>
      <c r="B76" s="88">
        <f t="shared" si="111"/>
        <v>2013</v>
      </c>
      <c r="C76" s="20">
        <f ca="1">'Monthly Data'!H76</f>
        <v>4317259.0320230033</v>
      </c>
      <c r="D76" s="88">
        <f>'Monthly Data'!AC76</f>
        <v>1938</v>
      </c>
      <c r="E76" s="88">
        <f t="shared" ref="E76:F76" ca="1" si="131">E64</f>
        <v>544.77</v>
      </c>
      <c r="F76" s="88">
        <f t="shared" ca="1" si="131"/>
        <v>0.22000000000000003</v>
      </c>
      <c r="G76" s="88">
        <f>'Monthly Data'!AQ76</f>
        <v>237.7</v>
      </c>
      <c r="H76" s="88">
        <f t="shared" si="7"/>
        <v>75</v>
      </c>
      <c r="I76" s="88">
        <f t="shared" ref="I76:M76" si="132">I64</f>
        <v>1</v>
      </c>
      <c r="J76" s="88">
        <f t="shared" si="132"/>
        <v>0</v>
      </c>
      <c r="K76" s="88">
        <f t="shared" si="132"/>
        <v>0</v>
      </c>
      <c r="L76" s="88">
        <f t="shared" si="132"/>
        <v>0</v>
      </c>
      <c r="M76" s="88">
        <f t="shared" si="132"/>
        <v>0</v>
      </c>
      <c r="O76" s="20">
        <f>'GS &lt; 50 OLS model'!$B$5</f>
        <v>-11631489.5525492</v>
      </c>
      <c r="P76" s="20">
        <f>'GS &lt; 50 OLS model'!$B$6*D76</f>
        <v>12696086.035997916</v>
      </c>
      <c r="Q76" s="20">
        <f ca="1">'GS &lt; 50 OLS model'!$B$7*E76</f>
        <v>1140788.2344037327</v>
      </c>
      <c r="R76" s="20">
        <f ca="1">'GS &lt; 50 OLS model'!$B$8*F76</f>
        <v>1303.4686613274766</v>
      </c>
      <c r="S76" s="20">
        <f>'GS &lt; 50 OLS model'!$B$9*G76</f>
        <v>2477188.1312299771</v>
      </c>
      <c r="T76" s="20">
        <f>'GS &lt; 50 OLS model'!$B$10*H76</f>
        <v>-361702.05579873</v>
      </c>
      <c r="U76" s="20">
        <f>'GS &lt; 50 OLS model'!$B$11*I76</f>
        <v>-156104.06645044801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ca="1" si="114"/>
        <v>4166070.1954945754</v>
      </c>
    </row>
    <row r="77" spans="1:26" ht="14.4" x14ac:dyDescent="0.3">
      <c r="A77" s="22">
        <f>'Monthly Data'!A77</f>
        <v>41365</v>
      </c>
      <c r="B77" s="88">
        <f t="shared" si="111"/>
        <v>2013</v>
      </c>
      <c r="C77" s="20">
        <f ca="1">'Monthly Data'!H77</f>
        <v>3826343.9020230039</v>
      </c>
      <c r="D77" s="88">
        <f>'Monthly Data'!AC77</f>
        <v>1937</v>
      </c>
      <c r="E77" s="88">
        <f t="shared" ref="E77:F77" ca="1" si="133">E65</f>
        <v>328.11</v>
      </c>
      <c r="F77" s="88">
        <f t="shared" ca="1" si="133"/>
        <v>0.32</v>
      </c>
      <c r="G77" s="88">
        <f>'Monthly Data'!AQ77</f>
        <v>236.8</v>
      </c>
      <c r="H77" s="88">
        <f t="shared" si="7"/>
        <v>76</v>
      </c>
      <c r="I77" s="88">
        <f t="shared" ref="I77:M77" si="134">I65</f>
        <v>0</v>
      </c>
      <c r="J77" s="88">
        <f t="shared" si="134"/>
        <v>0</v>
      </c>
      <c r="K77" s="88">
        <f t="shared" si="134"/>
        <v>0</v>
      </c>
      <c r="L77" s="88">
        <f t="shared" si="134"/>
        <v>0</v>
      </c>
      <c r="M77" s="88">
        <f t="shared" si="134"/>
        <v>0</v>
      </c>
      <c r="O77" s="20">
        <f>'GS &lt; 50 OLS model'!$B$5</f>
        <v>-11631489.5525492</v>
      </c>
      <c r="P77" s="20">
        <f>'GS &lt; 50 OLS model'!$B$6*D77</f>
        <v>12689534.908012364</v>
      </c>
      <c r="Q77" s="20">
        <f ca="1">'GS &lt; 50 OLS model'!$B$7*E77</f>
        <v>687086.34394369868</v>
      </c>
      <c r="R77" s="20">
        <f ca="1">'GS &lt; 50 OLS model'!$B$8*F77</f>
        <v>1895.9544164763295</v>
      </c>
      <c r="S77" s="20">
        <f>'GS &lt; 50 OLS model'!$B$9*G77</f>
        <v>2467808.7903881306</v>
      </c>
      <c r="T77" s="20">
        <f>'GS &lt; 50 OLS model'!$B$10*H77</f>
        <v>-366524.74987604638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ca="1" si="114"/>
        <v>3848311.6943354234</v>
      </c>
    </row>
    <row r="78" spans="1:26" ht="14.4" x14ac:dyDescent="0.3">
      <c r="A78" s="22">
        <f>'Monthly Data'!A78</f>
        <v>41395</v>
      </c>
      <c r="B78" s="88">
        <f t="shared" si="111"/>
        <v>2013</v>
      </c>
      <c r="C78" s="20">
        <f ca="1">'Monthly Data'!H78</f>
        <v>3732528.9220230044</v>
      </c>
      <c r="D78" s="88">
        <f>'Monthly Data'!AC78</f>
        <v>1939</v>
      </c>
      <c r="E78" s="88">
        <f t="shared" ref="E78:F78" ca="1" si="135">E66</f>
        <v>134.47999999999999</v>
      </c>
      <c r="F78" s="88">
        <f t="shared" ca="1" si="135"/>
        <v>20.889999999999997</v>
      </c>
      <c r="G78" s="88">
        <f>'Monthly Data'!AQ78</f>
        <v>238.9</v>
      </c>
      <c r="H78" s="88">
        <f t="shared" si="7"/>
        <v>77</v>
      </c>
      <c r="I78" s="88">
        <f t="shared" ref="I78:M78" si="136">I66</f>
        <v>0</v>
      </c>
      <c r="J78" s="88">
        <f t="shared" si="136"/>
        <v>0</v>
      </c>
      <c r="K78" s="88">
        <f t="shared" si="136"/>
        <v>0</v>
      </c>
      <c r="L78" s="88">
        <f t="shared" si="136"/>
        <v>0</v>
      </c>
      <c r="M78" s="88">
        <f t="shared" si="136"/>
        <v>0</v>
      </c>
      <c r="O78" s="20">
        <f>'GS &lt; 50 OLS model'!$B$5</f>
        <v>-11631489.5525492</v>
      </c>
      <c r="P78" s="20">
        <f>'GS &lt; 50 OLS model'!$B$6*D78</f>
        <v>12702637.163983466</v>
      </c>
      <c r="Q78" s="20">
        <f ca="1">'GS &lt; 50 OLS model'!$B$7*E78</f>
        <v>281610.95831748069</v>
      </c>
      <c r="R78" s="20">
        <f ca="1">'GS &lt; 50 OLS model'!$B$8*F78</f>
        <v>123770.27425059536</v>
      </c>
      <c r="S78" s="20">
        <f>'GS &lt; 50 OLS model'!$B$9*G78</f>
        <v>2489693.9190191063</v>
      </c>
      <c r="T78" s="20">
        <f>'GS &lt; 50 OLS model'!$B$10*H78</f>
        <v>-371347.44395336276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ca="1" si="114"/>
        <v>3594875.3190680859</v>
      </c>
    </row>
    <row r="79" spans="1:26" ht="14.4" x14ac:dyDescent="0.3">
      <c r="A79" s="22">
        <f>'Monthly Data'!A79</f>
        <v>41426</v>
      </c>
      <c r="B79" s="88">
        <f t="shared" si="111"/>
        <v>2013</v>
      </c>
      <c r="C79" s="20">
        <f ca="1">'Monthly Data'!H79</f>
        <v>3967515.4020230034</v>
      </c>
      <c r="D79" s="88">
        <f>'Monthly Data'!AC79</f>
        <v>1942</v>
      </c>
      <c r="E79" s="88">
        <f t="shared" ref="E79:F79" ca="1" si="137">E67</f>
        <v>30.429999999999996</v>
      </c>
      <c r="F79" s="88">
        <f t="shared" ca="1" si="137"/>
        <v>56.129999999999995</v>
      </c>
      <c r="G79" s="88">
        <f>'Monthly Data'!AQ79</f>
        <v>242.6</v>
      </c>
      <c r="H79" s="88">
        <f t="shared" ref="H79:H142" si="138">H78+1</f>
        <v>78</v>
      </c>
      <c r="I79" s="88">
        <f t="shared" ref="I79:M79" si="139">I67</f>
        <v>0</v>
      </c>
      <c r="J79" s="88">
        <f t="shared" si="139"/>
        <v>1</v>
      </c>
      <c r="K79" s="88">
        <f t="shared" si="139"/>
        <v>0</v>
      </c>
      <c r="L79" s="88">
        <f t="shared" si="139"/>
        <v>0</v>
      </c>
      <c r="M79" s="88">
        <f t="shared" si="139"/>
        <v>0</v>
      </c>
      <c r="O79" s="20">
        <f>'GS &lt; 50 OLS model'!$B$5</f>
        <v>-11631489.5525492</v>
      </c>
      <c r="P79" s="20">
        <f>'GS &lt; 50 OLS model'!$B$6*D79</f>
        <v>12722290.54794012</v>
      </c>
      <c r="Q79" s="20">
        <f ca="1">'GS &lt; 50 OLS model'!$B$7*E79</f>
        <v>63722.646204647062</v>
      </c>
      <c r="R79" s="20">
        <f ca="1">'GS &lt; 50 OLS model'!$B$8*F79</f>
        <v>332562.25436505117</v>
      </c>
      <c r="S79" s="20">
        <f>'GS &lt; 50 OLS model'!$B$9*G79</f>
        <v>2528253.431368921</v>
      </c>
      <c r="T79" s="20">
        <f>'GS &lt; 50 OLS model'!$B$10*H79</f>
        <v>-376170.1380306792</v>
      </c>
      <c r="U79" s="20">
        <f>'GS &lt; 50 OLS model'!$B$11*I79</f>
        <v>0</v>
      </c>
      <c r="V79" s="20">
        <f>'GS &lt; 50 OLS model'!$B$12*J79</f>
        <v>359272.711714848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ca="1" si="114"/>
        <v>3998441.9010137077</v>
      </c>
    </row>
    <row r="80" spans="1:26" ht="14.4" x14ac:dyDescent="0.3">
      <c r="A80" s="22">
        <f>'Monthly Data'!A80</f>
        <v>41456</v>
      </c>
      <c r="B80" s="88">
        <f t="shared" si="111"/>
        <v>2013</v>
      </c>
      <c r="C80" s="20">
        <f ca="1">'Monthly Data'!H80</f>
        <v>4325652.3520230027</v>
      </c>
      <c r="D80" s="88">
        <f>'Monthly Data'!AC80</f>
        <v>1941</v>
      </c>
      <c r="E80" s="88">
        <f t="shared" ref="E80:F80" ca="1" si="140">E68</f>
        <v>7.85</v>
      </c>
      <c r="F80" s="88">
        <f t="shared" ca="1" si="140"/>
        <v>99.97999999999999</v>
      </c>
      <c r="G80" s="88">
        <f>'Monthly Data'!AQ80</f>
        <v>244.6</v>
      </c>
      <c r="H80" s="88">
        <f t="shared" si="138"/>
        <v>79</v>
      </c>
      <c r="I80" s="88">
        <f t="shared" ref="I80:M80" si="141">I68</f>
        <v>0</v>
      </c>
      <c r="J80" s="88">
        <f t="shared" si="141"/>
        <v>0</v>
      </c>
      <c r="K80" s="88">
        <f t="shared" si="141"/>
        <v>1</v>
      </c>
      <c r="L80" s="88">
        <f t="shared" si="141"/>
        <v>0</v>
      </c>
      <c r="M80" s="88">
        <f t="shared" si="141"/>
        <v>0</v>
      </c>
      <c r="O80" s="20">
        <f>'GS &lt; 50 OLS model'!$B$5</f>
        <v>-11631489.5525492</v>
      </c>
      <c r="P80" s="20">
        <f>'GS &lt; 50 OLS model'!$B$6*D80</f>
        <v>12715739.419954568</v>
      </c>
      <c r="Q80" s="20">
        <f ca="1">'GS &lt; 50 OLS model'!$B$7*E80</f>
        <v>16438.474292030216</v>
      </c>
      <c r="R80" s="20">
        <f ca="1">'GS &lt; 50 OLS model'!$B$8*F80</f>
        <v>592367.25799782318</v>
      </c>
      <c r="S80" s="20">
        <f>'GS &lt; 50 OLS model'!$B$9*G80</f>
        <v>2549096.4110174691</v>
      </c>
      <c r="T80" s="20">
        <f>'GS &lt; 50 OLS model'!$B$10*H80</f>
        <v>-380992.83210799558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411098.30587285903</v>
      </c>
      <c r="X80" s="20">
        <f>'GS &lt; 50 OLS model'!$B$14*L80</f>
        <v>0</v>
      </c>
      <c r="Y80" s="20">
        <f>'GS &lt; 50 OLS model'!$B$15*M80</f>
        <v>0</v>
      </c>
      <c r="Z80" s="20">
        <f t="shared" ca="1" si="114"/>
        <v>4272257.4844775544</v>
      </c>
    </row>
    <row r="81" spans="1:26" ht="14.4" x14ac:dyDescent="0.3">
      <c r="A81" s="22">
        <f>'Monthly Data'!A81</f>
        <v>41487</v>
      </c>
      <c r="B81" s="88">
        <f t="shared" si="111"/>
        <v>2013</v>
      </c>
      <c r="C81" s="20">
        <f ca="1">'Monthly Data'!H81</f>
        <v>4153807.3820230048</v>
      </c>
      <c r="D81" s="88">
        <f>'Monthly Data'!AC81</f>
        <v>1940</v>
      </c>
      <c r="E81" s="88">
        <f t="shared" ref="E81:F81" ca="1" si="142">E69</f>
        <v>10.43</v>
      </c>
      <c r="F81" s="88">
        <f t="shared" ca="1" si="142"/>
        <v>80.190000000000012</v>
      </c>
      <c r="G81" s="88">
        <f>'Monthly Data'!AQ81</f>
        <v>245.6</v>
      </c>
      <c r="H81" s="88">
        <f t="shared" si="138"/>
        <v>80</v>
      </c>
      <c r="I81" s="88">
        <f t="shared" ref="I81:M81" si="143">I69</f>
        <v>0</v>
      </c>
      <c r="J81" s="88">
        <f t="shared" si="143"/>
        <v>0</v>
      </c>
      <c r="K81" s="88">
        <f t="shared" si="143"/>
        <v>0</v>
      </c>
      <c r="L81" s="88">
        <f t="shared" si="143"/>
        <v>1</v>
      </c>
      <c r="M81" s="88">
        <f t="shared" si="143"/>
        <v>0</v>
      </c>
      <c r="O81" s="20">
        <f>'GS &lt; 50 OLS model'!$B$5</f>
        <v>-11631489.5525492</v>
      </c>
      <c r="P81" s="20">
        <f>'GS &lt; 50 OLS model'!$B$6*D81</f>
        <v>12709188.291969018</v>
      </c>
      <c r="Q81" s="20">
        <f ca="1">'GS &lt; 50 OLS model'!$B$7*E81</f>
        <v>21841.183040238873</v>
      </c>
      <c r="R81" s="20">
        <f ca="1">'GS &lt; 50 OLS model'!$B$8*F81</f>
        <v>475114.32705386524</v>
      </c>
      <c r="S81" s="20">
        <f>'GS &lt; 50 OLS model'!$B$9*G81</f>
        <v>2559517.9008417437</v>
      </c>
      <c r="T81" s="20">
        <f>'GS &lt; 50 OLS model'!$B$10*H81</f>
        <v>-385815.52618531196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494220.92313005403</v>
      </c>
      <c r="Y81" s="20">
        <f>'GS &lt; 50 OLS model'!$B$15*M81</f>
        <v>0</v>
      </c>
      <c r="Z81" s="20">
        <f t="shared" ca="1" si="114"/>
        <v>4242577.5473004077</v>
      </c>
    </row>
    <row r="82" spans="1:26" ht="14.4" x14ac:dyDescent="0.3">
      <c r="A82" s="22">
        <f>'Monthly Data'!A82</f>
        <v>41518</v>
      </c>
      <c r="B82" s="88">
        <f t="shared" si="111"/>
        <v>2013</v>
      </c>
      <c r="C82" s="20">
        <f ca="1">'Monthly Data'!H82</f>
        <v>3880420.8520230046</v>
      </c>
      <c r="D82" s="88">
        <f>'Monthly Data'!AC82</f>
        <v>1943</v>
      </c>
      <c r="E82" s="88">
        <f t="shared" ref="E82:F82" ca="1" si="144">E70</f>
        <v>70.580000000000013</v>
      </c>
      <c r="F82" s="88">
        <f t="shared" ca="1" si="144"/>
        <v>29.429999999999996</v>
      </c>
      <c r="G82" s="88">
        <f>'Monthly Data'!AQ82</f>
        <v>243.4</v>
      </c>
      <c r="H82" s="88">
        <f t="shared" si="138"/>
        <v>81</v>
      </c>
      <c r="I82" s="88">
        <f t="shared" ref="I82:M82" si="145">I70</f>
        <v>0</v>
      </c>
      <c r="J82" s="88">
        <f t="shared" si="145"/>
        <v>0</v>
      </c>
      <c r="K82" s="88">
        <f t="shared" si="145"/>
        <v>0</v>
      </c>
      <c r="L82" s="88">
        <f t="shared" si="145"/>
        <v>0</v>
      </c>
      <c r="M82" s="88">
        <f t="shared" si="145"/>
        <v>1</v>
      </c>
      <c r="O82" s="20">
        <f>'GS &lt; 50 OLS model'!$B$5</f>
        <v>-11631489.5525492</v>
      </c>
      <c r="P82" s="20">
        <f>'GS &lt; 50 OLS model'!$B$6*D82</f>
        <v>12728841.67592567</v>
      </c>
      <c r="Q82" s="20">
        <f ca="1">'GS &lt; 50 OLS model'!$B$7*E82</f>
        <v>147799.68350719655</v>
      </c>
      <c r="R82" s="20">
        <f ca="1">'GS &lt; 50 OLS model'!$B$8*F82</f>
        <v>174368.55774030741</v>
      </c>
      <c r="S82" s="20">
        <f>'GS &lt; 50 OLS model'!$B$9*G82</f>
        <v>2536590.6232283404</v>
      </c>
      <c r="T82" s="20">
        <f>'GS &lt; 50 OLS model'!$B$10*H82</f>
        <v>-390638.2202626284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249265.131543444</v>
      </c>
      <c r="Z82" s="20">
        <f t="shared" ca="1" si="114"/>
        <v>3814737.89913313</v>
      </c>
    </row>
    <row r="83" spans="1:26" ht="14.4" x14ac:dyDescent="0.3">
      <c r="A83" s="22">
        <f>'Monthly Data'!A83</f>
        <v>41548</v>
      </c>
      <c r="B83" s="88">
        <f t="shared" si="111"/>
        <v>2013</v>
      </c>
      <c r="C83" s="20">
        <f ca="1">'Monthly Data'!H83</f>
        <v>3774400.1020230036</v>
      </c>
      <c r="D83" s="88">
        <f>'Monthly Data'!AC83</f>
        <v>1943</v>
      </c>
      <c r="E83" s="88">
        <f t="shared" ref="E83:F83" ca="1" si="146">E71</f>
        <v>241.15</v>
      </c>
      <c r="F83" s="88">
        <f t="shared" ca="1" si="146"/>
        <v>2.87</v>
      </c>
      <c r="G83" s="88">
        <f>'Monthly Data'!AQ83</f>
        <v>241.6</v>
      </c>
      <c r="H83" s="88">
        <f t="shared" si="138"/>
        <v>82</v>
      </c>
      <c r="I83" s="88">
        <f t="shared" ref="I83:M83" si="147">I71</f>
        <v>0</v>
      </c>
      <c r="J83" s="88">
        <f t="shared" si="147"/>
        <v>0</v>
      </c>
      <c r="K83" s="88">
        <f t="shared" si="147"/>
        <v>0</v>
      </c>
      <c r="L83" s="88">
        <f t="shared" si="147"/>
        <v>0</v>
      </c>
      <c r="M83" s="88">
        <f t="shared" si="147"/>
        <v>0</v>
      </c>
      <c r="O83" s="20">
        <f>'GS &lt; 50 OLS model'!$B$5</f>
        <v>-11631489.5525492</v>
      </c>
      <c r="P83" s="20">
        <f>'GS &lt; 50 OLS model'!$B$6*D83</f>
        <v>12728841.67592567</v>
      </c>
      <c r="Q83" s="20">
        <f ca="1">'GS &lt; 50 OLS model'!$B$7*E83</f>
        <v>504985.74210485182</v>
      </c>
      <c r="R83" s="20">
        <f ca="1">'GS &lt; 50 OLS model'!$B$8*F83</f>
        <v>17004.341172772081</v>
      </c>
      <c r="S83" s="20">
        <f>'GS &lt; 50 OLS model'!$B$9*G83</f>
        <v>2517831.9415446469</v>
      </c>
      <c r="T83" s="20">
        <f>'GS &lt; 50 OLS model'!$B$10*H83</f>
        <v>-395460.91433994478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ca="1" si="114"/>
        <v>3741713.2338587958</v>
      </c>
    </row>
    <row r="84" spans="1:26" ht="14.4" x14ac:dyDescent="0.3">
      <c r="A84" s="22">
        <f>'Monthly Data'!A84</f>
        <v>41579</v>
      </c>
      <c r="B84" s="88">
        <f t="shared" si="111"/>
        <v>2013</v>
      </c>
      <c r="C84" s="20">
        <f ca="1">'Monthly Data'!H84</f>
        <v>4293209.9120230032</v>
      </c>
      <c r="D84" s="88">
        <f>'Monthly Data'!AC84</f>
        <v>1946</v>
      </c>
      <c r="E84" s="88">
        <f t="shared" ref="E84:F84" ca="1" si="148">E72</f>
        <v>421.52</v>
      </c>
      <c r="F84" s="88">
        <f t="shared" ca="1" si="148"/>
        <v>0</v>
      </c>
      <c r="G84" s="88">
        <f>'Monthly Data'!AQ84</f>
        <v>238.8</v>
      </c>
      <c r="H84" s="88">
        <f t="shared" si="138"/>
        <v>83</v>
      </c>
      <c r="I84" s="88">
        <f t="shared" ref="I84:M84" si="149">I72</f>
        <v>0</v>
      </c>
      <c r="J84" s="88">
        <f t="shared" si="149"/>
        <v>0</v>
      </c>
      <c r="K84" s="88">
        <f t="shared" si="149"/>
        <v>0</v>
      </c>
      <c r="L84" s="88">
        <f t="shared" si="149"/>
        <v>0</v>
      </c>
      <c r="M84" s="88">
        <f t="shared" si="149"/>
        <v>0</v>
      </c>
      <c r="O84" s="20">
        <f>'GS &lt; 50 OLS model'!$B$5</f>
        <v>-11631489.5525492</v>
      </c>
      <c r="P84" s="20">
        <f>'GS &lt; 50 OLS model'!$B$6*D84</f>
        <v>12748495.059882324</v>
      </c>
      <c r="Q84" s="20">
        <f ca="1">'GS &lt; 50 OLS model'!$B$7*E84</f>
        <v>882693.71765306708</v>
      </c>
      <c r="R84" s="20">
        <f ca="1">'GS &lt; 50 OLS model'!$B$8*F84</f>
        <v>0</v>
      </c>
      <c r="S84" s="20">
        <f>'GS &lt; 50 OLS model'!$B$9*G84</f>
        <v>2488651.7700366792</v>
      </c>
      <c r="T84" s="20">
        <f>'GS &lt; 50 OLS model'!$B$10*H84</f>
        <v>-400283.60841726116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ca="1" si="114"/>
        <v>4088067.3866056092</v>
      </c>
    </row>
    <row r="85" spans="1:26" ht="14.4" x14ac:dyDescent="0.3">
      <c r="A85" s="22">
        <f>'Monthly Data'!A85</f>
        <v>41609</v>
      </c>
      <c r="B85" s="88">
        <f t="shared" si="111"/>
        <v>2013</v>
      </c>
      <c r="C85" s="20">
        <f ca="1">'Monthly Data'!H85</f>
        <v>4562789.712023003</v>
      </c>
      <c r="D85" s="88">
        <f>'Monthly Data'!AC85</f>
        <v>1946</v>
      </c>
      <c r="E85" s="88">
        <f t="shared" ref="E85:F85" ca="1" si="150">E73</f>
        <v>610.56000000000006</v>
      </c>
      <c r="F85" s="88">
        <f t="shared" ca="1" si="150"/>
        <v>0</v>
      </c>
      <c r="G85" s="88">
        <f>'Monthly Data'!AQ85</f>
        <v>237.8</v>
      </c>
      <c r="H85" s="88">
        <f t="shared" si="138"/>
        <v>84</v>
      </c>
      <c r="I85" s="88">
        <f t="shared" ref="I85:M85" si="151">I73</f>
        <v>0</v>
      </c>
      <c r="J85" s="88">
        <f t="shared" si="151"/>
        <v>0</v>
      </c>
      <c r="K85" s="88">
        <f t="shared" si="151"/>
        <v>0</v>
      </c>
      <c r="L85" s="88">
        <f t="shared" si="151"/>
        <v>0</v>
      </c>
      <c r="M85" s="88">
        <f t="shared" si="151"/>
        <v>0</v>
      </c>
      <c r="O85" s="20">
        <f>'GS &lt; 50 OLS model'!$B$5</f>
        <v>-11631489.5525492</v>
      </c>
      <c r="P85" s="20">
        <f>'GS &lt; 50 OLS model'!$B$6*D85</f>
        <v>12748495.059882324</v>
      </c>
      <c r="Q85" s="20">
        <f ca="1">'GS &lt; 50 OLS model'!$B$7*E85</f>
        <v>1278557.3074830535</v>
      </c>
      <c r="R85" s="20">
        <f ca="1">'GS &lt; 50 OLS model'!$B$8*F85</f>
        <v>0</v>
      </c>
      <c r="S85" s="20">
        <f>'GS &lt; 50 OLS model'!$B$9*G85</f>
        <v>2478230.2802124051</v>
      </c>
      <c r="T85" s="20">
        <f>'GS &lt; 50 OLS model'!$B$10*H85</f>
        <v>-405106.3024945776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ca="1" si="114"/>
        <v>4468686.7925340049</v>
      </c>
    </row>
    <row r="86" spans="1:26" ht="14.4" x14ac:dyDescent="0.3">
      <c r="A86" s="22">
        <f>'Monthly Data'!A86</f>
        <v>41640</v>
      </c>
      <c r="B86" s="88">
        <f t="shared" si="111"/>
        <v>2014</v>
      </c>
      <c r="C86" s="20">
        <f ca="1">'Monthly Data'!H86</f>
        <v>4988179.5083069578</v>
      </c>
      <c r="D86" s="88">
        <f>'Monthly Data'!AC86</f>
        <v>1949</v>
      </c>
      <c r="E86" s="88">
        <f t="shared" ref="E86:F86" ca="1" si="152">E74</f>
        <v>729.54999999999984</v>
      </c>
      <c r="F86" s="88">
        <f t="shared" ca="1" si="152"/>
        <v>0</v>
      </c>
      <c r="G86" s="88">
        <f>'Monthly Data'!AQ86</f>
        <v>234.8</v>
      </c>
      <c r="H86" s="88">
        <f t="shared" si="138"/>
        <v>85</v>
      </c>
      <c r="I86" s="88">
        <f t="shared" ref="I86:M86" si="153">I74</f>
        <v>0</v>
      </c>
      <c r="J86" s="88">
        <f t="shared" si="153"/>
        <v>0</v>
      </c>
      <c r="K86" s="88">
        <f t="shared" si="153"/>
        <v>0</v>
      </c>
      <c r="L86" s="88">
        <f t="shared" si="153"/>
        <v>0</v>
      </c>
      <c r="M86" s="88">
        <f t="shared" si="153"/>
        <v>0</v>
      </c>
      <c r="O86" s="20">
        <f>'GS &lt; 50 OLS model'!$B$5</f>
        <v>-11631489.5525492</v>
      </c>
      <c r="P86" s="20">
        <f>'GS &lt; 50 OLS model'!$B$6*D86</f>
        <v>12768148.443838978</v>
      </c>
      <c r="Q86" s="20">
        <f ca="1">'GS &lt; 50 OLS model'!$B$7*E86</f>
        <v>1527731.0725796996</v>
      </c>
      <c r="R86" s="20">
        <f ca="1">'GS &lt; 50 OLS model'!$B$8*F86</f>
        <v>0</v>
      </c>
      <c r="S86" s="20">
        <f>'GS &lt; 50 OLS model'!$B$9*G86</f>
        <v>2446965.8107395824</v>
      </c>
      <c r="T86" s="20">
        <f>'GS &lt; 50 OLS model'!$B$10*H86</f>
        <v>-409928.99657189398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ca="1" si="114"/>
        <v>4701426.7780371662</v>
      </c>
    </row>
    <row r="87" spans="1:26" ht="14.4" x14ac:dyDescent="0.3">
      <c r="A87" s="22">
        <f>'Monthly Data'!A87</f>
        <v>41671</v>
      </c>
      <c r="B87" s="88">
        <f t="shared" si="111"/>
        <v>2014</v>
      </c>
      <c r="C87" s="20">
        <f ca="1">'Monthly Data'!H87</f>
        <v>4723861.3583069593</v>
      </c>
      <c r="D87" s="88">
        <f>'Monthly Data'!AC87</f>
        <v>1950</v>
      </c>
      <c r="E87" s="88">
        <f t="shared" ref="E87:F87" ca="1" si="154">E75</f>
        <v>678.56000000000006</v>
      </c>
      <c r="F87" s="88">
        <f t="shared" ca="1" si="154"/>
        <v>0</v>
      </c>
      <c r="G87" s="88">
        <f>'Monthly Data'!AQ87</f>
        <v>233.9</v>
      </c>
      <c r="H87" s="88">
        <f t="shared" si="138"/>
        <v>86</v>
      </c>
      <c r="I87" s="88">
        <f t="shared" ref="I87:M87" si="155">I75</f>
        <v>0</v>
      </c>
      <c r="J87" s="88">
        <f t="shared" si="155"/>
        <v>0</v>
      </c>
      <c r="K87" s="88">
        <f t="shared" si="155"/>
        <v>0</v>
      </c>
      <c r="L87" s="88">
        <f t="shared" si="155"/>
        <v>0</v>
      </c>
      <c r="M87" s="88">
        <f t="shared" si="155"/>
        <v>0</v>
      </c>
      <c r="O87" s="20">
        <f>'GS &lt; 50 OLS model'!$B$5</f>
        <v>-11631489.5525492</v>
      </c>
      <c r="P87" s="20">
        <f>'GS &lt; 50 OLS model'!$B$6*D87</f>
        <v>12774699.571824528</v>
      </c>
      <c r="Q87" s="20">
        <f ca="1">'GS &lt; 50 OLS model'!$B$7*E87</f>
        <v>1420954.2822420413</v>
      </c>
      <c r="R87" s="20">
        <f ca="1">'GS &lt; 50 OLS model'!$B$8*F87</f>
        <v>0</v>
      </c>
      <c r="S87" s="20">
        <f>'GS &lt; 50 OLS model'!$B$9*G87</f>
        <v>2437586.4698977354</v>
      </c>
      <c r="T87" s="20">
        <f>'GS &lt; 50 OLS model'!$B$10*H87</f>
        <v>-414751.69064921036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ca="1" si="114"/>
        <v>4586999.0807658946</v>
      </c>
    </row>
    <row r="88" spans="1:26" ht="14.4" x14ac:dyDescent="0.3">
      <c r="A88" s="22">
        <f>'Monthly Data'!A88</f>
        <v>41699</v>
      </c>
      <c r="B88" s="88">
        <f t="shared" si="111"/>
        <v>2014</v>
      </c>
      <c r="C88" s="20">
        <f ca="1">'Monthly Data'!H88</f>
        <v>4365203.4383069584</v>
      </c>
      <c r="D88" s="88">
        <f>'Monthly Data'!AC88</f>
        <v>1948</v>
      </c>
      <c r="E88" s="88">
        <f t="shared" ref="E88:F88" ca="1" si="156">E76</f>
        <v>544.77</v>
      </c>
      <c r="F88" s="88">
        <f t="shared" ca="1" si="156"/>
        <v>0.22000000000000003</v>
      </c>
      <c r="G88" s="88">
        <f>'Monthly Data'!AQ88</f>
        <v>232.7</v>
      </c>
      <c r="H88" s="88">
        <f t="shared" si="138"/>
        <v>87</v>
      </c>
      <c r="I88" s="88">
        <f t="shared" ref="I88:M88" si="157">I76</f>
        <v>1</v>
      </c>
      <c r="J88" s="88">
        <f t="shared" si="157"/>
        <v>0</v>
      </c>
      <c r="K88" s="88">
        <f t="shared" si="157"/>
        <v>0</v>
      </c>
      <c r="L88" s="88">
        <f t="shared" si="157"/>
        <v>0</v>
      </c>
      <c r="M88" s="88">
        <f t="shared" si="157"/>
        <v>0</v>
      </c>
      <c r="O88" s="20">
        <f>'GS &lt; 50 OLS model'!$B$5</f>
        <v>-11631489.5525492</v>
      </c>
      <c r="P88" s="20">
        <f>'GS &lt; 50 OLS model'!$B$6*D88</f>
        <v>12761597.315853426</v>
      </c>
      <c r="Q88" s="20">
        <f ca="1">'GS &lt; 50 OLS model'!$B$7*E88</f>
        <v>1140788.2344037327</v>
      </c>
      <c r="R88" s="20">
        <f ca="1">'GS &lt; 50 OLS model'!$B$8*F88</f>
        <v>1303.4686613274766</v>
      </c>
      <c r="S88" s="20">
        <f>'GS &lt; 50 OLS model'!$B$9*G88</f>
        <v>2425080.6821086062</v>
      </c>
      <c r="T88" s="20">
        <f>'GS &lt; 50 OLS model'!$B$10*H88</f>
        <v>-419574.3847265268</v>
      </c>
      <c r="U88" s="20">
        <f>'GS &lt; 50 OLS model'!$B$11*I88</f>
        <v>-156104.06645044801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ca="1" si="114"/>
        <v>4121601.6973009175</v>
      </c>
    </row>
    <row r="89" spans="1:26" ht="14.4" x14ac:dyDescent="0.3">
      <c r="A89" s="22">
        <f>'Monthly Data'!A89</f>
        <v>41730</v>
      </c>
      <c r="B89" s="88">
        <f t="shared" si="111"/>
        <v>2014</v>
      </c>
      <c r="C89" s="20">
        <f ca="1">'Monthly Data'!H89</f>
        <v>3766948.9683069587</v>
      </c>
      <c r="D89" s="88">
        <f>'Monthly Data'!AC89</f>
        <v>1947</v>
      </c>
      <c r="E89" s="88">
        <f t="shared" ref="E89:F89" ca="1" si="158">E77</f>
        <v>328.11</v>
      </c>
      <c r="F89" s="88">
        <f t="shared" ca="1" si="158"/>
        <v>0.32</v>
      </c>
      <c r="G89" s="88">
        <f>'Monthly Data'!AQ89</f>
        <v>236</v>
      </c>
      <c r="H89" s="88">
        <f t="shared" si="138"/>
        <v>88</v>
      </c>
      <c r="I89" s="88">
        <f t="shared" ref="I89:M89" si="159">I77</f>
        <v>0</v>
      </c>
      <c r="J89" s="88">
        <f t="shared" si="159"/>
        <v>0</v>
      </c>
      <c r="K89" s="88">
        <f t="shared" si="159"/>
        <v>0</v>
      </c>
      <c r="L89" s="88">
        <f t="shared" si="159"/>
        <v>0</v>
      </c>
      <c r="M89" s="88">
        <f t="shared" si="159"/>
        <v>0</v>
      </c>
      <c r="O89" s="20">
        <f>'GS &lt; 50 OLS model'!$B$5</f>
        <v>-11631489.5525492</v>
      </c>
      <c r="P89" s="20">
        <f>'GS &lt; 50 OLS model'!$B$6*D89</f>
        <v>12755046.187867876</v>
      </c>
      <c r="Q89" s="20">
        <f ca="1">'GS &lt; 50 OLS model'!$B$7*E89</f>
        <v>687086.34394369868</v>
      </c>
      <c r="R89" s="20">
        <f ca="1">'GS &lt; 50 OLS model'!$B$8*F89</f>
        <v>1895.9544164763295</v>
      </c>
      <c r="S89" s="20">
        <f>'GS &lt; 50 OLS model'!$B$9*G89</f>
        <v>2459471.5985287111</v>
      </c>
      <c r="T89" s="20">
        <f>'GS &lt; 50 OLS model'!$B$10*H89</f>
        <v>-424397.07880384318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ca="1" si="114"/>
        <v>3847613.4534037192</v>
      </c>
    </row>
    <row r="90" spans="1:26" ht="14.4" x14ac:dyDescent="0.3">
      <c r="A90" s="22">
        <f>'Monthly Data'!A90</f>
        <v>41760</v>
      </c>
      <c r="B90" s="88">
        <f t="shared" si="111"/>
        <v>2014</v>
      </c>
      <c r="C90" s="20">
        <f ca="1">'Monthly Data'!H90</f>
        <v>3605187.9783069585</v>
      </c>
      <c r="D90" s="88">
        <f>'Monthly Data'!AC90</f>
        <v>1950</v>
      </c>
      <c r="E90" s="88">
        <f t="shared" ref="E90:F90" ca="1" si="160">E78</f>
        <v>134.47999999999999</v>
      </c>
      <c r="F90" s="88">
        <f t="shared" ca="1" si="160"/>
        <v>20.889999999999997</v>
      </c>
      <c r="G90" s="88">
        <f>'Monthly Data'!AQ90</f>
        <v>239.7</v>
      </c>
      <c r="H90" s="88">
        <f t="shared" si="138"/>
        <v>89</v>
      </c>
      <c r="I90" s="88">
        <f t="shared" ref="I90:M90" si="161">I78</f>
        <v>0</v>
      </c>
      <c r="J90" s="88">
        <f t="shared" si="161"/>
        <v>0</v>
      </c>
      <c r="K90" s="88">
        <f t="shared" si="161"/>
        <v>0</v>
      </c>
      <c r="L90" s="88">
        <f t="shared" si="161"/>
        <v>0</v>
      </c>
      <c r="M90" s="88">
        <f t="shared" si="161"/>
        <v>0</v>
      </c>
      <c r="O90" s="20">
        <f>'GS &lt; 50 OLS model'!$B$5</f>
        <v>-11631489.5525492</v>
      </c>
      <c r="P90" s="20">
        <f>'GS &lt; 50 OLS model'!$B$6*D90</f>
        <v>12774699.571824528</v>
      </c>
      <c r="Q90" s="20">
        <f ca="1">'GS &lt; 50 OLS model'!$B$7*E90</f>
        <v>281610.95831748069</v>
      </c>
      <c r="R90" s="20">
        <f ca="1">'GS &lt; 50 OLS model'!$B$8*F90</f>
        <v>123770.27425059536</v>
      </c>
      <c r="S90" s="20">
        <f>'GS &lt; 50 OLS model'!$B$9*G90</f>
        <v>2498031.1108785258</v>
      </c>
      <c r="T90" s="20">
        <f>'GS &lt; 50 OLS model'!$B$10*H90</f>
        <v>-429219.77288115956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ca="1" si="114"/>
        <v>3617402.5898407707</v>
      </c>
    </row>
    <row r="91" spans="1:26" ht="14.4" x14ac:dyDescent="0.3">
      <c r="A91" s="22">
        <f>'Monthly Data'!A91</f>
        <v>41791</v>
      </c>
      <c r="B91" s="88">
        <f t="shared" si="111"/>
        <v>2014</v>
      </c>
      <c r="C91" s="20">
        <f ca="1">'Monthly Data'!H91</f>
        <v>4050140.2383069587</v>
      </c>
      <c r="D91" s="88">
        <f>'Monthly Data'!AC91</f>
        <v>1950</v>
      </c>
      <c r="E91" s="88">
        <f t="shared" ref="E91:F91" ca="1" si="162">E79</f>
        <v>30.429999999999996</v>
      </c>
      <c r="F91" s="88">
        <f t="shared" ca="1" si="162"/>
        <v>56.129999999999995</v>
      </c>
      <c r="G91" s="88">
        <f>'Monthly Data'!AQ91</f>
        <v>245.2</v>
      </c>
      <c r="H91" s="88">
        <f t="shared" si="138"/>
        <v>90</v>
      </c>
      <c r="I91" s="88">
        <f t="shared" ref="I91:M91" si="163">I79</f>
        <v>0</v>
      </c>
      <c r="J91" s="88">
        <f t="shared" si="163"/>
        <v>1</v>
      </c>
      <c r="K91" s="88">
        <f t="shared" si="163"/>
        <v>0</v>
      </c>
      <c r="L91" s="88">
        <f t="shared" si="163"/>
        <v>0</v>
      </c>
      <c r="M91" s="88">
        <f t="shared" si="163"/>
        <v>0</v>
      </c>
      <c r="O91" s="20">
        <f>'GS &lt; 50 OLS model'!$B$5</f>
        <v>-11631489.5525492</v>
      </c>
      <c r="P91" s="20">
        <f>'GS &lt; 50 OLS model'!$B$6*D91</f>
        <v>12774699.571824528</v>
      </c>
      <c r="Q91" s="20">
        <f ca="1">'GS &lt; 50 OLS model'!$B$7*E91</f>
        <v>63722.646204647062</v>
      </c>
      <c r="R91" s="20">
        <f ca="1">'GS &lt; 50 OLS model'!$B$8*F91</f>
        <v>332562.25436505117</v>
      </c>
      <c r="S91" s="20">
        <f>'GS &lt; 50 OLS model'!$B$9*G91</f>
        <v>2555349.304912034</v>
      </c>
      <c r="T91" s="20">
        <f>'GS &lt; 50 OLS model'!$B$10*H91</f>
        <v>-434042.466958476</v>
      </c>
      <c r="U91" s="20">
        <f>'GS &lt; 50 OLS model'!$B$11*I91</f>
        <v>0</v>
      </c>
      <c r="V91" s="20">
        <f>'GS &lt; 50 OLS model'!$B$12*J91</f>
        <v>359272.711714848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ca="1" si="114"/>
        <v>4020074.4695134321</v>
      </c>
    </row>
    <row r="92" spans="1:26" ht="14.4" x14ac:dyDescent="0.3">
      <c r="A92" s="22">
        <f>'Monthly Data'!A92</f>
        <v>41821</v>
      </c>
      <c r="B92" s="88">
        <f t="shared" si="111"/>
        <v>2014</v>
      </c>
      <c r="C92" s="20">
        <f ca="1">'Monthly Data'!H92</f>
        <v>4025113.7683069585</v>
      </c>
      <c r="D92" s="88">
        <f>'Monthly Data'!AC92</f>
        <v>1949</v>
      </c>
      <c r="E92" s="88">
        <f t="shared" ref="E92:F92" ca="1" si="164">E80</f>
        <v>7.85</v>
      </c>
      <c r="F92" s="88">
        <f t="shared" ca="1" si="164"/>
        <v>99.97999999999999</v>
      </c>
      <c r="G92" s="88">
        <f>'Monthly Data'!AQ92</f>
        <v>249.4</v>
      </c>
      <c r="H92" s="88">
        <f t="shared" si="138"/>
        <v>91</v>
      </c>
      <c r="I92" s="88">
        <f t="shared" ref="I92:M92" si="165">I80</f>
        <v>0</v>
      </c>
      <c r="J92" s="88">
        <f t="shared" si="165"/>
        <v>0</v>
      </c>
      <c r="K92" s="88">
        <f t="shared" si="165"/>
        <v>1</v>
      </c>
      <c r="L92" s="88">
        <f t="shared" si="165"/>
        <v>0</v>
      </c>
      <c r="M92" s="88">
        <f t="shared" si="165"/>
        <v>0</v>
      </c>
      <c r="O92" s="20">
        <f>'GS &lt; 50 OLS model'!$B$5</f>
        <v>-11631489.5525492</v>
      </c>
      <c r="P92" s="20">
        <f>'GS &lt; 50 OLS model'!$B$6*D92</f>
        <v>12768148.443838978</v>
      </c>
      <c r="Q92" s="20">
        <f ca="1">'GS &lt; 50 OLS model'!$B$7*E92</f>
        <v>16438.474292030216</v>
      </c>
      <c r="R92" s="20">
        <f ca="1">'GS &lt; 50 OLS model'!$B$8*F92</f>
        <v>592367.25799782318</v>
      </c>
      <c r="S92" s="20">
        <f>'GS &lt; 50 OLS model'!$B$9*G92</f>
        <v>2599119.5621739854</v>
      </c>
      <c r="T92" s="20">
        <f>'GS &lt; 50 OLS model'!$B$10*H92</f>
        <v>-438865.16103579238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411098.30587285903</v>
      </c>
      <c r="X92" s="20">
        <f>'GS &lt; 50 OLS model'!$B$14*L92</f>
        <v>0</v>
      </c>
      <c r="Y92" s="20">
        <f>'GS &lt; 50 OLS model'!$B$15*M92</f>
        <v>0</v>
      </c>
      <c r="Z92" s="20">
        <f t="shared" ca="1" si="114"/>
        <v>4316817.330590684</v>
      </c>
    </row>
    <row r="93" spans="1:26" ht="14.4" x14ac:dyDescent="0.3">
      <c r="A93" s="22">
        <f>'Monthly Data'!A93</f>
        <v>41852</v>
      </c>
      <c r="B93" s="88">
        <f t="shared" si="111"/>
        <v>2014</v>
      </c>
      <c r="C93" s="20">
        <f ca="1">'Monthly Data'!H93</f>
        <v>4111661.3483069586</v>
      </c>
      <c r="D93" s="88">
        <f>'Monthly Data'!AC93</f>
        <v>1948</v>
      </c>
      <c r="E93" s="88">
        <f t="shared" ref="E93:F93" ca="1" si="166">E81</f>
        <v>10.43</v>
      </c>
      <c r="F93" s="88">
        <f t="shared" ca="1" si="166"/>
        <v>80.190000000000012</v>
      </c>
      <c r="G93" s="88">
        <f>'Monthly Data'!AQ93</f>
        <v>251.5</v>
      </c>
      <c r="H93" s="88">
        <f t="shared" si="138"/>
        <v>92</v>
      </c>
      <c r="I93" s="88">
        <f t="shared" ref="I93:M93" si="167">I81</f>
        <v>0</v>
      </c>
      <c r="J93" s="88">
        <f t="shared" si="167"/>
        <v>0</v>
      </c>
      <c r="K93" s="88">
        <f t="shared" si="167"/>
        <v>0</v>
      </c>
      <c r="L93" s="88">
        <f t="shared" si="167"/>
        <v>1</v>
      </c>
      <c r="M93" s="88">
        <f t="shared" si="167"/>
        <v>0</v>
      </c>
      <c r="O93" s="20">
        <f>'GS &lt; 50 OLS model'!$B$5</f>
        <v>-11631489.5525492</v>
      </c>
      <c r="P93" s="20">
        <f>'GS &lt; 50 OLS model'!$B$6*D93</f>
        <v>12761597.315853426</v>
      </c>
      <c r="Q93" s="20">
        <f ca="1">'GS &lt; 50 OLS model'!$B$7*E93</f>
        <v>21841.183040238873</v>
      </c>
      <c r="R93" s="20">
        <f ca="1">'GS &lt; 50 OLS model'!$B$8*F93</f>
        <v>475114.32705386524</v>
      </c>
      <c r="S93" s="20">
        <f>'GS &lt; 50 OLS model'!$B$9*G93</f>
        <v>2621004.6908049611</v>
      </c>
      <c r="T93" s="20">
        <f>'GS &lt; 50 OLS model'!$B$10*H93</f>
        <v>-443687.85511310876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494220.92313005403</v>
      </c>
      <c r="Y93" s="20">
        <f>'GS &lt; 50 OLS model'!$B$15*M93</f>
        <v>0</v>
      </c>
      <c r="Z93" s="20">
        <f t="shared" ca="1" si="114"/>
        <v>4298601.032220237</v>
      </c>
    </row>
    <row r="94" spans="1:26" ht="14.4" x14ac:dyDescent="0.3">
      <c r="A94" s="22">
        <f>'Monthly Data'!A94</f>
        <v>41883</v>
      </c>
      <c r="B94" s="88">
        <f t="shared" si="111"/>
        <v>2014</v>
      </c>
      <c r="C94" s="20">
        <f ca="1">'Monthly Data'!H94</f>
        <v>3802027.328306959</v>
      </c>
      <c r="D94" s="88">
        <f>'Monthly Data'!AC94</f>
        <v>1948</v>
      </c>
      <c r="E94" s="88">
        <f t="shared" ref="E94:F94" ca="1" si="168">E82</f>
        <v>70.580000000000013</v>
      </c>
      <c r="F94" s="88">
        <f t="shared" ca="1" si="168"/>
        <v>29.429999999999996</v>
      </c>
      <c r="G94" s="88">
        <f>'Monthly Data'!AQ94</f>
        <v>248.2</v>
      </c>
      <c r="H94" s="88">
        <f t="shared" si="138"/>
        <v>93</v>
      </c>
      <c r="I94" s="88">
        <f t="shared" ref="I94:M94" si="169">I82</f>
        <v>0</v>
      </c>
      <c r="J94" s="88">
        <f t="shared" si="169"/>
        <v>0</v>
      </c>
      <c r="K94" s="88">
        <f t="shared" si="169"/>
        <v>0</v>
      </c>
      <c r="L94" s="88">
        <f t="shared" si="169"/>
        <v>0</v>
      </c>
      <c r="M94" s="88">
        <f t="shared" si="169"/>
        <v>1</v>
      </c>
      <c r="O94" s="20">
        <f>'GS &lt; 50 OLS model'!$B$5</f>
        <v>-11631489.5525492</v>
      </c>
      <c r="P94" s="20">
        <f>'GS &lt; 50 OLS model'!$B$6*D94</f>
        <v>12761597.315853426</v>
      </c>
      <c r="Q94" s="20">
        <f ca="1">'GS &lt; 50 OLS model'!$B$7*E94</f>
        <v>147799.68350719655</v>
      </c>
      <c r="R94" s="20">
        <f ca="1">'GS &lt; 50 OLS model'!$B$8*F94</f>
        <v>174368.55774030741</v>
      </c>
      <c r="S94" s="20">
        <f>'GS &lt; 50 OLS model'!$B$9*G94</f>
        <v>2586613.7743848562</v>
      </c>
      <c r="T94" s="20">
        <f>'GS &lt; 50 OLS model'!$B$10*H94</f>
        <v>-448510.5491904252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249265.131543444</v>
      </c>
      <c r="Z94" s="20">
        <f t="shared" ca="1" si="114"/>
        <v>3839644.361289605</v>
      </c>
    </row>
    <row r="95" spans="1:26" ht="14.4" x14ac:dyDescent="0.3">
      <c r="A95" s="22">
        <f>'Monthly Data'!A95</f>
        <v>41913</v>
      </c>
      <c r="B95" s="88">
        <f t="shared" si="111"/>
        <v>2014</v>
      </c>
      <c r="C95" s="20">
        <f ca="1">'Monthly Data'!H95</f>
        <v>3630927.0783069585</v>
      </c>
      <c r="D95" s="88">
        <f>'Monthly Data'!AC95</f>
        <v>1950</v>
      </c>
      <c r="E95" s="88">
        <f t="shared" ref="E95:F95" ca="1" si="170">E83</f>
        <v>241.15</v>
      </c>
      <c r="F95" s="88">
        <f t="shared" ca="1" si="170"/>
        <v>2.87</v>
      </c>
      <c r="G95" s="88">
        <f>'Monthly Data'!AQ95</f>
        <v>245.7</v>
      </c>
      <c r="H95" s="88">
        <f t="shared" si="138"/>
        <v>94</v>
      </c>
      <c r="I95" s="88">
        <f t="shared" ref="I95:M95" si="171">I83</f>
        <v>0</v>
      </c>
      <c r="J95" s="88">
        <f t="shared" si="171"/>
        <v>0</v>
      </c>
      <c r="K95" s="88">
        <f t="shared" si="171"/>
        <v>0</v>
      </c>
      <c r="L95" s="88">
        <f t="shared" si="171"/>
        <v>0</v>
      </c>
      <c r="M95" s="88">
        <f t="shared" si="171"/>
        <v>0</v>
      </c>
      <c r="O95" s="20">
        <f>'GS &lt; 50 OLS model'!$B$5</f>
        <v>-11631489.5525492</v>
      </c>
      <c r="P95" s="20">
        <f>'GS &lt; 50 OLS model'!$B$6*D95</f>
        <v>12774699.571824528</v>
      </c>
      <c r="Q95" s="20">
        <f ca="1">'GS &lt; 50 OLS model'!$B$7*E95</f>
        <v>504985.74210485182</v>
      </c>
      <c r="R95" s="20">
        <f ca="1">'GS &lt; 50 OLS model'!$B$8*F95</f>
        <v>17004.341172772081</v>
      </c>
      <c r="S95" s="20">
        <f>'GS &lt; 50 OLS model'!$B$9*G95</f>
        <v>2560560.0498241708</v>
      </c>
      <c r="T95" s="20">
        <f>'GS &lt; 50 OLS model'!$B$10*H95</f>
        <v>-453333.24326774158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ca="1" si="114"/>
        <v>3772426.9091093815</v>
      </c>
    </row>
    <row r="96" spans="1:26" ht="14.4" x14ac:dyDescent="0.3">
      <c r="A96" s="22">
        <f>'Monthly Data'!A96</f>
        <v>41944</v>
      </c>
      <c r="B96" s="88">
        <f t="shared" si="111"/>
        <v>2014</v>
      </c>
      <c r="C96" s="20">
        <f ca="1">'Monthly Data'!H96</f>
        <v>4650784.3883069586</v>
      </c>
      <c r="D96" s="88">
        <f>'Monthly Data'!AC96</f>
        <v>1970</v>
      </c>
      <c r="E96" s="88">
        <f t="shared" ref="E96:F96" ca="1" si="172">E84</f>
        <v>421.52</v>
      </c>
      <c r="F96" s="88">
        <f t="shared" ca="1" si="172"/>
        <v>0</v>
      </c>
      <c r="G96" s="88">
        <f>'Monthly Data'!AQ96</f>
        <v>244.2</v>
      </c>
      <c r="H96" s="88">
        <f t="shared" si="138"/>
        <v>95</v>
      </c>
      <c r="I96" s="88">
        <f t="shared" ref="I96:M96" si="173">I84</f>
        <v>0</v>
      </c>
      <c r="J96" s="88">
        <f t="shared" si="173"/>
        <v>0</v>
      </c>
      <c r="K96" s="88">
        <f t="shared" si="173"/>
        <v>0</v>
      </c>
      <c r="L96" s="88">
        <f t="shared" si="173"/>
        <v>0</v>
      </c>
      <c r="M96" s="88">
        <f t="shared" si="173"/>
        <v>0</v>
      </c>
      <c r="O96" s="20">
        <f>'GS &lt; 50 OLS model'!$B$5</f>
        <v>-11631489.5525492</v>
      </c>
      <c r="P96" s="20">
        <f>'GS &lt; 50 OLS model'!$B$6*D96</f>
        <v>12905722.131535549</v>
      </c>
      <c r="Q96" s="20">
        <f ca="1">'GS &lt; 50 OLS model'!$B$7*E96</f>
        <v>882693.71765306708</v>
      </c>
      <c r="R96" s="20">
        <f ca="1">'GS &lt; 50 OLS model'!$B$8*F96</f>
        <v>0</v>
      </c>
      <c r="S96" s="20">
        <f>'GS &lt; 50 OLS model'!$B$9*G96</f>
        <v>2544927.8150877594</v>
      </c>
      <c r="T96" s="20">
        <f>'GS &lt; 50 OLS model'!$B$10*H96</f>
        <v>-458155.93734505796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ca="1" si="114"/>
        <v>4243698.1743821166</v>
      </c>
    </row>
    <row r="97" spans="1:26" ht="14.4" x14ac:dyDescent="0.3">
      <c r="A97" s="22">
        <f>'Monthly Data'!A97</f>
        <v>41974</v>
      </c>
      <c r="B97" s="88">
        <f t="shared" si="111"/>
        <v>2014</v>
      </c>
      <c r="C97" s="20">
        <f ca="1">'Monthly Data'!H97</f>
        <v>4868518.578306959</v>
      </c>
      <c r="D97" s="88">
        <f>'Monthly Data'!AC97</f>
        <v>1976</v>
      </c>
      <c r="E97" s="88">
        <f t="shared" ref="E97:F97" ca="1" si="174">E85</f>
        <v>610.56000000000006</v>
      </c>
      <c r="F97" s="88">
        <f t="shared" ca="1" si="174"/>
        <v>0</v>
      </c>
      <c r="G97" s="88">
        <f>'Monthly Data'!AQ97</f>
        <v>246</v>
      </c>
      <c r="H97" s="88">
        <f t="shared" si="138"/>
        <v>96</v>
      </c>
      <c r="I97" s="88">
        <f t="shared" ref="I97:M97" si="175">I85</f>
        <v>0</v>
      </c>
      <c r="J97" s="88">
        <f t="shared" si="175"/>
        <v>0</v>
      </c>
      <c r="K97" s="88">
        <f t="shared" si="175"/>
        <v>0</v>
      </c>
      <c r="L97" s="88">
        <f t="shared" si="175"/>
        <v>0</v>
      </c>
      <c r="M97" s="88">
        <f t="shared" si="175"/>
        <v>0</v>
      </c>
      <c r="O97" s="20">
        <f>'GS &lt; 50 OLS model'!$B$5</f>
        <v>-11631489.5525492</v>
      </c>
      <c r="P97" s="20">
        <f>'GS &lt; 50 OLS model'!$B$6*D97</f>
        <v>12945028.899448855</v>
      </c>
      <c r="Q97" s="20">
        <f ca="1">'GS &lt; 50 OLS model'!$B$7*E97</f>
        <v>1278557.3074830535</v>
      </c>
      <c r="R97" s="20">
        <f ca="1">'GS &lt; 50 OLS model'!$B$8*F97</f>
        <v>0</v>
      </c>
      <c r="S97" s="20">
        <f>'GS &lt; 50 OLS model'!$B$9*G97</f>
        <v>2563686.4967714534</v>
      </c>
      <c r="T97" s="20">
        <f>'GS &lt; 50 OLS model'!$B$10*H97</f>
        <v>-462978.6314223744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ca="1" si="114"/>
        <v>4692804.519731788</v>
      </c>
    </row>
    <row r="98" spans="1:26" ht="14.4" x14ac:dyDescent="0.3">
      <c r="A98" s="22">
        <f>'Monthly Data'!A98</f>
        <v>42005</v>
      </c>
      <c r="B98" s="88">
        <f t="shared" si="111"/>
        <v>2015</v>
      </c>
      <c r="C98" s="20">
        <f ca="1">'Monthly Data'!H98</f>
        <v>5465130.6709063211</v>
      </c>
      <c r="D98" s="88">
        <f>'Monthly Data'!AC98</f>
        <v>1988</v>
      </c>
      <c r="E98" s="88">
        <f t="shared" ref="E98:F98" ca="1" si="176">E86</f>
        <v>729.54999999999984</v>
      </c>
      <c r="F98" s="88">
        <f t="shared" ca="1" si="176"/>
        <v>0</v>
      </c>
      <c r="G98" s="88">
        <f>'Monthly Data'!AQ98</f>
        <v>247.2</v>
      </c>
      <c r="H98" s="88">
        <f t="shared" si="138"/>
        <v>97</v>
      </c>
      <c r="I98" s="88">
        <f t="shared" ref="I98:M98" si="177">I86</f>
        <v>0</v>
      </c>
      <c r="J98" s="88">
        <f t="shared" si="177"/>
        <v>0</v>
      </c>
      <c r="K98" s="88">
        <f t="shared" si="177"/>
        <v>0</v>
      </c>
      <c r="L98" s="88">
        <f t="shared" si="177"/>
        <v>0</v>
      </c>
      <c r="M98" s="88">
        <f t="shared" si="177"/>
        <v>0</v>
      </c>
      <c r="O98" s="20">
        <f>'GS &lt; 50 OLS model'!$B$5</f>
        <v>-11631489.5525492</v>
      </c>
      <c r="P98" s="20">
        <f>'GS &lt; 50 OLS model'!$B$6*D98</f>
        <v>13023642.435275467</v>
      </c>
      <c r="Q98" s="20">
        <f ca="1">'GS &lt; 50 OLS model'!$B$7*E98</f>
        <v>1527731.0725796996</v>
      </c>
      <c r="R98" s="20">
        <f ca="1">'GS &lt; 50 OLS model'!$B$8*F98</f>
        <v>0</v>
      </c>
      <c r="S98" s="20">
        <f>'GS &lt; 50 OLS model'!$B$9*G98</f>
        <v>2576192.2845605821</v>
      </c>
      <c r="T98" s="20">
        <f>'GS &lt; 50 OLS model'!$B$10*H98</f>
        <v>-467801.32549969078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ca="1" si="114"/>
        <v>5028274.9143668581</v>
      </c>
    </row>
    <row r="99" spans="1:26" ht="14.4" x14ac:dyDescent="0.3">
      <c r="A99" s="22">
        <f>'Monthly Data'!A99</f>
        <v>42036</v>
      </c>
      <c r="B99" s="88">
        <f t="shared" si="111"/>
        <v>2015</v>
      </c>
      <c r="C99" s="20">
        <f ca="1">'Monthly Data'!H99</f>
        <v>5405912.5809063204</v>
      </c>
      <c r="D99" s="88">
        <f>'Monthly Data'!AC99</f>
        <v>1991</v>
      </c>
      <c r="E99" s="88">
        <f t="shared" ref="E99:F99" ca="1" si="178">E87</f>
        <v>678.56000000000006</v>
      </c>
      <c r="F99" s="88">
        <f t="shared" ca="1" si="178"/>
        <v>0</v>
      </c>
      <c r="G99" s="88">
        <f>'Monthly Data'!AQ99</f>
        <v>246.5</v>
      </c>
      <c r="H99" s="88">
        <f t="shared" si="138"/>
        <v>98</v>
      </c>
      <c r="I99" s="88">
        <f t="shared" ref="I99:M99" si="179">I87</f>
        <v>0</v>
      </c>
      <c r="J99" s="88">
        <f t="shared" si="179"/>
        <v>0</v>
      </c>
      <c r="K99" s="88">
        <f t="shared" si="179"/>
        <v>0</v>
      </c>
      <c r="L99" s="88">
        <f t="shared" si="179"/>
        <v>0</v>
      </c>
      <c r="M99" s="88">
        <f t="shared" si="179"/>
        <v>0</v>
      </c>
      <c r="O99" s="20">
        <f>'GS &lt; 50 OLS model'!$B$5</f>
        <v>-11631489.5525492</v>
      </c>
      <c r="P99" s="20">
        <f>'GS &lt; 50 OLS model'!$B$6*D99</f>
        <v>13043295.819232121</v>
      </c>
      <c r="Q99" s="20">
        <f ca="1">'GS &lt; 50 OLS model'!$B$7*E99</f>
        <v>1420954.2822420413</v>
      </c>
      <c r="R99" s="20">
        <f ca="1">'GS &lt; 50 OLS model'!$B$8*F99</f>
        <v>0</v>
      </c>
      <c r="S99" s="20">
        <f>'GS &lt; 50 OLS model'!$B$9*G99</f>
        <v>2568897.2416835902</v>
      </c>
      <c r="T99" s="20">
        <f>'GS &lt; 50 OLS model'!$B$10*H99</f>
        <v>-472624.01957700716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ca="1" si="114"/>
        <v>4929033.7710315455</v>
      </c>
    </row>
    <row r="100" spans="1:26" ht="14.4" x14ac:dyDescent="0.3">
      <c r="A100" s="22">
        <f>'Monthly Data'!A100</f>
        <v>42064</v>
      </c>
      <c r="B100" s="88">
        <f t="shared" si="111"/>
        <v>2015</v>
      </c>
      <c r="C100" s="20">
        <f ca="1">'Monthly Data'!H100</f>
        <v>4793328.4009063197</v>
      </c>
      <c r="D100" s="88">
        <f>'Monthly Data'!AC100</f>
        <v>1990</v>
      </c>
      <c r="E100" s="88">
        <f t="shared" ref="E100:F100" ca="1" si="180">E88</f>
        <v>544.77</v>
      </c>
      <c r="F100" s="88">
        <f t="shared" ca="1" si="180"/>
        <v>0.22000000000000003</v>
      </c>
      <c r="G100" s="88">
        <f>'Monthly Data'!AQ100</f>
        <v>244.5</v>
      </c>
      <c r="H100" s="88">
        <f t="shared" si="138"/>
        <v>99</v>
      </c>
      <c r="I100" s="88">
        <f t="shared" ref="I100:M100" si="181">I88</f>
        <v>1</v>
      </c>
      <c r="J100" s="88">
        <f t="shared" si="181"/>
        <v>0</v>
      </c>
      <c r="K100" s="88">
        <f t="shared" si="181"/>
        <v>0</v>
      </c>
      <c r="L100" s="88">
        <f t="shared" si="181"/>
        <v>0</v>
      </c>
      <c r="M100" s="88">
        <f t="shared" si="181"/>
        <v>0</v>
      </c>
      <c r="O100" s="20">
        <f>'GS &lt; 50 OLS model'!$B$5</f>
        <v>-11631489.5525492</v>
      </c>
      <c r="P100" s="20">
        <f>'GS &lt; 50 OLS model'!$B$6*D100</f>
        <v>13036744.691246569</v>
      </c>
      <c r="Q100" s="20">
        <f ca="1">'GS &lt; 50 OLS model'!$B$7*E100</f>
        <v>1140788.2344037327</v>
      </c>
      <c r="R100" s="20">
        <f ca="1">'GS &lt; 50 OLS model'!$B$8*F100</f>
        <v>1303.4686613274766</v>
      </c>
      <c r="S100" s="20">
        <f>'GS &lt; 50 OLS model'!$B$9*G100</f>
        <v>2548054.262035042</v>
      </c>
      <c r="T100" s="20">
        <f>'GS &lt; 50 OLS model'!$B$10*H100</f>
        <v>-477446.71365432354</v>
      </c>
      <c r="U100" s="20">
        <f>'GS &lt; 50 OLS model'!$B$11*I100</f>
        <v>-156104.06645044801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ca="1" si="114"/>
        <v>4461850.3236926999</v>
      </c>
    </row>
    <row r="101" spans="1:26" ht="14.4" x14ac:dyDescent="0.3">
      <c r="A101" s="22">
        <f>'Monthly Data'!A101</f>
        <v>42095</v>
      </c>
      <c r="B101" s="88">
        <f t="shared" si="111"/>
        <v>2015</v>
      </c>
      <c r="C101" s="20">
        <f ca="1">'Monthly Data'!H101</f>
        <v>4101859.6609063204</v>
      </c>
      <c r="D101" s="88">
        <f>'Monthly Data'!AC101</f>
        <v>1989</v>
      </c>
      <c r="E101" s="88">
        <f t="shared" ref="E101:F101" ca="1" si="182">E89</f>
        <v>328.11</v>
      </c>
      <c r="F101" s="88">
        <f t="shared" ca="1" si="182"/>
        <v>0.32</v>
      </c>
      <c r="G101" s="88">
        <f>'Monthly Data'!AQ101</f>
        <v>241.6</v>
      </c>
      <c r="H101" s="88">
        <f t="shared" si="138"/>
        <v>100</v>
      </c>
      <c r="I101" s="88">
        <f t="shared" ref="I101:M101" si="183">I89</f>
        <v>0</v>
      </c>
      <c r="J101" s="88">
        <f t="shared" si="183"/>
        <v>0</v>
      </c>
      <c r="K101" s="88">
        <f t="shared" si="183"/>
        <v>0</v>
      </c>
      <c r="L101" s="88">
        <f t="shared" si="183"/>
        <v>0</v>
      </c>
      <c r="M101" s="88">
        <f t="shared" si="183"/>
        <v>0</v>
      </c>
      <c r="O101" s="20">
        <f>'GS &lt; 50 OLS model'!$B$5</f>
        <v>-11631489.5525492</v>
      </c>
      <c r="P101" s="20">
        <f>'GS &lt; 50 OLS model'!$B$6*D101</f>
        <v>13030193.563261019</v>
      </c>
      <c r="Q101" s="20">
        <f ca="1">'GS &lt; 50 OLS model'!$B$7*E101</f>
        <v>687086.34394369868</v>
      </c>
      <c r="R101" s="20">
        <f ca="1">'GS &lt; 50 OLS model'!$B$8*F101</f>
        <v>1895.9544164763295</v>
      </c>
      <c r="S101" s="20">
        <f>'GS &lt; 50 OLS model'!$B$9*G101</f>
        <v>2517831.9415446469</v>
      </c>
      <c r="T101" s="20">
        <f>'GS &lt; 50 OLS model'!$B$10*H101</f>
        <v>-482269.40773163998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ca="1" si="114"/>
        <v>4123248.8428850006</v>
      </c>
    </row>
    <row r="102" spans="1:26" ht="14.4" x14ac:dyDescent="0.3">
      <c r="A102" s="22">
        <f>'Monthly Data'!A102</f>
        <v>42125</v>
      </c>
      <c r="B102" s="88">
        <f t="shared" si="111"/>
        <v>2015</v>
      </c>
      <c r="C102" s="20">
        <f ca="1">'Monthly Data'!H102</f>
        <v>3978663.1209063213</v>
      </c>
      <c r="D102" s="88">
        <f>'Monthly Data'!AC102</f>
        <v>1989</v>
      </c>
      <c r="E102" s="88">
        <f t="shared" ref="E102:F102" ca="1" si="184">E90</f>
        <v>134.47999999999999</v>
      </c>
      <c r="F102" s="88">
        <f t="shared" ca="1" si="184"/>
        <v>20.889999999999997</v>
      </c>
      <c r="G102" s="88">
        <f>'Monthly Data'!AQ102</f>
        <v>243.2</v>
      </c>
      <c r="H102" s="88">
        <f t="shared" si="138"/>
        <v>101</v>
      </c>
      <c r="I102" s="88">
        <f t="shared" ref="I102:M102" si="185">I90</f>
        <v>0</v>
      </c>
      <c r="J102" s="88">
        <f t="shared" si="185"/>
        <v>0</v>
      </c>
      <c r="K102" s="88">
        <f t="shared" si="185"/>
        <v>0</v>
      </c>
      <c r="L102" s="88">
        <f t="shared" si="185"/>
        <v>0</v>
      </c>
      <c r="M102" s="88">
        <f t="shared" si="185"/>
        <v>0</v>
      </c>
      <c r="O102" s="20">
        <f>'GS &lt; 50 OLS model'!$B$5</f>
        <v>-11631489.5525492</v>
      </c>
      <c r="P102" s="20">
        <f>'GS &lt; 50 OLS model'!$B$6*D102</f>
        <v>13030193.563261019</v>
      </c>
      <c r="Q102" s="20">
        <f ca="1">'GS &lt; 50 OLS model'!$B$7*E102</f>
        <v>281610.95831748069</v>
      </c>
      <c r="R102" s="20">
        <f ca="1">'GS &lt; 50 OLS model'!$B$8*F102</f>
        <v>123770.27425059536</v>
      </c>
      <c r="S102" s="20">
        <f>'GS &lt; 50 OLS model'!$B$9*G102</f>
        <v>2534506.3252634853</v>
      </c>
      <c r="T102" s="20">
        <f>'GS &lt; 50 OLS model'!$B$10*H102</f>
        <v>-487092.10180895636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ca="1" si="114"/>
        <v>3851499.4667344238</v>
      </c>
    </row>
    <row r="103" spans="1:26" ht="14.4" x14ac:dyDescent="0.3">
      <c r="A103" s="22">
        <f>'Monthly Data'!A103</f>
        <v>42156</v>
      </c>
      <c r="B103" s="88">
        <f t="shared" si="111"/>
        <v>2015</v>
      </c>
      <c r="C103" s="20">
        <f ca="1">'Monthly Data'!H103</f>
        <v>4185557.47090632</v>
      </c>
      <c r="D103" s="88">
        <f>'Monthly Data'!AC103</f>
        <v>1990</v>
      </c>
      <c r="E103" s="88">
        <f t="shared" ref="E103:F103" ca="1" si="186">E91</f>
        <v>30.429999999999996</v>
      </c>
      <c r="F103" s="88">
        <f t="shared" ca="1" si="186"/>
        <v>56.129999999999995</v>
      </c>
      <c r="G103" s="88">
        <f>'Monthly Data'!AQ103</f>
        <v>251.7</v>
      </c>
      <c r="H103" s="88">
        <f t="shared" si="138"/>
        <v>102</v>
      </c>
      <c r="I103" s="88">
        <f t="shared" ref="I103:M103" si="187">I91</f>
        <v>0</v>
      </c>
      <c r="J103" s="88">
        <f t="shared" si="187"/>
        <v>1</v>
      </c>
      <c r="K103" s="88">
        <f t="shared" si="187"/>
        <v>0</v>
      </c>
      <c r="L103" s="88">
        <f t="shared" si="187"/>
        <v>0</v>
      </c>
      <c r="M103" s="88">
        <f t="shared" si="187"/>
        <v>0</v>
      </c>
      <c r="O103" s="20">
        <f>'GS &lt; 50 OLS model'!$B$5</f>
        <v>-11631489.5525492</v>
      </c>
      <c r="P103" s="20">
        <f>'GS &lt; 50 OLS model'!$B$6*D103</f>
        <v>13036744.691246569</v>
      </c>
      <c r="Q103" s="20">
        <f ca="1">'GS &lt; 50 OLS model'!$B$7*E103</f>
        <v>63722.646204647062</v>
      </c>
      <c r="R103" s="20">
        <f ca="1">'GS &lt; 50 OLS model'!$B$8*F103</f>
        <v>332562.25436505117</v>
      </c>
      <c r="S103" s="20">
        <f>'GS &lt; 50 OLS model'!$B$9*G103</f>
        <v>2623088.9887698162</v>
      </c>
      <c r="T103" s="20">
        <f>'GS &lt; 50 OLS model'!$B$10*H103</f>
        <v>-491914.79588627274</v>
      </c>
      <c r="U103" s="20">
        <f>'GS &lt; 50 OLS model'!$B$11*I103</f>
        <v>0</v>
      </c>
      <c r="V103" s="20">
        <f>'GS &lt; 50 OLS model'!$B$12*J103</f>
        <v>359272.711714848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ca="1" si="114"/>
        <v>4291986.9438654585</v>
      </c>
    </row>
    <row r="104" spans="1:26" ht="14.4" x14ac:dyDescent="0.3">
      <c r="A104" s="22">
        <f>'Monthly Data'!A104</f>
        <v>42186</v>
      </c>
      <c r="B104" s="88">
        <f t="shared" si="111"/>
        <v>2015</v>
      </c>
      <c r="C104" s="20">
        <f ca="1">'Monthly Data'!H104</f>
        <v>4473730.8109063208</v>
      </c>
      <c r="D104" s="88">
        <f>'Monthly Data'!AC104</f>
        <v>1989</v>
      </c>
      <c r="E104" s="88">
        <f t="shared" ref="E104:F104" ca="1" si="188">E92</f>
        <v>7.85</v>
      </c>
      <c r="F104" s="88">
        <f t="shared" ca="1" si="188"/>
        <v>99.97999999999999</v>
      </c>
      <c r="G104" s="88">
        <f>'Monthly Data'!AQ104</f>
        <v>257.2</v>
      </c>
      <c r="H104" s="88">
        <f t="shared" si="138"/>
        <v>103</v>
      </c>
      <c r="I104" s="88">
        <f t="shared" ref="I104:M104" si="189">I92</f>
        <v>0</v>
      </c>
      <c r="J104" s="88">
        <f t="shared" si="189"/>
        <v>0</v>
      </c>
      <c r="K104" s="88">
        <f t="shared" si="189"/>
        <v>1</v>
      </c>
      <c r="L104" s="88">
        <f t="shared" si="189"/>
        <v>0</v>
      </c>
      <c r="M104" s="88">
        <f t="shared" si="189"/>
        <v>0</v>
      </c>
      <c r="O104" s="20">
        <f>'GS &lt; 50 OLS model'!$B$5</f>
        <v>-11631489.5525492</v>
      </c>
      <c r="P104" s="20">
        <f>'GS &lt; 50 OLS model'!$B$6*D104</f>
        <v>13030193.563261019</v>
      </c>
      <c r="Q104" s="20">
        <f ca="1">'GS &lt; 50 OLS model'!$B$7*E104</f>
        <v>16438.474292030216</v>
      </c>
      <c r="R104" s="20">
        <f ca="1">'GS &lt; 50 OLS model'!$B$8*F104</f>
        <v>592367.25799782318</v>
      </c>
      <c r="S104" s="20">
        <f>'GS &lt; 50 OLS model'!$B$9*G104</f>
        <v>2680407.182803324</v>
      </c>
      <c r="T104" s="20">
        <f>'GS &lt; 50 OLS model'!$B$10*H104</f>
        <v>-496737.48996358918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411098.30587285903</v>
      </c>
      <c r="X104" s="20">
        <f>'GS &lt; 50 OLS model'!$B$14*L104</f>
        <v>0</v>
      </c>
      <c r="Y104" s="20">
        <f>'GS &lt; 50 OLS model'!$B$15*M104</f>
        <v>0</v>
      </c>
      <c r="Z104" s="20">
        <f t="shared" ca="1" si="114"/>
        <v>4602277.7417142671</v>
      </c>
    </row>
    <row r="105" spans="1:26" ht="14.4" x14ac:dyDescent="0.3">
      <c r="A105" s="22">
        <f>'Monthly Data'!A105</f>
        <v>42217</v>
      </c>
      <c r="B105" s="88">
        <f t="shared" si="111"/>
        <v>2015</v>
      </c>
      <c r="C105" s="20">
        <f ca="1">'Monthly Data'!H105</f>
        <v>4421161.6909063198</v>
      </c>
      <c r="D105" s="88">
        <f>'Monthly Data'!AC105</f>
        <v>1991</v>
      </c>
      <c r="E105" s="88">
        <f t="shared" ref="E105:F105" ca="1" si="190">E93</f>
        <v>10.43</v>
      </c>
      <c r="F105" s="88">
        <f t="shared" ca="1" si="190"/>
        <v>80.190000000000012</v>
      </c>
      <c r="G105" s="88">
        <f>'Monthly Data'!AQ105</f>
        <v>262.10000000000002</v>
      </c>
      <c r="H105" s="88">
        <f t="shared" si="138"/>
        <v>104</v>
      </c>
      <c r="I105" s="88">
        <f t="shared" ref="I105:M105" si="191">I93</f>
        <v>0</v>
      </c>
      <c r="J105" s="88">
        <f t="shared" si="191"/>
        <v>0</v>
      </c>
      <c r="K105" s="88">
        <f t="shared" si="191"/>
        <v>0</v>
      </c>
      <c r="L105" s="88">
        <f t="shared" si="191"/>
        <v>1</v>
      </c>
      <c r="M105" s="88">
        <f t="shared" si="191"/>
        <v>0</v>
      </c>
      <c r="O105" s="20">
        <f>'GS &lt; 50 OLS model'!$B$5</f>
        <v>-11631489.5525492</v>
      </c>
      <c r="P105" s="20">
        <f>'GS &lt; 50 OLS model'!$B$6*D105</f>
        <v>13043295.819232121</v>
      </c>
      <c r="Q105" s="20">
        <f ca="1">'GS &lt; 50 OLS model'!$B$7*E105</f>
        <v>21841.183040238873</v>
      </c>
      <c r="R105" s="20">
        <f ca="1">'GS &lt; 50 OLS model'!$B$8*F105</f>
        <v>475114.32705386524</v>
      </c>
      <c r="S105" s="20">
        <f>'GS &lt; 50 OLS model'!$B$9*G105</f>
        <v>2731472.4829422683</v>
      </c>
      <c r="T105" s="20">
        <f>'GS &lt; 50 OLS model'!$B$10*H105</f>
        <v>-501560.18404090556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494220.92313005403</v>
      </c>
      <c r="Y105" s="20">
        <f>'GS &lt; 50 OLS model'!$B$15*M105</f>
        <v>0</v>
      </c>
      <c r="Z105" s="20">
        <f t="shared" ca="1" si="114"/>
        <v>4632894.9988084417</v>
      </c>
    </row>
    <row r="106" spans="1:26" ht="14.4" x14ac:dyDescent="0.3">
      <c r="A106" s="22">
        <f>'Monthly Data'!A106</f>
        <v>42248</v>
      </c>
      <c r="B106" s="88">
        <f t="shared" si="111"/>
        <v>2015</v>
      </c>
      <c r="C106" s="20">
        <f ca="1">'Monthly Data'!H106</f>
        <v>4253621.7809063196</v>
      </c>
      <c r="D106" s="88">
        <f>'Monthly Data'!AC106</f>
        <v>1989</v>
      </c>
      <c r="E106" s="88">
        <f t="shared" ref="E106:F106" ca="1" si="192">E94</f>
        <v>70.580000000000013</v>
      </c>
      <c r="F106" s="88">
        <f t="shared" ca="1" si="192"/>
        <v>29.429999999999996</v>
      </c>
      <c r="G106" s="88">
        <f>'Monthly Data'!AQ106</f>
        <v>256.39999999999998</v>
      </c>
      <c r="H106" s="88">
        <f t="shared" si="138"/>
        <v>105</v>
      </c>
      <c r="I106" s="88">
        <f t="shared" ref="I106:M106" si="193">I94</f>
        <v>0</v>
      </c>
      <c r="J106" s="88">
        <f t="shared" si="193"/>
        <v>0</v>
      </c>
      <c r="K106" s="88">
        <f t="shared" si="193"/>
        <v>0</v>
      </c>
      <c r="L106" s="88">
        <f t="shared" si="193"/>
        <v>0</v>
      </c>
      <c r="M106" s="88">
        <f t="shared" si="193"/>
        <v>1</v>
      </c>
      <c r="O106" s="20">
        <f>'GS &lt; 50 OLS model'!$B$5</f>
        <v>-11631489.5525492</v>
      </c>
      <c r="P106" s="20">
        <f>'GS &lt; 50 OLS model'!$B$6*D106</f>
        <v>13030193.563261019</v>
      </c>
      <c r="Q106" s="20">
        <f ca="1">'GS &lt; 50 OLS model'!$B$7*E106</f>
        <v>147799.68350719655</v>
      </c>
      <c r="R106" s="20">
        <f ca="1">'GS &lt; 50 OLS model'!$B$8*F106</f>
        <v>174368.55774030741</v>
      </c>
      <c r="S106" s="20">
        <f>'GS &lt; 50 OLS model'!$B$9*G106</f>
        <v>2672069.9909439045</v>
      </c>
      <c r="T106" s="20">
        <f>'GS &lt; 50 OLS model'!$B$10*H106</f>
        <v>-506382.87811822194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249265.131543444</v>
      </c>
      <c r="Z106" s="20">
        <f t="shared" ca="1" si="114"/>
        <v>4135824.4963284489</v>
      </c>
    </row>
    <row r="107" spans="1:26" ht="14.4" x14ac:dyDescent="0.3">
      <c r="A107" s="22">
        <f>'Monthly Data'!A107</f>
        <v>42278</v>
      </c>
      <c r="B107" s="88">
        <f t="shared" si="111"/>
        <v>2015</v>
      </c>
      <c r="C107" s="20">
        <f ca="1">'Monthly Data'!H107</f>
        <v>3879620.5809063204</v>
      </c>
      <c r="D107" s="88">
        <f>'Monthly Data'!AC107</f>
        <v>1987</v>
      </c>
      <c r="E107" s="88">
        <f t="shared" ref="E107:F107" ca="1" si="194">E95</f>
        <v>241.15</v>
      </c>
      <c r="F107" s="88">
        <f t="shared" ca="1" si="194"/>
        <v>2.87</v>
      </c>
      <c r="G107" s="88">
        <f>'Monthly Data'!AQ107</f>
        <v>257.10000000000002</v>
      </c>
      <c r="H107" s="88">
        <f t="shared" si="138"/>
        <v>106</v>
      </c>
      <c r="I107" s="88">
        <f t="shared" ref="I107:M107" si="195">I95</f>
        <v>0</v>
      </c>
      <c r="J107" s="88">
        <f t="shared" si="195"/>
        <v>0</v>
      </c>
      <c r="K107" s="88">
        <f t="shared" si="195"/>
        <v>0</v>
      </c>
      <c r="L107" s="88">
        <f t="shared" si="195"/>
        <v>0</v>
      </c>
      <c r="M107" s="88">
        <f t="shared" si="195"/>
        <v>0</v>
      </c>
      <c r="O107" s="20">
        <f>'GS &lt; 50 OLS model'!$B$5</f>
        <v>-11631489.5525492</v>
      </c>
      <c r="P107" s="20">
        <f>'GS &lt; 50 OLS model'!$B$6*D107</f>
        <v>13017091.307289917</v>
      </c>
      <c r="Q107" s="20">
        <f ca="1">'GS &lt; 50 OLS model'!$B$7*E107</f>
        <v>504985.74210485182</v>
      </c>
      <c r="R107" s="20">
        <f ca="1">'GS &lt; 50 OLS model'!$B$8*F107</f>
        <v>17004.341172772081</v>
      </c>
      <c r="S107" s="20">
        <f>'GS &lt; 50 OLS model'!$B$9*G107</f>
        <v>2679365.0338208969</v>
      </c>
      <c r="T107" s="20">
        <f>'GS &lt; 50 OLS model'!$B$10*H107</f>
        <v>-511205.57219553838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ca="1" si="114"/>
        <v>4075751.2996436991</v>
      </c>
    </row>
    <row r="108" spans="1:26" ht="14.4" x14ac:dyDescent="0.3">
      <c r="A108" s="22">
        <f>'Monthly Data'!A108</f>
        <v>42309</v>
      </c>
      <c r="B108" s="88">
        <f t="shared" si="111"/>
        <v>2015</v>
      </c>
      <c r="C108" s="20">
        <f ca="1">'Monthly Data'!H108</f>
        <v>4136697.9909063196</v>
      </c>
      <c r="D108" s="88">
        <f>'Monthly Data'!AC108</f>
        <v>1990</v>
      </c>
      <c r="E108" s="88">
        <f t="shared" ref="E108:F108" ca="1" si="196">E96</f>
        <v>421.52</v>
      </c>
      <c r="F108" s="88">
        <f t="shared" ca="1" si="196"/>
        <v>0</v>
      </c>
      <c r="G108" s="88">
        <f>'Monthly Data'!AQ108</f>
        <v>253.9</v>
      </c>
      <c r="H108" s="88">
        <f t="shared" si="138"/>
        <v>107</v>
      </c>
      <c r="I108" s="88">
        <f t="shared" ref="I108:M108" si="197">I96</f>
        <v>0</v>
      </c>
      <c r="J108" s="88">
        <f t="shared" si="197"/>
        <v>0</v>
      </c>
      <c r="K108" s="88">
        <f t="shared" si="197"/>
        <v>0</v>
      </c>
      <c r="L108" s="88">
        <f t="shared" si="197"/>
        <v>0</v>
      </c>
      <c r="M108" s="88">
        <f t="shared" si="197"/>
        <v>0</v>
      </c>
      <c r="O108" s="20">
        <f>'GS &lt; 50 OLS model'!$B$5</f>
        <v>-11631489.5525492</v>
      </c>
      <c r="P108" s="20">
        <f>'GS &lt; 50 OLS model'!$B$6*D108</f>
        <v>13036744.691246569</v>
      </c>
      <c r="Q108" s="20">
        <f ca="1">'GS &lt; 50 OLS model'!$B$7*E108</f>
        <v>882693.71765306708</v>
      </c>
      <c r="R108" s="20">
        <f ca="1">'GS &lt; 50 OLS model'!$B$8*F108</f>
        <v>0</v>
      </c>
      <c r="S108" s="20">
        <f>'GS &lt; 50 OLS model'!$B$9*G108</f>
        <v>2646016.2663832195</v>
      </c>
      <c r="T108" s="20">
        <f>'GS &lt; 50 OLS model'!$B$10*H108</f>
        <v>-516028.26627285476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ca="1" si="114"/>
        <v>4417936.8564608004</v>
      </c>
    </row>
    <row r="109" spans="1:26" ht="14.4" x14ac:dyDescent="0.3">
      <c r="A109" s="22">
        <f>'Monthly Data'!A109</f>
        <v>42339</v>
      </c>
      <c r="B109" s="88">
        <f t="shared" si="111"/>
        <v>2015</v>
      </c>
      <c r="C109" s="20">
        <f ca="1">'Monthly Data'!H109</f>
        <v>4318344.3209063206</v>
      </c>
      <c r="D109" s="88">
        <f>'Monthly Data'!AC109</f>
        <v>1989</v>
      </c>
      <c r="E109" s="88">
        <f t="shared" ref="E109:F109" ca="1" si="198">E97</f>
        <v>610.56000000000006</v>
      </c>
      <c r="F109" s="88">
        <f t="shared" ca="1" si="198"/>
        <v>0</v>
      </c>
      <c r="G109" s="88">
        <f>'Monthly Data'!AQ109</f>
        <v>255.3</v>
      </c>
      <c r="H109" s="88">
        <f t="shared" si="138"/>
        <v>108</v>
      </c>
      <c r="I109" s="88">
        <f t="shared" ref="I109:M109" si="199">I97</f>
        <v>0</v>
      </c>
      <c r="J109" s="88">
        <f t="shared" si="199"/>
        <v>0</v>
      </c>
      <c r="K109" s="88">
        <f t="shared" si="199"/>
        <v>0</v>
      </c>
      <c r="L109" s="88">
        <f t="shared" si="199"/>
        <v>0</v>
      </c>
      <c r="M109" s="88">
        <f t="shared" si="199"/>
        <v>0</v>
      </c>
      <c r="O109" s="20">
        <f>'GS &lt; 50 OLS model'!$B$5</f>
        <v>-11631489.5525492</v>
      </c>
      <c r="P109" s="20">
        <f>'GS &lt; 50 OLS model'!$B$6*D109</f>
        <v>13030193.563261019</v>
      </c>
      <c r="Q109" s="20">
        <f ca="1">'GS &lt; 50 OLS model'!$B$7*E109</f>
        <v>1278557.3074830535</v>
      </c>
      <c r="R109" s="20">
        <f ca="1">'GS &lt; 50 OLS model'!$B$8*F109</f>
        <v>0</v>
      </c>
      <c r="S109" s="20">
        <f>'GS &lt; 50 OLS model'!$B$9*G109</f>
        <v>2660606.3521372033</v>
      </c>
      <c r="T109" s="20">
        <f>'GS &lt; 50 OLS model'!$B$10*H109</f>
        <v>-520850.96035017114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ca="1" si="114"/>
        <v>4817016.7099819053</v>
      </c>
    </row>
    <row r="110" spans="1:26" ht="14.4" x14ac:dyDescent="0.3">
      <c r="A110" s="22">
        <f>'Monthly Data'!A110</f>
        <v>42370</v>
      </c>
      <c r="B110" s="88">
        <f t="shared" si="111"/>
        <v>2016</v>
      </c>
      <c r="C110" s="20">
        <f ca="1">'Monthly Data'!H110</f>
        <v>4894772.1616346641</v>
      </c>
      <c r="D110" s="88">
        <f>'Monthly Data'!AC110</f>
        <v>1989</v>
      </c>
      <c r="E110" s="88">
        <f t="shared" ref="E110:F110" ca="1" si="200">E98</f>
        <v>729.54999999999984</v>
      </c>
      <c r="F110" s="88">
        <f t="shared" ca="1" si="200"/>
        <v>0</v>
      </c>
      <c r="G110" s="88">
        <f>'Monthly Data'!AQ110</f>
        <v>253.1</v>
      </c>
      <c r="H110" s="88">
        <f t="shared" si="138"/>
        <v>109</v>
      </c>
      <c r="I110" s="88">
        <f t="shared" ref="I110:M110" si="201">I98</f>
        <v>0</v>
      </c>
      <c r="J110" s="88">
        <f t="shared" si="201"/>
        <v>0</v>
      </c>
      <c r="K110" s="88">
        <f t="shared" si="201"/>
        <v>0</v>
      </c>
      <c r="L110" s="88">
        <f t="shared" si="201"/>
        <v>0</v>
      </c>
      <c r="M110" s="88">
        <f t="shared" si="201"/>
        <v>0</v>
      </c>
      <c r="O110" s="20">
        <f>'GS &lt; 50 OLS model'!$B$5</f>
        <v>-11631489.5525492</v>
      </c>
      <c r="P110" s="20">
        <f>'GS &lt; 50 OLS model'!$B$6*D110</f>
        <v>13030193.563261019</v>
      </c>
      <c r="Q110" s="20">
        <f ca="1">'GS &lt; 50 OLS model'!$B$7*E110</f>
        <v>1527731.0725796996</v>
      </c>
      <c r="R110" s="20">
        <f ca="1">'GS &lt; 50 OLS model'!$B$8*F110</f>
        <v>0</v>
      </c>
      <c r="S110" s="20">
        <f>'GS &lt; 50 OLS model'!$B$9*G110</f>
        <v>2637679.0745238001</v>
      </c>
      <c r="T110" s="20">
        <f>'GS &lt; 50 OLS model'!$B$10*H110</f>
        <v>-525673.65442748752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ca="1" si="114"/>
        <v>5038440.5033878312</v>
      </c>
    </row>
    <row r="111" spans="1:26" ht="14.4" x14ac:dyDescent="0.3">
      <c r="A111" s="22">
        <f>'Monthly Data'!A111</f>
        <v>42401</v>
      </c>
      <c r="B111" s="88">
        <f t="shared" si="111"/>
        <v>2016</v>
      </c>
      <c r="C111" s="20">
        <f ca="1">'Monthly Data'!H111</f>
        <v>4646896.3716346631</v>
      </c>
      <c r="D111" s="88">
        <f>'Monthly Data'!AC111</f>
        <v>1989</v>
      </c>
      <c r="E111" s="88">
        <f t="shared" ref="E111:F111" ca="1" si="202">E99</f>
        <v>678.56000000000006</v>
      </c>
      <c r="F111" s="88">
        <f t="shared" ca="1" si="202"/>
        <v>0</v>
      </c>
      <c r="G111" s="88">
        <f>'Monthly Data'!AQ111</f>
        <v>250</v>
      </c>
      <c r="H111" s="88">
        <f t="shared" si="138"/>
        <v>110</v>
      </c>
      <c r="I111" s="88">
        <f t="shared" ref="I111:M111" si="203">I99</f>
        <v>0</v>
      </c>
      <c r="J111" s="88">
        <f t="shared" si="203"/>
        <v>0</v>
      </c>
      <c r="K111" s="88">
        <f t="shared" si="203"/>
        <v>0</v>
      </c>
      <c r="L111" s="88">
        <f t="shared" si="203"/>
        <v>0</v>
      </c>
      <c r="M111" s="88">
        <f t="shared" si="203"/>
        <v>0</v>
      </c>
      <c r="O111" s="20">
        <f>'GS &lt; 50 OLS model'!$B$5</f>
        <v>-11631489.5525492</v>
      </c>
      <c r="P111" s="20">
        <f>'GS &lt; 50 OLS model'!$B$6*D111</f>
        <v>13030193.563261019</v>
      </c>
      <c r="Q111" s="20">
        <f ca="1">'GS &lt; 50 OLS model'!$B$7*E111</f>
        <v>1420954.2822420413</v>
      </c>
      <c r="R111" s="20">
        <f ca="1">'GS &lt; 50 OLS model'!$B$8*F111</f>
        <v>0</v>
      </c>
      <c r="S111" s="20">
        <f>'GS &lt; 50 OLS model'!$B$9*G111</f>
        <v>2605372.4560685502</v>
      </c>
      <c r="T111" s="20">
        <f>'GS &lt; 50 OLS model'!$B$10*H111</f>
        <v>-530496.34850480396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ca="1" si="114"/>
        <v>4894534.4005176062</v>
      </c>
    </row>
    <row r="112" spans="1:26" ht="14.4" x14ac:dyDescent="0.3">
      <c r="A112" s="22">
        <f>'Monthly Data'!A112</f>
        <v>42430</v>
      </c>
      <c r="B112" s="88">
        <f t="shared" si="111"/>
        <v>2016</v>
      </c>
      <c r="C112" s="20">
        <f ca="1">'Monthly Data'!H112</f>
        <v>4418409.7216346655</v>
      </c>
      <c r="D112" s="88">
        <f>'Monthly Data'!AC112</f>
        <v>1988</v>
      </c>
      <c r="E112" s="88">
        <f t="shared" ref="E112:F112" ca="1" si="204">E100</f>
        <v>544.77</v>
      </c>
      <c r="F112" s="88">
        <f t="shared" ca="1" si="204"/>
        <v>0.22000000000000003</v>
      </c>
      <c r="G112" s="88">
        <f>'Monthly Data'!AQ112</f>
        <v>246.4</v>
      </c>
      <c r="H112" s="88">
        <f t="shared" si="138"/>
        <v>111</v>
      </c>
      <c r="I112" s="88">
        <f t="shared" ref="I112:M112" si="205">I100</f>
        <v>1</v>
      </c>
      <c r="J112" s="88">
        <f t="shared" si="205"/>
        <v>0</v>
      </c>
      <c r="K112" s="88">
        <f t="shared" si="205"/>
        <v>0</v>
      </c>
      <c r="L112" s="88">
        <f t="shared" si="205"/>
        <v>0</v>
      </c>
      <c r="M112" s="88">
        <f t="shared" si="205"/>
        <v>0</v>
      </c>
      <c r="O112" s="20">
        <f>'GS &lt; 50 OLS model'!$B$5</f>
        <v>-11631489.5525492</v>
      </c>
      <c r="P112" s="20">
        <f>'GS &lt; 50 OLS model'!$B$6*D112</f>
        <v>13023642.435275467</v>
      </c>
      <c r="Q112" s="20">
        <f ca="1">'GS &lt; 50 OLS model'!$B$7*E112</f>
        <v>1140788.2344037327</v>
      </c>
      <c r="R112" s="20">
        <f ca="1">'GS &lt; 50 OLS model'!$B$8*F112</f>
        <v>1303.4686613274766</v>
      </c>
      <c r="S112" s="20">
        <f>'GS &lt; 50 OLS model'!$B$9*G112</f>
        <v>2567855.0927011631</v>
      </c>
      <c r="T112" s="20">
        <f>'GS &lt; 50 OLS model'!$B$10*H112</f>
        <v>-535319.0425821204</v>
      </c>
      <c r="U112" s="20">
        <f>'GS &lt; 50 OLS model'!$B$11*I112</f>
        <v>-156104.06645044801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ca="1" si="114"/>
        <v>4410676.5694599217</v>
      </c>
    </row>
    <row r="113" spans="1:26" ht="14.4" x14ac:dyDescent="0.3">
      <c r="A113" s="22">
        <f>'Monthly Data'!A113</f>
        <v>42461</v>
      </c>
      <c r="B113" s="88">
        <f t="shared" si="111"/>
        <v>2016</v>
      </c>
      <c r="C113" s="20">
        <f ca="1">'Monthly Data'!H113</f>
        <v>4147092.0016346639</v>
      </c>
      <c r="D113" s="88">
        <f>'Monthly Data'!AC113</f>
        <v>1989</v>
      </c>
      <c r="E113" s="88">
        <f t="shared" ref="E113:F113" ca="1" si="206">E101</f>
        <v>328.11</v>
      </c>
      <c r="F113" s="88">
        <f t="shared" ca="1" si="206"/>
        <v>0.32</v>
      </c>
      <c r="G113" s="88">
        <f>'Monthly Data'!AQ113</f>
        <v>243.7</v>
      </c>
      <c r="H113" s="88">
        <f t="shared" si="138"/>
        <v>112</v>
      </c>
      <c r="I113" s="88">
        <f t="shared" ref="I113:M113" si="207">I101</f>
        <v>0</v>
      </c>
      <c r="J113" s="88">
        <f t="shared" si="207"/>
        <v>0</v>
      </c>
      <c r="K113" s="88">
        <f t="shared" si="207"/>
        <v>0</v>
      </c>
      <c r="L113" s="88">
        <f t="shared" si="207"/>
        <v>0</v>
      </c>
      <c r="M113" s="88">
        <f t="shared" si="207"/>
        <v>0</v>
      </c>
      <c r="O113" s="20">
        <f>'GS &lt; 50 OLS model'!$B$5</f>
        <v>-11631489.5525492</v>
      </c>
      <c r="P113" s="20">
        <f>'GS &lt; 50 OLS model'!$B$6*D113</f>
        <v>13030193.563261019</v>
      </c>
      <c r="Q113" s="20">
        <f ca="1">'GS &lt; 50 OLS model'!$B$7*E113</f>
        <v>687086.34394369868</v>
      </c>
      <c r="R113" s="20">
        <f ca="1">'GS &lt; 50 OLS model'!$B$8*F113</f>
        <v>1895.9544164763295</v>
      </c>
      <c r="S113" s="20">
        <f>'GS &lt; 50 OLS model'!$B$9*G113</f>
        <v>2539717.0701756226</v>
      </c>
      <c r="T113" s="20">
        <f>'GS &lt; 50 OLS model'!$B$10*H113</f>
        <v>-540141.73665943672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ca="1" si="114"/>
        <v>4087261.6425881805</v>
      </c>
    </row>
    <row r="114" spans="1:26" ht="14.4" x14ac:dyDescent="0.3">
      <c r="A114" s="22">
        <f>'Monthly Data'!A114</f>
        <v>42491</v>
      </c>
      <c r="B114" s="88">
        <f t="shared" si="111"/>
        <v>2016</v>
      </c>
      <c r="C114" s="20">
        <f ca="1">'Monthly Data'!H114</f>
        <v>3955061.6316346633</v>
      </c>
      <c r="D114" s="88">
        <f>'Monthly Data'!AC114</f>
        <v>1990</v>
      </c>
      <c r="E114" s="88">
        <f t="shared" ref="E114:F114" ca="1" si="208">E102</f>
        <v>134.47999999999999</v>
      </c>
      <c r="F114" s="88">
        <f t="shared" ca="1" si="208"/>
        <v>20.889999999999997</v>
      </c>
      <c r="G114" s="88">
        <f>'Monthly Data'!AQ114</f>
        <v>245.7</v>
      </c>
      <c r="H114" s="88">
        <f t="shared" si="138"/>
        <v>113</v>
      </c>
      <c r="I114" s="88">
        <f t="shared" ref="I114:M114" si="209">I102</f>
        <v>0</v>
      </c>
      <c r="J114" s="88">
        <f t="shared" si="209"/>
        <v>0</v>
      </c>
      <c r="K114" s="88">
        <f t="shared" si="209"/>
        <v>0</v>
      </c>
      <c r="L114" s="88">
        <f t="shared" si="209"/>
        <v>0</v>
      </c>
      <c r="M114" s="88">
        <f t="shared" si="209"/>
        <v>0</v>
      </c>
      <c r="O114" s="20">
        <f>'GS &lt; 50 OLS model'!$B$5</f>
        <v>-11631489.5525492</v>
      </c>
      <c r="P114" s="20">
        <f>'GS &lt; 50 OLS model'!$B$6*D114</f>
        <v>13036744.691246569</v>
      </c>
      <c r="Q114" s="20">
        <f ca="1">'GS &lt; 50 OLS model'!$B$7*E114</f>
        <v>281610.95831748069</v>
      </c>
      <c r="R114" s="20">
        <f ca="1">'GS &lt; 50 OLS model'!$B$8*F114</f>
        <v>123770.27425059536</v>
      </c>
      <c r="S114" s="20">
        <f>'GS &lt; 50 OLS model'!$B$9*G114</f>
        <v>2560560.0498241708</v>
      </c>
      <c r="T114" s="20">
        <f>'GS &lt; 50 OLS model'!$B$10*H114</f>
        <v>-544964.43073675316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ca="1" si="114"/>
        <v>3826231.9903528625</v>
      </c>
    </row>
    <row r="115" spans="1:26" ht="14.4" x14ac:dyDescent="0.3">
      <c r="A115" s="22">
        <f>'Monthly Data'!A115</f>
        <v>42522</v>
      </c>
      <c r="B115" s="88">
        <f t="shared" si="111"/>
        <v>2016</v>
      </c>
      <c r="C115" s="20">
        <f ca="1">'Monthly Data'!H115</f>
        <v>4241251.4016346633</v>
      </c>
      <c r="D115" s="88">
        <f>'Monthly Data'!AC115</f>
        <v>1992</v>
      </c>
      <c r="E115" s="88">
        <f t="shared" ref="E115:F115" ca="1" si="210">E103</f>
        <v>30.429999999999996</v>
      </c>
      <c r="F115" s="88">
        <f t="shared" ca="1" si="210"/>
        <v>56.129999999999995</v>
      </c>
      <c r="G115" s="88">
        <f>'Monthly Data'!AQ115</f>
        <v>248</v>
      </c>
      <c r="H115" s="88">
        <f t="shared" si="138"/>
        <v>114</v>
      </c>
      <c r="I115" s="88">
        <f t="shared" ref="I115:M115" si="211">I103</f>
        <v>0</v>
      </c>
      <c r="J115" s="88">
        <f t="shared" si="211"/>
        <v>1</v>
      </c>
      <c r="K115" s="88">
        <f t="shared" si="211"/>
        <v>0</v>
      </c>
      <c r="L115" s="88">
        <f t="shared" si="211"/>
        <v>0</v>
      </c>
      <c r="M115" s="88">
        <f t="shared" si="211"/>
        <v>0</v>
      </c>
      <c r="O115" s="20">
        <f>'GS &lt; 50 OLS model'!$B$5</f>
        <v>-11631489.5525492</v>
      </c>
      <c r="P115" s="20">
        <f>'GS &lt; 50 OLS model'!$B$6*D115</f>
        <v>13049846.947217671</v>
      </c>
      <c r="Q115" s="20">
        <f ca="1">'GS &lt; 50 OLS model'!$B$7*E115</f>
        <v>63722.646204647062</v>
      </c>
      <c r="R115" s="20">
        <f ca="1">'GS &lt; 50 OLS model'!$B$8*F115</f>
        <v>332562.25436505117</v>
      </c>
      <c r="S115" s="20">
        <f>'GS &lt; 50 OLS model'!$B$9*G115</f>
        <v>2584529.4764200016</v>
      </c>
      <c r="T115" s="20">
        <f>'GS &lt; 50 OLS model'!$B$10*H115</f>
        <v>-549787.1248140696</v>
      </c>
      <c r="U115" s="20">
        <f>'GS &lt; 50 OLS model'!$B$11*I115</f>
        <v>0</v>
      </c>
      <c r="V115" s="20">
        <f>'GS &lt; 50 OLS model'!$B$12*J115</f>
        <v>359272.711714848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ca="1" si="114"/>
        <v>4208657.3585589491</v>
      </c>
    </row>
    <row r="116" spans="1:26" ht="14.4" x14ac:dyDescent="0.3">
      <c r="A116" s="22">
        <f>'Monthly Data'!A116</f>
        <v>42552</v>
      </c>
      <c r="B116" s="88">
        <f t="shared" si="111"/>
        <v>2016</v>
      </c>
      <c r="C116" s="20">
        <f ca="1">'Monthly Data'!H116</f>
        <v>3983218.2316346639</v>
      </c>
      <c r="D116" s="88">
        <f>'Monthly Data'!AC116</f>
        <v>1996</v>
      </c>
      <c r="E116" s="88">
        <f t="shared" ref="E116:F116" ca="1" si="212">E104</f>
        <v>7.85</v>
      </c>
      <c r="F116" s="88">
        <f t="shared" ca="1" si="212"/>
        <v>99.97999999999999</v>
      </c>
      <c r="G116" s="88">
        <f>'Monthly Data'!AQ116</f>
        <v>249.5</v>
      </c>
      <c r="H116" s="88">
        <f t="shared" si="138"/>
        <v>115</v>
      </c>
      <c r="I116" s="88">
        <f t="shared" ref="I116:M116" si="213">I104</f>
        <v>0</v>
      </c>
      <c r="J116" s="88">
        <f t="shared" si="213"/>
        <v>0</v>
      </c>
      <c r="K116" s="88">
        <f t="shared" si="213"/>
        <v>1</v>
      </c>
      <c r="L116" s="88">
        <f t="shared" si="213"/>
        <v>0</v>
      </c>
      <c r="M116" s="88">
        <f t="shared" si="213"/>
        <v>0</v>
      </c>
      <c r="O116" s="20">
        <f>'GS &lt; 50 OLS model'!$B$5</f>
        <v>-11631489.5525492</v>
      </c>
      <c r="P116" s="20">
        <f>'GS &lt; 50 OLS model'!$B$6*D116</f>
        <v>13076051.459159875</v>
      </c>
      <c r="Q116" s="20">
        <f ca="1">'GS &lt; 50 OLS model'!$B$7*E116</f>
        <v>16438.474292030216</v>
      </c>
      <c r="R116" s="20">
        <f ca="1">'GS &lt; 50 OLS model'!$B$8*F116</f>
        <v>592367.25799782318</v>
      </c>
      <c r="S116" s="20">
        <f>'GS &lt; 50 OLS model'!$B$9*G116</f>
        <v>2600161.711156413</v>
      </c>
      <c r="T116" s="20">
        <f>'GS &lt; 50 OLS model'!$B$10*H116</f>
        <v>-554609.81889138592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411098.30587285903</v>
      </c>
      <c r="X116" s="20">
        <f>'GS &lt; 50 OLS model'!$B$14*L116</f>
        <v>0</v>
      </c>
      <c r="Y116" s="20">
        <f>'GS &lt; 50 OLS model'!$B$15*M116</f>
        <v>0</v>
      </c>
      <c r="Z116" s="20">
        <f t="shared" ca="1" si="114"/>
        <v>4510017.8370384146</v>
      </c>
    </row>
    <row r="117" spans="1:26" ht="14.4" x14ac:dyDescent="0.3">
      <c r="A117" s="22">
        <f>'Monthly Data'!A117</f>
        <v>42583</v>
      </c>
      <c r="B117" s="88">
        <f t="shared" si="111"/>
        <v>2016</v>
      </c>
      <c r="C117" s="20">
        <f ca="1">'Monthly Data'!H117</f>
        <v>4839669.2816346632</v>
      </c>
      <c r="D117" s="88">
        <f>'Monthly Data'!AC117</f>
        <v>1995</v>
      </c>
      <c r="E117" s="88">
        <f t="shared" ref="E117:F117" ca="1" si="214">E105</f>
        <v>10.43</v>
      </c>
      <c r="F117" s="88">
        <f t="shared" ca="1" si="214"/>
        <v>80.190000000000012</v>
      </c>
      <c r="G117" s="88">
        <f>'Monthly Data'!AQ117</f>
        <v>250.2</v>
      </c>
      <c r="H117" s="88">
        <f t="shared" si="138"/>
        <v>116</v>
      </c>
      <c r="I117" s="88">
        <f t="shared" ref="I117:M117" si="215">I105</f>
        <v>0</v>
      </c>
      <c r="J117" s="88">
        <f t="shared" si="215"/>
        <v>0</v>
      </c>
      <c r="K117" s="88">
        <f t="shared" si="215"/>
        <v>0</v>
      </c>
      <c r="L117" s="88">
        <f t="shared" si="215"/>
        <v>1</v>
      </c>
      <c r="M117" s="88">
        <f t="shared" si="215"/>
        <v>0</v>
      </c>
      <c r="O117" s="20">
        <f>'GS &lt; 50 OLS model'!$B$5</f>
        <v>-11631489.5525492</v>
      </c>
      <c r="P117" s="20">
        <f>'GS &lt; 50 OLS model'!$B$6*D117</f>
        <v>13069500.331174325</v>
      </c>
      <c r="Q117" s="20">
        <f ca="1">'GS &lt; 50 OLS model'!$B$7*E117</f>
        <v>21841.183040238873</v>
      </c>
      <c r="R117" s="20">
        <f ca="1">'GS &lt; 50 OLS model'!$B$8*F117</f>
        <v>475114.32705386524</v>
      </c>
      <c r="S117" s="20">
        <f>'GS &lt; 50 OLS model'!$B$9*G117</f>
        <v>2607456.7540334049</v>
      </c>
      <c r="T117" s="20">
        <f>'GS &lt; 50 OLS model'!$B$10*H117</f>
        <v>-559432.51296870236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494220.92313005403</v>
      </c>
      <c r="Y117" s="20">
        <f>'GS &lt; 50 OLS model'!$B$15*M117</f>
        <v>0</v>
      </c>
      <c r="Z117" s="20">
        <f t="shared" ca="1" si="114"/>
        <v>4477211.4529139856</v>
      </c>
    </row>
    <row r="118" spans="1:26" ht="14.4" x14ac:dyDescent="0.3">
      <c r="A118" s="22">
        <f>'Monthly Data'!A118</f>
        <v>42614</v>
      </c>
      <c r="B118" s="88">
        <f t="shared" si="111"/>
        <v>2016</v>
      </c>
      <c r="C118" s="20">
        <f ca="1">'Monthly Data'!H118</f>
        <v>4164554.6516346638</v>
      </c>
      <c r="D118" s="88">
        <f>'Monthly Data'!AC118</f>
        <v>1997</v>
      </c>
      <c r="E118" s="88">
        <f t="shared" ref="E118:F118" ca="1" si="216">E106</f>
        <v>70.580000000000013</v>
      </c>
      <c r="F118" s="88">
        <f t="shared" ca="1" si="216"/>
        <v>29.429999999999996</v>
      </c>
      <c r="G118" s="88">
        <f>'Monthly Data'!AQ118</f>
        <v>248.7</v>
      </c>
      <c r="H118" s="88">
        <f t="shared" si="138"/>
        <v>117</v>
      </c>
      <c r="I118" s="88">
        <f t="shared" ref="I118:M118" si="217">I106</f>
        <v>0</v>
      </c>
      <c r="J118" s="88">
        <f t="shared" si="217"/>
        <v>0</v>
      </c>
      <c r="K118" s="88">
        <f t="shared" si="217"/>
        <v>0</v>
      </c>
      <c r="L118" s="88">
        <f t="shared" si="217"/>
        <v>0</v>
      </c>
      <c r="M118" s="88">
        <f t="shared" si="217"/>
        <v>1</v>
      </c>
      <c r="O118" s="20">
        <f>'GS &lt; 50 OLS model'!$B$5</f>
        <v>-11631489.5525492</v>
      </c>
      <c r="P118" s="20">
        <f>'GS &lt; 50 OLS model'!$B$6*D118</f>
        <v>13082602.587145427</v>
      </c>
      <c r="Q118" s="20">
        <f ca="1">'GS &lt; 50 OLS model'!$B$7*E118</f>
        <v>147799.68350719655</v>
      </c>
      <c r="R118" s="20">
        <f ca="1">'GS &lt; 50 OLS model'!$B$8*F118</f>
        <v>174368.55774030741</v>
      </c>
      <c r="S118" s="20">
        <f>'GS &lt; 50 OLS model'!$B$9*G118</f>
        <v>2591824.5192969935</v>
      </c>
      <c r="T118" s="20">
        <f>'GS &lt; 50 OLS model'!$B$10*H118</f>
        <v>-564255.2070460188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249265.131543444</v>
      </c>
      <c r="Z118" s="20">
        <f t="shared" ca="1" si="114"/>
        <v>4050115.7196381497</v>
      </c>
    </row>
    <row r="119" spans="1:26" ht="14.4" x14ac:dyDescent="0.3">
      <c r="A119" s="22">
        <f>'Monthly Data'!A119</f>
        <v>42644</v>
      </c>
      <c r="B119" s="88">
        <f t="shared" si="111"/>
        <v>2016</v>
      </c>
      <c r="C119" s="20">
        <f ca="1">'Monthly Data'!H119</f>
        <v>4075336.0316346637</v>
      </c>
      <c r="D119" s="88">
        <f>'Monthly Data'!AC119</f>
        <v>1998</v>
      </c>
      <c r="E119" s="88">
        <f t="shared" ref="E119:F119" ca="1" si="218">E107</f>
        <v>241.15</v>
      </c>
      <c r="F119" s="88">
        <f t="shared" ca="1" si="218"/>
        <v>2.87</v>
      </c>
      <c r="G119" s="88">
        <f>'Monthly Data'!AQ119</f>
        <v>247.6</v>
      </c>
      <c r="H119" s="88">
        <f t="shared" si="138"/>
        <v>118</v>
      </c>
      <c r="I119" s="88">
        <f t="shared" ref="I119:M119" si="219">I107</f>
        <v>0</v>
      </c>
      <c r="J119" s="88">
        <f t="shared" si="219"/>
        <v>0</v>
      </c>
      <c r="K119" s="88">
        <f t="shared" si="219"/>
        <v>0</v>
      </c>
      <c r="L119" s="88">
        <f t="shared" si="219"/>
        <v>0</v>
      </c>
      <c r="M119" s="88">
        <f t="shared" si="219"/>
        <v>0</v>
      </c>
      <c r="O119" s="20">
        <f>'GS &lt; 50 OLS model'!$B$5</f>
        <v>-11631489.5525492</v>
      </c>
      <c r="P119" s="20">
        <f>'GS &lt; 50 OLS model'!$B$6*D119</f>
        <v>13089153.715130979</v>
      </c>
      <c r="Q119" s="20">
        <f ca="1">'GS &lt; 50 OLS model'!$B$7*E119</f>
        <v>504985.74210485182</v>
      </c>
      <c r="R119" s="20">
        <f ca="1">'GS &lt; 50 OLS model'!$B$8*F119</f>
        <v>17004.341172772081</v>
      </c>
      <c r="S119" s="20">
        <f>'GS &lt; 50 OLS model'!$B$9*G119</f>
        <v>2580360.8804902919</v>
      </c>
      <c r="T119" s="20">
        <f>'GS &lt; 50 OLS model'!$B$10*H119</f>
        <v>-569077.90112333512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ca="1" si="114"/>
        <v>3990937.2252263599</v>
      </c>
    </row>
    <row r="120" spans="1:26" ht="14.4" x14ac:dyDescent="0.3">
      <c r="A120" s="22">
        <f>'Monthly Data'!A120</f>
        <v>42675</v>
      </c>
      <c r="B120" s="88">
        <f t="shared" si="111"/>
        <v>2016</v>
      </c>
      <c r="C120" s="20">
        <f ca="1">'Monthly Data'!H120</f>
        <v>4106267.7516346634</v>
      </c>
      <c r="D120" s="88">
        <f>'Monthly Data'!AC120</f>
        <v>1997</v>
      </c>
      <c r="E120" s="88">
        <f t="shared" ref="E120:F120" ca="1" si="220">E108</f>
        <v>421.52</v>
      </c>
      <c r="F120" s="88">
        <f t="shared" ca="1" si="220"/>
        <v>0</v>
      </c>
      <c r="G120" s="88">
        <f>'Monthly Data'!AQ120</f>
        <v>242.3</v>
      </c>
      <c r="H120" s="88">
        <f t="shared" si="138"/>
        <v>119</v>
      </c>
      <c r="I120" s="88">
        <f t="shared" ref="I120:M120" si="221">I108</f>
        <v>0</v>
      </c>
      <c r="J120" s="88">
        <f t="shared" si="221"/>
        <v>0</v>
      </c>
      <c r="K120" s="88">
        <f t="shared" si="221"/>
        <v>0</v>
      </c>
      <c r="L120" s="88">
        <f t="shared" si="221"/>
        <v>0</v>
      </c>
      <c r="M120" s="88">
        <f t="shared" si="221"/>
        <v>0</v>
      </c>
      <c r="O120" s="20">
        <f>'GS &lt; 50 OLS model'!$B$5</f>
        <v>-11631489.5525492</v>
      </c>
      <c r="P120" s="20">
        <f>'GS &lt; 50 OLS model'!$B$6*D120</f>
        <v>13082602.587145427</v>
      </c>
      <c r="Q120" s="20">
        <f ca="1">'GS &lt; 50 OLS model'!$B$7*E120</f>
        <v>882693.71765306708</v>
      </c>
      <c r="R120" s="20">
        <f ca="1">'GS &lt; 50 OLS model'!$B$8*F120</f>
        <v>0</v>
      </c>
      <c r="S120" s="20">
        <f>'GS &lt; 50 OLS model'!$B$9*G120</f>
        <v>2525126.9844216388</v>
      </c>
      <c r="T120" s="20">
        <f>'GS &lt; 50 OLS model'!$B$10*H120</f>
        <v>-573900.59520065156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ca="1" si="114"/>
        <v>4285033.1414702814</v>
      </c>
    </row>
    <row r="121" spans="1:26" ht="14.4" x14ac:dyDescent="0.3">
      <c r="A121" s="22">
        <f>'Monthly Data'!A121</f>
        <v>42705</v>
      </c>
      <c r="B121" s="88">
        <f t="shared" si="111"/>
        <v>2016</v>
      </c>
      <c r="C121" s="20">
        <f ca="1">'Monthly Data'!H121</f>
        <v>4854513.1416346636</v>
      </c>
      <c r="D121" s="88">
        <f>'Monthly Data'!AC121</f>
        <v>2000</v>
      </c>
      <c r="E121" s="88">
        <f t="shared" ref="E121:F121" ca="1" si="222">E109</f>
        <v>610.56000000000006</v>
      </c>
      <c r="F121" s="88">
        <f t="shared" ca="1" si="222"/>
        <v>0</v>
      </c>
      <c r="G121" s="88">
        <f>'Monthly Data'!AQ121</f>
        <v>240.6</v>
      </c>
      <c r="H121" s="88">
        <f t="shared" si="138"/>
        <v>120</v>
      </c>
      <c r="I121" s="88">
        <f t="shared" ref="I121:M121" si="223">I109</f>
        <v>0</v>
      </c>
      <c r="J121" s="88">
        <f t="shared" si="223"/>
        <v>0</v>
      </c>
      <c r="K121" s="88">
        <f t="shared" si="223"/>
        <v>0</v>
      </c>
      <c r="L121" s="88">
        <f t="shared" si="223"/>
        <v>0</v>
      </c>
      <c r="M121" s="88">
        <f t="shared" si="223"/>
        <v>0</v>
      </c>
      <c r="O121" s="20">
        <f>'GS &lt; 50 OLS model'!$B$5</f>
        <v>-11631489.5525492</v>
      </c>
      <c r="P121" s="20">
        <f>'GS &lt; 50 OLS model'!$B$6*D121</f>
        <v>13102255.971102081</v>
      </c>
      <c r="Q121" s="20">
        <f ca="1">'GS &lt; 50 OLS model'!$B$7*E121</f>
        <v>1278557.3074830535</v>
      </c>
      <c r="R121" s="20">
        <f ca="1">'GS &lt; 50 OLS model'!$B$8*F121</f>
        <v>0</v>
      </c>
      <c r="S121" s="20">
        <f>'GS &lt; 50 OLS model'!$B$9*G121</f>
        <v>2507410.4517203723</v>
      </c>
      <c r="T121" s="20">
        <f>'GS &lt; 50 OLS model'!$B$10*H121</f>
        <v>-578723.289277968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ca="1" si="114"/>
        <v>4678010.8884783396</v>
      </c>
    </row>
    <row r="122" spans="1:26" ht="14.4" x14ac:dyDescent="0.3">
      <c r="A122" s="22">
        <v>42736</v>
      </c>
      <c r="B122" s="88">
        <f t="shared" si="111"/>
        <v>2017</v>
      </c>
      <c r="C122" s="20">
        <f>'Monthly Data'!H122</f>
        <v>0</v>
      </c>
      <c r="D122" s="104">
        <f>D110*'Connection count '!$H$14</f>
        <v>2001.3978308872213</v>
      </c>
      <c r="E122" s="88">
        <f t="shared" ref="E122:F122" ca="1" si="224">E110</f>
        <v>729.54999999999984</v>
      </c>
      <c r="F122" s="88">
        <f t="shared" ca="1" si="224"/>
        <v>0</v>
      </c>
      <c r="G122" s="103">
        <f>G110*(1+Employment!J$3)</f>
        <v>253.1</v>
      </c>
      <c r="H122" s="88">
        <f t="shared" si="138"/>
        <v>121</v>
      </c>
      <c r="I122" s="88">
        <f t="shared" ref="I122:M122" si="225">I110</f>
        <v>0</v>
      </c>
      <c r="J122" s="88">
        <f t="shared" si="225"/>
        <v>0</v>
      </c>
      <c r="K122" s="88">
        <f t="shared" si="225"/>
        <v>0</v>
      </c>
      <c r="L122" s="88">
        <f t="shared" si="225"/>
        <v>0</v>
      </c>
      <c r="M122" s="88">
        <f t="shared" si="225"/>
        <v>0</v>
      </c>
      <c r="O122" s="20">
        <f>'GS &lt; 50 OLS model'!$B$5</f>
        <v>-11631489.5525492</v>
      </c>
      <c r="P122" s="20">
        <f>'GS &lt; 50 OLS model'!$B$6*D122</f>
        <v>13111413.340146424</v>
      </c>
      <c r="Q122" s="20">
        <f ca="1">'GS &lt; 50 OLS model'!$B$7*E122</f>
        <v>1527731.0725796996</v>
      </c>
      <c r="R122" s="20">
        <f ca="1">'GS &lt; 50 OLS model'!$B$8*F122</f>
        <v>0</v>
      </c>
      <c r="S122" s="20">
        <f>'GS &lt; 50 OLS model'!$B$9*G122</f>
        <v>2637679.0745238001</v>
      </c>
      <c r="T122" s="20">
        <f>'GS &lt; 50 OLS model'!$B$10*H122</f>
        <v>-583545.98335528432</v>
      </c>
      <c r="U122" s="20">
        <f>'GS &lt; 50 OLS model'!$B$11*I122</f>
        <v>0</v>
      </c>
      <c r="V122" s="20">
        <f>'GS &lt; 50 OLS model'!$B$12*J122</f>
        <v>0</v>
      </c>
      <c r="W122" s="20">
        <f>'GS &lt; 50 OLS model'!$B$13*K122</f>
        <v>0</v>
      </c>
      <c r="X122" s="20">
        <f>'GS &lt; 50 OLS model'!$B$14*L122</f>
        <v>0</v>
      </c>
      <c r="Y122" s="20">
        <f>'GS &lt; 50 OLS model'!$B$15*M122</f>
        <v>0</v>
      </c>
      <c r="Z122" s="20">
        <f t="shared" ca="1" si="114"/>
        <v>5061787.9513454391</v>
      </c>
    </row>
    <row r="123" spans="1:26" ht="14.4" x14ac:dyDescent="0.3">
      <c r="A123" s="22">
        <v>42767</v>
      </c>
      <c r="B123" s="88">
        <f t="shared" si="111"/>
        <v>2017</v>
      </c>
      <c r="C123" s="20">
        <f>'Monthly Data'!H123</f>
        <v>0</v>
      </c>
      <c r="D123" s="104">
        <f>D111*'Connection count '!$H$14</f>
        <v>2001.3978308872213</v>
      </c>
      <c r="E123" s="88">
        <f t="shared" ref="E123:F123" ca="1" si="226">E111</f>
        <v>678.56000000000006</v>
      </c>
      <c r="F123" s="88">
        <f t="shared" ca="1" si="226"/>
        <v>0</v>
      </c>
      <c r="G123" s="103">
        <f>G111*(1+Employment!J$3)</f>
        <v>250</v>
      </c>
      <c r="H123" s="88">
        <f t="shared" si="138"/>
        <v>122</v>
      </c>
      <c r="I123" s="88">
        <f t="shared" ref="I123:M123" si="227">I111</f>
        <v>0</v>
      </c>
      <c r="J123" s="88">
        <f t="shared" si="227"/>
        <v>0</v>
      </c>
      <c r="K123" s="88">
        <f t="shared" si="227"/>
        <v>0</v>
      </c>
      <c r="L123" s="88">
        <f t="shared" si="227"/>
        <v>0</v>
      </c>
      <c r="M123" s="88">
        <f t="shared" si="227"/>
        <v>0</v>
      </c>
      <c r="O123" s="20">
        <f>'GS &lt; 50 OLS model'!$B$5</f>
        <v>-11631489.5525492</v>
      </c>
      <c r="P123" s="20">
        <f>'GS &lt; 50 OLS model'!$B$6*D123</f>
        <v>13111413.340146424</v>
      </c>
      <c r="Q123" s="20">
        <f ca="1">'GS &lt; 50 OLS model'!$B$7*E123</f>
        <v>1420954.2822420413</v>
      </c>
      <c r="R123" s="20">
        <f ca="1">'GS &lt; 50 OLS model'!$B$8*F123</f>
        <v>0</v>
      </c>
      <c r="S123" s="20">
        <f>'GS &lt; 50 OLS model'!$B$9*G123</f>
        <v>2605372.4560685502</v>
      </c>
      <c r="T123" s="20">
        <f>'GS &lt; 50 OLS model'!$B$10*H123</f>
        <v>-588368.67743260076</v>
      </c>
      <c r="U123" s="20">
        <f>'GS &lt; 50 OLS model'!$B$11*I123</f>
        <v>0</v>
      </c>
      <c r="V123" s="20">
        <f>'GS &lt; 50 OLS model'!$B$12*J123</f>
        <v>0</v>
      </c>
      <c r="W123" s="20">
        <f>'GS &lt; 50 OLS model'!$B$13*K123</f>
        <v>0</v>
      </c>
      <c r="X123" s="20">
        <f>'GS &lt; 50 OLS model'!$B$14*L123</f>
        <v>0</v>
      </c>
      <c r="Y123" s="20">
        <f>'GS &lt; 50 OLS model'!$B$15*M123</f>
        <v>0</v>
      </c>
      <c r="Z123" s="20">
        <f t="shared" ca="1" si="114"/>
        <v>4917881.848475215</v>
      </c>
    </row>
    <row r="124" spans="1:26" ht="14.4" x14ac:dyDescent="0.3">
      <c r="A124" s="22">
        <v>42795</v>
      </c>
      <c r="B124" s="88">
        <f t="shared" si="111"/>
        <v>2017</v>
      </c>
      <c r="C124" s="20">
        <f>'Monthly Data'!H124</f>
        <v>0</v>
      </c>
      <c r="D124" s="104">
        <f>D112*'Connection count '!$H$14</f>
        <v>2000.3915976891885</v>
      </c>
      <c r="E124" s="88">
        <f t="shared" ref="E124:F124" ca="1" si="228">E112</f>
        <v>544.77</v>
      </c>
      <c r="F124" s="88">
        <f t="shared" ca="1" si="228"/>
        <v>0.22000000000000003</v>
      </c>
      <c r="G124" s="103">
        <f>G112*(1+Employment!J$3)</f>
        <v>246.4</v>
      </c>
      <c r="H124" s="88">
        <f t="shared" si="138"/>
        <v>123</v>
      </c>
      <c r="I124" s="88">
        <f t="shared" ref="I124:M124" si="229">I112</f>
        <v>1</v>
      </c>
      <c r="J124" s="88">
        <f t="shared" si="229"/>
        <v>0</v>
      </c>
      <c r="K124" s="88">
        <f t="shared" si="229"/>
        <v>0</v>
      </c>
      <c r="L124" s="88">
        <f t="shared" si="229"/>
        <v>0</v>
      </c>
      <c r="M124" s="88">
        <f t="shared" si="229"/>
        <v>0</v>
      </c>
      <c r="O124" s="20">
        <f>'GS &lt; 50 OLS model'!$B$5</f>
        <v>-11631489.5525492</v>
      </c>
      <c r="P124" s="20">
        <f>'GS &lt; 50 OLS model'!$B$6*D124</f>
        <v>13104821.377682801</v>
      </c>
      <c r="Q124" s="20">
        <f ca="1">'GS &lt; 50 OLS model'!$B$7*E124</f>
        <v>1140788.2344037327</v>
      </c>
      <c r="R124" s="20">
        <f ca="1">'GS &lt; 50 OLS model'!$B$8*F124</f>
        <v>1303.4686613274766</v>
      </c>
      <c r="S124" s="20">
        <f>'GS &lt; 50 OLS model'!$B$9*G124</f>
        <v>2567855.0927011631</v>
      </c>
      <c r="T124" s="20">
        <f>'GS &lt; 50 OLS model'!$B$10*H124</f>
        <v>-593191.3715099172</v>
      </c>
      <c r="U124" s="20">
        <f>'GS &lt; 50 OLS model'!$B$11*I124</f>
        <v>-156104.06645044801</v>
      </c>
      <c r="V124" s="20">
        <f>'GS &lt; 50 OLS model'!$B$12*J124</f>
        <v>0</v>
      </c>
      <c r="W124" s="20">
        <f>'GS &lt; 50 OLS model'!$B$13*K124</f>
        <v>0</v>
      </c>
      <c r="X124" s="20">
        <f>'GS &lt; 50 OLS model'!$B$14*L124</f>
        <v>0</v>
      </c>
      <c r="Y124" s="20">
        <f>'GS &lt; 50 OLS model'!$B$15*M124</f>
        <v>0</v>
      </c>
      <c r="Z124" s="20">
        <f t="shared" ca="1" si="114"/>
        <v>4433983.1829394596</v>
      </c>
    </row>
    <row r="125" spans="1:26" ht="14.4" x14ac:dyDescent="0.3">
      <c r="A125" s="22">
        <v>42826</v>
      </c>
      <c r="B125" s="88">
        <f t="shared" si="111"/>
        <v>2017</v>
      </c>
      <c r="C125" s="20">
        <f>'Monthly Data'!H125</f>
        <v>0</v>
      </c>
      <c r="D125" s="104">
        <f>D113*'Connection count '!$H$14</f>
        <v>2001.3978308872213</v>
      </c>
      <c r="E125" s="88">
        <f t="shared" ref="E125:F125" ca="1" si="230">E113</f>
        <v>328.11</v>
      </c>
      <c r="F125" s="88">
        <f t="shared" ca="1" si="230"/>
        <v>0.32</v>
      </c>
      <c r="G125" s="103">
        <f>G113*(1+Employment!J$3)</f>
        <v>243.7</v>
      </c>
      <c r="H125" s="88">
        <f t="shared" si="138"/>
        <v>124</v>
      </c>
      <c r="I125" s="88">
        <f t="shared" ref="I125:M125" si="231">I113</f>
        <v>0</v>
      </c>
      <c r="J125" s="88">
        <f t="shared" si="231"/>
        <v>0</v>
      </c>
      <c r="K125" s="88">
        <f t="shared" si="231"/>
        <v>0</v>
      </c>
      <c r="L125" s="88">
        <f t="shared" si="231"/>
        <v>0</v>
      </c>
      <c r="M125" s="88">
        <f t="shared" si="231"/>
        <v>0</v>
      </c>
      <c r="O125" s="20">
        <f>'GS &lt; 50 OLS model'!$B$5</f>
        <v>-11631489.5525492</v>
      </c>
      <c r="P125" s="20">
        <f>'GS &lt; 50 OLS model'!$B$6*D125</f>
        <v>13111413.340146424</v>
      </c>
      <c r="Q125" s="20">
        <f ca="1">'GS &lt; 50 OLS model'!$B$7*E125</f>
        <v>687086.34394369868</v>
      </c>
      <c r="R125" s="20">
        <f ca="1">'GS &lt; 50 OLS model'!$B$8*F125</f>
        <v>1895.9544164763295</v>
      </c>
      <c r="S125" s="20">
        <f>'GS &lt; 50 OLS model'!$B$9*G125</f>
        <v>2539717.0701756226</v>
      </c>
      <c r="T125" s="20">
        <f>'GS &lt; 50 OLS model'!$B$10*H125</f>
        <v>-598014.06558723352</v>
      </c>
      <c r="U125" s="20">
        <f>'GS &lt; 50 OLS model'!$B$11*I125</f>
        <v>0</v>
      </c>
      <c r="V125" s="20">
        <f>'GS &lt; 50 OLS model'!$B$12*J125</f>
        <v>0</v>
      </c>
      <c r="W125" s="20">
        <f>'GS &lt; 50 OLS model'!$B$13*K125</f>
        <v>0</v>
      </c>
      <c r="X125" s="20">
        <f>'GS &lt; 50 OLS model'!$B$14*L125</f>
        <v>0</v>
      </c>
      <c r="Y125" s="20">
        <f>'GS &lt; 50 OLS model'!$B$15*M125</f>
        <v>0</v>
      </c>
      <c r="Z125" s="20">
        <f t="shared" ca="1" si="114"/>
        <v>4110609.0905457884</v>
      </c>
    </row>
    <row r="126" spans="1:26" ht="14.4" x14ac:dyDescent="0.3">
      <c r="A126" s="22">
        <v>42856</v>
      </c>
      <c r="B126" s="88">
        <f t="shared" si="111"/>
        <v>2017</v>
      </c>
      <c r="C126" s="20">
        <f>'Monthly Data'!H126</f>
        <v>0</v>
      </c>
      <c r="D126" s="104">
        <f>D114*'Connection count '!$H$14</f>
        <v>2002.404064085254</v>
      </c>
      <c r="E126" s="88">
        <f t="shared" ref="E126:F126" ca="1" si="232">E114</f>
        <v>134.47999999999999</v>
      </c>
      <c r="F126" s="88">
        <f t="shared" ca="1" si="232"/>
        <v>20.889999999999997</v>
      </c>
      <c r="G126" s="103">
        <f>G114*(1+Employment!J$3)</f>
        <v>245.7</v>
      </c>
      <c r="H126" s="88">
        <f t="shared" si="138"/>
        <v>125</v>
      </c>
      <c r="I126" s="88">
        <f t="shared" ref="I126:M126" si="233">I114</f>
        <v>0</v>
      </c>
      <c r="J126" s="88">
        <f t="shared" si="233"/>
        <v>0</v>
      </c>
      <c r="K126" s="88">
        <f t="shared" si="233"/>
        <v>0</v>
      </c>
      <c r="L126" s="88">
        <f t="shared" si="233"/>
        <v>0</v>
      </c>
      <c r="M126" s="88">
        <f t="shared" si="233"/>
        <v>0</v>
      </c>
      <c r="O126" s="20">
        <f>'GS &lt; 50 OLS model'!$B$5</f>
        <v>-11631489.5525492</v>
      </c>
      <c r="P126" s="20">
        <f>'GS &lt; 50 OLS model'!$B$6*D126</f>
        <v>13118005.302610047</v>
      </c>
      <c r="Q126" s="20">
        <f ca="1">'GS &lt; 50 OLS model'!$B$7*E126</f>
        <v>281610.95831748069</v>
      </c>
      <c r="R126" s="20">
        <f ca="1">'GS &lt; 50 OLS model'!$B$8*F126</f>
        <v>123770.27425059536</v>
      </c>
      <c r="S126" s="20">
        <f>'GS &lt; 50 OLS model'!$B$9*G126</f>
        <v>2560560.0498241708</v>
      </c>
      <c r="T126" s="20">
        <f>'GS &lt; 50 OLS model'!$B$10*H126</f>
        <v>-602836.75966454996</v>
      </c>
      <c r="U126" s="20">
        <f>'GS &lt; 50 OLS model'!$B$11*I126</f>
        <v>0</v>
      </c>
      <c r="V126" s="20">
        <f>'GS &lt; 50 OLS model'!$B$12*J126</f>
        <v>0</v>
      </c>
      <c r="W126" s="20">
        <f>'GS &lt; 50 OLS model'!$B$13*K126</f>
        <v>0</v>
      </c>
      <c r="X126" s="20">
        <f>'GS &lt; 50 OLS model'!$B$14*L126</f>
        <v>0</v>
      </c>
      <c r="Y126" s="20">
        <f>'GS &lt; 50 OLS model'!$B$15*M126</f>
        <v>0</v>
      </c>
      <c r="Z126" s="20">
        <f t="shared" ca="1" si="114"/>
        <v>3849620.2727885437</v>
      </c>
    </row>
    <row r="127" spans="1:26" ht="14.4" x14ac:dyDescent="0.3">
      <c r="A127" s="22">
        <v>42887</v>
      </c>
      <c r="B127" s="88">
        <f t="shared" si="111"/>
        <v>2017</v>
      </c>
      <c r="C127" s="20">
        <f>'Monthly Data'!H127</f>
        <v>0</v>
      </c>
      <c r="D127" s="104">
        <f>D115*'Connection count '!$H$14</f>
        <v>2004.4165304813196</v>
      </c>
      <c r="E127" s="88">
        <f t="shared" ref="E127:F127" ca="1" si="234">E115</f>
        <v>30.429999999999996</v>
      </c>
      <c r="F127" s="88">
        <f t="shared" ca="1" si="234"/>
        <v>56.129999999999995</v>
      </c>
      <c r="G127" s="103">
        <f>G115*(1+Employment!J$3)</f>
        <v>248</v>
      </c>
      <c r="H127" s="88">
        <f t="shared" si="138"/>
        <v>126</v>
      </c>
      <c r="I127" s="88">
        <f t="shared" ref="I127:M127" si="235">I115</f>
        <v>0</v>
      </c>
      <c r="J127" s="88">
        <f t="shared" si="235"/>
        <v>1</v>
      </c>
      <c r="K127" s="88">
        <f t="shared" si="235"/>
        <v>0</v>
      </c>
      <c r="L127" s="88">
        <f t="shared" si="235"/>
        <v>0</v>
      </c>
      <c r="M127" s="88">
        <f t="shared" si="235"/>
        <v>0</v>
      </c>
      <c r="O127" s="20">
        <f>'GS &lt; 50 OLS model'!$B$5</f>
        <v>-11631489.5525492</v>
      </c>
      <c r="P127" s="20">
        <f>'GS &lt; 50 OLS model'!$B$6*D127</f>
        <v>13131189.227537293</v>
      </c>
      <c r="Q127" s="20">
        <f ca="1">'GS &lt; 50 OLS model'!$B$7*E127</f>
        <v>63722.646204647062</v>
      </c>
      <c r="R127" s="20">
        <f ca="1">'GS &lt; 50 OLS model'!$B$8*F127</f>
        <v>332562.25436505117</v>
      </c>
      <c r="S127" s="20">
        <f>'GS &lt; 50 OLS model'!$B$9*G127</f>
        <v>2584529.4764200016</v>
      </c>
      <c r="T127" s="20">
        <f>'GS &lt; 50 OLS model'!$B$10*H127</f>
        <v>-607659.4537418664</v>
      </c>
      <c r="U127" s="20">
        <f>'GS &lt; 50 OLS model'!$B$11*I127</f>
        <v>0</v>
      </c>
      <c r="V127" s="20">
        <f>'GS &lt; 50 OLS model'!$B$12*J127</f>
        <v>359272.711714848</v>
      </c>
      <c r="W127" s="20">
        <f>'GS &lt; 50 OLS model'!$B$13*K127</f>
        <v>0</v>
      </c>
      <c r="X127" s="20">
        <f>'GS &lt; 50 OLS model'!$B$14*L127</f>
        <v>0</v>
      </c>
      <c r="Y127" s="20">
        <f>'GS &lt; 50 OLS model'!$B$15*M127</f>
        <v>0</v>
      </c>
      <c r="Z127" s="20">
        <f t="shared" ca="1" si="114"/>
        <v>4232127.3099507745</v>
      </c>
    </row>
    <row r="128" spans="1:26" ht="14.4" x14ac:dyDescent="0.3">
      <c r="A128" s="22">
        <v>42917</v>
      </c>
      <c r="B128" s="88">
        <f t="shared" si="111"/>
        <v>2017</v>
      </c>
      <c r="C128" s="20">
        <f>'Monthly Data'!H128</f>
        <v>0</v>
      </c>
      <c r="D128" s="104">
        <f>D116*'Connection count '!$H$14</f>
        <v>2008.4414632734508</v>
      </c>
      <c r="E128" s="88">
        <f t="shared" ref="E128:F128" ca="1" si="236">E116</f>
        <v>7.85</v>
      </c>
      <c r="F128" s="88">
        <f t="shared" ca="1" si="236"/>
        <v>99.97999999999999</v>
      </c>
      <c r="G128" s="103">
        <f>G116*(1+Employment!J$3)</f>
        <v>249.5</v>
      </c>
      <c r="H128" s="88">
        <f t="shared" si="138"/>
        <v>127</v>
      </c>
      <c r="I128" s="88">
        <f t="shared" ref="I128:M128" si="237">I116</f>
        <v>0</v>
      </c>
      <c r="J128" s="88">
        <f t="shared" si="237"/>
        <v>0</v>
      </c>
      <c r="K128" s="88">
        <f t="shared" si="237"/>
        <v>1</v>
      </c>
      <c r="L128" s="88">
        <f t="shared" si="237"/>
        <v>0</v>
      </c>
      <c r="M128" s="88">
        <f t="shared" si="237"/>
        <v>0</v>
      </c>
      <c r="O128" s="20">
        <f>'GS &lt; 50 OLS model'!$B$5</f>
        <v>-11631489.5525492</v>
      </c>
      <c r="P128" s="20">
        <f>'GS &lt; 50 OLS model'!$B$6*D128</f>
        <v>13157557.077391785</v>
      </c>
      <c r="Q128" s="20">
        <f ca="1">'GS &lt; 50 OLS model'!$B$7*E128</f>
        <v>16438.474292030216</v>
      </c>
      <c r="R128" s="20">
        <f ca="1">'GS &lt; 50 OLS model'!$B$8*F128</f>
        <v>592367.25799782318</v>
      </c>
      <c r="S128" s="20">
        <f>'GS &lt; 50 OLS model'!$B$9*G128</f>
        <v>2600161.711156413</v>
      </c>
      <c r="T128" s="20">
        <f>'GS &lt; 50 OLS model'!$B$10*H128</f>
        <v>-612482.14781918272</v>
      </c>
      <c r="U128" s="20">
        <f>'GS &lt; 50 OLS model'!$B$11*I128</f>
        <v>0</v>
      </c>
      <c r="V128" s="20">
        <f>'GS &lt; 50 OLS model'!$B$12*J128</f>
        <v>0</v>
      </c>
      <c r="W128" s="20">
        <f>'GS &lt; 50 OLS model'!$B$13*K128</f>
        <v>411098.30587285903</v>
      </c>
      <c r="X128" s="20">
        <f>'GS &lt; 50 OLS model'!$B$14*L128</f>
        <v>0</v>
      </c>
      <c r="Y128" s="20">
        <f>'GS &lt; 50 OLS model'!$B$15*M128</f>
        <v>0</v>
      </c>
      <c r="Z128" s="20">
        <f t="shared" ca="1" si="114"/>
        <v>4533651.1263425276</v>
      </c>
    </row>
    <row r="129" spans="1:26" ht="14.4" x14ac:dyDescent="0.3">
      <c r="A129" s="22">
        <v>42948</v>
      </c>
      <c r="B129" s="88">
        <f t="shared" si="111"/>
        <v>2017</v>
      </c>
      <c r="C129" s="20">
        <f>'Monthly Data'!H129</f>
        <v>0</v>
      </c>
      <c r="D129" s="104">
        <f>D117*'Connection count '!$H$14</f>
        <v>2007.4352300754181</v>
      </c>
      <c r="E129" s="88">
        <f t="shared" ref="E129:F129" ca="1" si="238">E117</f>
        <v>10.43</v>
      </c>
      <c r="F129" s="88">
        <f t="shared" ca="1" si="238"/>
        <v>80.190000000000012</v>
      </c>
      <c r="G129" s="103">
        <f>G117*(1+Employment!J$3)</f>
        <v>250.2</v>
      </c>
      <c r="H129" s="88">
        <f t="shared" si="138"/>
        <v>128</v>
      </c>
      <c r="I129" s="88">
        <f t="shared" ref="I129:M129" si="239">I117</f>
        <v>0</v>
      </c>
      <c r="J129" s="88">
        <f t="shared" si="239"/>
        <v>0</v>
      </c>
      <c r="K129" s="88">
        <f t="shared" si="239"/>
        <v>0</v>
      </c>
      <c r="L129" s="88">
        <f t="shared" si="239"/>
        <v>1</v>
      </c>
      <c r="M129" s="88">
        <f t="shared" si="239"/>
        <v>0</v>
      </c>
      <c r="O129" s="20">
        <f>'GS &lt; 50 OLS model'!$B$5</f>
        <v>-11631489.5525492</v>
      </c>
      <c r="P129" s="20">
        <f>'GS &lt; 50 OLS model'!$B$6*D129</f>
        <v>13150965.114928162</v>
      </c>
      <c r="Q129" s="20">
        <f ca="1">'GS &lt; 50 OLS model'!$B$7*E129</f>
        <v>21841.183040238873</v>
      </c>
      <c r="R129" s="20">
        <f ca="1">'GS &lt; 50 OLS model'!$B$8*F129</f>
        <v>475114.32705386524</v>
      </c>
      <c r="S129" s="20">
        <f>'GS &lt; 50 OLS model'!$B$9*G129</f>
        <v>2607456.7540334049</v>
      </c>
      <c r="T129" s="20">
        <f>'GS &lt; 50 OLS model'!$B$10*H129</f>
        <v>-617304.84189649916</v>
      </c>
      <c r="U129" s="20">
        <f>'GS &lt; 50 OLS model'!$B$11*I129</f>
        <v>0</v>
      </c>
      <c r="V129" s="20">
        <f>'GS &lt; 50 OLS model'!$B$12*J129</f>
        <v>0</v>
      </c>
      <c r="W129" s="20">
        <f>'GS &lt; 50 OLS model'!$B$13*K129</f>
        <v>0</v>
      </c>
      <c r="X129" s="20">
        <f>'GS &lt; 50 OLS model'!$B$14*L129</f>
        <v>494220.92313005403</v>
      </c>
      <c r="Y129" s="20">
        <f>'GS &lt; 50 OLS model'!$B$15*M129</f>
        <v>0</v>
      </c>
      <c r="Z129" s="20">
        <f t="shared" ca="1" si="114"/>
        <v>4500803.9077400248</v>
      </c>
    </row>
    <row r="130" spans="1:26" ht="14.4" x14ac:dyDescent="0.3">
      <c r="A130" s="22">
        <v>42979</v>
      </c>
      <c r="B130" s="88">
        <f t="shared" si="111"/>
        <v>2017</v>
      </c>
      <c r="C130" s="20">
        <f>'Monthly Data'!H130</f>
        <v>0</v>
      </c>
      <c r="D130" s="104">
        <f>D118*'Connection count '!$H$14</f>
        <v>2009.4476964714836</v>
      </c>
      <c r="E130" s="88">
        <f t="shared" ref="E130:F130" ca="1" si="240">E118</f>
        <v>70.580000000000013</v>
      </c>
      <c r="F130" s="88">
        <f t="shared" ca="1" si="240"/>
        <v>29.429999999999996</v>
      </c>
      <c r="G130" s="103">
        <f>G118*(1+Employment!J$3)</f>
        <v>248.7</v>
      </c>
      <c r="H130" s="88">
        <f t="shared" si="138"/>
        <v>129</v>
      </c>
      <c r="I130" s="88">
        <f t="shared" ref="I130:M130" si="241">I118</f>
        <v>0</v>
      </c>
      <c r="J130" s="88">
        <f t="shared" si="241"/>
        <v>0</v>
      </c>
      <c r="K130" s="88">
        <f t="shared" si="241"/>
        <v>0</v>
      </c>
      <c r="L130" s="88">
        <f t="shared" si="241"/>
        <v>0</v>
      </c>
      <c r="M130" s="88">
        <f t="shared" si="241"/>
        <v>1</v>
      </c>
      <c r="O130" s="20">
        <f>'GS &lt; 50 OLS model'!$B$5</f>
        <v>-11631489.5525492</v>
      </c>
      <c r="P130" s="20">
        <f>'GS &lt; 50 OLS model'!$B$6*D130</f>
        <v>13164149.039855408</v>
      </c>
      <c r="Q130" s="20">
        <f ca="1">'GS &lt; 50 OLS model'!$B$7*E130</f>
        <v>147799.68350719655</v>
      </c>
      <c r="R130" s="20">
        <f ca="1">'GS &lt; 50 OLS model'!$B$8*F130</f>
        <v>174368.55774030741</v>
      </c>
      <c r="S130" s="20">
        <f>'GS &lt; 50 OLS model'!$B$9*G130</f>
        <v>2591824.5192969935</v>
      </c>
      <c r="T130" s="20">
        <f>'GS &lt; 50 OLS model'!$B$10*H130</f>
        <v>-622127.5359738156</v>
      </c>
      <c r="U130" s="20">
        <f>'GS &lt; 50 OLS model'!$B$11*I130</f>
        <v>0</v>
      </c>
      <c r="V130" s="20">
        <f>'GS &lt; 50 OLS model'!$B$12*J130</f>
        <v>0</v>
      </c>
      <c r="W130" s="20">
        <f>'GS &lt; 50 OLS model'!$B$13*K130</f>
        <v>0</v>
      </c>
      <c r="X130" s="20">
        <f>'GS &lt; 50 OLS model'!$B$14*L130</f>
        <v>0</v>
      </c>
      <c r="Y130" s="20">
        <f>'GS &lt; 50 OLS model'!$B$15*M130</f>
        <v>249265.131543444</v>
      </c>
      <c r="Z130" s="20">
        <f t="shared" ca="1" si="114"/>
        <v>4073789.8434203332</v>
      </c>
    </row>
    <row r="131" spans="1:26" ht="14.4" x14ac:dyDescent="0.3">
      <c r="A131" s="22">
        <v>43009</v>
      </c>
      <c r="B131" s="88">
        <f t="shared" ref="B131:B145" si="242">YEAR(A131)</f>
        <v>2017</v>
      </c>
      <c r="C131" s="20">
        <f>'Monthly Data'!H131</f>
        <v>0</v>
      </c>
      <c r="D131" s="104">
        <f>D119*'Connection count '!$H$14</f>
        <v>2010.4539296695164</v>
      </c>
      <c r="E131" s="88">
        <f t="shared" ref="E131:F131" ca="1" si="243">E119</f>
        <v>241.15</v>
      </c>
      <c r="F131" s="88">
        <f t="shared" ca="1" si="243"/>
        <v>2.87</v>
      </c>
      <c r="G131" s="103">
        <f>G119*(1+Employment!J$3)</f>
        <v>247.6</v>
      </c>
      <c r="H131" s="88">
        <f t="shared" si="138"/>
        <v>130</v>
      </c>
      <c r="I131" s="88">
        <f t="shared" ref="I131:M131" si="244">I119</f>
        <v>0</v>
      </c>
      <c r="J131" s="88">
        <f t="shared" si="244"/>
        <v>0</v>
      </c>
      <c r="K131" s="88">
        <f t="shared" si="244"/>
        <v>0</v>
      </c>
      <c r="L131" s="88">
        <f t="shared" si="244"/>
        <v>0</v>
      </c>
      <c r="M131" s="88">
        <f t="shared" si="244"/>
        <v>0</v>
      </c>
      <c r="O131" s="20">
        <f>'GS &lt; 50 OLS model'!$B$5</f>
        <v>-11631489.5525492</v>
      </c>
      <c r="P131" s="20">
        <f>'GS &lt; 50 OLS model'!$B$6*D131</f>
        <v>13170741.00231903</v>
      </c>
      <c r="Q131" s="20">
        <f ca="1">'GS &lt; 50 OLS model'!$B$7*E131</f>
        <v>504985.74210485182</v>
      </c>
      <c r="R131" s="20">
        <f ca="1">'GS &lt; 50 OLS model'!$B$8*F131</f>
        <v>17004.341172772081</v>
      </c>
      <c r="S131" s="20">
        <f>'GS &lt; 50 OLS model'!$B$9*G131</f>
        <v>2580360.8804902919</v>
      </c>
      <c r="T131" s="20">
        <f>'GS &lt; 50 OLS model'!$B$10*H131</f>
        <v>-626950.23005113192</v>
      </c>
      <c r="U131" s="20">
        <f>'GS &lt; 50 OLS model'!$B$11*I131</f>
        <v>0</v>
      </c>
      <c r="V131" s="20">
        <f>'GS &lt; 50 OLS model'!$B$12*J131</f>
        <v>0</v>
      </c>
      <c r="W131" s="20">
        <f>'GS &lt; 50 OLS model'!$B$13*K131</f>
        <v>0</v>
      </c>
      <c r="X131" s="20">
        <f>'GS &lt; 50 OLS model'!$B$14*L131</f>
        <v>0</v>
      </c>
      <c r="Y131" s="20">
        <f>'GS &lt; 50 OLS model'!$B$15*M131</f>
        <v>0</v>
      </c>
      <c r="Z131" s="20">
        <f t="shared" ref="Z131:Z145" ca="1" si="245">SUM(O131:Y131)</f>
        <v>4014652.1834866144</v>
      </c>
    </row>
    <row r="132" spans="1:26" ht="14.4" x14ac:dyDescent="0.3">
      <c r="A132" s="22">
        <v>43040</v>
      </c>
      <c r="B132" s="88">
        <f t="shared" si="242"/>
        <v>2017</v>
      </c>
      <c r="C132" s="20">
        <f>'Monthly Data'!H132</f>
        <v>0</v>
      </c>
      <c r="D132" s="104">
        <f>D120*'Connection count '!$H$14</f>
        <v>2009.4476964714836</v>
      </c>
      <c r="E132" s="88">
        <f t="shared" ref="E132:F132" ca="1" si="246">E120</f>
        <v>421.52</v>
      </c>
      <c r="F132" s="88">
        <f t="shared" ca="1" si="246"/>
        <v>0</v>
      </c>
      <c r="G132" s="103">
        <f>G120*(1+Employment!J$3)</f>
        <v>242.3</v>
      </c>
      <c r="H132" s="88">
        <f t="shared" si="138"/>
        <v>131</v>
      </c>
      <c r="I132" s="88">
        <f t="shared" ref="I132:M132" si="247">I120</f>
        <v>0</v>
      </c>
      <c r="J132" s="88">
        <f t="shared" si="247"/>
        <v>0</v>
      </c>
      <c r="K132" s="88">
        <f t="shared" si="247"/>
        <v>0</v>
      </c>
      <c r="L132" s="88">
        <f t="shared" si="247"/>
        <v>0</v>
      </c>
      <c r="M132" s="88">
        <f t="shared" si="247"/>
        <v>0</v>
      </c>
      <c r="O132" s="20">
        <f>'GS &lt; 50 OLS model'!$B$5</f>
        <v>-11631489.5525492</v>
      </c>
      <c r="P132" s="20">
        <f>'GS &lt; 50 OLS model'!$B$6*D132</f>
        <v>13164149.039855408</v>
      </c>
      <c r="Q132" s="20">
        <f ca="1">'GS &lt; 50 OLS model'!$B$7*E132</f>
        <v>882693.71765306708</v>
      </c>
      <c r="R132" s="20">
        <f ca="1">'GS &lt; 50 OLS model'!$B$8*F132</f>
        <v>0</v>
      </c>
      <c r="S132" s="20">
        <f>'GS &lt; 50 OLS model'!$B$9*G132</f>
        <v>2525126.9844216388</v>
      </c>
      <c r="T132" s="20">
        <f>'GS &lt; 50 OLS model'!$B$10*H132</f>
        <v>-631772.92412844836</v>
      </c>
      <c r="U132" s="20">
        <f>'GS &lt; 50 OLS model'!$B$11*I132</f>
        <v>0</v>
      </c>
      <c r="V132" s="20">
        <f>'GS &lt; 50 OLS model'!$B$12*J132</f>
        <v>0</v>
      </c>
      <c r="W132" s="20">
        <f>'GS &lt; 50 OLS model'!$B$13*K132</f>
        <v>0</v>
      </c>
      <c r="X132" s="20">
        <f>'GS &lt; 50 OLS model'!$B$14*L132</f>
        <v>0</v>
      </c>
      <c r="Y132" s="20">
        <f>'GS &lt; 50 OLS model'!$B$15*M132</f>
        <v>0</v>
      </c>
      <c r="Z132" s="20">
        <f t="shared" ca="1" si="245"/>
        <v>4308707.2652524645</v>
      </c>
    </row>
    <row r="133" spans="1:26" ht="14.4" x14ac:dyDescent="0.3">
      <c r="A133" s="22">
        <v>43070</v>
      </c>
      <c r="B133" s="88">
        <f t="shared" si="242"/>
        <v>2017</v>
      </c>
      <c r="C133" s="20">
        <f>'Monthly Data'!H133</f>
        <v>0</v>
      </c>
      <c r="D133" s="104">
        <f>D121*'Connection count '!$H$14</f>
        <v>2012.4663960655819</v>
      </c>
      <c r="E133" s="88">
        <f t="shared" ref="E133:F133" ca="1" si="248">E121</f>
        <v>610.56000000000006</v>
      </c>
      <c r="F133" s="88">
        <f t="shared" ca="1" si="248"/>
        <v>0</v>
      </c>
      <c r="G133" s="103">
        <f>G121*(1+Employment!J$3)</f>
        <v>240.6</v>
      </c>
      <c r="H133" s="88">
        <f t="shared" si="138"/>
        <v>132</v>
      </c>
      <c r="I133" s="88">
        <f t="shared" ref="I133:M133" si="249">I121</f>
        <v>0</v>
      </c>
      <c r="J133" s="88">
        <f t="shared" si="249"/>
        <v>0</v>
      </c>
      <c r="K133" s="88">
        <f t="shared" si="249"/>
        <v>0</v>
      </c>
      <c r="L133" s="88">
        <f t="shared" si="249"/>
        <v>0</v>
      </c>
      <c r="M133" s="88">
        <f t="shared" si="249"/>
        <v>0</v>
      </c>
      <c r="O133" s="20">
        <f>'GS &lt; 50 OLS model'!$B$5</f>
        <v>-11631489.5525492</v>
      </c>
      <c r="P133" s="20">
        <f>'GS &lt; 50 OLS model'!$B$6*D133</f>
        <v>13183924.927246276</v>
      </c>
      <c r="Q133" s="20">
        <f ca="1">'GS &lt; 50 OLS model'!$B$7*E133</f>
        <v>1278557.3074830535</v>
      </c>
      <c r="R133" s="20">
        <f ca="1">'GS &lt; 50 OLS model'!$B$8*F133</f>
        <v>0</v>
      </c>
      <c r="S133" s="20">
        <f>'GS &lt; 50 OLS model'!$B$9*G133</f>
        <v>2507410.4517203723</v>
      </c>
      <c r="T133" s="20">
        <f>'GS &lt; 50 OLS model'!$B$10*H133</f>
        <v>-636595.6182057648</v>
      </c>
      <c r="U133" s="20">
        <f>'GS &lt; 50 OLS model'!$B$11*I133</f>
        <v>0</v>
      </c>
      <c r="V133" s="20">
        <f>'GS &lt; 50 OLS model'!$B$12*J133</f>
        <v>0</v>
      </c>
      <c r="W133" s="20">
        <f>'GS &lt; 50 OLS model'!$B$13*K133</f>
        <v>0</v>
      </c>
      <c r="X133" s="20">
        <f>'GS &lt; 50 OLS model'!$B$14*L133</f>
        <v>0</v>
      </c>
      <c r="Y133" s="20">
        <f>'GS &lt; 50 OLS model'!$B$15*M133</f>
        <v>0</v>
      </c>
      <c r="Z133" s="20">
        <f t="shared" ca="1" si="245"/>
        <v>4701807.5156947374</v>
      </c>
    </row>
    <row r="134" spans="1:26" ht="14.4" x14ac:dyDescent="0.3">
      <c r="A134" s="22">
        <v>43101</v>
      </c>
      <c r="B134" s="88">
        <f t="shared" si="242"/>
        <v>2018</v>
      </c>
      <c r="C134" s="20">
        <f>'Monthly Data'!H134</f>
        <v>0</v>
      </c>
      <c r="D134" s="104">
        <f>D122*'Connection count '!$H$15</f>
        <v>2013.8729399095396</v>
      </c>
      <c r="E134" s="88">
        <f t="shared" ref="E134:F134" ca="1" si="250">E122</f>
        <v>729.54999999999984</v>
      </c>
      <c r="F134" s="88">
        <f t="shared" ca="1" si="250"/>
        <v>0</v>
      </c>
      <c r="G134" s="103">
        <f>G122*(1+Employment!J$4)</f>
        <v>253.1</v>
      </c>
      <c r="H134" s="88">
        <f t="shared" si="138"/>
        <v>133</v>
      </c>
      <c r="I134" s="88">
        <f t="shared" ref="I134:M134" si="251">I122</f>
        <v>0</v>
      </c>
      <c r="J134" s="88">
        <f t="shared" si="251"/>
        <v>0</v>
      </c>
      <c r="K134" s="88">
        <f t="shared" si="251"/>
        <v>0</v>
      </c>
      <c r="L134" s="88">
        <f t="shared" si="251"/>
        <v>0</v>
      </c>
      <c r="M134" s="88">
        <f t="shared" si="251"/>
        <v>0</v>
      </c>
      <c r="O134" s="20">
        <f>'GS &lt; 50 OLS model'!$B$5</f>
        <v>-11631489.5525492</v>
      </c>
      <c r="P134" s="20">
        <f>'GS &lt; 50 OLS model'!$B$6*D134</f>
        <v>13193139.375985334</v>
      </c>
      <c r="Q134" s="20">
        <f ca="1">'GS &lt; 50 OLS model'!$B$7*E134</f>
        <v>1527731.0725796996</v>
      </c>
      <c r="R134" s="20">
        <f ca="1">'GS &lt; 50 OLS model'!$B$8*F134</f>
        <v>0</v>
      </c>
      <c r="S134" s="20">
        <f>'GS &lt; 50 OLS model'!$B$9*G134</f>
        <v>2637679.0745238001</v>
      </c>
      <c r="T134" s="20">
        <f>'GS &lt; 50 OLS model'!$B$10*H134</f>
        <v>-641418.31228308112</v>
      </c>
      <c r="U134" s="20">
        <f>'GS &lt; 50 OLS model'!$B$11*I134</f>
        <v>0</v>
      </c>
      <c r="V134" s="20">
        <f>'GS &lt; 50 OLS model'!$B$12*J134</f>
        <v>0</v>
      </c>
      <c r="W134" s="20">
        <f>'GS &lt; 50 OLS model'!$B$13*K134</f>
        <v>0</v>
      </c>
      <c r="X134" s="20">
        <f>'GS &lt; 50 OLS model'!$B$14*L134</f>
        <v>0</v>
      </c>
      <c r="Y134" s="20">
        <f>'GS &lt; 50 OLS model'!$B$15*M134</f>
        <v>0</v>
      </c>
      <c r="Z134" s="20">
        <f t="shared" ca="1" si="245"/>
        <v>5085641.6582565522</v>
      </c>
    </row>
    <row r="135" spans="1:26" ht="14.4" x14ac:dyDescent="0.3">
      <c r="A135" s="22">
        <v>43132</v>
      </c>
      <c r="B135" s="88">
        <f t="shared" si="242"/>
        <v>2018</v>
      </c>
      <c r="C135" s="20">
        <f>'Monthly Data'!H135</f>
        <v>0</v>
      </c>
      <c r="D135" s="104">
        <f>D123*'Connection count '!$H$15</f>
        <v>2013.8729399095396</v>
      </c>
      <c r="E135" s="88">
        <f t="shared" ref="E135:F135" ca="1" si="252">E123</f>
        <v>678.56000000000006</v>
      </c>
      <c r="F135" s="88">
        <f t="shared" ca="1" si="252"/>
        <v>0</v>
      </c>
      <c r="G135" s="103">
        <f>G123*(1+Employment!J$4)</f>
        <v>250</v>
      </c>
      <c r="H135" s="88">
        <f t="shared" si="138"/>
        <v>134</v>
      </c>
      <c r="I135" s="88">
        <f t="shared" ref="I135:M135" si="253">I123</f>
        <v>0</v>
      </c>
      <c r="J135" s="88">
        <f t="shared" si="253"/>
        <v>0</v>
      </c>
      <c r="K135" s="88">
        <f t="shared" si="253"/>
        <v>0</v>
      </c>
      <c r="L135" s="88">
        <f t="shared" si="253"/>
        <v>0</v>
      </c>
      <c r="M135" s="88">
        <f t="shared" si="253"/>
        <v>0</v>
      </c>
      <c r="O135" s="20">
        <f>'GS &lt; 50 OLS model'!$B$5</f>
        <v>-11631489.5525492</v>
      </c>
      <c r="P135" s="20">
        <f>'GS &lt; 50 OLS model'!$B$6*D135</f>
        <v>13193139.375985334</v>
      </c>
      <c r="Q135" s="20">
        <f ca="1">'GS &lt; 50 OLS model'!$B$7*E135</f>
        <v>1420954.2822420413</v>
      </c>
      <c r="R135" s="20">
        <f ca="1">'GS &lt; 50 OLS model'!$B$8*F135</f>
        <v>0</v>
      </c>
      <c r="S135" s="20">
        <f>'GS &lt; 50 OLS model'!$B$9*G135</f>
        <v>2605372.4560685502</v>
      </c>
      <c r="T135" s="20">
        <f>'GS &lt; 50 OLS model'!$B$10*H135</f>
        <v>-646241.00636039756</v>
      </c>
      <c r="U135" s="20">
        <f>'GS &lt; 50 OLS model'!$B$11*I135</f>
        <v>0</v>
      </c>
      <c r="V135" s="20">
        <f>'GS &lt; 50 OLS model'!$B$12*J135</f>
        <v>0</v>
      </c>
      <c r="W135" s="20">
        <f>'GS &lt; 50 OLS model'!$B$13*K135</f>
        <v>0</v>
      </c>
      <c r="X135" s="20">
        <f>'GS &lt; 50 OLS model'!$B$14*L135</f>
        <v>0</v>
      </c>
      <c r="Y135" s="20">
        <f>'GS &lt; 50 OLS model'!$B$15*M135</f>
        <v>0</v>
      </c>
      <c r="Z135" s="20">
        <f t="shared" ca="1" si="245"/>
        <v>4941735.5553863272</v>
      </c>
    </row>
    <row r="136" spans="1:26" ht="14.4" x14ac:dyDescent="0.3">
      <c r="A136" s="22">
        <v>43160</v>
      </c>
      <c r="B136" s="88">
        <f t="shared" si="242"/>
        <v>2018</v>
      </c>
      <c r="C136" s="20">
        <f>'Monthly Data'!H136</f>
        <v>0</v>
      </c>
      <c r="D136" s="104">
        <f>D124*'Connection count '!$H$15</f>
        <v>2012.8604346607165</v>
      </c>
      <c r="E136" s="88">
        <f t="shared" ref="E136:F136" ca="1" si="254">E124</f>
        <v>544.77</v>
      </c>
      <c r="F136" s="88">
        <f t="shared" ca="1" si="254"/>
        <v>0.22000000000000003</v>
      </c>
      <c r="G136" s="103">
        <f>G124*(1+Employment!J$4)</f>
        <v>246.4</v>
      </c>
      <c r="H136" s="88">
        <f t="shared" si="138"/>
        <v>135</v>
      </c>
      <c r="I136" s="88">
        <f t="shared" ref="I136:M136" si="255">I124</f>
        <v>1</v>
      </c>
      <c r="J136" s="88">
        <f t="shared" si="255"/>
        <v>0</v>
      </c>
      <c r="K136" s="88">
        <f t="shared" si="255"/>
        <v>0</v>
      </c>
      <c r="L136" s="88">
        <f t="shared" si="255"/>
        <v>0</v>
      </c>
      <c r="M136" s="88">
        <f t="shared" si="255"/>
        <v>0</v>
      </c>
      <c r="O136" s="20">
        <f>'GS &lt; 50 OLS model'!$B$5</f>
        <v>-11631489.5525492</v>
      </c>
      <c r="P136" s="20">
        <f>'GS &lt; 50 OLS model'!$B$6*D136</f>
        <v>13186506.324514251</v>
      </c>
      <c r="Q136" s="20">
        <f ca="1">'GS &lt; 50 OLS model'!$B$7*E136</f>
        <v>1140788.2344037327</v>
      </c>
      <c r="R136" s="20">
        <f ca="1">'GS &lt; 50 OLS model'!$B$8*F136</f>
        <v>1303.4686613274766</v>
      </c>
      <c r="S136" s="20">
        <f>'GS &lt; 50 OLS model'!$B$9*G136</f>
        <v>2567855.0927011631</v>
      </c>
      <c r="T136" s="20">
        <f>'GS &lt; 50 OLS model'!$B$10*H136</f>
        <v>-651063.700437714</v>
      </c>
      <c r="U136" s="20">
        <f>'GS &lt; 50 OLS model'!$B$11*I136</f>
        <v>-156104.06645044801</v>
      </c>
      <c r="V136" s="20">
        <f>'GS &lt; 50 OLS model'!$B$12*J136</f>
        <v>0</v>
      </c>
      <c r="W136" s="20">
        <f>'GS &lt; 50 OLS model'!$B$13*K136</f>
        <v>0</v>
      </c>
      <c r="X136" s="20">
        <f>'GS &lt; 50 OLS model'!$B$14*L136</f>
        <v>0</v>
      </c>
      <c r="Y136" s="20">
        <f>'GS &lt; 50 OLS model'!$B$15*M136</f>
        <v>0</v>
      </c>
      <c r="Z136" s="20">
        <f t="shared" ca="1" si="245"/>
        <v>4457795.8008431122</v>
      </c>
    </row>
    <row r="137" spans="1:26" ht="14.4" x14ac:dyDescent="0.3">
      <c r="A137" s="22">
        <v>43191</v>
      </c>
      <c r="B137" s="88">
        <f t="shared" si="242"/>
        <v>2018</v>
      </c>
      <c r="C137" s="20">
        <f>'Monthly Data'!H137</f>
        <v>0</v>
      </c>
      <c r="D137" s="104">
        <f>D125*'Connection count '!$H$15</f>
        <v>2013.8729399095396</v>
      </c>
      <c r="E137" s="88">
        <f t="shared" ref="E137:F137" ca="1" si="256">E125</f>
        <v>328.11</v>
      </c>
      <c r="F137" s="88">
        <f t="shared" ca="1" si="256"/>
        <v>0.32</v>
      </c>
      <c r="G137" s="103">
        <f>G125*(1+Employment!J$4)</f>
        <v>243.7</v>
      </c>
      <c r="H137" s="88">
        <f t="shared" si="138"/>
        <v>136</v>
      </c>
      <c r="I137" s="88">
        <f t="shared" ref="I137:M137" si="257">I125</f>
        <v>0</v>
      </c>
      <c r="J137" s="88">
        <f t="shared" si="257"/>
        <v>0</v>
      </c>
      <c r="K137" s="88">
        <f t="shared" si="257"/>
        <v>0</v>
      </c>
      <c r="L137" s="88">
        <f t="shared" si="257"/>
        <v>0</v>
      </c>
      <c r="M137" s="88">
        <f t="shared" si="257"/>
        <v>0</v>
      </c>
      <c r="O137" s="20">
        <f>'GS &lt; 50 OLS model'!$B$5</f>
        <v>-11631489.5525492</v>
      </c>
      <c r="P137" s="20">
        <f>'GS &lt; 50 OLS model'!$B$6*D137</f>
        <v>13193139.375985334</v>
      </c>
      <c r="Q137" s="20">
        <f ca="1">'GS &lt; 50 OLS model'!$B$7*E137</f>
        <v>687086.34394369868</v>
      </c>
      <c r="R137" s="20">
        <f ca="1">'GS &lt; 50 OLS model'!$B$8*F137</f>
        <v>1895.9544164763295</v>
      </c>
      <c r="S137" s="20">
        <f>'GS &lt; 50 OLS model'!$B$9*G137</f>
        <v>2539717.0701756226</v>
      </c>
      <c r="T137" s="20">
        <f>'GS &lt; 50 OLS model'!$B$10*H137</f>
        <v>-655886.39451503032</v>
      </c>
      <c r="U137" s="20">
        <f>'GS &lt; 50 OLS model'!$B$11*I137</f>
        <v>0</v>
      </c>
      <c r="V137" s="20">
        <f>'GS &lt; 50 OLS model'!$B$12*J137</f>
        <v>0</v>
      </c>
      <c r="W137" s="20">
        <f>'GS &lt; 50 OLS model'!$B$13*K137</f>
        <v>0</v>
      </c>
      <c r="X137" s="20">
        <f>'GS &lt; 50 OLS model'!$B$14*L137</f>
        <v>0</v>
      </c>
      <c r="Y137" s="20">
        <f>'GS &lt; 50 OLS model'!$B$15*M137</f>
        <v>0</v>
      </c>
      <c r="Z137" s="20">
        <f t="shared" ca="1" si="245"/>
        <v>4134462.7974569015</v>
      </c>
    </row>
    <row r="138" spans="1:26" ht="14.4" x14ac:dyDescent="0.3">
      <c r="A138" s="22">
        <v>43221</v>
      </c>
      <c r="B138" s="88">
        <f t="shared" si="242"/>
        <v>2018</v>
      </c>
      <c r="C138" s="20">
        <f>'Monthly Data'!H138</f>
        <v>0</v>
      </c>
      <c r="D138" s="104">
        <f>D126*'Connection count '!$H$15</f>
        <v>2014.8854451583629</v>
      </c>
      <c r="E138" s="88">
        <f t="shared" ref="E138:F138" ca="1" si="258">E126</f>
        <v>134.47999999999999</v>
      </c>
      <c r="F138" s="88">
        <f t="shared" ca="1" si="258"/>
        <v>20.889999999999997</v>
      </c>
      <c r="G138" s="103">
        <f>G126*(1+Employment!J$4)</f>
        <v>245.7</v>
      </c>
      <c r="H138" s="88">
        <f t="shared" si="138"/>
        <v>137</v>
      </c>
      <c r="I138" s="88">
        <f t="shared" ref="I138:M138" si="259">I126</f>
        <v>0</v>
      </c>
      <c r="J138" s="88">
        <f t="shared" si="259"/>
        <v>0</v>
      </c>
      <c r="K138" s="88">
        <f t="shared" si="259"/>
        <v>0</v>
      </c>
      <c r="L138" s="88">
        <f t="shared" si="259"/>
        <v>0</v>
      </c>
      <c r="M138" s="88">
        <f t="shared" si="259"/>
        <v>0</v>
      </c>
      <c r="O138" s="20">
        <f>'GS &lt; 50 OLS model'!$B$5</f>
        <v>-11631489.5525492</v>
      </c>
      <c r="P138" s="20">
        <f>'GS &lt; 50 OLS model'!$B$6*D138</f>
        <v>13199772.427456416</v>
      </c>
      <c r="Q138" s="20">
        <f ca="1">'GS &lt; 50 OLS model'!$B$7*E138</f>
        <v>281610.95831748069</v>
      </c>
      <c r="R138" s="20">
        <f ca="1">'GS &lt; 50 OLS model'!$B$8*F138</f>
        <v>123770.27425059536</v>
      </c>
      <c r="S138" s="20">
        <f>'GS &lt; 50 OLS model'!$B$9*G138</f>
        <v>2560560.0498241708</v>
      </c>
      <c r="T138" s="20">
        <f>'GS &lt; 50 OLS model'!$B$10*H138</f>
        <v>-660709.08859234676</v>
      </c>
      <c r="U138" s="20">
        <f>'GS &lt; 50 OLS model'!$B$11*I138</f>
        <v>0</v>
      </c>
      <c r="V138" s="20">
        <f>'GS &lt; 50 OLS model'!$B$12*J138</f>
        <v>0</v>
      </c>
      <c r="W138" s="20">
        <f>'GS &lt; 50 OLS model'!$B$13*K138</f>
        <v>0</v>
      </c>
      <c r="X138" s="20">
        <f>'GS &lt; 50 OLS model'!$B$14*L138</f>
        <v>0</v>
      </c>
      <c r="Y138" s="20">
        <f>'GS &lt; 50 OLS model'!$B$15*M138</f>
        <v>0</v>
      </c>
      <c r="Z138" s="20">
        <f t="shared" ca="1" si="245"/>
        <v>3873515.0687071159</v>
      </c>
    </row>
    <row r="139" spans="1:26" ht="14.4" x14ac:dyDescent="0.3">
      <c r="A139" s="22">
        <v>43252</v>
      </c>
      <c r="B139" s="88">
        <f t="shared" si="242"/>
        <v>2018</v>
      </c>
      <c r="C139" s="20">
        <f>'Monthly Data'!H139</f>
        <v>0</v>
      </c>
      <c r="D139" s="104">
        <f>D127*'Connection count '!$H$15</f>
        <v>2016.9104556560094</v>
      </c>
      <c r="E139" s="88">
        <f t="shared" ref="E139:F139" ca="1" si="260">E127</f>
        <v>30.429999999999996</v>
      </c>
      <c r="F139" s="88">
        <f t="shared" ca="1" si="260"/>
        <v>56.129999999999995</v>
      </c>
      <c r="G139" s="103">
        <f>G127*(1+Employment!J$4)</f>
        <v>248</v>
      </c>
      <c r="H139" s="88">
        <f t="shared" si="138"/>
        <v>138</v>
      </c>
      <c r="I139" s="88">
        <f t="shared" ref="I139:M139" si="261">I127</f>
        <v>0</v>
      </c>
      <c r="J139" s="88">
        <f t="shared" si="261"/>
        <v>1</v>
      </c>
      <c r="K139" s="88">
        <f t="shared" si="261"/>
        <v>0</v>
      </c>
      <c r="L139" s="88">
        <f t="shared" si="261"/>
        <v>0</v>
      </c>
      <c r="M139" s="88">
        <f t="shared" si="261"/>
        <v>0</v>
      </c>
      <c r="O139" s="20">
        <f>'GS &lt; 50 OLS model'!$B$5</f>
        <v>-11631489.5525492</v>
      </c>
      <c r="P139" s="20">
        <f>'GS &lt; 50 OLS model'!$B$6*D139</f>
        <v>13213038.530398583</v>
      </c>
      <c r="Q139" s="20">
        <f ca="1">'GS &lt; 50 OLS model'!$B$7*E139</f>
        <v>63722.646204647062</v>
      </c>
      <c r="R139" s="20">
        <f ca="1">'GS &lt; 50 OLS model'!$B$8*F139</f>
        <v>332562.25436505117</v>
      </c>
      <c r="S139" s="20">
        <f>'GS &lt; 50 OLS model'!$B$9*G139</f>
        <v>2584529.4764200016</v>
      </c>
      <c r="T139" s="20">
        <f>'GS &lt; 50 OLS model'!$B$10*H139</f>
        <v>-665531.7826696632</v>
      </c>
      <c r="U139" s="20">
        <f>'GS &lt; 50 OLS model'!$B$11*I139</f>
        <v>0</v>
      </c>
      <c r="V139" s="20">
        <f>'GS &lt; 50 OLS model'!$B$12*J139</f>
        <v>359272.711714848</v>
      </c>
      <c r="W139" s="20">
        <f>'GS &lt; 50 OLS model'!$B$13*K139</f>
        <v>0</v>
      </c>
      <c r="X139" s="20">
        <f>'GS &lt; 50 OLS model'!$B$14*L139</f>
        <v>0</v>
      </c>
      <c r="Y139" s="20">
        <f>'GS &lt; 50 OLS model'!$B$15*M139</f>
        <v>0</v>
      </c>
      <c r="Z139" s="20">
        <f t="shared" ca="1" si="245"/>
        <v>4256104.2838842673</v>
      </c>
    </row>
    <row r="140" spans="1:26" ht="14.4" x14ac:dyDescent="0.3">
      <c r="A140" s="22">
        <v>43282</v>
      </c>
      <c r="B140" s="88">
        <f t="shared" si="242"/>
        <v>2018</v>
      </c>
      <c r="C140" s="20">
        <f>'Monthly Data'!H140</f>
        <v>0</v>
      </c>
      <c r="D140" s="104">
        <f>D128*'Connection count '!$H$15</f>
        <v>2020.9604766513028</v>
      </c>
      <c r="E140" s="88">
        <f t="shared" ref="E140:F140" ca="1" si="262">E128</f>
        <v>7.85</v>
      </c>
      <c r="F140" s="88">
        <f t="shared" ca="1" si="262"/>
        <v>99.97999999999999</v>
      </c>
      <c r="G140" s="103">
        <f>G128*(1+Employment!J$4)</f>
        <v>249.5</v>
      </c>
      <c r="H140" s="88">
        <f t="shared" si="138"/>
        <v>139</v>
      </c>
      <c r="I140" s="88">
        <f t="shared" ref="I140:M140" si="263">I128</f>
        <v>0</v>
      </c>
      <c r="J140" s="88">
        <f t="shared" si="263"/>
        <v>0</v>
      </c>
      <c r="K140" s="88">
        <f t="shared" si="263"/>
        <v>1</v>
      </c>
      <c r="L140" s="88">
        <f t="shared" si="263"/>
        <v>0</v>
      </c>
      <c r="M140" s="88">
        <f t="shared" si="263"/>
        <v>0</v>
      </c>
      <c r="O140" s="20">
        <f>'GS &lt; 50 OLS model'!$B$5</f>
        <v>-11631489.5525492</v>
      </c>
      <c r="P140" s="20">
        <f>'GS &lt; 50 OLS model'!$B$6*D140</f>
        <v>13239570.736282919</v>
      </c>
      <c r="Q140" s="20">
        <f ca="1">'GS &lt; 50 OLS model'!$B$7*E140</f>
        <v>16438.474292030216</v>
      </c>
      <c r="R140" s="20">
        <f ca="1">'GS &lt; 50 OLS model'!$B$8*F140</f>
        <v>592367.25799782318</v>
      </c>
      <c r="S140" s="20">
        <f>'GS &lt; 50 OLS model'!$B$9*G140</f>
        <v>2600161.711156413</v>
      </c>
      <c r="T140" s="20">
        <f>'GS &lt; 50 OLS model'!$B$10*H140</f>
        <v>-670354.47674697952</v>
      </c>
      <c r="U140" s="20">
        <f>'GS &lt; 50 OLS model'!$B$11*I140</f>
        <v>0</v>
      </c>
      <c r="V140" s="20">
        <f>'GS &lt; 50 OLS model'!$B$12*J140</f>
        <v>0</v>
      </c>
      <c r="W140" s="20">
        <f>'GS &lt; 50 OLS model'!$B$13*K140</f>
        <v>411098.30587285903</v>
      </c>
      <c r="X140" s="20">
        <f>'GS &lt; 50 OLS model'!$B$14*L140</f>
        <v>0</v>
      </c>
      <c r="Y140" s="20">
        <f>'GS &lt; 50 OLS model'!$B$15*M140</f>
        <v>0</v>
      </c>
      <c r="Z140" s="20">
        <f t="shared" ca="1" si="245"/>
        <v>4557792.4563058643</v>
      </c>
    </row>
    <row r="141" spans="1:26" ht="14.4" x14ac:dyDescent="0.3">
      <c r="A141" s="22">
        <v>43313</v>
      </c>
      <c r="B141" s="88">
        <f t="shared" si="242"/>
        <v>2018</v>
      </c>
      <c r="C141" s="20">
        <f>'Monthly Data'!H141</f>
        <v>0</v>
      </c>
      <c r="D141" s="104">
        <f>D129*'Connection count '!$H$15</f>
        <v>2019.9479714024794</v>
      </c>
      <c r="E141" s="88">
        <f t="shared" ref="E141:F141" ca="1" si="264">E129</f>
        <v>10.43</v>
      </c>
      <c r="F141" s="88">
        <f t="shared" ca="1" si="264"/>
        <v>80.190000000000012</v>
      </c>
      <c r="G141" s="103">
        <f>G129*(1+Employment!J$4)</f>
        <v>250.2</v>
      </c>
      <c r="H141" s="88">
        <f t="shared" si="138"/>
        <v>140</v>
      </c>
      <c r="I141" s="88">
        <f t="shared" ref="I141:M141" si="265">I129</f>
        <v>0</v>
      </c>
      <c r="J141" s="88">
        <f t="shared" si="265"/>
        <v>0</v>
      </c>
      <c r="K141" s="88">
        <f t="shared" si="265"/>
        <v>0</v>
      </c>
      <c r="L141" s="88">
        <f t="shared" si="265"/>
        <v>1</v>
      </c>
      <c r="M141" s="88">
        <f t="shared" si="265"/>
        <v>0</v>
      </c>
      <c r="O141" s="20">
        <f>'GS &lt; 50 OLS model'!$B$5</f>
        <v>-11631489.5525492</v>
      </c>
      <c r="P141" s="20">
        <f>'GS &lt; 50 OLS model'!$B$6*D141</f>
        <v>13232937.684811834</v>
      </c>
      <c r="Q141" s="20">
        <f ca="1">'GS &lt; 50 OLS model'!$B$7*E141</f>
        <v>21841.183040238873</v>
      </c>
      <c r="R141" s="20">
        <f ca="1">'GS &lt; 50 OLS model'!$B$8*F141</f>
        <v>475114.32705386524</v>
      </c>
      <c r="S141" s="20">
        <f>'GS &lt; 50 OLS model'!$B$9*G141</f>
        <v>2607456.7540334049</v>
      </c>
      <c r="T141" s="20">
        <f>'GS &lt; 50 OLS model'!$B$10*H141</f>
        <v>-675177.17082429596</v>
      </c>
      <c r="U141" s="20">
        <f>'GS &lt; 50 OLS model'!$B$11*I141</f>
        <v>0</v>
      </c>
      <c r="V141" s="20">
        <f>'GS &lt; 50 OLS model'!$B$12*J141</f>
        <v>0</v>
      </c>
      <c r="W141" s="20">
        <f>'GS &lt; 50 OLS model'!$B$13*K141</f>
        <v>0</v>
      </c>
      <c r="X141" s="20">
        <f>'GS &lt; 50 OLS model'!$B$14*L141</f>
        <v>494220.92313005403</v>
      </c>
      <c r="Y141" s="20">
        <f>'GS &lt; 50 OLS model'!$B$15*M141</f>
        <v>0</v>
      </c>
      <c r="Z141" s="20">
        <f t="shared" ca="1" si="245"/>
        <v>4524904.148695902</v>
      </c>
    </row>
    <row r="142" spans="1:26" ht="14.4" x14ac:dyDescent="0.3">
      <c r="A142" s="22">
        <v>43344</v>
      </c>
      <c r="B142" s="88">
        <f t="shared" si="242"/>
        <v>2018</v>
      </c>
      <c r="C142" s="20">
        <f>'Monthly Data'!H142</f>
        <v>0</v>
      </c>
      <c r="D142" s="104">
        <f>D130*'Connection count '!$H$15</f>
        <v>2021.9729819001261</v>
      </c>
      <c r="E142" s="88">
        <f t="shared" ref="E142:F142" ca="1" si="266">E130</f>
        <v>70.580000000000013</v>
      </c>
      <c r="F142" s="88">
        <f t="shared" ca="1" si="266"/>
        <v>29.429999999999996</v>
      </c>
      <c r="G142" s="103">
        <f>G130*(1+Employment!J$4)</f>
        <v>248.7</v>
      </c>
      <c r="H142" s="88">
        <f t="shared" si="138"/>
        <v>141</v>
      </c>
      <c r="I142" s="88">
        <f t="shared" ref="I142:M142" si="267">I130</f>
        <v>0</v>
      </c>
      <c r="J142" s="88">
        <f t="shared" si="267"/>
        <v>0</v>
      </c>
      <c r="K142" s="88">
        <f t="shared" si="267"/>
        <v>0</v>
      </c>
      <c r="L142" s="88">
        <f t="shared" si="267"/>
        <v>0</v>
      </c>
      <c r="M142" s="88">
        <f t="shared" si="267"/>
        <v>1</v>
      </c>
      <c r="O142" s="20">
        <f>'GS &lt; 50 OLS model'!$B$5</f>
        <v>-11631489.5525492</v>
      </c>
      <c r="P142" s="20">
        <f>'GS &lt; 50 OLS model'!$B$6*D142</f>
        <v>13246203.787754003</v>
      </c>
      <c r="Q142" s="20">
        <f ca="1">'GS &lt; 50 OLS model'!$B$7*E142</f>
        <v>147799.68350719655</v>
      </c>
      <c r="R142" s="20">
        <f ca="1">'GS &lt; 50 OLS model'!$B$8*F142</f>
        <v>174368.55774030741</v>
      </c>
      <c r="S142" s="20">
        <f>'GS &lt; 50 OLS model'!$B$9*G142</f>
        <v>2591824.5192969935</v>
      </c>
      <c r="T142" s="20">
        <f>'GS &lt; 50 OLS model'!$B$10*H142</f>
        <v>-679999.8649016124</v>
      </c>
      <c r="U142" s="20">
        <f>'GS &lt; 50 OLS model'!$B$11*I142</f>
        <v>0</v>
      </c>
      <c r="V142" s="20">
        <f>'GS &lt; 50 OLS model'!$B$12*J142</f>
        <v>0</v>
      </c>
      <c r="W142" s="20">
        <f>'GS &lt; 50 OLS model'!$B$13*K142</f>
        <v>0</v>
      </c>
      <c r="X142" s="20">
        <f>'GS &lt; 50 OLS model'!$B$14*L142</f>
        <v>0</v>
      </c>
      <c r="Y142" s="20">
        <f>'GS &lt; 50 OLS model'!$B$15*M142</f>
        <v>249265.131543444</v>
      </c>
      <c r="Z142" s="20">
        <f t="shared" ca="1" si="245"/>
        <v>4097972.2623911318</v>
      </c>
    </row>
    <row r="143" spans="1:26" ht="14.4" x14ac:dyDescent="0.3">
      <c r="A143" s="22">
        <v>43374</v>
      </c>
      <c r="B143" s="88">
        <f t="shared" si="242"/>
        <v>2018</v>
      </c>
      <c r="C143" s="20">
        <f>'Monthly Data'!H143</f>
        <v>0</v>
      </c>
      <c r="D143" s="104">
        <f>D131*'Connection count '!$H$15</f>
        <v>2022.9854871489492</v>
      </c>
      <c r="E143" s="88">
        <f t="shared" ref="E143:F143" ca="1" si="268">E131</f>
        <v>241.15</v>
      </c>
      <c r="F143" s="88">
        <f t="shared" ca="1" si="268"/>
        <v>2.87</v>
      </c>
      <c r="G143" s="103">
        <f>G131*(1+Employment!J$4)</f>
        <v>247.6</v>
      </c>
      <c r="H143" s="88">
        <f t="shared" ref="H143:H145" si="269">H142+1</f>
        <v>142</v>
      </c>
      <c r="I143" s="88">
        <f t="shared" ref="I143:M143" si="270">I131</f>
        <v>0</v>
      </c>
      <c r="J143" s="88">
        <f t="shared" si="270"/>
        <v>0</v>
      </c>
      <c r="K143" s="88">
        <f t="shared" si="270"/>
        <v>0</v>
      </c>
      <c r="L143" s="88">
        <f t="shared" si="270"/>
        <v>0</v>
      </c>
      <c r="M143" s="88">
        <f t="shared" si="270"/>
        <v>0</v>
      </c>
      <c r="O143" s="20">
        <f>'GS &lt; 50 OLS model'!$B$5</f>
        <v>-11631489.5525492</v>
      </c>
      <c r="P143" s="20">
        <f>'GS &lt; 50 OLS model'!$B$6*D143</f>
        <v>13252836.839225085</v>
      </c>
      <c r="Q143" s="20">
        <f ca="1">'GS &lt; 50 OLS model'!$B$7*E143</f>
        <v>504985.74210485182</v>
      </c>
      <c r="R143" s="20">
        <f ca="1">'GS &lt; 50 OLS model'!$B$8*F143</f>
        <v>17004.341172772081</v>
      </c>
      <c r="S143" s="20">
        <f>'GS &lt; 50 OLS model'!$B$9*G143</f>
        <v>2580360.8804902919</v>
      </c>
      <c r="T143" s="20">
        <f>'GS &lt; 50 OLS model'!$B$10*H143</f>
        <v>-684822.55897892872</v>
      </c>
      <c r="U143" s="20">
        <f>'GS &lt; 50 OLS model'!$B$11*I143</f>
        <v>0</v>
      </c>
      <c r="V143" s="20">
        <f>'GS &lt; 50 OLS model'!$B$12*J143</f>
        <v>0</v>
      </c>
      <c r="W143" s="20">
        <f>'GS &lt; 50 OLS model'!$B$13*K143</f>
        <v>0</v>
      </c>
      <c r="X143" s="20">
        <f>'GS &lt; 50 OLS model'!$B$14*L143</f>
        <v>0</v>
      </c>
      <c r="Y143" s="20">
        <f>'GS &lt; 50 OLS model'!$B$15*M143</f>
        <v>0</v>
      </c>
      <c r="Z143" s="20">
        <f t="shared" ca="1" si="245"/>
        <v>4038875.6914648726</v>
      </c>
    </row>
    <row r="144" spans="1:26" ht="14.4" x14ac:dyDescent="0.3">
      <c r="A144" s="22">
        <v>43405</v>
      </c>
      <c r="B144" s="88">
        <f t="shared" si="242"/>
        <v>2018</v>
      </c>
      <c r="C144" s="20">
        <f>'Monthly Data'!H144</f>
        <v>0</v>
      </c>
      <c r="D144" s="104">
        <f>D132*'Connection count '!$H$15</f>
        <v>2021.9729819001261</v>
      </c>
      <c r="E144" s="88">
        <f t="shared" ref="E144:F144" ca="1" si="271">E132</f>
        <v>421.52</v>
      </c>
      <c r="F144" s="88">
        <f t="shared" ca="1" si="271"/>
        <v>0</v>
      </c>
      <c r="G144" s="103">
        <f>G132*(1+Employment!J$4)</f>
        <v>242.3</v>
      </c>
      <c r="H144" s="88">
        <f t="shared" si="269"/>
        <v>143</v>
      </c>
      <c r="I144" s="88">
        <f t="shared" ref="I144:M144" si="272">I132</f>
        <v>0</v>
      </c>
      <c r="J144" s="88">
        <f t="shared" si="272"/>
        <v>0</v>
      </c>
      <c r="K144" s="88">
        <f t="shared" si="272"/>
        <v>0</v>
      </c>
      <c r="L144" s="88">
        <f t="shared" si="272"/>
        <v>0</v>
      </c>
      <c r="M144" s="88">
        <f t="shared" si="272"/>
        <v>0</v>
      </c>
      <c r="O144" s="20">
        <f>'GS &lt; 50 OLS model'!$B$5</f>
        <v>-11631489.5525492</v>
      </c>
      <c r="P144" s="20">
        <f>'GS &lt; 50 OLS model'!$B$6*D144</f>
        <v>13246203.787754003</v>
      </c>
      <c r="Q144" s="20">
        <f ca="1">'GS &lt; 50 OLS model'!$B$7*E144</f>
        <v>882693.71765306708</v>
      </c>
      <c r="R144" s="20">
        <f ca="1">'GS &lt; 50 OLS model'!$B$8*F144</f>
        <v>0</v>
      </c>
      <c r="S144" s="20">
        <f>'GS &lt; 50 OLS model'!$B$9*G144</f>
        <v>2525126.9844216388</v>
      </c>
      <c r="T144" s="20">
        <f>'GS &lt; 50 OLS model'!$B$10*H144</f>
        <v>-689645.25305624516</v>
      </c>
      <c r="U144" s="20">
        <f>'GS &lt; 50 OLS model'!$B$11*I144</f>
        <v>0</v>
      </c>
      <c r="V144" s="20">
        <f>'GS &lt; 50 OLS model'!$B$12*J144</f>
        <v>0</v>
      </c>
      <c r="W144" s="20">
        <f>'GS &lt; 50 OLS model'!$B$13*K144</f>
        <v>0</v>
      </c>
      <c r="X144" s="20">
        <f>'GS &lt; 50 OLS model'!$B$14*L144</f>
        <v>0</v>
      </c>
      <c r="Y144" s="20">
        <f>'GS &lt; 50 OLS model'!$B$15*M144</f>
        <v>0</v>
      </c>
      <c r="Z144" s="20">
        <f t="shared" ca="1" si="245"/>
        <v>4332889.6842232635</v>
      </c>
    </row>
    <row r="145" spans="1:26" ht="14.4" x14ac:dyDescent="0.3">
      <c r="A145" s="22">
        <v>43435</v>
      </c>
      <c r="B145" s="88">
        <f t="shared" si="242"/>
        <v>2018</v>
      </c>
      <c r="C145" s="20">
        <f>'Monthly Data'!H145</f>
        <v>0</v>
      </c>
      <c r="D145" s="104">
        <f>D133*'Connection count '!$H$15</f>
        <v>2025.0104976465959</v>
      </c>
      <c r="E145" s="88">
        <f t="shared" ref="E145:F145" ca="1" si="273">E133</f>
        <v>610.56000000000006</v>
      </c>
      <c r="F145" s="88">
        <f t="shared" ca="1" si="273"/>
        <v>0</v>
      </c>
      <c r="G145" s="103">
        <f>G133*(1+Employment!J$4)</f>
        <v>240.6</v>
      </c>
      <c r="H145" s="88">
        <f t="shared" si="269"/>
        <v>144</v>
      </c>
      <c r="I145" s="88">
        <f t="shared" ref="I145:M145" si="274">I133</f>
        <v>0</v>
      </c>
      <c r="J145" s="88">
        <f t="shared" si="274"/>
        <v>0</v>
      </c>
      <c r="K145" s="88">
        <f t="shared" si="274"/>
        <v>0</v>
      </c>
      <c r="L145" s="88">
        <f t="shared" si="274"/>
        <v>0</v>
      </c>
      <c r="M145" s="88">
        <f t="shared" si="274"/>
        <v>0</v>
      </c>
      <c r="O145" s="20">
        <f>'GS &lt; 50 OLS model'!$B$5</f>
        <v>-11631489.5525492</v>
      </c>
      <c r="P145" s="20">
        <f>'GS &lt; 50 OLS model'!$B$6*D145</f>
        <v>13266102.942167254</v>
      </c>
      <c r="Q145" s="20">
        <f ca="1">'GS &lt; 50 OLS model'!$B$7*E145</f>
        <v>1278557.3074830535</v>
      </c>
      <c r="R145" s="20">
        <f ca="1">'GS &lt; 50 OLS model'!$B$8*F145</f>
        <v>0</v>
      </c>
      <c r="S145" s="20">
        <f>'GS &lt; 50 OLS model'!$B$9*G145</f>
        <v>2507410.4517203723</v>
      </c>
      <c r="T145" s="20">
        <f>'GS &lt; 50 OLS model'!$B$10*H145</f>
        <v>-694467.9471335616</v>
      </c>
      <c r="U145" s="20">
        <f>'GS &lt; 50 OLS model'!$B$11*I145</f>
        <v>0</v>
      </c>
      <c r="V145" s="20">
        <f>'GS &lt; 50 OLS model'!$B$12*J145</f>
        <v>0</v>
      </c>
      <c r="W145" s="20">
        <f>'GS &lt; 50 OLS model'!$B$13*K145</f>
        <v>0</v>
      </c>
      <c r="X145" s="20">
        <f>'GS &lt; 50 OLS model'!$B$14*L145</f>
        <v>0</v>
      </c>
      <c r="Y145" s="20">
        <f>'GS &lt; 50 OLS model'!$B$15*M145</f>
        <v>0</v>
      </c>
      <c r="Z145" s="20">
        <f t="shared" ca="1" si="245"/>
        <v>4726113.201687919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"/>
  <sheetViews>
    <sheetView topLeftCell="M1" workbookViewId="0">
      <selection activeCell="AF14" sqref="AF14"/>
    </sheetView>
  </sheetViews>
  <sheetFormatPr defaultColWidth="9.109375" defaultRowHeight="13.2" x14ac:dyDescent="0.25"/>
  <cols>
    <col min="1" max="1" width="3.33203125" style="16" customWidth="1"/>
    <col min="2" max="2" width="5" style="16" bestFit="1" customWidth="1"/>
    <col min="3" max="3" width="9.6640625" style="16" bestFit="1" customWidth="1"/>
    <col min="4" max="4" width="10.109375" style="16" customWidth="1"/>
    <col min="5" max="5" width="3.33203125" style="16" customWidth="1"/>
    <col min="6" max="6" width="5" style="16" bestFit="1" customWidth="1"/>
    <col min="7" max="7" width="9.6640625" style="16" bestFit="1" customWidth="1"/>
    <col min="8" max="8" width="10.109375" style="16" customWidth="1"/>
    <col min="9" max="9" width="3.33203125" style="16" customWidth="1"/>
    <col min="10" max="10" width="5" style="16" bestFit="1" customWidth="1"/>
    <col min="11" max="11" width="9.6640625" style="16" bestFit="1" customWidth="1"/>
    <col min="12" max="12" width="10.109375" style="16" customWidth="1"/>
    <col min="13" max="13" width="3.33203125" style="16" customWidth="1"/>
    <col min="14" max="14" width="5" style="16" bestFit="1" customWidth="1"/>
    <col min="15" max="15" width="9.6640625" style="16" bestFit="1" customWidth="1"/>
    <col min="16" max="16" width="10.109375" style="16" customWidth="1"/>
    <col min="17" max="17" width="3.33203125" style="16" customWidth="1"/>
    <col min="18" max="18" width="5" style="16" bestFit="1" customWidth="1"/>
    <col min="19" max="19" width="9.6640625" style="16" bestFit="1" customWidth="1"/>
    <col min="20" max="20" width="10.109375" style="16" customWidth="1"/>
    <col min="21" max="21" width="3.33203125" style="16" customWidth="1"/>
    <col min="22" max="22" width="5" style="16" bestFit="1" customWidth="1"/>
    <col min="23" max="23" width="11.109375" style="16" bestFit="1" customWidth="1"/>
    <col min="24" max="24" width="10.109375" style="16" customWidth="1"/>
    <col min="25" max="25" width="3.33203125" style="16" customWidth="1"/>
    <col min="26" max="26" width="5" style="16" bestFit="1" customWidth="1"/>
    <col min="27" max="27" width="11.109375" style="16" bestFit="1" customWidth="1"/>
    <col min="28" max="28" width="10.109375" style="16" customWidth="1"/>
    <col min="29" max="29" width="3.33203125" style="16" customWidth="1"/>
    <col min="30" max="30" width="10.21875" style="16" bestFit="1" customWidth="1"/>
    <col min="31" max="31" width="7.88671875" style="16" customWidth="1"/>
    <col min="32" max="32" width="10.109375" style="16" customWidth="1"/>
    <col min="33" max="33" width="3.33203125" style="16" customWidth="1"/>
    <col min="34" max="34" width="9.44140625" style="16" customWidth="1"/>
    <col min="35" max="35" width="9.6640625" style="16" bestFit="1" customWidth="1"/>
    <col min="36" max="36" width="10.109375" style="16" customWidth="1"/>
    <col min="37" max="16384" width="9.109375" style="16"/>
  </cols>
  <sheetData>
    <row r="1" spans="2:36" ht="13.2" customHeight="1" x14ac:dyDescent="0.25">
      <c r="N1" s="87"/>
    </row>
    <row r="2" spans="2:36" ht="13.2" customHeight="1" x14ac:dyDescent="0.25">
      <c r="B2" s="143" t="s">
        <v>29</v>
      </c>
      <c r="C2" s="143"/>
      <c r="D2" s="144" t="s">
        <v>176</v>
      </c>
      <c r="F2" s="143" t="s">
        <v>22</v>
      </c>
      <c r="G2" s="143"/>
      <c r="H2" s="144" t="s">
        <v>176</v>
      </c>
      <c r="J2" s="143" t="s">
        <v>30</v>
      </c>
      <c r="K2" s="143"/>
      <c r="L2" s="144" t="s">
        <v>176</v>
      </c>
      <c r="N2" s="143" t="s">
        <v>36</v>
      </c>
      <c r="O2" s="143"/>
      <c r="P2" s="144" t="s">
        <v>176</v>
      </c>
      <c r="R2" s="143" t="s">
        <v>154</v>
      </c>
      <c r="S2" s="143"/>
      <c r="T2" s="144" t="s">
        <v>176</v>
      </c>
      <c r="V2" s="143" t="s">
        <v>33</v>
      </c>
      <c r="W2" s="143"/>
      <c r="X2" s="144" t="s">
        <v>176</v>
      </c>
      <c r="Z2" s="143" t="s">
        <v>120</v>
      </c>
      <c r="AA2" s="143"/>
      <c r="AB2" s="144" t="s">
        <v>176</v>
      </c>
      <c r="AD2" s="16" t="s">
        <v>32</v>
      </c>
      <c r="AE2" s="144" t="s">
        <v>103</v>
      </c>
      <c r="AF2" s="144" t="s">
        <v>176</v>
      </c>
      <c r="AH2" s="143" t="s">
        <v>177</v>
      </c>
      <c r="AI2" s="143"/>
      <c r="AJ2" s="144" t="s">
        <v>176</v>
      </c>
    </row>
    <row r="3" spans="2:36" x14ac:dyDescent="0.25">
      <c r="B3" s="30" t="s">
        <v>89</v>
      </c>
      <c r="C3" s="30" t="s">
        <v>104</v>
      </c>
      <c r="D3" s="144"/>
      <c r="F3" s="30" t="s">
        <v>89</v>
      </c>
      <c r="G3" s="30" t="s">
        <v>104</v>
      </c>
      <c r="H3" s="144"/>
      <c r="J3" s="30" t="s">
        <v>89</v>
      </c>
      <c r="K3" s="30" t="s">
        <v>104</v>
      </c>
      <c r="L3" s="144"/>
      <c r="N3" s="30" t="s">
        <v>89</v>
      </c>
      <c r="O3" s="87" t="s">
        <v>104</v>
      </c>
      <c r="P3" s="144"/>
      <c r="R3" s="30" t="s">
        <v>89</v>
      </c>
      <c r="S3" s="30" t="s">
        <v>104</v>
      </c>
      <c r="T3" s="144"/>
      <c r="V3" s="30" t="s">
        <v>89</v>
      </c>
      <c r="W3" s="30" t="s">
        <v>105</v>
      </c>
      <c r="X3" s="144"/>
      <c r="Z3" s="30" t="s">
        <v>89</v>
      </c>
      <c r="AA3" s="30" t="s">
        <v>105</v>
      </c>
      <c r="AB3" s="144"/>
      <c r="AD3" s="30" t="s">
        <v>89</v>
      </c>
      <c r="AE3" s="144"/>
      <c r="AF3" s="144"/>
      <c r="AH3" s="30" t="s">
        <v>89</v>
      </c>
      <c r="AI3" s="30" t="s">
        <v>104</v>
      </c>
      <c r="AJ3" s="144"/>
    </row>
    <row r="4" spans="2:36" ht="14.4" x14ac:dyDescent="0.3">
      <c r="B4" s="16">
        <v>2007</v>
      </c>
      <c r="C4" s="31">
        <f>SUMIF('Monthly Data'!$B:$B,B4,'Monthly Data'!$AB:$AB)/12</f>
        <v>15715.916666666666</v>
      </c>
      <c r="D4" s="32"/>
      <c r="F4" s="16">
        <v>2007</v>
      </c>
      <c r="G4" s="31">
        <f>SUMIF('Monthly Data'!$B:$B,F4,'Monthly Data'!$AC:$AC)/12</f>
        <v>1884.9166666666667</v>
      </c>
      <c r="H4" s="32"/>
      <c r="J4" s="16">
        <v>2007</v>
      </c>
      <c r="K4" s="31">
        <f>SUMIF('Monthly Data'!$B:$B,J4,'Monthly Data'!$AD:$AD)/12</f>
        <v>182.41666666666666</v>
      </c>
      <c r="L4" s="32"/>
      <c r="N4" s="16">
        <v>2007</v>
      </c>
      <c r="O4" s="31">
        <f>SUMIF('Monthly Data'!$B:$B,N4,'Monthly Data'!$AE:$AE)/12</f>
        <v>5</v>
      </c>
      <c r="P4" s="32"/>
      <c r="R4" s="16">
        <v>2007</v>
      </c>
      <c r="S4" s="31">
        <f>SUMIF('Monthly Data'!$B:$B,R4,'Monthly Data'!$AF:$AF)/12</f>
        <v>1</v>
      </c>
      <c r="T4" s="32"/>
      <c r="V4" s="16">
        <v>2007</v>
      </c>
      <c r="W4" s="31">
        <f>SUMIF('Monthly Data'!$B:$B,V4,'Monthly Data'!$AG:$AG)/12</f>
        <v>112.58333333333333</v>
      </c>
      <c r="X4" s="32"/>
      <c r="Z4" s="16">
        <v>2007</v>
      </c>
      <c r="AA4" s="31">
        <f>SUMIF('Monthly Data'!$B:$B,Z4,'Monthly Data'!$AH:$AH)/12</f>
        <v>301</v>
      </c>
      <c r="AB4" s="32"/>
      <c r="AD4" s="16">
        <v>2007</v>
      </c>
      <c r="AE4" s="31">
        <f>SUMIF('Monthly Data'!$B:$B,AD4,'Monthly Data'!$AI:$AI)/12</f>
        <v>4197</v>
      </c>
      <c r="AF4" s="32"/>
      <c r="AH4" s="16">
        <v>2007</v>
      </c>
      <c r="AI4" s="31">
        <f>SUMIF('Monthly Data'!$B:$B,AH4,'Monthly Data'!$AJ:$AJ)/12</f>
        <v>2</v>
      </c>
      <c r="AJ4" s="32"/>
    </row>
    <row r="5" spans="2:36" ht="14.4" x14ac:dyDescent="0.3">
      <c r="B5" s="16">
        <f>B4+1</f>
        <v>2008</v>
      </c>
      <c r="C5" s="31">
        <f>SUMIF('Monthly Data'!$B:$B,B5,'Monthly Data'!$AB:$AB)/12</f>
        <v>15819</v>
      </c>
      <c r="D5" s="33">
        <f>C5/C4</f>
        <v>1.0065591677227439</v>
      </c>
      <c r="E5" s="34"/>
      <c r="F5" s="16">
        <f>F4+1</f>
        <v>2008</v>
      </c>
      <c r="G5" s="31">
        <f>SUMIF('Monthly Data'!$B:$B,F5,'Monthly Data'!$AC:$AC)/12</f>
        <v>1891.5833333333333</v>
      </c>
      <c r="H5" s="33">
        <f>G5/G4</f>
        <v>1.0035368495512622</v>
      </c>
      <c r="I5" s="34"/>
      <c r="J5" s="16">
        <f>J4+1</f>
        <v>2008</v>
      </c>
      <c r="K5" s="31">
        <f>SUMIF('Monthly Data'!$B:$B,J5,'Monthly Data'!$AD:$AD)/12</f>
        <v>187.33333333333334</v>
      </c>
      <c r="L5" s="33">
        <f>K5/K4</f>
        <v>1.0269529465509366</v>
      </c>
      <c r="M5" s="34"/>
      <c r="N5" s="16">
        <f>N4+1</f>
        <v>2008</v>
      </c>
      <c r="O5" s="31">
        <f>SUMIF('Monthly Data'!$B:$B,N5,'Monthly Data'!$AE:$AE)/12</f>
        <v>5</v>
      </c>
      <c r="P5" s="33">
        <f>O5/O4</f>
        <v>1</v>
      </c>
      <c r="Q5" s="34"/>
      <c r="R5" s="16">
        <f>R4+1</f>
        <v>2008</v>
      </c>
      <c r="S5" s="31">
        <f>SUMIF('Monthly Data'!$B:$B,R5,'Monthly Data'!$AF:$AF)/12</f>
        <v>1</v>
      </c>
      <c r="T5" s="33">
        <f>S5/S4</f>
        <v>1</v>
      </c>
      <c r="V5" s="16">
        <f>V4+1</f>
        <v>2008</v>
      </c>
      <c r="W5" s="31">
        <f>SUMIF('Monthly Data'!$B:$B,V5,'Monthly Data'!$AG:$AG)/12</f>
        <v>122.5</v>
      </c>
      <c r="X5" s="33">
        <f>W5/W4</f>
        <v>1.0880829015544042</v>
      </c>
      <c r="Z5" s="16">
        <f>Z4+1</f>
        <v>2008</v>
      </c>
      <c r="AA5" s="31">
        <f>SUMIF('Monthly Data'!$B:$B,Z5,'Monthly Data'!$AH:$AH)/12</f>
        <v>301</v>
      </c>
      <c r="AB5" s="33">
        <f>AA5/AA4</f>
        <v>1</v>
      </c>
      <c r="AD5" s="16">
        <f>AD4+1</f>
        <v>2008</v>
      </c>
      <c r="AE5" s="31">
        <f>SUMIF('Monthly Data'!$B:$B,AD5,'Monthly Data'!$AI:$AI)/12</f>
        <v>4283</v>
      </c>
      <c r="AF5" s="33">
        <f>AE5/AE4</f>
        <v>1.020490826781034</v>
      </c>
      <c r="AH5" s="16">
        <f>AH4+1</f>
        <v>2008</v>
      </c>
      <c r="AI5" s="31">
        <f>SUMIF('Monthly Data'!$B:$B,AH5,'Monthly Data'!$AJ:$AJ)/12</f>
        <v>3</v>
      </c>
      <c r="AJ5" s="33">
        <f>AI5/AI4</f>
        <v>1.5</v>
      </c>
    </row>
    <row r="6" spans="2:36" ht="14.4" x14ac:dyDescent="0.3">
      <c r="B6" s="16">
        <f t="shared" ref="B6:B15" si="0">B5+1</f>
        <v>2009</v>
      </c>
      <c r="C6" s="31">
        <f>SUMIF('Monthly Data'!$B:$B,B6,'Monthly Data'!$AB:$AB)/12</f>
        <v>15888</v>
      </c>
      <c r="D6" s="33">
        <f t="shared" ref="D6:D13" si="1">C6/C5</f>
        <v>1.00436184335293</v>
      </c>
      <c r="E6" s="34"/>
      <c r="F6" s="16">
        <f t="shared" ref="F6:F15" si="2">F5+1</f>
        <v>2009</v>
      </c>
      <c r="G6" s="31">
        <f>SUMIF('Monthly Data'!$B:$B,F6,'Monthly Data'!$AC:$AC)/12</f>
        <v>1895.25</v>
      </c>
      <c r="H6" s="33">
        <f t="shared" ref="H6:H13" si="3">G6/G5</f>
        <v>1.0019384113837615</v>
      </c>
      <c r="I6" s="34"/>
      <c r="J6" s="16">
        <f t="shared" ref="J6:J15" si="4">J5+1</f>
        <v>2009</v>
      </c>
      <c r="K6" s="31">
        <f>SUMIF('Monthly Data'!$B:$B,J6,'Monthly Data'!$AD:$AD)/12</f>
        <v>189.08333333333334</v>
      </c>
      <c r="L6" s="33">
        <f t="shared" ref="L6:L13" si="5">K6/K5</f>
        <v>1.0093416370106763</v>
      </c>
      <c r="M6" s="34"/>
      <c r="N6" s="16">
        <f t="shared" ref="N6:N15" si="6">N5+1</f>
        <v>2009</v>
      </c>
      <c r="O6" s="31">
        <f>SUMIF('Monthly Data'!$B:$B,N6,'Monthly Data'!$AE:$AE)/12</f>
        <v>5</v>
      </c>
      <c r="P6" s="33">
        <f t="shared" ref="P6:P15" si="7">O6/O5</f>
        <v>1</v>
      </c>
      <c r="Q6" s="34"/>
      <c r="R6" s="16">
        <f t="shared" ref="R6:R15" si="8">R5+1</f>
        <v>2009</v>
      </c>
      <c r="S6" s="31">
        <f>SUMIF('Monthly Data'!$B:$B,R6,'Monthly Data'!$AF:$AF)/12</f>
        <v>1</v>
      </c>
      <c r="T6" s="33">
        <f t="shared" ref="T6:T13" si="9">S6/S5</f>
        <v>1</v>
      </c>
      <c r="V6" s="16">
        <f t="shared" ref="V6:V15" si="10">V5+1</f>
        <v>2009</v>
      </c>
      <c r="W6" s="31">
        <f>SUMIF('Monthly Data'!$B:$B,V6,'Monthly Data'!$AG:$AG)/12</f>
        <v>128</v>
      </c>
      <c r="X6" s="33">
        <f t="shared" ref="X6:X13" si="11">W6/W5</f>
        <v>1.0448979591836736</v>
      </c>
      <c r="Z6" s="16">
        <f t="shared" ref="Z6:Z15" si="12">Z5+1</f>
        <v>2009</v>
      </c>
      <c r="AA6" s="31">
        <f>SUMIF('Monthly Data'!$B:$B,Z6,'Monthly Data'!$AH:$AH)/12</f>
        <v>301</v>
      </c>
      <c r="AB6" s="33">
        <f t="shared" ref="AB6:AB13" si="13">AA6/AA5</f>
        <v>1</v>
      </c>
      <c r="AD6" s="16">
        <f t="shared" ref="AD6:AD15" si="14">AD5+1</f>
        <v>2009</v>
      </c>
      <c r="AE6" s="31">
        <f>SUMIF('Monthly Data'!$B:$B,AD6,'Monthly Data'!$AI:$AI)/12</f>
        <v>4283</v>
      </c>
      <c r="AF6" s="33">
        <f t="shared" ref="AF6:AF13" si="15">AE6/AE5</f>
        <v>1</v>
      </c>
      <c r="AH6" s="16">
        <f t="shared" ref="AH6:AH15" si="16">AH5+1</f>
        <v>2009</v>
      </c>
      <c r="AI6" s="31">
        <f>SUMIF('Monthly Data'!$B:$B,AH6,'Monthly Data'!$AJ:$AJ)/12</f>
        <v>3</v>
      </c>
      <c r="AJ6" s="33">
        <f t="shared" ref="AJ6:AJ13" si="17">AI6/AI5</f>
        <v>1</v>
      </c>
    </row>
    <row r="7" spans="2:36" ht="14.4" x14ac:dyDescent="0.3">
      <c r="B7" s="16">
        <f t="shared" si="0"/>
        <v>2010</v>
      </c>
      <c r="C7" s="31">
        <f>SUMIF('Monthly Data'!$B:$B,B7,'Monthly Data'!$AB:$AB)/12</f>
        <v>15991.583333333334</v>
      </c>
      <c r="D7" s="33">
        <f t="shared" si="1"/>
        <v>1.0065195955018462</v>
      </c>
      <c r="E7" s="34"/>
      <c r="F7" s="16">
        <f t="shared" si="2"/>
        <v>2010</v>
      </c>
      <c r="G7" s="31">
        <f>SUMIF('Monthly Data'!$B:$B,F7,'Monthly Data'!$AC:$AC)/12</f>
        <v>1905.9166666666667</v>
      </c>
      <c r="H7" s="33">
        <f t="shared" si="3"/>
        <v>1.0056281053510971</v>
      </c>
      <c r="I7" s="34"/>
      <c r="J7" s="16">
        <f t="shared" si="4"/>
        <v>2010</v>
      </c>
      <c r="K7" s="31">
        <f>SUMIF('Monthly Data'!$B:$B,J7,'Monthly Data'!$AD:$AD)/12</f>
        <v>186.58333333333334</v>
      </c>
      <c r="L7" s="33">
        <f t="shared" si="5"/>
        <v>0.98677831643895986</v>
      </c>
      <c r="M7" s="34"/>
      <c r="N7" s="16">
        <f t="shared" si="6"/>
        <v>2010</v>
      </c>
      <c r="O7" s="31">
        <f>SUMIF('Monthly Data'!$B:$B,N7,'Monthly Data'!$AE:$AE)/12</f>
        <v>5</v>
      </c>
      <c r="P7" s="33">
        <f t="shared" si="7"/>
        <v>1</v>
      </c>
      <c r="Q7" s="34"/>
      <c r="R7" s="16">
        <f t="shared" si="8"/>
        <v>2010</v>
      </c>
      <c r="S7" s="31">
        <f>SUMIF('Monthly Data'!$B:$B,R7,'Monthly Data'!$AF:$AF)/12</f>
        <v>1</v>
      </c>
      <c r="T7" s="33">
        <f t="shared" si="9"/>
        <v>1</v>
      </c>
      <c r="V7" s="16">
        <f t="shared" si="10"/>
        <v>2010</v>
      </c>
      <c r="W7" s="31">
        <f>SUMIF('Monthly Data'!$B:$B,V7,'Monthly Data'!$AG:$AG)/12</f>
        <v>127.16666666666667</v>
      </c>
      <c r="X7" s="33">
        <f t="shared" si="11"/>
        <v>0.99348958333333337</v>
      </c>
      <c r="Z7" s="16">
        <f t="shared" si="12"/>
        <v>2010</v>
      </c>
      <c r="AA7" s="31">
        <f>SUMIF('Monthly Data'!$B:$B,Z7,'Monthly Data'!$AH:$AH)/12</f>
        <v>301</v>
      </c>
      <c r="AB7" s="33">
        <f t="shared" si="13"/>
        <v>1</v>
      </c>
      <c r="AD7" s="16">
        <f t="shared" si="14"/>
        <v>2010</v>
      </c>
      <c r="AE7" s="31">
        <f>SUMIF('Monthly Data'!$B:$B,AD7,'Monthly Data'!$AI:$AI)/12</f>
        <v>4283</v>
      </c>
      <c r="AF7" s="33">
        <f t="shared" si="15"/>
        <v>1</v>
      </c>
      <c r="AH7" s="16">
        <f t="shared" si="16"/>
        <v>2010</v>
      </c>
      <c r="AI7" s="31">
        <f>SUMIF('Monthly Data'!$B:$B,AH7,'Monthly Data'!$AJ:$AJ)/12</f>
        <v>3</v>
      </c>
      <c r="AJ7" s="33">
        <f t="shared" si="17"/>
        <v>1</v>
      </c>
    </row>
    <row r="8" spans="2:36" ht="14.4" x14ac:dyDescent="0.3">
      <c r="B8" s="16">
        <f t="shared" si="0"/>
        <v>2011</v>
      </c>
      <c r="C8" s="31">
        <f>SUMIF('Monthly Data'!$B:$B,B8,'Monthly Data'!$AB:$AB)/12</f>
        <v>16123.333333333334</v>
      </c>
      <c r="D8" s="33">
        <f t="shared" si="1"/>
        <v>1.0082387089041631</v>
      </c>
      <c r="E8" s="34"/>
      <c r="F8" s="16">
        <f t="shared" si="2"/>
        <v>2011</v>
      </c>
      <c r="G8" s="31">
        <f>SUMIF('Monthly Data'!$B:$B,F8,'Monthly Data'!$AC:$AC)/12</f>
        <v>1930.5</v>
      </c>
      <c r="H8" s="33">
        <f t="shared" si="3"/>
        <v>1.0128984303266144</v>
      </c>
      <c r="I8" s="34"/>
      <c r="J8" s="16">
        <f t="shared" si="4"/>
        <v>2011</v>
      </c>
      <c r="K8" s="31">
        <f>SUMIF('Monthly Data'!$B:$B,J8,'Monthly Data'!$AD:$AD)/12</f>
        <v>187.91666666666666</v>
      </c>
      <c r="L8" s="33">
        <f t="shared" si="5"/>
        <v>1.0071460473425635</v>
      </c>
      <c r="M8" s="34"/>
      <c r="N8" s="16">
        <f t="shared" si="6"/>
        <v>2011</v>
      </c>
      <c r="O8" s="31">
        <f>SUMIF('Monthly Data'!$B:$B,N8,'Monthly Data'!$AE:$AE)/12</f>
        <v>5</v>
      </c>
      <c r="P8" s="33">
        <f t="shared" si="7"/>
        <v>1</v>
      </c>
      <c r="Q8" s="34"/>
      <c r="R8" s="16">
        <f t="shared" si="8"/>
        <v>2011</v>
      </c>
      <c r="S8" s="31">
        <f>SUMIF('Monthly Data'!$B:$B,R8,'Monthly Data'!$AF:$AF)/12</f>
        <v>1</v>
      </c>
      <c r="T8" s="33">
        <f t="shared" si="9"/>
        <v>1</v>
      </c>
      <c r="V8" s="16">
        <f t="shared" si="10"/>
        <v>2011</v>
      </c>
      <c r="W8" s="31">
        <f>SUMIF('Monthly Data'!$B:$B,V8,'Monthly Data'!$AG:$AG)/12</f>
        <v>124.25</v>
      </c>
      <c r="X8" s="33">
        <f t="shared" si="11"/>
        <v>0.97706422018348615</v>
      </c>
      <c r="Z8" s="16">
        <f t="shared" si="12"/>
        <v>2011</v>
      </c>
      <c r="AA8" s="31">
        <f>SUMIF('Monthly Data'!$B:$B,Z8,'Monthly Data'!$AH:$AH)/12</f>
        <v>301</v>
      </c>
      <c r="AB8" s="33">
        <f t="shared" si="13"/>
        <v>1</v>
      </c>
      <c r="AD8" s="16">
        <f t="shared" si="14"/>
        <v>2011</v>
      </c>
      <c r="AE8" s="31">
        <f>SUMIF('Monthly Data'!$B:$B,AD8,'Monthly Data'!$AI:$AI)/12</f>
        <v>4283</v>
      </c>
      <c r="AF8" s="33">
        <f t="shared" si="15"/>
        <v>1</v>
      </c>
      <c r="AH8" s="16">
        <f t="shared" si="16"/>
        <v>2011</v>
      </c>
      <c r="AI8" s="31">
        <f>SUMIF('Monthly Data'!$B:$B,AH8,'Monthly Data'!$AJ:$AJ)/12</f>
        <v>3</v>
      </c>
      <c r="AJ8" s="33">
        <f t="shared" si="17"/>
        <v>1</v>
      </c>
    </row>
    <row r="9" spans="2:36" s="35" customFormat="1" ht="14.4" x14ac:dyDescent="0.3">
      <c r="B9" s="16">
        <f t="shared" si="0"/>
        <v>2012</v>
      </c>
      <c r="C9" s="31">
        <f>SUMIF('Monthly Data'!$B:$B,B9,'Monthly Data'!$AB:$AB)/12</f>
        <v>16236.25</v>
      </c>
      <c r="D9" s="33">
        <f t="shared" si="1"/>
        <v>1.0070033078354352</v>
      </c>
      <c r="F9" s="16">
        <f t="shared" si="2"/>
        <v>2012</v>
      </c>
      <c r="G9" s="31">
        <f>SUMIF('Monthly Data'!$B:$B,F9,'Monthly Data'!$AC:$AC)/12</f>
        <v>1921</v>
      </c>
      <c r="H9" s="33">
        <f t="shared" si="3"/>
        <v>0.99507899507899511</v>
      </c>
      <c r="J9" s="16">
        <f t="shared" si="4"/>
        <v>2012</v>
      </c>
      <c r="K9" s="31">
        <f>SUMIF('Monthly Data'!$B:$B,J9,'Monthly Data'!$AD:$AD)/12</f>
        <v>189.33333333333334</v>
      </c>
      <c r="L9" s="33">
        <f t="shared" si="5"/>
        <v>1.0075388026607539</v>
      </c>
      <c r="N9" s="16">
        <f t="shared" si="6"/>
        <v>2012</v>
      </c>
      <c r="O9" s="31">
        <f>SUMIF('Monthly Data'!$B:$B,N9,'Monthly Data'!$AE:$AE)/12</f>
        <v>5</v>
      </c>
      <c r="P9" s="33">
        <f t="shared" si="7"/>
        <v>1</v>
      </c>
      <c r="R9" s="16">
        <f t="shared" si="8"/>
        <v>2012</v>
      </c>
      <c r="S9" s="31">
        <f>SUMIF('Monthly Data'!$B:$B,R9,'Monthly Data'!$AF:$AF)/12</f>
        <v>1</v>
      </c>
      <c r="T9" s="33">
        <f t="shared" si="9"/>
        <v>1</v>
      </c>
      <c r="V9" s="16">
        <f t="shared" si="10"/>
        <v>2012</v>
      </c>
      <c r="W9" s="31">
        <f>SUMIF('Monthly Data'!$B:$B,V9,'Monthly Data'!$AG:$AG)/12</f>
        <v>119.66666666666667</v>
      </c>
      <c r="X9" s="33">
        <f t="shared" si="11"/>
        <v>0.96311200536552655</v>
      </c>
      <c r="Z9" s="16">
        <f t="shared" si="12"/>
        <v>2012</v>
      </c>
      <c r="AA9" s="31">
        <f>SUMIF('Monthly Data'!$B:$B,Z9,'Monthly Data'!$AH:$AH)/12</f>
        <v>301</v>
      </c>
      <c r="AB9" s="33">
        <f t="shared" si="13"/>
        <v>1</v>
      </c>
      <c r="AD9" s="16">
        <f t="shared" si="14"/>
        <v>2012</v>
      </c>
      <c r="AE9" s="31">
        <f>SUMIF('Monthly Data'!$B:$B,AD9,'Monthly Data'!$AI:$AI)/12</f>
        <v>4283</v>
      </c>
      <c r="AF9" s="33">
        <f t="shared" si="15"/>
        <v>1</v>
      </c>
      <c r="AH9" s="16">
        <f t="shared" si="16"/>
        <v>2012</v>
      </c>
      <c r="AI9" s="31">
        <f>SUMIF('Monthly Data'!$B:$B,AH9,'Monthly Data'!$AJ:$AJ)/12</f>
        <v>3</v>
      </c>
      <c r="AJ9" s="33">
        <f t="shared" si="17"/>
        <v>1</v>
      </c>
    </row>
    <row r="10" spans="2:36" s="35" customFormat="1" ht="14.4" x14ac:dyDescent="0.3">
      <c r="B10" s="16">
        <f t="shared" si="0"/>
        <v>2013</v>
      </c>
      <c r="C10" s="31">
        <f>SUMIF('Monthly Data'!$B:$B,B10,'Monthly Data'!$AB:$AB)/12</f>
        <v>16383</v>
      </c>
      <c r="D10" s="33">
        <f t="shared" si="1"/>
        <v>1.0090384171221802</v>
      </c>
      <c r="F10" s="16">
        <f t="shared" si="2"/>
        <v>2013</v>
      </c>
      <c r="G10" s="31">
        <f>SUMIF('Monthly Data'!$B:$B,F10,'Monthly Data'!$AC:$AC)/12</f>
        <v>1940</v>
      </c>
      <c r="H10" s="33">
        <f t="shared" si="3"/>
        <v>1.0098906819364915</v>
      </c>
      <c r="J10" s="16">
        <f t="shared" si="4"/>
        <v>2013</v>
      </c>
      <c r="K10" s="31">
        <f>SUMIF('Monthly Data'!$B:$B,J10,'Monthly Data'!$AD:$AD)/12</f>
        <v>187.41666666666666</v>
      </c>
      <c r="L10" s="33">
        <f t="shared" si="5"/>
        <v>0.98987676056338014</v>
      </c>
      <c r="N10" s="16">
        <f t="shared" si="6"/>
        <v>2013</v>
      </c>
      <c r="O10" s="31">
        <f>SUMIF('Monthly Data'!$B:$B,N10,'Monthly Data'!$AE:$AE)/12</f>
        <v>5</v>
      </c>
      <c r="P10" s="33">
        <f t="shared" si="7"/>
        <v>1</v>
      </c>
      <c r="R10" s="16">
        <f t="shared" si="8"/>
        <v>2013</v>
      </c>
      <c r="S10" s="31">
        <f>SUMIF('Monthly Data'!$B:$B,R10,'Monthly Data'!$AF:$AF)/12</f>
        <v>1</v>
      </c>
      <c r="T10" s="33">
        <f t="shared" si="9"/>
        <v>1</v>
      </c>
      <c r="V10" s="16">
        <f t="shared" si="10"/>
        <v>2013</v>
      </c>
      <c r="W10" s="31">
        <f>SUMIF('Monthly Data'!$B:$B,V10,'Monthly Data'!$AG:$AG)/12</f>
        <v>123.66666666666667</v>
      </c>
      <c r="X10" s="33">
        <f t="shared" si="11"/>
        <v>1.0334261838440111</v>
      </c>
      <c r="Z10" s="16">
        <f t="shared" si="12"/>
        <v>2013</v>
      </c>
      <c r="AA10" s="31">
        <f>SUMIF('Monthly Data'!$B:$B,Z10,'Monthly Data'!$AH:$AH)/12</f>
        <v>248</v>
      </c>
      <c r="AB10" s="33">
        <f t="shared" si="13"/>
        <v>0.82392026578073085</v>
      </c>
      <c r="AD10" s="16">
        <f t="shared" si="14"/>
        <v>2013</v>
      </c>
      <c r="AE10" s="31">
        <f>SUMIF('Monthly Data'!$B:$B,AD10,'Monthly Data'!$AI:$AI)/12</f>
        <v>4498</v>
      </c>
      <c r="AF10" s="33">
        <f t="shared" si="15"/>
        <v>1.0501984590240485</v>
      </c>
      <c r="AH10" s="16">
        <f t="shared" si="16"/>
        <v>2013</v>
      </c>
      <c r="AI10" s="31">
        <f>SUMIF('Monthly Data'!$B:$B,AH10,'Monthly Data'!$AJ:$AJ)/12</f>
        <v>4</v>
      </c>
      <c r="AJ10" s="33">
        <f t="shared" si="17"/>
        <v>1.3333333333333333</v>
      </c>
    </row>
    <row r="11" spans="2:36" s="35" customFormat="1" ht="14.4" x14ac:dyDescent="0.3">
      <c r="B11" s="16">
        <f t="shared" si="0"/>
        <v>2014</v>
      </c>
      <c r="C11" s="31">
        <f>SUMIF('Monthly Data'!$B:$B,B11,'Monthly Data'!$AB:$AB)/12</f>
        <v>16515.916666666668</v>
      </c>
      <c r="D11" s="33">
        <f t="shared" si="1"/>
        <v>1.0081130847016218</v>
      </c>
      <c r="F11" s="16">
        <f t="shared" si="2"/>
        <v>2014</v>
      </c>
      <c r="G11" s="31">
        <f>SUMIF('Monthly Data'!$B:$B,F11,'Monthly Data'!$AC:$AC)/12</f>
        <v>1952.9166666666667</v>
      </c>
      <c r="H11" s="33">
        <f t="shared" si="3"/>
        <v>1.0066580756013745</v>
      </c>
      <c r="J11" s="16">
        <f t="shared" si="4"/>
        <v>2014</v>
      </c>
      <c r="K11" s="31">
        <f>SUMIF('Monthly Data'!$B:$B,J11,'Monthly Data'!$AD:$AD)/12</f>
        <v>182.66666666666666</v>
      </c>
      <c r="L11" s="33">
        <f t="shared" si="5"/>
        <v>0.97465540240106718</v>
      </c>
      <c r="N11" s="16">
        <f t="shared" si="6"/>
        <v>2014</v>
      </c>
      <c r="O11" s="31">
        <f>SUMIF('Monthly Data'!$B:$B,N11,'Monthly Data'!$AE:$AE)/12</f>
        <v>5</v>
      </c>
      <c r="P11" s="33">
        <f t="shared" si="7"/>
        <v>1</v>
      </c>
      <c r="R11" s="16">
        <f t="shared" si="8"/>
        <v>2014</v>
      </c>
      <c r="S11" s="31">
        <f>SUMIF('Monthly Data'!$B:$B,R11,'Monthly Data'!$AF:$AF)/12</f>
        <v>1</v>
      </c>
      <c r="T11" s="33">
        <f t="shared" si="9"/>
        <v>1</v>
      </c>
      <c r="V11" s="16">
        <f t="shared" si="10"/>
        <v>2014</v>
      </c>
      <c r="W11" s="31">
        <f>SUMIF('Monthly Data'!$B:$B,V11,'Monthly Data'!$AG:$AG)/12</f>
        <v>120.91666666666667</v>
      </c>
      <c r="X11" s="33">
        <f t="shared" si="11"/>
        <v>0.97776280323450138</v>
      </c>
      <c r="Z11" s="16">
        <f t="shared" si="12"/>
        <v>2014</v>
      </c>
      <c r="AA11" s="31">
        <f>SUMIF('Monthly Data'!$B:$B,Z11,'Monthly Data'!$AH:$AH)/12</f>
        <v>248</v>
      </c>
      <c r="AB11" s="33">
        <f t="shared" si="13"/>
        <v>1</v>
      </c>
      <c r="AD11" s="16">
        <f t="shared" si="14"/>
        <v>2014</v>
      </c>
      <c r="AE11" s="31">
        <f>SUMIF('Monthly Data'!$B:$B,AD11,'Monthly Data'!$AI:$AI)/12</f>
        <v>4498</v>
      </c>
      <c r="AF11" s="33">
        <f t="shared" si="15"/>
        <v>1</v>
      </c>
      <c r="AH11" s="16">
        <f t="shared" si="16"/>
        <v>2014</v>
      </c>
      <c r="AI11" s="31">
        <f>SUMIF('Monthly Data'!$B:$B,AH11,'Monthly Data'!$AJ:$AJ)/12</f>
        <v>4</v>
      </c>
      <c r="AJ11" s="33">
        <f t="shared" si="17"/>
        <v>1</v>
      </c>
    </row>
    <row r="12" spans="2:36" s="35" customFormat="1" ht="14.4" x14ac:dyDescent="0.3">
      <c r="B12" s="16">
        <f t="shared" si="0"/>
        <v>2015</v>
      </c>
      <c r="C12" s="31">
        <f>SUMIF('Monthly Data'!$B:$B,B12,'Monthly Data'!$AB:$AB)/12</f>
        <v>16667.416666666668</v>
      </c>
      <c r="D12" s="33">
        <f t="shared" si="1"/>
        <v>1.0091729695092109</v>
      </c>
      <c r="F12" s="16">
        <f t="shared" si="2"/>
        <v>2015</v>
      </c>
      <c r="G12" s="31">
        <f>SUMIF('Monthly Data'!$B:$B,F12,'Monthly Data'!$AC:$AC)/12</f>
        <v>1989.3333333333333</v>
      </c>
      <c r="H12" s="33">
        <f t="shared" si="3"/>
        <v>1.0186473223810539</v>
      </c>
      <c r="J12" s="16">
        <f t="shared" si="4"/>
        <v>2015</v>
      </c>
      <c r="K12" s="31">
        <f>SUMIF('Monthly Data'!$B:$B,J12,'Monthly Data'!$AD:$AD)/12</f>
        <v>157.25</v>
      </c>
      <c r="L12" s="33">
        <f t="shared" si="5"/>
        <v>0.86085766423357668</v>
      </c>
      <c r="N12" s="16">
        <f t="shared" si="6"/>
        <v>2015</v>
      </c>
      <c r="O12" s="31">
        <f>SUMIF('Monthly Data'!$B:$B,N12,'Monthly Data'!$AE:$AE)/12</f>
        <v>5</v>
      </c>
      <c r="P12" s="33">
        <f t="shared" si="7"/>
        <v>1</v>
      </c>
      <c r="R12" s="16">
        <f t="shared" si="8"/>
        <v>2015</v>
      </c>
      <c r="S12" s="31">
        <f>SUMIF('Monthly Data'!$B:$B,R12,'Monthly Data'!$AF:$AF)/12</f>
        <v>1</v>
      </c>
      <c r="T12" s="33">
        <f t="shared" si="9"/>
        <v>1</v>
      </c>
      <c r="V12" s="16">
        <f t="shared" si="10"/>
        <v>2015</v>
      </c>
      <c r="W12" s="31">
        <f>SUMIF('Monthly Data'!$B:$B,V12,'Monthly Data'!$AG:$AG)/12</f>
        <v>127.66666666666667</v>
      </c>
      <c r="X12" s="33">
        <f t="shared" si="11"/>
        <v>1.0558235699517573</v>
      </c>
      <c r="Z12" s="16">
        <f t="shared" si="12"/>
        <v>2015</v>
      </c>
      <c r="AA12" s="31">
        <f>SUMIF('Monthly Data'!$B:$B,Z12,'Monthly Data'!$AH:$AH)/12</f>
        <v>248</v>
      </c>
      <c r="AB12" s="33">
        <f t="shared" si="13"/>
        <v>1</v>
      </c>
      <c r="AD12" s="16">
        <f t="shared" si="14"/>
        <v>2015</v>
      </c>
      <c r="AE12" s="31">
        <f>SUMIF('Monthly Data'!$B:$B,AD12,'Monthly Data'!$AI:$AI)/12</f>
        <v>4617.083333333333</v>
      </c>
      <c r="AF12" s="33">
        <f t="shared" si="15"/>
        <v>1.0264747295094114</v>
      </c>
      <c r="AH12" s="16">
        <f t="shared" si="16"/>
        <v>2015</v>
      </c>
      <c r="AI12" s="31">
        <f>SUMIF('Monthly Data'!$B:$B,AH12,'Monthly Data'!$AJ:$AJ)/12</f>
        <v>4</v>
      </c>
      <c r="AJ12" s="33">
        <f t="shared" si="17"/>
        <v>1</v>
      </c>
    </row>
    <row r="13" spans="2:36" s="35" customFormat="1" ht="14.4" x14ac:dyDescent="0.3">
      <c r="B13" s="16">
        <f t="shared" si="0"/>
        <v>2016</v>
      </c>
      <c r="C13" s="31">
        <f>SUMIF('Monthly Data'!$B:$B,B13,'Monthly Data'!$AB:$AB)/12</f>
        <v>16855.083333333332</v>
      </c>
      <c r="D13" s="33">
        <f t="shared" si="1"/>
        <v>1.0112594933228003</v>
      </c>
      <c r="F13" s="16">
        <f t="shared" si="2"/>
        <v>2016</v>
      </c>
      <c r="G13" s="31">
        <f>SUMIF('Monthly Data'!$B:$B,F13,'Monthly Data'!$AC:$AC)/12</f>
        <v>1993.3333333333333</v>
      </c>
      <c r="H13" s="33">
        <f t="shared" si="3"/>
        <v>1.0020107238605898</v>
      </c>
      <c r="J13" s="16">
        <f t="shared" si="4"/>
        <v>2016</v>
      </c>
      <c r="K13" s="31">
        <f>SUMIF('Monthly Data'!$B:$B,J13,'Monthly Data'!$AD:$AD)/12</f>
        <v>159.75</v>
      </c>
      <c r="L13" s="33">
        <f t="shared" si="5"/>
        <v>1.0158982511923689</v>
      </c>
      <c r="N13" s="16">
        <f t="shared" si="6"/>
        <v>2016</v>
      </c>
      <c r="O13" s="31">
        <f>SUMIF('Monthly Data'!$B:$B,N13,'Monthly Data'!$AE:$AE)/12</f>
        <v>5</v>
      </c>
      <c r="P13" s="33">
        <f t="shared" si="7"/>
        <v>1</v>
      </c>
      <c r="R13" s="16">
        <f t="shared" si="8"/>
        <v>2016</v>
      </c>
      <c r="S13" s="31">
        <f>SUMIF('Monthly Data'!$B:$B,R13,'Monthly Data'!$AF:$AF)/12</f>
        <v>1</v>
      </c>
      <c r="T13" s="33">
        <f t="shared" si="9"/>
        <v>1</v>
      </c>
      <c r="V13" s="16">
        <f t="shared" si="10"/>
        <v>2016</v>
      </c>
      <c r="W13" s="31">
        <f>SUMIF('Monthly Data'!$B:$B,V13,'Monthly Data'!$AG:$AG)/12</f>
        <v>126.41666666666667</v>
      </c>
      <c r="X13" s="33">
        <f t="shared" si="11"/>
        <v>0.99020887728459528</v>
      </c>
      <c r="Z13" s="16">
        <f t="shared" si="12"/>
        <v>2016</v>
      </c>
      <c r="AA13" s="31">
        <f>SUMIF('Monthly Data'!$B:$B,Z13,'Monthly Data'!$AH:$AH)/12</f>
        <v>248</v>
      </c>
      <c r="AB13" s="33">
        <f t="shared" si="13"/>
        <v>1</v>
      </c>
      <c r="AD13" s="16">
        <f t="shared" si="14"/>
        <v>2016</v>
      </c>
      <c r="AE13" s="31">
        <f>SUMIF('Monthly Data'!$B:$B,AD13,'Monthly Data'!$AI:$AI)/12</f>
        <v>5927</v>
      </c>
      <c r="AF13" s="33">
        <f t="shared" si="15"/>
        <v>1.2837108564209008</v>
      </c>
      <c r="AH13" s="16">
        <f t="shared" si="16"/>
        <v>2016</v>
      </c>
      <c r="AI13" s="31">
        <f>SUMIF('Monthly Data'!$B:$B,AH13,'Monthly Data'!$AJ:$AJ)/12</f>
        <v>4</v>
      </c>
      <c r="AJ13" s="33">
        <f t="shared" si="17"/>
        <v>1</v>
      </c>
    </row>
    <row r="14" spans="2:36" s="35" customFormat="1" x14ac:dyDescent="0.25">
      <c r="B14" s="35">
        <f t="shared" si="0"/>
        <v>2017</v>
      </c>
      <c r="C14" s="36">
        <f>C13*D14</f>
        <v>16986.648595616094</v>
      </c>
      <c r="D14" s="93">
        <f>GEOMEAN(D5:D13)</f>
        <v>1.0078056726081308</v>
      </c>
      <c r="F14" s="35">
        <f t="shared" si="2"/>
        <v>2017</v>
      </c>
      <c r="G14" s="36">
        <f>G13*H14</f>
        <v>2005.7581747453632</v>
      </c>
      <c r="H14" s="93">
        <f>GEOMEAN(H5:H13)</f>
        <v>1.006233198032791</v>
      </c>
      <c r="J14" s="35">
        <f t="shared" si="4"/>
        <v>2017</v>
      </c>
      <c r="K14" s="36">
        <f>K13*L14</f>
        <v>157.41214581971806</v>
      </c>
      <c r="L14" s="93">
        <f>GEOMEAN(L5:L13)</f>
        <v>0.98536554503735874</v>
      </c>
      <c r="N14" s="35">
        <f t="shared" si="6"/>
        <v>2017</v>
      </c>
      <c r="O14" s="36">
        <f>O13*P14</f>
        <v>5</v>
      </c>
      <c r="P14" s="93">
        <f>GEOMEAN(P5:P13)</f>
        <v>1</v>
      </c>
      <c r="R14" s="35">
        <f t="shared" si="8"/>
        <v>2017</v>
      </c>
      <c r="S14" s="36">
        <f>S13*T14</f>
        <v>1</v>
      </c>
      <c r="T14" s="93">
        <f>GEOMEAN(T5:T13)</f>
        <v>1</v>
      </c>
      <c r="V14" s="35">
        <f t="shared" si="10"/>
        <v>2017</v>
      </c>
      <c r="W14" s="36">
        <f>W13*X14</f>
        <v>128.05501245348748</v>
      </c>
      <c r="X14" s="93">
        <f>GEOMEAN(X5:X13)</f>
        <v>1.0129598875687869</v>
      </c>
      <c r="Z14" s="35">
        <f t="shared" si="12"/>
        <v>2017</v>
      </c>
      <c r="AA14" s="36">
        <f>AA13*AB14</f>
        <v>242.72001500815873</v>
      </c>
      <c r="AB14" s="93">
        <f>GEOMEAN(AB5:AB13)</f>
        <v>0.97870973793612392</v>
      </c>
      <c r="AD14" s="35">
        <f t="shared" si="14"/>
        <v>2017</v>
      </c>
      <c r="AE14" s="36">
        <f>AE13*AF14</f>
        <v>5998.0974893451794</v>
      </c>
      <c r="AF14" s="93">
        <f>GEOMEAN(AF5:AF12)</f>
        <v>1.0119955271377052</v>
      </c>
      <c r="AH14" s="35">
        <f t="shared" si="16"/>
        <v>2017</v>
      </c>
      <c r="AI14" s="36">
        <v>4</v>
      </c>
      <c r="AJ14" s="93"/>
    </row>
    <row r="15" spans="2:36" s="35" customFormat="1" ht="14.4" x14ac:dyDescent="0.3">
      <c r="B15" s="35">
        <f t="shared" si="0"/>
        <v>2018</v>
      </c>
      <c r="C15" s="36">
        <f>C14*D15</f>
        <v>17119.240813262837</v>
      </c>
      <c r="D15" s="37">
        <f>D14</f>
        <v>1.0078056726081308</v>
      </c>
      <c r="F15" s="35">
        <f t="shared" si="2"/>
        <v>2018</v>
      </c>
      <c r="G15" s="36">
        <f>G14*H15</f>
        <v>2018.2604626544405</v>
      </c>
      <c r="H15" s="37">
        <f>H14</f>
        <v>1.006233198032791</v>
      </c>
      <c r="J15" s="35">
        <f t="shared" si="4"/>
        <v>2018</v>
      </c>
      <c r="K15" s="36">
        <f>K14*L15</f>
        <v>155.10850486114668</v>
      </c>
      <c r="L15" s="37">
        <f>L14</f>
        <v>0.98536554503735874</v>
      </c>
      <c r="N15" s="35">
        <f t="shared" si="6"/>
        <v>2018</v>
      </c>
      <c r="O15" s="36">
        <v>4</v>
      </c>
      <c r="P15" s="106">
        <f t="shared" si="7"/>
        <v>0.8</v>
      </c>
      <c r="R15" s="35">
        <f t="shared" si="8"/>
        <v>2018</v>
      </c>
      <c r="S15" s="36">
        <f>S14*T15</f>
        <v>1</v>
      </c>
      <c r="T15" s="37">
        <f>T14</f>
        <v>1</v>
      </c>
      <c r="V15" s="35">
        <f t="shared" si="10"/>
        <v>2018</v>
      </c>
      <c r="W15" s="36">
        <f>W14*X15</f>
        <v>129.71459101750429</v>
      </c>
      <c r="X15" s="37">
        <f>X14</f>
        <v>1.0129598875687869</v>
      </c>
      <c r="Z15" s="35">
        <f t="shared" si="12"/>
        <v>2018</v>
      </c>
      <c r="AA15" s="36">
        <f>AA14*AB15</f>
        <v>237.5524422804871</v>
      </c>
      <c r="AB15" s="37">
        <f>AB14</f>
        <v>0.97870973793612392</v>
      </c>
      <c r="AD15" s="35">
        <f t="shared" si="14"/>
        <v>2018</v>
      </c>
      <c r="AE15" s="36">
        <f>AE14*AF15</f>
        <v>6070.0478305532215</v>
      </c>
      <c r="AF15" s="37">
        <f>AF14</f>
        <v>1.0119955271377052</v>
      </c>
      <c r="AH15" s="35">
        <f t="shared" si="16"/>
        <v>2018</v>
      </c>
      <c r="AI15" s="36">
        <v>4</v>
      </c>
      <c r="AJ15" s="37"/>
    </row>
  </sheetData>
  <mergeCells count="18">
    <mergeCell ref="L2:L3"/>
    <mergeCell ref="B2:C2"/>
    <mergeCell ref="D2:D3"/>
    <mergeCell ref="F2:G2"/>
    <mergeCell ref="H2:H3"/>
    <mergeCell ref="J2:K2"/>
    <mergeCell ref="AJ2:AJ3"/>
    <mergeCell ref="AH2:AI2"/>
    <mergeCell ref="AE2:AE3"/>
    <mergeCell ref="P2:P3"/>
    <mergeCell ref="T2:T3"/>
    <mergeCell ref="X2:X3"/>
    <mergeCell ref="R2:S2"/>
    <mergeCell ref="N2:O2"/>
    <mergeCell ref="V2:W2"/>
    <mergeCell ref="Z2:AA2"/>
    <mergeCell ref="AB2:AB3"/>
    <mergeCell ref="AF2:AF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"/>
  <sheetViews>
    <sheetView topLeftCell="A2" workbookViewId="0">
      <selection activeCell="M18" sqref="M18"/>
    </sheetView>
  </sheetViews>
  <sheetFormatPr defaultColWidth="9.109375" defaultRowHeight="13.2" x14ac:dyDescent="0.25"/>
  <cols>
    <col min="1" max="1" width="3.109375" style="16" customWidth="1"/>
    <col min="2" max="2" width="5" style="16" bestFit="1" customWidth="1"/>
    <col min="3" max="3" width="11.109375" style="16" bestFit="1" customWidth="1"/>
    <col min="4" max="4" width="23.33203125" style="16" bestFit="1" customWidth="1"/>
    <col min="5" max="5" width="13.5546875" style="16" bestFit="1" customWidth="1"/>
    <col min="6" max="6" width="1.6640625" style="16" customWidth="1"/>
    <col min="7" max="7" width="11.109375" style="16" bestFit="1" customWidth="1"/>
    <col min="8" max="8" width="23.33203125" style="16" bestFit="1" customWidth="1"/>
    <col min="9" max="9" width="11.109375" style="16" customWidth="1"/>
    <col min="10" max="10" width="3.88671875" style="16" customWidth="1"/>
    <col min="11" max="11" width="5" style="16" bestFit="1" customWidth="1"/>
    <col min="12" max="12" width="10.109375" style="16" bestFit="1" customWidth="1"/>
    <col min="13" max="13" width="23.33203125" style="16" bestFit="1" customWidth="1"/>
    <col min="14" max="14" width="13.5546875" style="16" bestFit="1" customWidth="1"/>
    <col min="15" max="15" width="1.44140625" style="16" customWidth="1"/>
    <col min="16" max="16" width="17.6640625" style="16" bestFit="1" customWidth="1"/>
    <col min="17" max="17" width="23.33203125" style="16" bestFit="1" customWidth="1"/>
    <col min="18" max="18" width="10.109375" style="16" bestFit="1" customWidth="1"/>
    <col min="19" max="19" width="3.88671875" style="16" customWidth="1"/>
    <col min="20" max="20" width="5" style="16" bestFit="1" customWidth="1"/>
    <col min="21" max="21" width="13.5546875" style="16" bestFit="1" customWidth="1"/>
    <col min="22" max="22" width="11.33203125" style="16" customWidth="1"/>
    <col min="23" max="23" width="19.44140625" style="16" bestFit="1" customWidth="1"/>
    <col min="24" max="24" width="17.5546875" style="16" bestFit="1" customWidth="1"/>
    <col min="25" max="26" width="14.44140625" style="16" customWidth="1"/>
    <col min="27" max="27" width="6.5546875" style="16" customWidth="1"/>
    <col min="28" max="28" width="5" style="16" bestFit="1" customWidth="1"/>
    <col min="29" max="29" width="14.44140625" style="16" customWidth="1"/>
    <col min="30" max="30" width="9.6640625" style="16" bestFit="1" customWidth="1"/>
    <col min="31" max="31" width="19.44140625" style="16" bestFit="1" customWidth="1"/>
    <col min="32" max="36" width="14.44140625" style="16" customWidth="1"/>
    <col min="37" max="37" width="3.88671875" style="16" customWidth="1"/>
    <col min="38" max="38" width="5" style="16" bestFit="1" customWidth="1"/>
    <col min="39" max="39" width="11.109375" style="16" bestFit="1" customWidth="1"/>
    <col min="40" max="40" width="11.109375" style="16" customWidth="1"/>
    <col min="41" max="41" width="19.44140625" style="16" bestFit="1" customWidth="1"/>
    <col min="42" max="42" width="14.44140625" style="16" bestFit="1" customWidth="1"/>
    <col min="43" max="44" width="14.44140625" style="16" customWidth="1"/>
    <col min="45" max="45" width="3.88671875" style="16" customWidth="1"/>
    <col min="46" max="46" width="5" style="16" bestFit="1" customWidth="1"/>
    <col min="47" max="47" width="10.5546875" style="16" bestFit="1" customWidth="1"/>
    <col min="48" max="48" width="10.5546875" style="16" customWidth="1"/>
    <col min="49" max="49" width="10.33203125" style="16" bestFit="1" customWidth="1"/>
    <col min="50" max="50" width="14.44140625" style="16" bestFit="1" customWidth="1"/>
    <col min="51" max="51" width="3.88671875" style="16" customWidth="1"/>
    <col min="52" max="52" width="5" style="16" bestFit="1" customWidth="1"/>
    <col min="53" max="53" width="9.109375" style="16"/>
    <col min="54" max="54" width="10.33203125" style="16" bestFit="1" customWidth="1"/>
    <col min="55" max="55" width="7.6640625" style="16" customWidth="1"/>
    <col min="56" max="56" width="7.33203125" style="16" bestFit="1" customWidth="1"/>
    <col min="57" max="57" width="3.6640625" style="16" customWidth="1"/>
    <col min="58" max="58" width="9.109375" style="16"/>
    <col min="59" max="59" width="9.109375" style="16" bestFit="1" customWidth="1"/>
    <col min="60" max="60" width="10.33203125" style="16" bestFit="1" customWidth="1"/>
    <col min="61" max="61" width="9.109375" style="16"/>
    <col min="62" max="62" width="14.44140625" style="16" bestFit="1" customWidth="1"/>
    <col min="63" max="63" width="4.21875" style="16" customWidth="1"/>
    <col min="64" max="64" width="9.109375" style="16"/>
    <col min="65" max="65" width="10.109375" style="16" bestFit="1" customWidth="1"/>
    <col min="66" max="66" width="11.109375" style="16" bestFit="1" customWidth="1"/>
    <col min="67" max="67" width="14.44140625" style="16" bestFit="1" customWidth="1"/>
    <col min="68" max="16384" width="9.109375" style="16"/>
  </cols>
  <sheetData>
    <row r="1" spans="1:67" x14ac:dyDescent="0.25">
      <c r="A1" s="39" t="s">
        <v>106</v>
      </c>
    </row>
    <row r="2" spans="1:67" ht="12.75" customHeight="1" x14ac:dyDescent="0.25">
      <c r="B2" s="143" t="s">
        <v>93</v>
      </c>
      <c r="C2" s="143"/>
      <c r="D2" s="143"/>
      <c r="E2" s="143"/>
      <c r="F2" s="143"/>
      <c r="G2" s="143"/>
      <c r="H2" s="143"/>
      <c r="I2" s="143"/>
      <c r="K2" s="143" t="s">
        <v>95</v>
      </c>
      <c r="L2" s="143"/>
      <c r="M2" s="143"/>
      <c r="N2" s="143"/>
      <c r="O2" s="143"/>
      <c r="P2" s="143"/>
      <c r="Q2" s="143"/>
      <c r="R2" s="143"/>
      <c r="U2" s="30" t="s">
        <v>96</v>
      </c>
      <c r="V2" s="30"/>
      <c r="W2" s="30"/>
      <c r="X2" s="30"/>
      <c r="Y2" s="30"/>
      <c r="Z2" s="30"/>
      <c r="AA2" s="30"/>
      <c r="AB2" s="143" t="s">
        <v>36</v>
      </c>
      <c r="AC2" s="143"/>
      <c r="AD2" s="143"/>
      <c r="AE2" s="143"/>
      <c r="AF2" s="143"/>
      <c r="AG2" s="143"/>
      <c r="AH2" s="143"/>
      <c r="AI2" s="90"/>
      <c r="AJ2" s="90"/>
      <c r="AL2" s="145" t="s">
        <v>154</v>
      </c>
      <c r="AM2" s="145"/>
      <c r="AN2" s="145"/>
      <c r="AO2" s="145"/>
      <c r="AP2" s="145"/>
      <c r="AQ2" s="145"/>
      <c r="AR2" s="145"/>
      <c r="AU2" s="30" t="s">
        <v>32</v>
      </c>
      <c r="AV2" s="30"/>
      <c r="AX2" s="41"/>
      <c r="BA2" s="30" t="s">
        <v>31</v>
      </c>
      <c r="BB2" s="30"/>
      <c r="BD2" s="89"/>
      <c r="BG2" s="30" t="s">
        <v>33</v>
      </c>
      <c r="BH2" s="30"/>
      <c r="BJ2" s="89"/>
      <c r="BM2" s="30" t="s">
        <v>35</v>
      </c>
      <c r="BN2" s="30"/>
      <c r="BO2" s="89"/>
    </row>
    <row r="3" spans="1:67" x14ac:dyDescent="0.25">
      <c r="B3" s="30" t="s">
        <v>89</v>
      </c>
      <c r="C3" s="30" t="s">
        <v>97</v>
      </c>
      <c r="D3" s="30" t="s">
        <v>193</v>
      </c>
      <c r="E3" s="30" t="s">
        <v>187</v>
      </c>
      <c r="F3" s="30"/>
      <c r="G3" s="40" t="s">
        <v>194</v>
      </c>
      <c r="H3" s="30" t="s">
        <v>193</v>
      </c>
      <c r="I3" s="40" t="s">
        <v>108</v>
      </c>
      <c r="K3" s="30" t="s">
        <v>89</v>
      </c>
      <c r="L3" s="30" t="s">
        <v>97</v>
      </c>
      <c r="M3" s="30" t="s">
        <v>193</v>
      </c>
      <c r="N3" s="30" t="s">
        <v>187</v>
      </c>
      <c r="O3" s="30"/>
      <c r="P3" s="40" t="s">
        <v>194</v>
      </c>
      <c r="Q3" s="30" t="s">
        <v>193</v>
      </c>
      <c r="R3" s="40" t="s">
        <v>108</v>
      </c>
      <c r="T3" s="30" t="s">
        <v>89</v>
      </c>
      <c r="U3" s="30" t="s">
        <v>187</v>
      </c>
      <c r="V3" s="30" t="s">
        <v>104</v>
      </c>
      <c r="W3" s="30" t="s">
        <v>188</v>
      </c>
      <c r="X3" s="30" t="s">
        <v>202</v>
      </c>
      <c r="Y3" s="30" t="s">
        <v>192</v>
      </c>
      <c r="Z3" s="30" t="s">
        <v>122</v>
      </c>
      <c r="AA3" s="30"/>
      <c r="AB3" s="30" t="s">
        <v>89</v>
      </c>
      <c r="AC3" s="30" t="s">
        <v>187</v>
      </c>
      <c r="AD3" s="30" t="s">
        <v>104</v>
      </c>
      <c r="AE3" s="30" t="s">
        <v>188</v>
      </c>
      <c r="AF3" s="30" t="s">
        <v>202</v>
      </c>
      <c r="AG3" s="30" t="s">
        <v>192</v>
      </c>
      <c r="AH3" s="30" t="s">
        <v>122</v>
      </c>
      <c r="AI3" s="30" t="s">
        <v>209</v>
      </c>
      <c r="AJ3" s="30" t="s">
        <v>210</v>
      </c>
      <c r="AL3" s="30" t="s">
        <v>89</v>
      </c>
      <c r="AM3" s="30" t="s">
        <v>97</v>
      </c>
      <c r="AN3" s="30" t="s">
        <v>104</v>
      </c>
      <c r="AO3" s="30" t="s">
        <v>188</v>
      </c>
      <c r="AP3" s="30" t="s">
        <v>202</v>
      </c>
      <c r="AQ3" s="30" t="s">
        <v>192</v>
      </c>
      <c r="AR3" s="30" t="s">
        <v>122</v>
      </c>
      <c r="AT3" s="30" t="s">
        <v>89</v>
      </c>
      <c r="AU3" s="30" t="s">
        <v>97</v>
      </c>
      <c r="AV3" s="30" t="s">
        <v>103</v>
      </c>
      <c r="AW3" s="30" t="s">
        <v>188</v>
      </c>
      <c r="AX3" s="30" t="s">
        <v>122</v>
      </c>
      <c r="AZ3" s="30" t="s">
        <v>89</v>
      </c>
      <c r="BA3" s="30" t="s">
        <v>97</v>
      </c>
      <c r="BB3" s="30" t="s">
        <v>105</v>
      </c>
      <c r="BC3" s="30" t="s">
        <v>188</v>
      </c>
      <c r="BD3" s="30" t="s">
        <v>122</v>
      </c>
      <c r="BF3" s="30" t="s">
        <v>89</v>
      </c>
      <c r="BG3" s="30" t="s">
        <v>97</v>
      </c>
      <c r="BH3" s="30" t="s">
        <v>105</v>
      </c>
      <c r="BI3" s="30" t="s">
        <v>188</v>
      </c>
      <c r="BJ3" s="30" t="s">
        <v>122</v>
      </c>
      <c r="BL3" s="30" t="s">
        <v>89</v>
      </c>
      <c r="BM3" s="30" t="s">
        <v>97</v>
      </c>
      <c r="BN3" s="30" t="s">
        <v>105</v>
      </c>
      <c r="BO3" s="30" t="s">
        <v>122</v>
      </c>
    </row>
    <row r="4" spans="1:67" x14ac:dyDescent="0.25">
      <c r="B4" s="30"/>
      <c r="C4" s="30" t="s">
        <v>113</v>
      </c>
      <c r="D4" s="30" t="s">
        <v>115</v>
      </c>
      <c r="E4" s="30" t="s">
        <v>189</v>
      </c>
      <c r="F4" s="30"/>
      <c r="G4" s="40" t="s">
        <v>117</v>
      </c>
      <c r="H4" s="40" t="s">
        <v>190</v>
      </c>
      <c r="I4" s="40" t="s">
        <v>191</v>
      </c>
      <c r="K4" s="30"/>
      <c r="L4" s="30" t="s">
        <v>113</v>
      </c>
      <c r="M4" s="30" t="s">
        <v>115</v>
      </c>
      <c r="N4" s="30" t="s">
        <v>189</v>
      </c>
      <c r="O4" s="30"/>
      <c r="P4" s="40" t="s">
        <v>117</v>
      </c>
      <c r="Q4" s="40" t="s">
        <v>190</v>
      </c>
      <c r="R4" s="40" t="s">
        <v>191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L4" s="30"/>
      <c r="AM4" s="30"/>
      <c r="AN4" s="30"/>
      <c r="AO4" s="30"/>
      <c r="AP4" s="30"/>
      <c r="AQ4" s="30"/>
      <c r="AR4" s="30"/>
      <c r="AT4" s="30"/>
      <c r="AU4" s="30"/>
      <c r="AV4" s="30"/>
      <c r="AW4" s="30"/>
      <c r="AX4" s="30"/>
      <c r="AZ4" s="30"/>
      <c r="BA4" s="30"/>
      <c r="BB4" s="30"/>
      <c r="BC4" s="30"/>
      <c r="BD4" s="30"/>
      <c r="BF4" s="30"/>
      <c r="BG4" s="30"/>
      <c r="BH4" s="30"/>
      <c r="BI4" s="30"/>
      <c r="BJ4" s="30"/>
      <c r="BL4" s="30"/>
      <c r="BM4" s="30"/>
      <c r="BN4" s="30"/>
      <c r="BO4" s="30"/>
    </row>
    <row r="5" spans="1:67" ht="14.4" x14ac:dyDescent="0.3">
      <c r="B5" s="16">
        <v>2007</v>
      </c>
      <c r="C5" s="31">
        <f>SUMIF('Monthly Data'!$B:$B,B5,'Monthly Data'!C:C)</f>
        <v>147855080.59999999</v>
      </c>
      <c r="D5" s="31">
        <f ca="1">SUMIF('Monthly Data'!$B:$B,B5,'Monthly Data'!D:D)</f>
        <v>139227.85163889607</v>
      </c>
      <c r="E5" s="31">
        <f ca="1">SUMIF('Res Normalized Monthly'!$B$2:$B$133,B5,'Res Normalized Monthly'!C$2:C$133)</f>
        <v>147994308.45163891</v>
      </c>
      <c r="F5" s="31"/>
      <c r="G5" s="31">
        <f ca="1">SUMIF('Res Normalized Monthly'!$B:$B,B5,'Res Normalized Monthly'!$T:$T)</f>
        <v>144651231.8095544</v>
      </c>
      <c r="H5" s="31">
        <f ca="1">D5</f>
        <v>139227.85163889607</v>
      </c>
      <c r="I5" s="31">
        <f ca="1">G5-H5</f>
        <v>144512003.95791551</v>
      </c>
      <c r="K5" s="16">
        <f t="shared" ref="K5:K16" si="0">B5</f>
        <v>2007</v>
      </c>
      <c r="L5" s="31">
        <f>SUMIF('Monthly Data'!$B:$B,K5,'Monthly Data'!F:F)</f>
        <v>51948960.079999998</v>
      </c>
      <c r="M5" s="31">
        <f ca="1">SUMIF('Monthly Data'!$B:$B,K5,'Monthly Data'!G:G)</f>
        <v>48673.186744475177</v>
      </c>
      <c r="N5" s="31">
        <f ca="1">SUMIF('GS &lt; 50 Normalized Monthly'!$B:$B,K5,'GS &lt; 50 Normalized Monthly'!C:C)</f>
        <v>51997633.26674448</v>
      </c>
      <c r="O5" s="32"/>
      <c r="P5" s="31">
        <f ca="1">SUMIF('GS &lt; 50 Normalized Monthly'!$B:$B,K5,'GS &lt; 50 Normalized Monthly'!Z:Z)</f>
        <v>51021168.377520248</v>
      </c>
      <c r="Q5" s="31">
        <f ca="1">M5</f>
        <v>48673.186744475177</v>
      </c>
      <c r="R5" s="31">
        <f ca="1">P5-Q5</f>
        <v>50972495.190775774</v>
      </c>
      <c r="T5" s="16">
        <f t="shared" ref="T5:T16" si="1">K5</f>
        <v>2007</v>
      </c>
      <c r="U5" s="31">
        <f ca="1">SUMIF('Monthly Data'!$B:$B,T5,'Monthly Data'!K:K)</f>
        <v>129629625.54293212</v>
      </c>
      <c r="V5" s="31">
        <f>SUMIF('Monthly Data'!$B:$B,T5,'Monthly Data'!AD:AD)/12</f>
        <v>182.41666666666666</v>
      </c>
      <c r="W5" s="31">
        <f ca="1">U5/V5</f>
        <v>710623.80379862292</v>
      </c>
      <c r="X5" s="31"/>
      <c r="Y5" s="31">
        <f ca="1">OFFSET('Historic CDM'!$C$122,0,ROW()-5)*1000</f>
        <v>119171.16293211156</v>
      </c>
      <c r="Z5" s="31"/>
      <c r="AA5" s="31"/>
      <c r="AB5" s="16">
        <f>T5</f>
        <v>2007</v>
      </c>
      <c r="AC5" s="31">
        <f ca="1">SUMIF('Monthly Data'!$B:$B,AB5,'Monthly Data'!N:N)</f>
        <v>79452697.231432065</v>
      </c>
      <c r="AD5" s="31">
        <f>SUMIF('Monthly Data'!$B:$B,AB5,'Monthly Data'!AE:AE)/12</f>
        <v>5</v>
      </c>
      <c r="AE5" s="31">
        <f ca="1">AC5/AD5</f>
        <v>15890539.446286414</v>
      </c>
      <c r="AF5" s="31"/>
      <c r="AG5" s="31">
        <f ca="1">OFFSET('Historic CDM'!$C$136,0,ROW()-5)*1000</f>
        <v>64763.591432067755</v>
      </c>
      <c r="AH5" s="31"/>
      <c r="AI5" s="31"/>
      <c r="AJ5" s="31"/>
      <c r="AL5" s="16">
        <f>AB5</f>
        <v>2007</v>
      </c>
      <c r="AM5" s="31">
        <f ca="1">SUMIF('Monthly Data'!$B:$B,AL5,'Monthly Data'!Q:Q)</f>
        <v>87365937.155720875</v>
      </c>
      <c r="AN5" s="31">
        <f>SUMIF('Monthly Data'!$B:$B,AL5,'Monthly Data'!AF:AF)/12</f>
        <v>1</v>
      </c>
      <c r="AO5" s="31">
        <f ca="1">AM5/AN5</f>
        <v>87365937.155720875</v>
      </c>
      <c r="AP5" s="31"/>
      <c r="AQ5" s="31">
        <f ca="1">OFFSET('Historic CDM'!$C$150,0,ROW()-5)*1000</f>
        <v>96519.325720869063</v>
      </c>
      <c r="AR5" s="31"/>
      <c r="AT5" s="16">
        <f>AL5</f>
        <v>2007</v>
      </c>
      <c r="AU5" s="31">
        <f>SUMIF('Monthly Data'!$B:$B,AT5,'Monthly Data'!R:R)</f>
        <v>4143938.9700000007</v>
      </c>
      <c r="AV5" s="31">
        <f>SUMIF('Monthly Data'!$B:$B,AT5,'Monthly Data'!AI:AI)/12</f>
        <v>4197</v>
      </c>
      <c r="AW5" s="31">
        <f>AU5/AV5</f>
        <v>987.35739099356704</v>
      </c>
      <c r="AX5" s="32"/>
      <c r="BA5" s="31"/>
      <c r="BB5" s="31"/>
      <c r="BC5" s="31"/>
      <c r="BD5" s="32"/>
      <c r="BF5" s="16">
        <f>AT5</f>
        <v>2007</v>
      </c>
      <c r="BG5" s="31">
        <f>SUMIF('Monthly Data'!$B:$B,BF5,'Monthly Data'!T:T)</f>
        <v>539336</v>
      </c>
      <c r="BH5" s="31">
        <f>SUMIF('Monthly Data'!$B:$B,BF5,'Monthly Data'!AG:AG)/12</f>
        <v>112.58333333333333</v>
      </c>
      <c r="BI5" s="31">
        <f>BG5/BH5</f>
        <v>4790.5492227979275</v>
      </c>
      <c r="BJ5" s="32"/>
      <c r="BL5" s="16">
        <f>BF5</f>
        <v>2007</v>
      </c>
      <c r="BM5" s="31">
        <f>SUMIF('Monthly Data'!$B:$B,BL5,'Monthly Data'!U:U)</f>
        <v>17391305.099999998</v>
      </c>
      <c r="BN5" s="31">
        <f>SUMIF('Monthly Data'!$B:$B,BL5,'Monthly Data'!AJ:AJ)/12</f>
        <v>2</v>
      </c>
      <c r="BO5" s="32"/>
    </row>
    <row r="6" spans="1:67" ht="14.4" x14ac:dyDescent="0.3">
      <c r="B6" s="16">
        <f>B5+1</f>
        <v>2008</v>
      </c>
      <c r="C6" s="31">
        <f>SUMIF('Monthly Data'!$B:$B,B6,'Monthly Data'!C:C)</f>
        <v>141293620.56</v>
      </c>
      <c r="D6" s="31">
        <f ca="1">SUMIF('Monthly Data'!$B:$B,B6,'Monthly Data'!D:D)</f>
        <v>406078.75765094458</v>
      </c>
      <c r="E6" s="31">
        <f ca="1">SUMIF('Res Normalized Monthly'!$B$2:$B$133,B6,'Res Normalized Monthly'!C$2:C$133)</f>
        <v>141699699.31765088</v>
      </c>
      <c r="F6" s="31"/>
      <c r="G6" s="31">
        <f ca="1">SUMIF('Res Normalized Monthly'!$B:$B,B6,'Res Normalized Monthly'!$T:$T)</f>
        <v>144035623.58234417</v>
      </c>
      <c r="H6" s="31">
        <f t="shared" ref="H6:H14" ca="1" si="2">D6</f>
        <v>406078.75765094458</v>
      </c>
      <c r="I6" s="31">
        <f t="shared" ref="I6:I14" ca="1" si="3">G6-H6</f>
        <v>143629544.82469323</v>
      </c>
      <c r="K6" s="16">
        <f t="shared" si="0"/>
        <v>2008</v>
      </c>
      <c r="L6" s="31">
        <f>SUMIF('Monthly Data'!$B:$B,K6,'Monthly Data'!F:F)</f>
        <v>48801253.580000006</v>
      </c>
      <c r="M6" s="31">
        <f ca="1">SUMIF('Monthly Data'!$B:$B,K6,'Monthly Data'!G:G)</f>
        <v>141962.59564050552</v>
      </c>
      <c r="N6" s="31">
        <f ca="1">SUMIF('GS &lt; 50 Normalized Monthly'!$B:$B,K6,'GS &lt; 50 Normalized Monthly'!C:C)</f>
        <v>48943216.175640501</v>
      </c>
      <c r="O6" s="32"/>
      <c r="P6" s="31">
        <f ca="1">SUMIF('GS &lt; 50 Normalized Monthly'!$B:$B,K6,'GS &lt; 50 Normalized Monthly'!Z:Z)</f>
        <v>50181731.022512361</v>
      </c>
      <c r="Q6" s="31">
        <f t="shared" ref="Q6:Q14" ca="1" si="4">M6</f>
        <v>141962.59564050552</v>
      </c>
      <c r="R6" s="31">
        <f t="shared" ref="R6:R16" ca="1" si="5">P6-Q6</f>
        <v>50039768.426871859</v>
      </c>
      <c r="T6" s="16">
        <f t="shared" si="1"/>
        <v>2008</v>
      </c>
      <c r="U6" s="31">
        <f ca="1">SUMIF('Monthly Data'!$B:$B,T6,'Monthly Data'!K:K)</f>
        <v>119356435.43898286</v>
      </c>
      <c r="V6" s="31">
        <f>SUMIF('Monthly Data'!$B:$B,T6,'Monthly Data'!AD:AD)/12</f>
        <v>187.33333333333334</v>
      </c>
      <c r="W6" s="31">
        <f t="shared" ref="W6:W14" ca="1" si="6">U6/V6</f>
        <v>637133.99700524658</v>
      </c>
      <c r="X6" s="31"/>
      <c r="Y6" s="31">
        <f ca="1">OFFSET('Historic CDM'!$C$122,0,ROW()-5)*1000</f>
        <v>347580.43898287544</v>
      </c>
      <c r="Z6" s="31"/>
      <c r="AA6" s="31"/>
      <c r="AB6" s="16">
        <f t="shared" ref="AB6:AB16" si="7">T6</f>
        <v>2008</v>
      </c>
      <c r="AC6" s="31">
        <f ca="1">SUMIF('Monthly Data'!$B:$B,AB6,'Monthly Data'!N:N)</f>
        <v>63171248.336463295</v>
      </c>
      <c r="AD6" s="31">
        <f>SUMIF('Monthly Data'!$B:$B,AB6,'Monthly Data'!AE:AE)/12</f>
        <v>5</v>
      </c>
      <c r="AE6" s="31">
        <f t="shared" ref="AE6:AE14" ca="1" si="8">AC6/AD6</f>
        <v>12634249.667292658</v>
      </c>
      <c r="AF6" s="31"/>
      <c r="AG6" s="31">
        <f ca="1">OFFSET('Historic CDM'!$C$136,0,ROW()-5)*1000</f>
        <v>188892.65646328658</v>
      </c>
      <c r="AH6" s="31"/>
      <c r="AI6" s="31"/>
      <c r="AJ6" s="31"/>
      <c r="AL6" s="16">
        <f t="shared" ref="AL6:AL16" si="9">AB6</f>
        <v>2008</v>
      </c>
      <c r="AM6" s="31">
        <f ca="1">SUMIF('Monthly Data'!$B:$B,AL6,'Monthly Data'!Q:Q)</f>
        <v>84846627.383333907</v>
      </c>
      <c r="AN6" s="31">
        <f>SUMIF('Monthly Data'!$B:$B,AL6,'Monthly Data'!AF:AF)/12</f>
        <v>1</v>
      </c>
      <c r="AO6" s="31">
        <f t="shared" ref="AO6:AO14" ca="1" si="10">AM6/AN6</f>
        <v>84846627.383333907</v>
      </c>
      <c r="AP6" s="31"/>
      <c r="AQ6" s="31">
        <f ca="1">OFFSET('Historic CDM'!$C$150,0,ROW()-5)*1000</f>
        <v>281512.98333391512</v>
      </c>
      <c r="AR6" s="31"/>
      <c r="AT6" s="16">
        <f t="shared" ref="AT6:AT16" si="11">AL6</f>
        <v>2008</v>
      </c>
      <c r="AU6" s="31">
        <f>SUMIF('Monthly Data'!$B:$B,AT6,'Monthly Data'!R:R)</f>
        <v>3636365.68</v>
      </c>
      <c r="AV6" s="31">
        <f>SUMIF('Monthly Data'!$B:$B,AT6,'Monthly Data'!AI:AI)/12</f>
        <v>4283</v>
      </c>
      <c r="AW6" s="31">
        <f t="shared" ref="AW6:AW14" si="12">AU6/AV6</f>
        <v>849.02303992528607</v>
      </c>
      <c r="AX6" s="32"/>
      <c r="BA6" s="31"/>
      <c r="BB6" s="31"/>
      <c r="BC6" s="31"/>
      <c r="BD6" s="32"/>
      <c r="BE6" s="32"/>
      <c r="BF6" s="16">
        <f t="shared" ref="BF6:BF14" si="13">AT6</f>
        <v>2008</v>
      </c>
      <c r="BG6" s="31">
        <f>SUMIF('Monthly Data'!$B:$B,BF6,'Monthly Data'!T:T)</f>
        <v>539138</v>
      </c>
      <c r="BH6" s="31">
        <f>SUMIF('Monthly Data'!$B:$B,BF6,'Monthly Data'!AG:AG)/12</f>
        <v>122.5</v>
      </c>
      <c r="BI6" s="31">
        <f t="shared" ref="BI6:BI14" si="14">BG6/BH6</f>
        <v>4401.126530612245</v>
      </c>
      <c r="BJ6" s="32"/>
      <c r="BL6" s="16">
        <f t="shared" ref="BL6:BL16" si="15">BF6</f>
        <v>2008</v>
      </c>
      <c r="BM6" s="31">
        <f>SUMIF('Monthly Data'!$B:$B,BL6,'Monthly Data'!U:U)</f>
        <v>15895270.099999998</v>
      </c>
      <c r="BN6" s="31">
        <f>SUMIF('Monthly Data'!$B:$B,BL6,'Monthly Data'!AJ:AJ)/12</f>
        <v>3</v>
      </c>
      <c r="BO6" s="32"/>
    </row>
    <row r="7" spans="1:67" ht="14.4" x14ac:dyDescent="0.3">
      <c r="B7" s="16">
        <f t="shared" ref="B7:B16" si="16">B6+1</f>
        <v>2009</v>
      </c>
      <c r="C7" s="31">
        <f>SUMIF('Monthly Data'!$B:$B,B7,'Monthly Data'!C:C)</f>
        <v>139285895.19999999</v>
      </c>
      <c r="D7" s="31">
        <f ca="1">SUMIF('Monthly Data'!$B:$B,B7,'Monthly Data'!D:D)</f>
        <v>885459.05183221272</v>
      </c>
      <c r="E7" s="31">
        <f ca="1">SUMIF('Res Normalized Monthly'!$B$2:$B$133,B7,'Res Normalized Monthly'!C$2:C$133)</f>
        <v>140171354.25183222</v>
      </c>
      <c r="F7" s="31"/>
      <c r="G7" s="31">
        <f ca="1">SUMIF('Res Normalized Monthly'!$B:$B,B7,'Res Normalized Monthly'!$T:$T)</f>
        <v>143420015.35513401</v>
      </c>
      <c r="H7" s="31">
        <f t="shared" ca="1" si="2"/>
        <v>885459.05183221272</v>
      </c>
      <c r="I7" s="31">
        <f t="shared" ca="1" si="3"/>
        <v>142534556.30330181</v>
      </c>
      <c r="K7" s="16">
        <f t="shared" si="0"/>
        <v>2009</v>
      </c>
      <c r="L7" s="31">
        <f>SUMIF('Monthly Data'!$B:$B,K7,'Monthly Data'!F:F)</f>
        <v>47730432.499999993</v>
      </c>
      <c r="M7" s="31">
        <f ca="1">SUMIF('Monthly Data'!$B:$B,K7,'Monthly Data'!G:G)</f>
        <v>309550.95030982216</v>
      </c>
      <c r="N7" s="31">
        <f ca="1">SUMIF('GS &lt; 50 Normalized Monthly'!$B:$B,K7,'GS &lt; 50 Normalized Monthly'!C:C)</f>
        <v>48039983.45030982</v>
      </c>
      <c r="O7" s="32"/>
      <c r="P7" s="31">
        <f ca="1">SUMIF('GS &lt; 50 Normalized Monthly'!$B:$B,K7,'GS &lt; 50 Normalized Monthly'!Z:Z)</f>
        <v>48573914.930004239</v>
      </c>
      <c r="Q7" s="31">
        <f t="shared" ca="1" si="4"/>
        <v>309550.95030982216</v>
      </c>
      <c r="R7" s="31">
        <f t="shared" ca="1" si="5"/>
        <v>48264363.979694419</v>
      </c>
      <c r="T7" s="16">
        <f t="shared" si="1"/>
        <v>2009</v>
      </c>
      <c r="U7" s="31">
        <f ca="1">SUMIF('Monthly Data'!$B:$B,T7,'Monthly Data'!K:K)</f>
        <v>115193053.70554049</v>
      </c>
      <c r="V7" s="31">
        <f>SUMIF('Monthly Data'!$B:$B,T7,'Monthly Data'!AD:AD)/12</f>
        <v>189.08333333333334</v>
      </c>
      <c r="W7" s="31">
        <f t="shared" ca="1" si="6"/>
        <v>609218.44180982187</v>
      </c>
      <c r="X7" s="31"/>
      <c r="Y7" s="31">
        <f ca="1">OFFSET('Historic CDM'!$C$122,0,ROW()-5)*1000</f>
        <v>757902.84554049827</v>
      </c>
      <c r="Z7" s="31"/>
      <c r="AA7" s="31"/>
      <c r="AB7" s="16">
        <f t="shared" si="7"/>
        <v>2009</v>
      </c>
      <c r="AC7" s="31">
        <f ca="1">SUMIF('Monthly Data'!$B:$B,AB7,'Monthly Data'!N:N)</f>
        <v>52048119.527280875</v>
      </c>
      <c r="AD7" s="31">
        <f>SUMIF('Monthly Data'!$B:$B,AB7,'Monthly Data'!AE:AE)/12</f>
        <v>5</v>
      </c>
      <c r="AE7" s="31">
        <f t="shared" ca="1" si="8"/>
        <v>10409623.905456174</v>
      </c>
      <c r="AF7" s="31"/>
      <c r="AG7" s="31">
        <f ca="1">OFFSET('Historic CDM'!$C$136,0,ROW()-5)*1000</f>
        <v>411882.4472808782</v>
      </c>
      <c r="AH7" s="31"/>
      <c r="AI7" s="31"/>
      <c r="AJ7" s="31"/>
      <c r="AL7" s="16">
        <f t="shared" si="9"/>
        <v>2009</v>
      </c>
      <c r="AM7" s="31">
        <f ca="1">SUMIF('Monthly Data'!$B:$B,AL7,'Monthly Data'!Q:Q)</f>
        <v>108083961.19552454</v>
      </c>
      <c r="AN7" s="31">
        <f>SUMIF('Monthly Data'!$B:$B,AL7,'Monthly Data'!AF:AF)/12</f>
        <v>1</v>
      </c>
      <c r="AO7" s="31">
        <f t="shared" ca="1" si="10"/>
        <v>108083961.19552454</v>
      </c>
      <c r="AP7" s="31"/>
      <c r="AQ7" s="31">
        <f ca="1">OFFSET('Historic CDM'!$C$150,0,ROW()-5)*1000</f>
        <v>613842.05552453699</v>
      </c>
      <c r="AR7" s="31"/>
      <c r="AT7" s="16">
        <f t="shared" si="11"/>
        <v>2009</v>
      </c>
      <c r="AU7" s="31">
        <f>SUMIF('Monthly Data'!$B:$B,AT7,'Monthly Data'!R:R)</f>
        <v>3489622.52</v>
      </c>
      <c r="AV7" s="31">
        <f>SUMIF('Monthly Data'!$B:$B,AT7,'Monthly Data'!AI:AI)/12</f>
        <v>4283</v>
      </c>
      <c r="AW7" s="31">
        <f t="shared" si="12"/>
        <v>814.76127013775397</v>
      </c>
      <c r="AX7" s="32"/>
      <c r="BA7" s="31"/>
      <c r="BB7" s="31"/>
      <c r="BC7" s="31"/>
      <c r="BD7" s="32"/>
      <c r="BE7" s="32"/>
      <c r="BF7" s="16">
        <f t="shared" si="13"/>
        <v>2009</v>
      </c>
      <c r="BG7" s="31">
        <f>SUMIF('Monthly Data'!$B:$B,BF7,'Monthly Data'!T:T)</f>
        <v>605366</v>
      </c>
      <c r="BH7" s="31">
        <f>SUMIF('Monthly Data'!$B:$B,BF7,'Monthly Data'!AG:AG)/12</f>
        <v>128</v>
      </c>
      <c r="BI7" s="31">
        <f t="shared" si="14"/>
        <v>4729.421875</v>
      </c>
      <c r="BJ7" s="32"/>
      <c r="BL7" s="16">
        <f t="shared" si="15"/>
        <v>2009</v>
      </c>
      <c r="BM7" s="31">
        <f>SUMIF('Monthly Data'!$B:$B,BL7,'Monthly Data'!U:U)</f>
        <v>17281081</v>
      </c>
      <c r="BN7" s="31">
        <f>SUMIF('Monthly Data'!$B:$B,BL7,'Monthly Data'!AJ:AJ)/12</f>
        <v>3</v>
      </c>
      <c r="BO7" s="32"/>
    </row>
    <row r="8" spans="1:67" ht="14.4" x14ac:dyDescent="0.3">
      <c r="B8" s="16">
        <f t="shared" si="16"/>
        <v>2010</v>
      </c>
      <c r="C8" s="31">
        <f>SUMIF('Monthly Data'!$B:$B,B8,'Monthly Data'!C:C)</f>
        <v>143730192</v>
      </c>
      <c r="D8" s="31">
        <f ca="1">SUMIF('Monthly Data'!$B:$B,B8,'Monthly Data'!D:D)</f>
        <v>1348377.6952656892</v>
      </c>
      <c r="E8" s="31">
        <f ca="1">SUMIF('Res Normalized Monthly'!$B$2:$B$133,B8,'Res Normalized Monthly'!C$2:C$133)</f>
        <v>145078569.69526568</v>
      </c>
      <c r="F8" s="31"/>
      <c r="G8" s="31">
        <f ca="1">SUMIF('Res Normalized Monthly'!$B:$B,B8,'Res Normalized Monthly'!$T:$T)</f>
        <v>142804407.12792382</v>
      </c>
      <c r="H8" s="31">
        <f t="shared" ca="1" si="2"/>
        <v>1348377.6952656892</v>
      </c>
      <c r="I8" s="31">
        <f t="shared" ca="1" si="3"/>
        <v>141456029.43265814</v>
      </c>
      <c r="K8" s="16">
        <f t="shared" si="0"/>
        <v>2010</v>
      </c>
      <c r="L8" s="31">
        <f>SUMIF('Monthly Data'!$B:$B,K8,'Monthly Data'!F:F)</f>
        <v>49127425.479999989</v>
      </c>
      <c r="M8" s="31">
        <f ca="1">SUMIF('Monthly Data'!$B:$B,K8,'Monthly Data'!G:G)</f>
        <v>488768.47625034669</v>
      </c>
      <c r="N8" s="31">
        <f ca="1">SUMIF('GS &lt; 50 Normalized Monthly'!$B:$B,K8,'GS &lt; 50 Normalized Monthly'!C:C)</f>
        <v>49616193.956250347</v>
      </c>
      <c r="O8" s="32"/>
      <c r="P8" s="31">
        <f ca="1">SUMIF('GS &lt; 50 Normalized Monthly'!$B:$B,K8,'GS &lt; 50 Normalized Monthly'!Z:Z)</f>
        <v>48890988.096104167</v>
      </c>
      <c r="Q8" s="31">
        <f t="shared" ca="1" si="4"/>
        <v>488768.47625034669</v>
      </c>
      <c r="R8" s="31">
        <f t="shared" ca="1" si="5"/>
        <v>48402219.619853824</v>
      </c>
      <c r="T8" s="16">
        <f t="shared" si="1"/>
        <v>2010</v>
      </c>
      <c r="U8" s="31">
        <f ca="1">SUMIF('Monthly Data'!$B:$B,T8,'Monthly Data'!K:K)</f>
        <v>120351876.17112814</v>
      </c>
      <c r="V8" s="31">
        <f>SUMIF('Monthly Data'!$B:$B,T8,'Monthly Data'!AD:AD)/12</f>
        <v>186.58333333333334</v>
      </c>
      <c r="W8" s="31">
        <f t="shared" ca="1" si="6"/>
        <v>645030.1536639292</v>
      </c>
      <c r="X8" s="31"/>
      <c r="Y8" s="31">
        <f ca="1">OFFSET('Historic CDM'!$C$122,0,ROW()-5)*1000</f>
        <v>1196698.0511281511</v>
      </c>
      <c r="Z8" s="31"/>
      <c r="AA8" s="31"/>
      <c r="AB8" s="16">
        <f t="shared" si="7"/>
        <v>2010</v>
      </c>
      <c r="AC8" s="31">
        <f ca="1">SUMIF('Monthly Data'!$B:$B,AB8,'Monthly Data'!N:N)</f>
        <v>72026800.746211439</v>
      </c>
      <c r="AD8" s="31">
        <f>SUMIF('Monthly Data'!$B:$B,AB8,'Monthly Data'!AE:AE)/12</f>
        <v>5</v>
      </c>
      <c r="AE8" s="31">
        <f t="shared" ca="1" si="8"/>
        <v>14405360.149242288</v>
      </c>
      <c r="AF8" s="31"/>
      <c r="AG8" s="31">
        <f ca="1">OFFSET('Historic CDM'!$C$136,0,ROW()-5)*1000</f>
        <v>650345.78621143661</v>
      </c>
      <c r="AH8" s="31"/>
      <c r="AI8" s="31"/>
      <c r="AJ8" s="31"/>
      <c r="AL8" s="16">
        <f t="shared" si="9"/>
        <v>2010</v>
      </c>
      <c r="AM8" s="31">
        <f ca="1">SUMIF('Monthly Data'!$B:$B,AL8,'Monthly Data'!Q:Q)</f>
        <v>96739998.829056829</v>
      </c>
      <c r="AN8" s="31">
        <f>SUMIF('Monthly Data'!$B:$B,AL8,'Monthly Data'!AF:AF)/12</f>
        <v>1</v>
      </c>
      <c r="AO8" s="31">
        <f t="shared" ca="1" si="10"/>
        <v>96739998.829056829</v>
      </c>
      <c r="AP8" s="31"/>
      <c r="AQ8" s="31">
        <f ca="1">OFFSET('Historic CDM'!$C$150,0,ROW()-5)*1000</f>
        <v>969231.86905683612</v>
      </c>
      <c r="AR8" s="31"/>
      <c r="AT8" s="16">
        <f t="shared" si="11"/>
        <v>2010</v>
      </c>
      <c r="AU8" s="31">
        <f>SUMIF('Monthly Data'!$B:$B,AT8,'Monthly Data'!R:R)</f>
        <v>4583498.1999999993</v>
      </c>
      <c r="AV8" s="31">
        <f>SUMIF('Monthly Data'!$B:$B,AT8,'Monthly Data'!AI:AI)/12</f>
        <v>4283</v>
      </c>
      <c r="AW8" s="31">
        <f t="shared" si="12"/>
        <v>1070.1606817651177</v>
      </c>
      <c r="AX8" s="32"/>
      <c r="BA8" s="31"/>
      <c r="BB8" s="31"/>
      <c r="BC8" s="31"/>
      <c r="BD8" s="32"/>
      <c r="BE8" s="32"/>
      <c r="BF8" s="16">
        <f t="shared" si="13"/>
        <v>2010</v>
      </c>
      <c r="BG8" s="31">
        <f>SUMIF('Monthly Data'!$B:$B,BF8,'Monthly Data'!T:T)</f>
        <v>565196</v>
      </c>
      <c r="BH8" s="31">
        <f>SUMIF('Monthly Data'!$B:$B,BF8,'Monthly Data'!AG:AG)/12</f>
        <v>127.16666666666667</v>
      </c>
      <c r="BI8" s="31">
        <f t="shared" si="14"/>
        <v>4444.5294888597637</v>
      </c>
      <c r="BJ8" s="32"/>
      <c r="BL8" s="16">
        <f t="shared" si="15"/>
        <v>2010</v>
      </c>
      <c r="BM8" s="31">
        <f>SUMIF('Monthly Data'!$B:$B,BL8,'Monthly Data'!U:U)</f>
        <v>17355209</v>
      </c>
      <c r="BN8" s="31">
        <f>SUMIF('Monthly Data'!$B:$B,BL8,'Monthly Data'!AJ:AJ)/12</f>
        <v>3</v>
      </c>
      <c r="BO8" s="32"/>
    </row>
    <row r="9" spans="1:67" ht="14.4" x14ac:dyDescent="0.3">
      <c r="B9" s="16">
        <f t="shared" si="16"/>
        <v>2011</v>
      </c>
      <c r="C9" s="31">
        <f>SUMIF('Monthly Data'!$B:$B,B9,'Monthly Data'!C:C)</f>
        <v>139849071.75</v>
      </c>
      <c r="D9" s="31">
        <f ca="1">SUMIF('Monthly Data'!$B:$B,B9,'Monthly Data'!D:D)</f>
        <v>1775465.6166210419</v>
      </c>
      <c r="E9" s="31">
        <f ca="1">SUMIF('Res Normalized Monthly'!$B$2:$B$133,B9,'Res Normalized Monthly'!C$2:C$133)</f>
        <v>141624537.36662105</v>
      </c>
      <c r="F9" s="31"/>
      <c r="G9" s="31">
        <f ca="1">SUMIF('Res Normalized Monthly'!$B:$B,B9,'Res Normalized Monthly'!$T:$T)</f>
        <v>142188798.90071356</v>
      </c>
      <c r="H9" s="31">
        <f t="shared" ca="1" si="2"/>
        <v>1775465.6166210419</v>
      </c>
      <c r="I9" s="31">
        <f t="shared" ca="1" si="3"/>
        <v>140413333.28409252</v>
      </c>
      <c r="K9" s="16">
        <f t="shared" si="0"/>
        <v>2011</v>
      </c>
      <c r="L9" s="31">
        <f>SUMIF('Monthly Data'!$B:$B,K9,'Monthly Data'!F:F)</f>
        <v>48634111.810000002</v>
      </c>
      <c r="M9" s="31">
        <f ca="1">SUMIF('Monthly Data'!$B:$B,K9,'Monthly Data'!G:G)</f>
        <v>639805.23152824503</v>
      </c>
      <c r="N9" s="31">
        <f ca="1">SUMIF('GS &lt; 50 Normalized Monthly'!$B:$B,K9,'GS &lt; 50 Normalized Monthly'!C:C)</f>
        <v>49273917.041528247</v>
      </c>
      <c r="O9" s="32"/>
      <c r="P9" s="31">
        <f ca="1">SUMIF('GS &lt; 50 Normalized Monthly'!$B:$B,K9,'GS &lt; 50 Normalized Monthly'!Z:Z)</f>
        <v>49809163.16710294</v>
      </c>
      <c r="Q9" s="31">
        <f t="shared" ca="1" si="4"/>
        <v>639805.23152824503</v>
      </c>
      <c r="R9" s="31">
        <f t="shared" ca="1" si="5"/>
        <v>49169357.935574695</v>
      </c>
      <c r="T9" s="16">
        <f t="shared" si="1"/>
        <v>2011</v>
      </c>
      <c r="U9" s="31">
        <f ca="1">SUMIF('Monthly Data'!$B:$B,T9,'Monthly Data'!K:K)</f>
        <v>123506645.0926984</v>
      </c>
      <c r="V9" s="31">
        <f>SUMIF('Monthly Data'!$B:$B,T9,'Monthly Data'!AD:AD)/12</f>
        <v>187.91666666666666</v>
      </c>
      <c r="W9" s="31">
        <f t="shared" ca="1" si="6"/>
        <v>657241.5703380846</v>
      </c>
      <c r="X9" s="31"/>
      <c r="Y9" s="31">
        <f ca="1">OFFSET('Historic CDM'!$C$122,0,ROW()-5)*1000</f>
        <v>1566495.6126983913</v>
      </c>
      <c r="Z9" s="31"/>
      <c r="AA9" s="31"/>
      <c r="AB9" s="16">
        <f t="shared" si="7"/>
        <v>2011</v>
      </c>
      <c r="AC9" s="31">
        <f ca="1">SUMIF('Monthly Data'!$B:$B,AB9,'Monthly Data'!N:N)</f>
        <v>69176940.422220916</v>
      </c>
      <c r="AD9" s="31">
        <f>SUMIF('Monthly Data'!$B:$B,AB9,'Monthly Data'!AE:AE)/12</f>
        <v>5</v>
      </c>
      <c r="AE9" s="31">
        <f t="shared" ca="1" si="8"/>
        <v>13835388.084444184</v>
      </c>
      <c r="AF9" s="31"/>
      <c r="AG9" s="31">
        <f ca="1">OFFSET('Historic CDM'!$C$136,0,ROW()-5)*1000</f>
        <v>851312.34222090733</v>
      </c>
      <c r="AH9" s="31"/>
      <c r="AI9" s="31"/>
      <c r="AJ9" s="31"/>
      <c r="AL9" s="16">
        <f t="shared" si="9"/>
        <v>2011</v>
      </c>
      <c r="AM9" s="31">
        <f ca="1">SUMIF('Monthly Data'!$B:$B,AL9,'Monthly Data'!Q:Q)</f>
        <v>99176657.624853939</v>
      </c>
      <c r="AN9" s="31">
        <f>SUMIF('Monthly Data'!$B:$B,AL9,'Monthly Data'!AF:AF)/12</f>
        <v>1</v>
      </c>
      <c r="AO9" s="31">
        <f t="shared" ca="1" si="10"/>
        <v>99176657.624853939</v>
      </c>
      <c r="AP9" s="31"/>
      <c r="AQ9" s="31">
        <f ca="1">OFFSET('Historic CDM'!$C$150,0,ROW()-5)*1000</f>
        <v>1268738.9848539208</v>
      </c>
      <c r="AR9" s="31"/>
      <c r="AT9" s="16">
        <f t="shared" si="11"/>
        <v>2011</v>
      </c>
      <c r="AU9" s="31">
        <f>SUMIF('Monthly Data'!$B:$B,AT9,'Monthly Data'!R:R)</f>
        <v>3899368.22</v>
      </c>
      <c r="AV9" s="31">
        <f>SUMIF('Monthly Data'!$B:$B,AT9,'Monthly Data'!AI:AI)/12</f>
        <v>4283</v>
      </c>
      <c r="AW9" s="31">
        <f t="shared" si="12"/>
        <v>910.42918982021956</v>
      </c>
      <c r="AX9" s="32"/>
      <c r="BA9" s="31"/>
      <c r="BB9" s="31"/>
      <c r="BC9" s="31"/>
      <c r="BD9" s="32"/>
      <c r="BE9" s="32"/>
      <c r="BF9" s="16">
        <f t="shared" si="13"/>
        <v>2011</v>
      </c>
      <c r="BG9" s="31">
        <f>SUMIF('Monthly Data'!$B:$B,BF9,'Monthly Data'!T:T)</f>
        <v>556906</v>
      </c>
      <c r="BH9" s="31">
        <f>SUMIF('Monthly Data'!$B:$B,BF9,'Monthly Data'!AG:AG)/12</f>
        <v>124.25</v>
      </c>
      <c r="BI9" s="31">
        <f t="shared" si="14"/>
        <v>4482.140845070423</v>
      </c>
      <c r="BJ9" s="32"/>
      <c r="BL9" s="16">
        <f t="shared" si="15"/>
        <v>2011</v>
      </c>
      <c r="BM9" s="31">
        <f>SUMIF('Monthly Data'!$B:$B,BL9,'Monthly Data'!U:U)</f>
        <v>17333527</v>
      </c>
      <c r="BN9" s="31">
        <f>SUMIF('Monthly Data'!$B:$B,BL9,'Monthly Data'!AJ:AJ)/12</f>
        <v>3</v>
      </c>
      <c r="BO9" s="32"/>
    </row>
    <row r="10" spans="1:67" s="35" customFormat="1" x14ac:dyDescent="0.25">
      <c r="B10" s="16">
        <f t="shared" si="16"/>
        <v>2012</v>
      </c>
      <c r="C10" s="31">
        <f>SUMIF('Monthly Data'!$B:$B,B10,'Monthly Data'!C:C)</f>
        <v>136951769.39000002</v>
      </c>
      <c r="D10" s="31">
        <f ca="1">SUMIF('Monthly Data'!$B:$B,B10,'Monthly Data'!D:D)</f>
        <v>2183609.5054191924</v>
      </c>
      <c r="E10" s="31">
        <f ca="1">SUMIF('Res Normalized Monthly'!$B$2:$B$133,B10,'Res Normalized Monthly'!C$2:C$133)</f>
        <v>139135378.89541918</v>
      </c>
      <c r="F10" s="31"/>
      <c r="G10" s="31">
        <f ca="1">SUMIF('Res Normalized Monthly'!$B:$B,B10,'Res Normalized Monthly'!$T:$T)</f>
        <v>141573190.67350334</v>
      </c>
      <c r="H10" s="31">
        <f t="shared" ca="1" si="2"/>
        <v>2183609.5054191924</v>
      </c>
      <c r="I10" s="31">
        <f t="shared" ca="1" si="3"/>
        <v>139389581.16808414</v>
      </c>
      <c r="K10" s="16">
        <f t="shared" si="0"/>
        <v>2012</v>
      </c>
      <c r="L10" s="31">
        <f>SUMIF('Monthly Data'!$B:$B,K10,'Monthly Data'!F:F)</f>
        <v>47672678.809999987</v>
      </c>
      <c r="M10" s="31">
        <f ca="1">SUMIF('Monthly Data'!$B:$B,K10,'Monthly Data'!G:G)</f>
        <v>1026413.1561439828</v>
      </c>
      <c r="N10" s="31">
        <f ca="1">SUMIF('GS &lt; 50 Normalized Monthly'!$B:$B,K10,'GS &lt; 50 Normalized Monthly'!C:C)</f>
        <v>48699091.966143981</v>
      </c>
      <c r="O10" s="38"/>
      <c r="P10" s="31">
        <f ca="1">SUMIF('GS &lt; 50 Normalized Monthly'!$B:$B,K10,'GS &lt; 50 Normalized Monthly'!Z:Z)</f>
        <v>48911868.398443677</v>
      </c>
      <c r="Q10" s="31">
        <f t="shared" ca="1" si="4"/>
        <v>1026413.1561439828</v>
      </c>
      <c r="R10" s="31">
        <f t="shared" ca="1" si="5"/>
        <v>47885455.242299691</v>
      </c>
      <c r="T10" s="16">
        <f t="shared" si="1"/>
        <v>2012</v>
      </c>
      <c r="U10" s="31">
        <f ca="1">SUMIF('Monthly Data'!$B:$B,T10,'Monthly Data'!K:K)</f>
        <v>125014555.19064774</v>
      </c>
      <c r="V10" s="31">
        <f>SUMIF('Monthly Data'!$B:$B,T10,'Monthly Data'!AD:AD)/12</f>
        <v>189.33333333333334</v>
      </c>
      <c r="W10" s="31">
        <f t="shared" ca="1" si="6"/>
        <v>660288.14361257607</v>
      </c>
      <c r="X10" s="31"/>
      <c r="Y10" s="31">
        <f ca="1">OFFSET('Historic CDM'!$C$122,0,ROW()-5)*1000</f>
        <v>2513064.3306477498</v>
      </c>
      <c r="Z10" s="31"/>
      <c r="AA10" s="31"/>
      <c r="AB10" s="16">
        <f t="shared" si="7"/>
        <v>2012</v>
      </c>
      <c r="AC10" s="31">
        <f ca="1">SUMIF('Monthly Data'!$B:$B,AB10,'Monthly Data'!N:N)</f>
        <v>69565629.094174489</v>
      </c>
      <c r="AD10" s="31">
        <f>SUMIF('Monthly Data'!$B:$B,AB10,'Monthly Data'!AE:AE)/12</f>
        <v>5</v>
      </c>
      <c r="AE10" s="31">
        <f t="shared" ca="1" si="8"/>
        <v>13913125.818834897</v>
      </c>
      <c r="AF10" s="31"/>
      <c r="AG10" s="31">
        <f ca="1">OFFSET('Historic CDM'!$C$136,0,ROW()-5)*1000</f>
        <v>1365725.2941744861</v>
      </c>
      <c r="AH10" s="31"/>
      <c r="AI10" s="31"/>
      <c r="AJ10" s="31"/>
      <c r="AL10" s="16">
        <f t="shared" si="9"/>
        <v>2012</v>
      </c>
      <c r="AM10" s="31">
        <f ca="1">SUMIF('Monthly Data'!$B:$B,AL10,'Monthly Data'!Q:Q)</f>
        <v>96186938.487998307</v>
      </c>
      <c r="AN10" s="31">
        <f>SUMIF('Monthly Data'!$B:$B,AL10,'Monthly Data'!AF:AF)/12</f>
        <v>1</v>
      </c>
      <c r="AO10" s="31">
        <f t="shared" ca="1" si="10"/>
        <v>96186938.487998307</v>
      </c>
      <c r="AP10" s="31"/>
      <c r="AQ10" s="31">
        <f ca="1">OFFSET('Historic CDM'!$C$150,0,ROW()-5)*1000</f>
        <v>2035385.6479983095</v>
      </c>
      <c r="AR10" s="31"/>
      <c r="AT10" s="16">
        <f t="shared" si="11"/>
        <v>2012</v>
      </c>
      <c r="AU10" s="31">
        <f>SUMIF('Monthly Data'!$B:$B,AT10,'Monthly Data'!R:R)</f>
        <v>3484987.18</v>
      </c>
      <c r="AV10" s="31">
        <f>SUMIF('Monthly Data'!$B:$B,AT10,'Monthly Data'!AI:AI)/12</f>
        <v>4283</v>
      </c>
      <c r="AW10" s="31">
        <f t="shared" si="12"/>
        <v>813.67900537006778</v>
      </c>
      <c r="AX10" s="38"/>
      <c r="AZ10" s="16">
        <f t="shared" ref="AZ10:AZ16" si="17">AT10</f>
        <v>2012</v>
      </c>
      <c r="BA10" s="31">
        <v>280909.51</v>
      </c>
      <c r="BB10" s="31">
        <f>SUMIF('Monthly Data'!$B:$B,AZ10,'Monthly Data'!AH:AH)/12</f>
        <v>301</v>
      </c>
      <c r="BC10" s="31">
        <f t="shared" ref="BC10:BC14" si="18">BA10/BB10</f>
        <v>933.25418604651168</v>
      </c>
      <c r="BD10" s="38"/>
      <c r="BE10" s="38"/>
      <c r="BF10" s="16">
        <f t="shared" si="13"/>
        <v>2012</v>
      </c>
      <c r="BG10" s="31">
        <f>SUMIF('Monthly Data'!$B:$B,BF10,'Monthly Data'!T:T)</f>
        <v>513343</v>
      </c>
      <c r="BH10" s="31">
        <f>SUMIF('Monthly Data'!$B:$B,BF10,'Monthly Data'!AG:AG)/12</f>
        <v>119.66666666666667</v>
      </c>
      <c r="BI10" s="31">
        <f t="shared" si="14"/>
        <v>4289.7743732590525</v>
      </c>
      <c r="BJ10" s="38"/>
      <c r="BL10" s="16">
        <f t="shared" si="15"/>
        <v>2012</v>
      </c>
      <c r="BM10" s="31">
        <f>SUMIF('Monthly Data'!$B:$B,BL10,'Monthly Data'!U:U)</f>
        <v>15488406.9</v>
      </c>
      <c r="BN10" s="31">
        <f>SUMIF('Monthly Data'!$B:$B,BL10,'Monthly Data'!AJ:AJ)/12</f>
        <v>3</v>
      </c>
      <c r="BO10" s="38"/>
    </row>
    <row r="11" spans="1:67" s="35" customFormat="1" x14ac:dyDescent="0.25">
      <c r="B11" s="16">
        <f t="shared" si="16"/>
        <v>2013</v>
      </c>
      <c r="C11" s="31">
        <f>SUMIF('Monthly Data'!$B:$B,B11,'Monthly Data'!C:C)</f>
        <v>139174379.21000001</v>
      </c>
      <c r="D11" s="31">
        <f ca="1">SUMIF('Monthly Data'!$B:$B,B11,'Monthly Data'!D:D)</f>
        <v>2547102.3221145589</v>
      </c>
      <c r="E11" s="31">
        <f ca="1">SUMIF('Res Normalized Monthly'!$B$2:$B$133,B11,'Res Normalized Monthly'!C$2:C$133)</f>
        <v>141721481.53211454</v>
      </c>
      <c r="F11" s="31"/>
      <c r="G11" s="31">
        <f ca="1">SUMIF('Res Normalized Monthly'!$B:$B,B11,'Res Normalized Monthly'!$T:$T)</f>
        <v>140957582.44629318</v>
      </c>
      <c r="H11" s="31">
        <f t="shared" ca="1" si="2"/>
        <v>2547102.3221145589</v>
      </c>
      <c r="I11" s="31">
        <f t="shared" ca="1" si="3"/>
        <v>138410480.12417862</v>
      </c>
      <c r="K11" s="16">
        <f t="shared" si="0"/>
        <v>2013</v>
      </c>
      <c r="L11" s="31">
        <f>SUMIF('Monthly Data'!$B:$B,K11,'Monthly Data'!F:F)</f>
        <v>48218851.180000007</v>
      </c>
      <c r="M11" s="31">
        <f ca="1">SUMIF('Monthly Data'!$B:$B,K11,'Monthly Data'!G:G)</f>
        <v>1685322.864276045</v>
      </c>
      <c r="N11" s="31">
        <f ca="1">SUMIF('GS &lt; 50 Normalized Monthly'!$B:$B,K11,'GS &lt; 50 Normalized Monthly'!C:C)</f>
        <v>49904174.044276044</v>
      </c>
      <c r="O11" s="38"/>
      <c r="P11" s="31">
        <f ca="1">SUMIF('GS &lt; 50 Normalized Monthly'!$B:$B,K11,'GS &lt; 50 Normalized Monthly'!Z:Z)</f>
        <v>49530765.8580558</v>
      </c>
      <c r="Q11" s="31">
        <f t="shared" ca="1" si="4"/>
        <v>1685322.864276045</v>
      </c>
      <c r="R11" s="31">
        <f t="shared" ca="1" si="5"/>
        <v>47845442.993779756</v>
      </c>
      <c r="T11" s="16">
        <f t="shared" si="1"/>
        <v>2013</v>
      </c>
      <c r="U11" s="31">
        <f ca="1">SUMIF('Monthly Data'!$B:$B,T11,'Monthly Data'!K:K)</f>
        <v>122356888.60887052</v>
      </c>
      <c r="V11" s="31">
        <f>SUMIF('Monthly Data'!$B:$B,T11,'Monthly Data'!AD:AD)/12</f>
        <v>187.41666666666666</v>
      </c>
      <c r="W11" s="31">
        <f t="shared" ca="1" si="6"/>
        <v>652860.2326840579</v>
      </c>
      <c r="X11" s="31"/>
      <c r="Y11" s="31">
        <f ca="1">OFFSET('Historic CDM'!$C$122,0,ROW()-5)*1000</f>
        <v>4126335.2388705225</v>
      </c>
      <c r="Z11" s="31"/>
      <c r="AA11" s="31"/>
      <c r="AB11" s="16">
        <f t="shared" si="7"/>
        <v>2013</v>
      </c>
      <c r="AC11" s="31">
        <f ca="1">SUMIF('Monthly Data'!$B:$B,AB11,'Monthly Data'!N:N)</f>
        <v>69417978.539750859</v>
      </c>
      <c r="AD11" s="31">
        <f>SUMIF('Monthly Data'!$B:$B,AB11,'Monthly Data'!AE:AE)/12</f>
        <v>5</v>
      </c>
      <c r="AE11" s="31">
        <f t="shared" ca="1" si="8"/>
        <v>13883595.707950171</v>
      </c>
      <c r="AF11" s="31"/>
      <c r="AG11" s="31">
        <f ca="1">OFFSET('Historic CDM'!$C$136,0,ROW()-5)*1000</f>
        <v>2242457.6797508565</v>
      </c>
      <c r="AH11" s="31"/>
      <c r="AI11" s="31"/>
      <c r="AJ11" s="31"/>
      <c r="AL11" s="16">
        <f t="shared" si="9"/>
        <v>2013</v>
      </c>
      <c r="AM11" s="31">
        <f ca="1">SUMIF('Monthly Data'!$B:$B,AL11,'Monthly Data'!Q:Q)</f>
        <v>98312961.495549217</v>
      </c>
      <c r="AN11" s="31">
        <f>SUMIF('Monthly Data'!$B:$B,AL11,'Monthly Data'!AF:AF)/12</f>
        <v>1</v>
      </c>
      <c r="AO11" s="31">
        <f t="shared" ca="1" si="10"/>
        <v>98312961.495549217</v>
      </c>
      <c r="AP11" s="31"/>
      <c r="AQ11" s="31">
        <f ca="1">OFFSET('Historic CDM'!$C$150,0,ROW()-5)*1000</f>
        <v>3342008.9655492231</v>
      </c>
      <c r="AR11" s="31"/>
      <c r="AT11" s="16">
        <f t="shared" si="11"/>
        <v>2013</v>
      </c>
      <c r="AU11" s="31">
        <f>SUMIF('Monthly Data'!$B:$B,AT11,'Monthly Data'!R:R)</f>
        <v>2710401.7199999997</v>
      </c>
      <c r="AV11" s="31">
        <f>SUMIF('Monthly Data'!$B:$B,AT11,'Monthly Data'!AI:AI)/12</f>
        <v>4498</v>
      </c>
      <c r="AW11" s="31">
        <f t="shared" si="12"/>
        <v>602.57930635838147</v>
      </c>
      <c r="AX11" s="37"/>
      <c r="AZ11" s="16">
        <f t="shared" si="17"/>
        <v>2013</v>
      </c>
      <c r="BA11" s="31">
        <v>272741.7</v>
      </c>
      <c r="BB11" s="31">
        <f>SUMIF('Monthly Data'!$B:$B,AZ11,'Monthly Data'!AH:AH)/12</f>
        <v>248</v>
      </c>
      <c r="BC11" s="31">
        <f t="shared" si="18"/>
        <v>1099.7649193548389</v>
      </c>
      <c r="BD11" s="37"/>
      <c r="BF11" s="16">
        <f t="shared" si="13"/>
        <v>2013</v>
      </c>
      <c r="BG11" s="31">
        <f>SUMIF('Monthly Data'!$B:$B,BF11,'Monthly Data'!T:T)</f>
        <v>539394</v>
      </c>
      <c r="BH11" s="31">
        <f>SUMIF('Monthly Data'!$B:$B,BF11,'Monthly Data'!AG:AG)/12</f>
        <v>123.66666666666667</v>
      </c>
      <c r="BI11" s="31">
        <f t="shared" si="14"/>
        <v>4361.6765498652294</v>
      </c>
      <c r="BJ11" s="37"/>
      <c r="BL11" s="16">
        <f t="shared" si="15"/>
        <v>2013</v>
      </c>
      <c r="BM11" s="31">
        <f>SUMIF('Monthly Data'!$B:$B,BL11,'Monthly Data'!U:U)</f>
        <v>15613194.549999999</v>
      </c>
      <c r="BN11" s="31">
        <f>SUMIF('Monthly Data'!$B:$B,BL11,'Monthly Data'!AJ:AJ)/12</f>
        <v>4</v>
      </c>
      <c r="BO11" s="37"/>
    </row>
    <row r="12" spans="1:67" s="35" customFormat="1" x14ac:dyDescent="0.25">
      <c r="B12" s="16">
        <f t="shared" si="16"/>
        <v>2014</v>
      </c>
      <c r="C12" s="31">
        <f>SUMIF('Monthly Data'!$B:$B,B12,'Monthly Data'!C:C)</f>
        <v>137614288.20000002</v>
      </c>
      <c r="D12" s="31">
        <f ca="1">SUMIF('Monthly Data'!$B:$B,B12,'Monthly Data'!D:D)</f>
        <v>3029863.8041263502</v>
      </c>
      <c r="E12" s="31">
        <f ca="1">SUMIF('Res Normalized Monthly'!$B$2:$B$133,B12,'Res Normalized Monthly'!C$2:C$133)</f>
        <v>140644152.00412637</v>
      </c>
      <c r="F12" s="31"/>
      <c r="G12" s="31">
        <f ca="1">SUMIF('Res Normalized Monthly'!$B:$B,B12,'Res Normalized Monthly'!$T:$T)</f>
        <v>140341974.21908292</v>
      </c>
      <c r="H12" s="31">
        <f t="shared" ca="1" si="2"/>
        <v>3029863.8041263502</v>
      </c>
      <c r="I12" s="31">
        <f t="shared" ca="1" si="3"/>
        <v>137312110.41495657</v>
      </c>
      <c r="K12" s="16">
        <f t="shared" si="0"/>
        <v>2014</v>
      </c>
      <c r="L12" s="31">
        <f>SUMIF('Monthly Data'!$B:$B,K12,'Monthly Data'!F:F)</f>
        <v>48123470.799999997</v>
      </c>
      <c r="M12" s="31">
        <f ca="1">SUMIF('Monthly Data'!$B:$B,K12,'Monthly Data'!G:G)</f>
        <v>2465083.1796835051</v>
      </c>
      <c r="N12" s="31">
        <f ca="1">SUMIF('GS &lt; 50 Normalized Monthly'!$B:$B,K12,'GS &lt; 50 Normalized Monthly'!C:C)</f>
        <v>50588553.979683504</v>
      </c>
      <c r="O12" s="38"/>
      <c r="P12" s="31">
        <f ca="1">SUMIF('GS &lt; 50 Normalized Monthly'!$B:$B,K12,'GS &lt; 50 Normalized Monthly'!Z:Z)</f>
        <v>50059110.396185711</v>
      </c>
      <c r="Q12" s="31">
        <f t="shared" ca="1" si="4"/>
        <v>2465083.1796835051</v>
      </c>
      <c r="R12" s="31">
        <f t="shared" ca="1" si="5"/>
        <v>47594027.216502205</v>
      </c>
      <c r="T12" s="16">
        <f t="shared" si="1"/>
        <v>2014</v>
      </c>
      <c r="U12" s="31">
        <f ca="1">SUMIF('Monthly Data'!$B:$B,T12,'Monthly Data'!K:K)</f>
        <v>126877352.03978811</v>
      </c>
      <c r="V12" s="31">
        <f>SUMIF('Monthly Data'!$B:$B,T12,'Monthly Data'!AD:AD)/12</f>
        <v>182.66666666666666</v>
      </c>
      <c r="W12" s="31">
        <f t="shared" ca="1" si="6"/>
        <v>694584.04401343863</v>
      </c>
      <c r="X12" s="31"/>
      <c r="Y12" s="31">
        <f ca="1">OFFSET('Historic CDM'!$C$122,0,ROW()-5)*1000</f>
        <v>6035496.1097881226</v>
      </c>
      <c r="Z12" s="31"/>
      <c r="AA12" s="31"/>
      <c r="AB12" s="16">
        <f t="shared" si="7"/>
        <v>2014</v>
      </c>
      <c r="AC12" s="31">
        <f ca="1">SUMIF('Monthly Data'!$B:$B,AB12,'Monthly Data'!N:N)</f>
        <v>70641461.082503021</v>
      </c>
      <c r="AD12" s="31">
        <f>SUMIF('Monthly Data'!$B:$B,AB12,'Monthly Data'!AE:AE)/12</f>
        <v>5</v>
      </c>
      <c r="AE12" s="31">
        <f t="shared" ca="1" si="8"/>
        <v>14128292.216500605</v>
      </c>
      <c r="AF12" s="31"/>
      <c r="AG12" s="31">
        <f ca="1">OFFSET('Historic CDM'!$C$136,0,ROW()-5)*1000</f>
        <v>3279991.5225030221</v>
      </c>
      <c r="AH12" s="31"/>
      <c r="AI12" s="31"/>
      <c r="AJ12" s="31"/>
      <c r="AL12" s="16">
        <f t="shared" si="9"/>
        <v>2014</v>
      </c>
      <c r="AM12" s="31">
        <f ca="1">SUMIF('Monthly Data'!$B:$B,AL12,'Monthly Data'!Q:Q)</f>
        <v>103336246.95156476</v>
      </c>
      <c r="AN12" s="31">
        <f>SUMIF('Monthly Data'!$B:$B,AL12,'Monthly Data'!AF:AF)/12</f>
        <v>1</v>
      </c>
      <c r="AO12" s="31">
        <f t="shared" ca="1" si="10"/>
        <v>103336246.95156476</v>
      </c>
      <c r="AP12" s="31"/>
      <c r="AQ12" s="31">
        <f ca="1">OFFSET('Historic CDM'!$C$150,0,ROW()-5)*1000</f>
        <v>4888280.0215647444</v>
      </c>
      <c r="AR12" s="31"/>
      <c r="AT12" s="16">
        <f t="shared" si="11"/>
        <v>2014</v>
      </c>
      <c r="AU12" s="31">
        <f>SUMIF('Monthly Data'!$B:$B,AT12,'Monthly Data'!R:R)</f>
        <v>2115841.9300000002</v>
      </c>
      <c r="AV12" s="31">
        <f>SUMIF('Monthly Data'!$B:$B,AT12,'Monthly Data'!AI:AI)/12</f>
        <v>4498</v>
      </c>
      <c r="AW12" s="31">
        <f t="shared" si="12"/>
        <v>470.39616051578486</v>
      </c>
      <c r="AX12" s="37"/>
      <c r="AZ12" s="16">
        <f t="shared" si="17"/>
        <v>2014</v>
      </c>
      <c r="BA12" s="31">
        <v>266366.21000000002</v>
      </c>
      <c r="BB12" s="31">
        <f>SUMIF('Monthly Data'!$B:$B,AZ12,'Monthly Data'!AH:AH)/12</f>
        <v>248</v>
      </c>
      <c r="BC12" s="31">
        <f t="shared" si="18"/>
        <v>1074.0572983870968</v>
      </c>
      <c r="BD12" s="37"/>
      <c r="BF12" s="16">
        <f t="shared" si="13"/>
        <v>2014</v>
      </c>
      <c r="BG12" s="31">
        <f>SUMIF('Monthly Data'!$B:$B,BF12,'Monthly Data'!T:T)</f>
        <v>535721</v>
      </c>
      <c r="BH12" s="31">
        <f>SUMIF('Monthly Data'!$B:$B,BF12,'Monthly Data'!AG:AG)/12</f>
        <v>120.91666666666667</v>
      </c>
      <c r="BI12" s="31">
        <f t="shared" si="14"/>
        <v>4430.4975878704336</v>
      </c>
      <c r="BJ12" s="37"/>
      <c r="BL12" s="16">
        <f t="shared" si="15"/>
        <v>2014</v>
      </c>
      <c r="BM12" s="31">
        <f>SUMIF('Monthly Data'!$B:$B,BL12,'Monthly Data'!U:U)</f>
        <v>16830475.099999998</v>
      </c>
      <c r="BN12" s="31">
        <f>SUMIF('Monthly Data'!$B:$B,BL12,'Monthly Data'!AJ:AJ)/12</f>
        <v>4</v>
      </c>
      <c r="BO12" s="37"/>
    </row>
    <row r="13" spans="1:67" s="35" customFormat="1" x14ac:dyDescent="0.25">
      <c r="B13" s="16">
        <f t="shared" si="16"/>
        <v>2015</v>
      </c>
      <c r="C13" s="31">
        <f>SUMIF('Monthly Data'!$B:$B,B13,'Monthly Data'!C:C)</f>
        <v>135712848.27999997</v>
      </c>
      <c r="D13" s="31">
        <f ca="1">SUMIF('Monthly Data'!$B:$B,B13,'Monthly Data'!D:D)</f>
        <v>3789350.1396417734</v>
      </c>
      <c r="E13" s="31">
        <f ca="1">SUMIF('Res Normalized Monthly'!$B$2:$B$133,B13,'Res Normalized Monthly'!C$2:C$133)</f>
        <v>139502198.41964176</v>
      </c>
      <c r="F13" s="31"/>
      <c r="G13" s="31">
        <f ca="1">SUMIF('Res Normalized Monthly'!$B:$B,B13,'Res Normalized Monthly'!$T:$T)</f>
        <v>139726365.99187273</v>
      </c>
      <c r="H13" s="31">
        <f t="shared" ca="1" si="2"/>
        <v>3789350.1396417734</v>
      </c>
      <c r="I13" s="31">
        <f t="shared" ca="1" si="3"/>
        <v>135937015.85223097</v>
      </c>
      <c r="K13" s="16">
        <f t="shared" si="0"/>
        <v>2015</v>
      </c>
      <c r="L13" s="31">
        <f>SUMIF('Monthly Data'!$B:$B,K13,'Monthly Data'!F:F)</f>
        <v>50019956.109999992</v>
      </c>
      <c r="M13" s="31">
        <f ca="1">SUMIF('Monthly Data'!$B:$B,K13,'Monthly Data'!G:G)</f>
        <v>3393672.9708758462</v>
      </c>
      <c r="N13" s="31">
        <f ca="1">SUMIF('GS &lt; 50 Normalized Monthly'!$B:$B,K13,'GS &lt; 50 Normalized Monthly'!C:C)</f>
        <v>53413629.080875844</v>
      </c>
      <c r="O13" s="38"/>
      <c r="P13" s="31">
        <f ca="1">SUMIF('GS &lt; 50 Normalized Monthly'!$B:$B,K13,'GS &lt; 50 Normalized Monthly'!Z:Z)</f>
        <v>53367596.365513556</v>
      </c>
      <c r="Q13" s="31">
        <f t="shared" ca="1" si="4"/>
        <v>3393672.9708758462</v>
      </c>
      <c r="R13" s="31">
        <f t="shared" ca="1" si="5"/>
        <v>49973923.394637711</v>
      </c>
      <c r="T13" s="16">
        <f t="shared" si="1"/>
        <v>2015</v>
      </c>
      <c r="U13" s="31">
        <f ca="1">SUMIF('Monthly Data'!$B:$B,T13,'Monthly Data'!K:K)</f>
        <v>122207045.09129581</v>
      </c>
      <c r="V13" s="31">
        <f>SUMIF('Monthly Data'!$B:$B,T13,'Monthly Data'!AD:AD)/12</f>
        <v>157.25</v>
      </c>
      <c r="W13" s="31">
        <f t="shared" ca="1" si="6"/>
        <v>777151.32013542647</v>
      </c>
      <c r="X13" s="31"/>
      <c r="Y13" s="31">
        <f ca="1">OFFSET('Historic CDM'!$C$122,0,ROW()-5)*1000</f>
        <v>8309050.2512957975</v>
      </c>
      <c r="Z13" s="31"/>
      <c r="AA13" s="31"/>
      <c r="AB13" s="16">
        <f t="shared" si="7"/>
        <v>2015</v>
      </c>
      <c r="AC13" s="31">
        <f ca="1">SUMIF('Monthly Data'!$B:$B,AB13,'Monthly Data'!N:N)</f>
        <v>66642313.038291335</v>
      </c>
      <c r="AD13" s="31">
        <f>SUMIF('Monthly Data'!$B:$B,AB13,'Monthly Data'!AE:AE)/12</f>
        <v>5</v>
      </c>
      <c r="AE13" s="31">
        <f t="shared" ca="1" si="8"/>
        <v>13328462.607658267</v>
      </c>
      <c r="AF13" s="31"/>
      <c r="AG13" s="31">
        <f ca="1">OFFSET('Historic CDM'!$C$136,0,ROW()-5)*1000</f>
        <v>4515554.9582913341</v>
      </c>
      <c r="AH13" s="31"/>
      <c r="AI13" s="31"/>
      <c r="AJ13" s="31"/>
      <c r="AL13" s="16">
        <f t="shared" si="9"/>
        <v>2015</v>
      </c>
      <c r="AM13" s="31">
        <f ca="1">SUMIF('Monthly Data'!$B:$B,AL13,'Monthly Data'!Q:Q)</f>
        <v>107405735.86016604</v>
      </c>
      <c r="AN13" s="31">
        <f>SUMIF('Monthly Data'!$B:$B,AL13,'Monthly Data'!AF:AF)/12</f>
        <v>1</v>
      </c>
      <c r="AO13" s="31">
        <f t="shared" ca="1" si="10"/>
        <v>107405735.86016604</v>
      </c>
      <c r="AP13" s="31"/>
      <c r="AQ13" s="31">
        <f ca="1">OFFSET('Historic CDM'!$C$150,0,ROW()-5)*1000</f>
        <v>6729681.1401660619</v>
      </c>
      <c r="AR13" s="31"/>
      <c r="AT13" s="16">
        <f t="shared" si="11"/>
        <v>2015</v>
      </c>
      <c r="AU13" s="31">
        <f>SUMIF('Monthly Data'!$B:$B,AT13,'Monthly Data'!R:R)</f>
        <v>2025403.37</v>
      </c>
      <c r="AV13" s="31">
        <f>SUMIF('Monthly Data'!$B:$B,AT13,'Monthly Data'!AI:AI)/12</f>
        <v>4617.083333333333</v>
      </c>
      <c r="AW13" s="31">
        <f t="shared" si="12"/>
        <v>438.67593971663212</v>
      </c>
      <c r="AX13" s="37"/>
      <c r="AZ13" s="16">
        <f t="shared" si="17"/>
        <v>2015</v>
      </c>
      <c r="BA13" s="31">
        <v>246527.76</v>
      </c>
      <c r="BB13" s="31">
        <f>SUMIF('Monthly Data'!$B:$B,AZ13,'Monthly Data'!AH:AH)/12</f>
        <v>248</v>
      </c>
      <c r="BC13" s="31">
        <f t="shared" si="18"/>
        <v>994.06354838709683</v>
      </c>
      <c r="BD13" s="37"/>
      <c r="BF13" s="16">
        <f t="shared" si="13"/>
        <v>2015</v>
      </c>
      <c r="BG13" s="31">
        <f>SUMIF('Monthly Data'!$B:$B,BF13,'Monthly Data'!T:T)</f>
        <v>537894</v>
      </c>
      <c r="BH13" s="31">
        <f>SUMIF('Monthly Data'!$B:$B,BF13,'Monthly Data'!AG:AG)/12</f>
        <v>127.66666666666667</v>
      </c>
      <c r="BI13" s="31">
        <f t="shared" si="14"/>
        <v>4213.2689295039163</v>
      </c>
      <c r="BJ13" s="37"/>
      <c r="BL13" s="16">
        <f t="shared" si="15"/>
        <v>2015</v>
      </c>
      <c r="BM13" s="31">
        <f>SUMIF('Monthly Data'!$B:$B,BL13,'Monthly Data'!U:U)</f>
        <v>16494364</v>
      </c>
      <c r="BN13" s="31">
        <f>SUMIF('Monthly Data'!$B:$B,BL13,'Monthly Data'!AJ:AJ)/12</f>
        <v>4</v>
      </c>
      <c r="BO13" s="37"/>
    </row>
    <row r="14" spans="1:67" s="39" customFormat="1" x14ac:dyDescent="0.25">
      <c r="B14" s="39">
        <f t="shared" si="16"/>
        <v>2016</v>
      </c>
      <c r="C14" s="110">
        <f>SUMIF('Monthly Data'!$B:$B,B14,'Monthly Data'!C:C)</f>
        <v>136671067.22</v>
      </c>
      <c r="D14" s="110">
        <f ca="1">SUMIF('Monthly Data'!$B:$B,B14,'Monthly Data'!D:D)</f>
        <v>4567200.7167796111</v>
      </c>
      <c r="E14" s="110">
        <f ca="1">SUMIF('Res Normalized Monthly'!$B$2:$B$133,B14,'Res Normalized Monthly'!C$2:C$133)</f>
        <v>141238267.93677962</v>
      </c>
      <c r="F14" s="110"/>
      <c r="G14" s="110">
        <f ca="1">SUMIF('Res Normalized Monthly'!$B:$B,B14,'Res Normalized Monthly'!$T:$T)</f>
        <v>139110757.7646625</v>
      </c>
      <c r="H14" s="110">
        <f t="shared" ca="1" si="2"/>
        <v>4567200.7167796111</v>
      </c>
      <c r="I14" s="110">
        <f t="shared" ca="1" si="3"/>
        <v>134543557.04788288</v>
      </c>
      <c r="K14" s="39">
        <f t="shared" si="0"/>
        <v>2016</v>
      </c>
      <c r="L14" s="110">
        <f>SUMIF('Monthly Data'!$B:$B,K14,'Monthly Data'!F:F)</f>
        <v>48503240.200000003</v>
      </c>
      <c r="M14" s="110">
        <f ca="1">SUMIF('Monthly Data'!$B:$B,K14,'Monthly Data'!G:G)</f>
        <v>3823802.1796159633</v>
      </c>
      <c r="N14" s="110">
        <f ca="1">SUMIF('GS &lt; 50 Normalized Monthly'!$B:$B,K14,'GS &lt; 50 Normalized Monthly'!C:C)</f>
        <v>52327042.37961597</v>
      </c>
      <c r="O14" s="111"/>
      <c r="P14" s="110">
        <f ca="1">SUMIF('GS &lt; 50 Normalized Monthly'!$B:$B,K14,'GS &lt; 50 Normalized Monthly'!Z:Z)</f>
        <v>52457128.729630873</v>
      </c>
      <c r="Q14" s="110">
        <f t="shared" ca="1" si="4"/>
        <v>3823802.1796159633</v>
      </c>
      <c r="R14" s="110">
        <f t="shared" ca="1" si="5"/>
        <v>48633326.550014913</v>
      </c>
      <c r="T14" s="39">
        <f t="shared" si="1"/>
        <v>2016</v>
      </c>
      <c r="U14" s="110">
        <f ca="1">SUMIF('Monthly Data'!$B:$B,T14,'Monthly Data'!K:K)</f>
        <v>126567690.95211552</v>
      </c>
      <c r="V14" s="110">
        <f>SUMIF('Monthly Data'!$B:$B,T14,'Monthly Data'!AD:AD)/12</f>
        <v>159.75</v>
      </c>
      <c r="W14" s="110">
        <f t="shared" ca="1" si="6"/>
        <v>792286.01534970594</v>
      </c>
      <c r="X14" s="110">
        <f ca="1">V14*W14</f>
        <v>126567690.95211552</v>
      </c>
      <c r="Y14" s="110">
        <f ca="1">OFFSET('Historic CDM'!$C$122,0,ROW()-5)*1000</f>
        <v>9362176.2421155199</v>
      </c>
      <c r="Z14" s="110">
        <f ca="1">X14-Y14</f>
        <v>117205514.71000001</v>
      </c>
      <c r="AA14" s="110"/>
      <c r="AB14" s="39">
        <f t="shared" si="7"/>
        <v>2016</v>
      </c>
      <c r="AC14" s="110">
        <f ca="1">SUMIF('Monthly Data'!$B:$B,AB14,'Monthly Data'!N:N)</f>
        <v>56877240.580695152</v>
      </c>
      <c r="AD14" s="110">
        <f>SUMIF('Monthly Data'!$B:$B,AB14,'Monthly Data'!AE:AE)/12</f>
        <v>5</v>
      </c>
      <c r="AE14" s="110">
        <f t="shared" ca="1" si="8"/>
        <v>11375448.11613903</v>
      </c>
      <c r="AF14" s="110">
        <f ca="1">AD14*AE14</f>
        <v>56877240.580695152</v>
      </c>
      <c r="AG14" s="110">
        <f ca="1">OFFSET('Historic CDM'!$C$136,0,ROW()-5)*1000</f>
        <v>5087876.4806951564</v>
      </c>
      <c r="AH14" s="110">
        <f ca="1">AF14-AG14</f>
        <v>51789364.099999994</v>
      </c>
      <c r="AI14" s="110"/>
      <c r="AJ14" s="110">
        <f ca="1">SUM(AH14:AI14)</f>
        <v>51789364.099999994</v>
      </c>
      <c r="AL14" s="39">
        <f t="shared" si="9"/>
        <v>2016</v>
      </c>
      <c r="AM14" s="110">
        <f ca="1">SUMIF('Monthly Data'!$B:$B,AL14,'Monthly Data'!Q:Q)</f>
        <v>115608242.25417729</v>
      </c>
      <c r="AN14" s="110">
        <f>SUMIF('Monthly Data'!$B:$B,AL14,'Monthly Data'!AF:AF)/12</f>
        <v>1</v>
      </c>
      <c r="AO14" s="110">
        <f t="shared" ca="1" si="10"/>
        <v>115608242.25417729</v>
      </c>
      <c r="AP14" s="110">
        <f ca="1">AN14*AO14</f>
        <v>115608242.25417729</v>
      </c>
      <c r="AQ14" s="110">
        <f ca="1">OFFSET('Historic CDM'!$C$150,0,ROW()-5)*1000</f>
        <v>7582630.8641772904</v>
      </c>
      <c r="AR14" s="110">
        <f ca="1">AP14-AQ14</f>
        <v>108025611.39</v>
      </c>
      <c r="AT14" s="39">
        <f t="shared" si="11"/>
        <v>2016</v>
      </c>
      <c r="AU14" s="110">
        <f>SUMIF('Monthly Data'!$B:$B,AT14,'Monthly Data'!R:R)</f>
        <v>1938874.6199999999</v>
      </c>
      <c r="AV14" s="110">
        <f>SUMIF('Monthly Data'!$B:$B,AT14,'Monthly Data'!AI:AI)/12</f>
        <v>5927</v>
      </c>
      <c r="AW14" s="110">
        <f t="shared" si="12"/>
        <v>327.12580057364602</v>
      </c>
      <c r="AX14" s="110">
        <f>AW14*AV14</f>
        <v>1938874.6199999999</v>
      </c>
      <c r="AZ14" s="39">
        <f t="shared" si="17"/>
        <v>2016</v>
      </c>
      <c r="BA14" s="110">
        <v>231256.11</v>
      </c>
      <c r="BB14" s="110">
        <f>SUMIF('Monthly Data'!$B:$B,AZ14,'Monthly Data'!AH:AH)/12</f>
        <v>248</v>
      </c>
      <c r="BC14" s="110">
        <f t="shared" si="18"/>
        <v>932.48431451612896</v>
      </c>
      <c r="BD14" s="110">
        <f>BC14*BB14</f>
        <v>231256.11</v>
      </c>
      <c r="BF14" s="16">
        <f t="shared" si="13"/>
        <v>2016</v>
      </c>
      <c r="BG14" s="110">
        <f>SUMIF('Monthly Data'!$B:$B,BF14,'Monthly Data'!T:T)</f>
        <v>504437</v>
      </c>
      <c r="BH14" s="110">
        <f>SUMIF('Monthly Data'!$B:$B,BF14,'Monthly Data'!AG:AG)/12</f>
        <v>126.41666666666667</v>
      </c>
      <c r="BI14" s="110">
        <f t="shared" si="14"/>
        <v>3990.2729070533946</v>
      </c>
      <c r="BJ14" s="110">
        <f>BI14*BH14</f>
        <v>504437</v>
      </c>
      <c r="BL14" s="39">
        <f t="shared" si="15"/>
        <v>2016</v>
      </c>
      <c r="BM14" s="110">
        <f>SUMIF('Monthly Data'!$B:$B,BL14,'Monthly Data'!U:U)</f>
        <v>16248812.099999998</v>
      </c>
      <c r="BN14" s="110">
        <f>SUMIF('Monthly Data'!$B:$B,BL14,'Monthly Data'!AJ:AJ)/12</f>
        <v>4</v>
      </c>
      <c r="BO14" s="110">
        <f>AVERAGE(BM10:BM13)</f>
        <v>16106610.137499999</v>
      </c>
    </row>
    <row r="15" spans="1:67" s="35" customFormat="1" x14ac:dyDescent="0.25">
      <c r="B15" s="35">
        <f t="shared" si="16"/>
        <v>2017</v>
      </c>
      <c r="E15" s="36"/>
      <c r="F15" s="36"/>
      <c r="G15" s="36">
        <f ca="1">SUMIF('Res Normalized Monthly'!$B:$B,B15,'Res Normalized Monthly'!$T:$T)</f>
        <v>138495149.53745231</v>
      </c>
      <c r="H15" s="36">
        <f ca="1">H14</f>
        <v>4567200.7167796111</v>
      </c>
      <c r="I15" s="36">
        <f ca="1">G15-H15</f>
        <v>133927948.82067271</v>
      </c>
      <c r="K15" s="35">
        <f t="shared" si="0"/>
        <v>2017</v>
      </c>
      <c r="N15" s="36"/>
      <c r="O15" s="38"/>
      <c r="P15" s="36">
        <f ca="1">SUMIF('GS &lt; 50 Normalized Monthly'!$B:$B,K15,'GS &lt; 50 Normalized Monthly'!Z:Z)</f>
        <v>52739421.497981928</v>
      </c>
      <c r="Q15" s="36">
        <f ca="1">Q14</f>
        <v>3823802.1796159633</v>
      </c>
      <c r="R15" s="36">
        <f t="shared" ca="1" si="5"/>
        <v>48915619.318365961</v>
      </c>
      <c r="T15" s="35">
        <f t="shared" si="1"/>
        <v>2017</v>
      </c>
      <c r="U15" s="36"/>
      <c r="V15" s="36">
        <f>'Connection count '!K14</f>
        <v>157.41214581971806</v>
      </c>
      <c r="W15" s="36">
        <f ca="1">AVERAGE(W13:W14)</f>
        <v>784718.66774256621</v>
      </c>
      <c r="X15" s="36">
        <f ca="1">V15*W15</f>
        <v>123524249.35414772</v>
      </c>
      <c r="Y15" s="36">
        <f ca="1">OFFSET('Historic CDM'!$C$122,0,ROW()-5)*1000</f>
        <v>8871381.2989615686</v>
      </c>
      <c r="Z15" s="36">
        <f ca="1">X15-Y15</f>
        <v>114652868.05518615</v>
      </c>
      <c r="AA15" s="36"/>
      <c r="AB15" s="35">
        <f t="shared" si="7"/>
        <v>2017</v>
      </c>
      <c r="AC15" s="36"/>
      <c r="AD15" s="36">
        <v>5</v>
      </c>
      <c r="AE15" s="36">
        <f ca="1">AVERAGE(AE5:AE14)</f>
        <v>13380408.571980471</v>
      </c>
      <c r="AF15" s="36">
        <f ca="1">AD15*AE15</f>
        <v>66902042.859902352</v>
      </c>
      <c r="AG15" s="36">
        <f ca="1">OFFSET('Historic CDM'!$C$136,0,ROW()-5)*1000</f>
        <v>4821153.8743759189</v>
      </c>
      <c r="AH15" s="36">
        <f ca="1">AF15-AG15</f>
        <v>62080888.985526435</v>
      </c>
      <c r="AI15" s="36"/>
      <c r="AJ15" s="36">
        <f ca="1">SUM(AH15:AI15)</f>
        <v>62080888.985526435</v>
      </c>
      <c r="AL15" s="35">
        <f t="shared" si="9"/>
        <v>2017</v>
      </c>
      <c r="AM15" s="36"/>
      <c r="AN15" s="36">
        <v>1</v>
      </c>
      <c r="AO15" s="36">
        <f ca="1">AVERAGE(AO11:AO14)</f>
        <v>106165796.64036433</v>
      </c>
      <c r="AP15" s="36">
        <f ca="1">AN15*AO15</f>
        <v>106165796.64036433</v>
      </c>
      <c r="AQ15" s="36">
        <f ca="1">OFFSET('Historic CDM'!$C$150,0,ROW()-5)*1000</f>
        <v>7185125.3283169279</v>
      </c>
      <c r="AR15" s="36">
        <f ca="1">AP15-AQ15</f>
        <v>98980671.312047407</v>
      </c>
      <c r="AT15" s="35">
        <f t="shared" si="11"/>
        <v>2017</v>
      </c>
      <c r="AU15" s="36"/>
      <c r="AV15" s="36">
        <f>'Connection count '!AE14</f>
        <v>5998.0974893451794</v>
      </c>
      <c r="AW15" s="36">
        <f>AW14</f>
        <v>327.12580057364602</v>
      </c>
      <c r="AX15" s="36">
        <f>AW15*AV15</f>
        <v>1962132.4431208181</v>
      </c>
      <c r="AZ15" s="35">
        <f t="shared" si="17"/>
        <v>2017</v>
      </c>
      <c r="BA15" s="36"/>
      <c r="BB15" s="36">
        <f>'Connection count '!AA14</f>
        <v>242.72001500815873</v>
      </c>
      <c r="BC15" s="36">
        <f>BC14</f>
        <v>932.48431451612896</v>
      </c>
      <c r="BD15" s="36">
        <f>BC15*BB15</f>
        <v>226332.60681422742</v>
      </c>
      <c r="BF15" s="35">
        <f t="shared" ref="BF15:BF16" si="19">AZ15</f>
        <v>2017</v>
      </c>
      <c r="BG15" s="36"/>
      <c r="BH15" s="36">
        <f>'Connection count '!W14</f>
        <v>128.05501245348748</v>
      </c>
      <c r="BI15" s="36">
        <f>BI14</f>
        <v>3990.2729070533946</v>
      </c>
      <c r="BJ15" s="36">
        <f>BI15*BH15</f>
        <v>510974.44680553611</v>
      </c>
      <c r="BL15" s="35">
        <f t="shared" si="15"/>
        <v>2017</v>
      </c>
      <c r="BM15" s="36"/>
      <c r="BN15" s="36">
        <v>4</v>
      </c>
      <c r="BO15" s="36">
        <f>AVERAGE(BM11:BM14)</f>
        <v>16296711.4375</v>
      </c>
    </row>
    <row r="16" spans="1:67" s="35" customFormat="1" x14ac:dyDescent="0.25">
      <c r="B16" s="35">
        <f t="shared" si="16"/>
        <v>2018</v>
      </c>
      <c r="E16" s="36"/>
      <c r="F16" s="36"/>
      <c r="G16" s="36">
        <f ca="1">SUMIF('Res Normalized Monthly'!$B:$B,B16,'Res Normalized Monthly'!$T:$T)</f>
        <v>137879541.31024206</v>
      </c>
      <c r="H16" s="36">
        <f ca="1">H15</f>
        <v>4567200.7167796111</v>
      </c>
      <c r="I16" s="36">
        <f ca="1">G16-H16</f>
        <v>133312340.59346245</v>
      </c>
      <c r="K16" s="35">
        <f t="shared" si="0"/>
        <v>2018</v>
      </c>
      <c r="N16" s="36"/>
      <c r="O16" s="38"/>
      <c r="P16" s="36">
        <f ca="1">SUMIF('GS &lt; 50 Normalized Monthly'!$B:$B,K16,'GS &lt; 50 Normalized Monthly'!Z:Z)</f>
        <v>53027802.609303236</v>
      </c>
      <c r="Q16" s="36">
        <f ca="1">Q15</f>
        <v>3823802.1796159633</v>
      </c>
      <c r="R16" s="36">
        <f t="shared" ca="1" si="5"/>
        <v>49204000.429687276</v>
      </c>
      <c r="T16" s="35">
        <f t="shared" si="1"/>
        <v>2018</v>
      </c>
      <c r="U16" s="36"/>
      <c r="V16" s="36">
        <f>'Connection count '!K15</f>
        <v>155.10850486114668</v>
      </c>
      <c r="W16" s="36">
        <f ca="1">W15</f>
        <v>784718.66774256621</v>
      </c>
      <c r="X16" s="36">
        <f ca="1">V16*W16</f>
        <v>121716539.29018039</v>
      </c>
      <c r="Y16" s="36">
        <f ca="1">OFFSET('Historic CDM'!$C$122,0,ROW()-5)*1000</f>
        <v>8601520.7048532311</v>
      </c>
      <c r="Z16" s="36">
        <f ca="1">X16-Y16</f>
        <v>113115018.58532715</v>
      </c>
      <c r="AA16" s="36"/>
      <c r="AB16" s="35">
        <f t="shared" si="7"/>
        <v>2018</v>
      </c>
      <c r="AC16" s="36"/>
      <c r="AD16" s="36">
        <v>5</v>
      </c>
      <c r="AE16" s="36">
        <f ca="1">AE15</f>
        <v>13380408.571980471</v>
      </c>
      <c r="AF16" s="36">
        <f ca="1">AD16*AE16</f>
        <v>66902042.859902352</v>
      </c>
      <c r="AG16" s="36">
        <f ca="1">OFFSET('Historic CDM'!$C$136,0,ROW()-5)*1000</f>
        <v>4674498.0825682674</v>
      </c>
      <c r="AH16" s="36">
        <f ca="1">AF16-AG16</f>
        <v>62227544.777334087</v>
      </c>
      <c r="AI16" s="36">
        <v>-7760623</v>
      </c>
      <c r="AJ16" s="36">
        <f ca="1">SUM(AH16:AI16)</f>
        <v>54466921.777334087</v>
      </c>
      <c r="AL16" s="35">
        <f t="shared" si="9"/>
        <v>2018</v>
      </c>
      <c r="AM16" s="36"/>
      <c r="AN16" s="36">
        <v>1</v>
      </c>
      <c r="AO16" s="36">
        <f ca="1">AO15</f>
        <v>106165796.64036433</v>
      </c>
      <c r="AP16" s="36">
        <f ca="1">AN16*AO16</f>
        <v>106165796.64036433</v>
      </c>
      <c r="AQ16" s="36">
        <f ca="1">OFFSET('Historic CDM'!$C$150,0,ROW()-5)*1000</f>
        <v>6966559.3435508972</v>
      </c>
      <c r="AR16" s="36">
        <f ca="1">AP16-AQ16</f>
        <v>99199237.296813443</v>
      </c>
      <c r="AT16" s="35">
        <f t="shared" si="11"/>
        <v>2018</v>
      </c>
      <c r="AU16" s="36"/>
      <c r="AV16" s="36">
        <f>'Connection count '!AE15</f>
        <v>6070.0478305532215</v>
      </c>
      <c r="AW16" s="36">
        <f>AW15</f>
        <v>327.12580057364602</v>
      </c>
      <c r="AX16" s="36">
        <f>AW16*AV16</f>
        <v>1985669.2560900459</v>
      </c>
      <c r="AZ16" s="35">
        <f t="shared" si="17"/>
        <v>2018</v>
      </c>
      <c r="BA16" s="36"/>
      <c r="BB16" s="36">
        <f>'Connection count '!AA15</f>
        <v>237.5524422804871</v>
      </c>
      <c r="BC16" s="36">
        <f>BC15</f>
        <v>932.48431451612896</v>
      </c>
      <c r="BD16" s="36">
        <f>BC16*BB16</f>
        <v>221513.9263015523</v>
      </c>
      <c r="BF16" s="35">
        <f t="shared" si="19"/>
        <v>2018</v>
      </c>
      <c r="BG16" s="36"/>
      <c r="BH16" s="36">
        <f>'Connection count '!W15</f>
        <v>129.71459101750429</v>
      </c>
      <c r="BI16" s="36">
        <f>BI15</f>
        <v>3990.2729070533946</v>
      </c>
      <c r="BJ16" s="36">
        <f>BI16*BH16</f>
        <v>517596.61818665901</v>
      </c>
      <c r="BL16" s="35">
        <f t="shared" si="15"/>
        <v>2018</v>
      </c>
      <c r="BM16" s="36"/>
      <c r="BN16" s="36">
        <v>4</v>
      </c>
      <c r="BO16" s="36">
        <f>BO15</f>
        <v>16296711.4375</v>
      </c>
    </row>
    <row r="17" spans="50:50" x14ac:dyDescent="0.25">
      <c r="AX17" s="36"/>
    </row>
  </sheetData>
  <mergeCells count="4">
    <mergeCell ref="AL2:AR2"/>
    <mergeCell ref="AB2:AH2"/>
    <mergeCell ref="B2:I2"/>
    <mergeCell ref="K2:R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0"/>
  <sheetViews>
    <sheetView topLeftCell="I1" workbookViewId="0">
      <selection activeCell="U19" sqref="U19"/>
    </sheetView>
  </sheetViews>
  <sheetFormatPr defaultColWidth="9.109375" defaultRowHeight="13.2" x14ac:dyDescent="0.25"/>
  <cols>
    <col min="1" max="1" width="9.109375" style="16"/>
    <col min="2" max="2" width="5" style="16" bestFit="1" customWidth="1"/>
    <col min="3" max="3" width="14.44140625" style="16" bestFit="1" customWidth="1"/>
    <col min="4" max="4" width="8.77734375" style="16" bestFit="1" customWidth="1"/>
    <col min="5" max="5" width="10.109375" style="16" bestFit="1" customWidth="1"/>
    <col min="6" max="6" width="9.109375" style="16"/>
    <col min="7" max="7" width="5" style="16" bestFit="1" customWidth="1"/>
    <col min="8" max="8" width="14.44140625" style="16" bestFit="1" customWidth="1"/>
    <col min="9" max="9" width="8.77734375" style="16" bestFit="1" customWidth="1"/>
    <col min="10" max="10" width="10.109375" style="16" bestFit="1" customWidth="1"/>
    <col min="11" max="11" width="15.44140625" style="16" bestFit="1" customWidth="1"/>
    <col min="12" max="12" width="13.6640625" style="16" bestFit="1" customWidth="1"/>
    <col min="13" max="13" width="9.109375" style="16"/>
    <col min="14" max="14" width="5" style="16" bestFit="1" customWidth="1"/>
    <col min="15" max="15" width="14.44140625" style="16" bestFit="1" customWidth="1"/>
    <col min="16" max="16" width="8.77734375" style="16" bestFit="1" customWidth="1"/>
    <col min="17" max="17" width="10.109375" style="16" bestFit="1" customWidth="1"/>
    <col min="18" max="18" width="9.109375" style="16"/>
    <col min="19" max="19" width="5" style="16" bestFit="1" customWidth="1"/>
    <col min="20" max="20" width="14.44140625" style="16" bestFit="1" customWidth="1"/>
    <col min="21" max="21" width="8.77734375" style="16" bestFit="1" customWidth="1"/>
    <col min="22" max="22" width="9.33203125" style="16" bestFit="1" customWidth="1"/>
    <col min="23" max="23" width="9.109375" style="16"/>
    <col min="24" max="24" width="5" style="16" bestFit="1" customWidth="1"/>
    <col min="25" max="25" width="14.44140625" style="16" bestFit="1" customWidth="1"/>
    <col min="26" max="26" width="8.77734375" style="16" bestFit="1" customWidth="1"/>
    <col min="27" max="27" width="10.109375" style="16" bestFit="1" customWidth="1"/>
    <col min="28" max="28" width="9.109375" style="16"/>
    <col min="29" max="29" width="5" style="16" bestFit="1" customWidth="1"/>
    <col min="30" max="30" width="14.44140625" style="16" bestFit="1" customWidth="1"/>
    <col min="31" max="31" width="8.77734375" style="16" bestFit="1" customWidth="1"/>
    <col min="32" max="32" width="10.109375" style="16" bestFit="1" customWidth="1"/>
    <col min="33" max="16384" width="9.109375" style="16"/>
  </cols>
  <sheetData>
    <row r="2" spans="2:32" s="42" customFormat="1" ht="12.75" customHeight="1" x14ac:dyDescent="0.25">
      <c r="B2" s="146" t="s">
        <v>109</v>
      </c>
      <c r="C2" s="146"/>
      <c r="D2" s="146"/>
      <c r="E2" s="146"/>
      <c r="G2" s="146" t="s">
        <v>36</v>
      </c>
      <c r="H2" s="146"/>
      <c r="I2" s="146"/>
      <c r="J2" s="146"/>
      <c r="K2" s="91"/>
      <c r="L2" s="91"/>
      <c r="N2" s="146" t="s">
        <v>154</v>
      </c>
      <c r="O2" s="146"/>
      <c r="P2" s="146"/>
      <c r="Q2" s="146"/>
      <c r="S2" s="146" t="s">
        <v>107</v>
      </c>
      <c r="T2" s="146"/>
      <c r="U2" s="146"/>
      <c r="V2" s="146"/>
      <c r="X2" s="146" t="s">
        <v>32</v>
      </c>
      <c r="Y2" s="146"/>
      <c r="Z2" s="146"/>
      <c r="AA2" s="146"/>
      <c r="AC2" s="146" t="s">
        <v>31</v>
      </c>
      <c r="AD2" s="146"/>
      <c r="AE2" s="146"/>
      <c r="AF2" s="146"/>
    </row>
    <row r="3" spans="2:32" x14ac:dyDescent="0.25">
      <c r="B3" s="16" t="s">
        <v>89</v>
      </c>
      <c r="C3" s="30" t="s">
        <v>110</v>
      </c>
      <c r="D3" s="40" t="s">
        <v>111</v>
      </c>
      <c r="E3" s="43" t="s">
        <v>112</v>
      </c>
      <c r="G3" s="16" t="s">
        <v>89</v>
      </c>
      <c r="H3" s="30" t="s">
        <v>110</v>
      </c>
      <c r="I3" s="40" t="s">
        <v>111</v>
      </c>
      <c r="J3" s="43" t="s">
        <v>112</v>
      </c>
      <c r="K3" s="43"/>
      <c r="L3" s="43"/>
      <c r="N3" s="16" t="s">
        <v>89</v>
      </c>
      <c r="O3" s="30" t="s">
        <v>110</v>
      </c>
      <c r="P3" s="40" t="s">
        <v>111</v>
      </c>
      <c r="Q3" s="43" t="s">
        <v>112</v>
      </c>
      <c r="S3" s="16" t="s">
        <v>89</v>
      </c>
      <c r="T3" s="30" t="s">
        <v>110</v>
      </c>
      <c r="U3" s="40" t="s">
        <v>111</v>
      </c>
      <c r="V3" s="43" t="s">
        <v>112</v>
      </c>
      <c r="X3" s="16" t="s">
        <v>89</v>
      </c>
      <c r="Y3" s="30" t="s">
        <v>110</v>
      </c>
      <c r="Z3" s="40" t="s">
        <v>111</v>
      </c>
      <c r="AA3" s="43" t="s">
        <v>112</v>
      </c>
      <c r="AC3" s="16" t="s">
        <v>89</v>
      </c>
      <c r="AD3" s="30" t="s">
        <v>110</v>
      </c>
      <c r="AE3" s="40" t="s">
        <v>111</v>
      </c>
      <c r="AF3" s="43" t="s">
        <v>112</v>
      </c>
    </row>
    <row r="4" spans="2:32" s="44" customFormat="1" x14ac:dyDescent="0.25">
      <c r="C4" s="44" t="s">
        <v>113</v>
      </c>
      <c r="D4" s="44" t="s">
        <v>114</v>
      </c>
      <c r="E4" s="44" t="s">
        <v>115</v>
      </c>
      <c r="G4" s="91"/>
      <c r="H4" s="91" t="s">
        <v>113</v>
      </c>
      <c r="I4" s="91" t="s">
        <v>114</v>
      </c>
      <c r="J4" s="91" t="s">
        <v>115</v>
      </c>
      <c r="K4" s="91"/>
      <c r="L4" s="91"/>
      <c r="M4" s="91"/>
      <c r="N4" s="91"/>
      <c r="O4" s="91" t="s">
        <v>113</v>
      </c>
      <c r="P4" s="91" t="s">
        <v>114</v>
      </c>
      <c r="Q4" s="91" t="s">
        <v>115</v>
      </c>
      <c r="R4" s="91"/>
      <c r="T4" s="44" t="s">
        <v>113</v>
      </c>
      <c r="U4" s="44" t="s">
        <v>114</v>
      </c>
      <c r="V4" s="44" t="s">
        <v>115</v>
      </c>
      <c r="Y4" s="44" t="s">
        <v>113</v>
      </c>
      <c r="Z4" s="44" t="s">
        <v>114</v>
      </c>
      <c r="AA4" s="44" t="s">
        <v>115</v>
      </c>
      <c r="AD4" s="44" t="s">
        <v>113</v>
      </c>
      <c r="AE4" s="44" t="s">
        <v>114</v>
      </c>
      <c r="AF4" s="44" t="s">
        <v>115</v>
      </c>
    </row>
    <row r="5" spans="2:32" ht="14.4" x14ac:dyDescent="0.3">
      <c r="B5" s="16">
        <v>2007</v>
      </c>
      <c r="C5" s="31">
        <f>SUMIF('Monthly Data'!$B:$B,B5,'Monthly Data'!I:I)</f>
        <v>129510454.38000001</v>
      </c>
      <c r="D5" s="16">
        <f>E5/C5</f>
        <v>2.7533466831467382E-3</v>
      </c>
      <c r="E5" s="45">
        <f>SUMIF('Monthly Data'!$B:$B,B5,'Monthly Data'!V:V)</f>
        <v>356587.18</v>
      </c>
      <c r="G5" s="16">
        <v>2007</v>
      </c>
      <c r="H5" s="31">
        <f>SUMIF('Monthly Data'!$B:$B,G5,'Monthly Data'!L:L)</f>
        <v>79387933.639999986</v>
      </c>
      <c r="I5" s="16">
        <f>J5/H5</f>
        <v>2.2322059773415208E-3</v>
      </c>
      <c r="J5" s="45">
        <f>SUMIF('Monthly Data'!$B:$B,G5,'Monthly Data'!W:W)</f>
        <v>177210.21999999997</v>
      </c>
      <c r="K5" s="45"/>
      <c r="L5" s="109">
        <f t="shared" ref="L5:L13" si="0">J5</f>
        <v>177210.21999999997</v>
      </c>
      <c r="N5" s="16">
        <v>2007</v>
      </c>
      <c r="O5" s="31">
        <f>SUMIF('Monthly Data'!$B:$B,N5,'Monthly Data'!O:O)</f>
        <v>87269417.829999983</v>
      </c>
      <c r="P5" s="16">
        <f>Q5/O5</f>
        <v>1.8588883028417933E-3</v>
      </c>
      <c r="Q5" s="45">
        <f>SUMIF('Monthly Data'!$B:$B,N5,'Monthly Data'!X:X)</f>
        <v>162224.1</v>
      </c>
      <c r="S5" s="16">
        <v>2007</v>
      </c>
      <c r="T5" s="31">
        <f>SUMIF('Monthly Data'!$B:$B,S5,'Monthly Data'!U:U)</f>
        <v>17391305.099999998</v>
      </c>
      <c r="U5" s="16">
        <f>V5/T5</f>
        <v>1.6425966789576942E-3</v>
      </c>
      <c r="V5" s="45">
        <f>SUMIF('Monthly Data'!$B:$B,S5,'Monthly Data'!AA:AA)</f>
        <v>28566.900000000005</v>
      </c>
      <c r="X5" s="16">
        <v>2007</v>
      </c>
      <c r="Y5" s="31">
        <f>SUMIF('Monthly Data'!$B:$B,X5,'Monthly Data'!R:R)</f>
        <v>4143938.9700000007</v>
      </c>
      <c r="Z5" s="16">
        <f>AA5/Y5</f>
        <v>2.7222481029926938E-3</v>
      </c>
      <c r="AA5" s="45">
        <f>SUMIF('Monthly Data'!$B:$B,X5,'Monthly Data'!Y:Y)</f>
        <v>11280.83</v>
      </c>
      <c r="AD5" s="31"/>
      <c r="AF5" s="45"/>
    </row>
    <row r="6" spans="2:32" ht="14.4" x14ac:dyDescent="0.3">
      <c r="B6" s="16">
        <f>B5+1</f>
        <v>2008</v>
      </c>
      <c r="C6" s="31">
        <f>SUMIF('Monthly Data'!$B:$B,B6,'Monthly Data'!I:I)</f>
        <v>119008855</v>
      </c>
      <c r="D6" s="16">
        <f>E6/C6</f>
        <v>2.8426036869273301E-3</v>
      </c>
      <c r="E6" s="45">
        <f>SUMIF('Monthly Data'!$B:$B,B6,'Monthly Data'!V:V)</f>
        <v>338295.01</v>
      </c>
      <c r="G6" s="16">
        <f>G5+1</f>
        <v>2008</v>
      </c>
      <c r="H6" s="31">
        <f>SUMIF('Monthly Data'!$B:$B,G6,'Monthly Data'!L:L)</f>
        <v>62982355.680000007</v>
      </c>
      <c r="I6" s="16">
        <f>J6/H6</f>
        <v>2.2379971101138085E-3</v>
      </c>
      <c r="J6" s="45">
        <f>SUMIF('Monthly Data'!$B:$B,G6,'Monthly Data'!W:W)</f>
        <v>140954.33000000002</v>
      </c>
      <c r="K6" s="45"/>
      <c r="L6" s="109">
        <f t="shared" si="0"/>
        <v>140954.33000000002</v>
      </c>
      <c r="N6" s="16">
        <f>N5+1</f>
        <v>2008</v>
      </c>
      <c r="O6" s="31">
        <f>SUMIF('Monthly Data'!$B:$B,N6,'Monthly Data'!O:O)</f>
        <v>84565114.399999991</v>
      </c>
      <c r="P6" s="16">
        <f>Q6/O6</f>
        <v>1.9045888028740138E-3</v>
      </c>
      <c r="Q6" s="45">
        <f>SUMIF('Monthly Data'!$B:$B,N6,'Monthly Data'!X:X)</f>
        <v>161061.77000000002</v>
      </c>
      <c r="S6" s="16">
        <f>S5+1</f>
        <v>2008</v>
      </c>
      <c r="T6" s="31">
        <f>SUMIF('Monthly Data'!$B:$B,S6,'Monthly Data'!U:U)</f>
        <v>15895270.099999998</v>
      </c>
      <c r="U6" s="16">
        <f>V6/T6</f>
        <v>2.1999814900911939E-3</v>
      </c>
      <c r="V6" s="45">
        <f>SUMIF('Monthly Data'!$B:$B,S6,'Monthly Data'!AA:AA)</f>
        <v>34969.299999999996</v>
      </c>
      <c r="X6" s="16">
        <f>X5+1</f>
        <v>2008</v>
      </c>
      <c r="Y6" s="31">
        <f>SUMIF('Monthly Data'!$B:$B,X6,'Monthly Data'!R:R)</f>
        <v>3636365.68</v>
      </c>
      <c r="Z6" s="16">
        <f>AA6/Y6</f>
        <v>2.8954183727748738E-3</v>
      </c>
      <c r="AA6" s="45">
        <f>SUMIF('Monthly Data'!$B:$B,X6,'Monthly Data'!Y:Y)</f>
        <v>10528.799999999997</v>
      </c>
      <c r="AD6" s="31"/>
      <c r="AF6" s="45"/>
    </row>
    <row r="7" spans="2:32" ht="14.4" x14ac:dyDescent="0.3">
      <c r="B7" s="16">
        <f t="shared" ref="B7:B14" si="1">B6+1</f>
        <v>2009</v>
      </c>
      <c r="C7" s="31">
        <f>SUMIF('Monthly Data'!$B:$B,B7,'Monthly Data'!I:I)</f>
        <v>114435150.86</v>
      </c>
      <c r="D7" s="16">
        <f>E7/C7</f>
        <v>2.9281301023488691E-3</v>
      </c>
      <c r="E7" s="45">
        <f>SUMIF('Monthly Data'!$B:$B,B7,'Monthly Data'!V:V)</f>
        <v>335081.01000000007</v>
      </c>
      <c r="G7" s="16">
        <f t="shared" ref="G7:G14" si="2">G6+1</f>
        <v>2009</v>
      </c>
      <c r="H7" s="31">
        <f>SUMIF('Monthly Data'!$B:$B,G7,'Monthly Data'!L:L)</f>
        <v>51636237.079999991</v>
      </c>
      <c r="I7" s="16">
        <f>J7/H7</f>
        <v>2.3239143048725043E-3</v>
      </c>
      <c r="J7" s="45">
        <f>SUMIF('Monthly Data'!$B:$B,G7,'Monthly Data'!W:W)</f>
        <v>119998.19</v>
      </c>
      <c r="K7" s="45"/>
      <c r="L7" s="109">
        <f t="shared" si="0"/>
        <v>119998.19</v>
      </c>
      <c r="N7" s="16">
        <f t="shared" ref="N7:N14" si="3">N6+1</f>
        <v>2009</v>
      </c>
      <c r="O7" s="31">
        <f>SUMIF('Monthly Data'!$B:$B,N7,'Monthly Data'!O:O)</f>
        <v>107470119.13999999</v>
      </c>
      <c r="P7" s="16">
        <f>Q7/O7</f>
        <v>1.6455578668301454E-3</v>
      </c>
      <c r="Q7" s="45">
        <f>SUMIF('Monthly Data'!$B:$B,N7,'Monthly Data'!X:X)</f>
        <v>176848.29999999996</v>
      </c>
      <c r="S7" s="16">
        <f t="shared" ref="S7:S14" si="4">S6+1</f>
        <v>2009</v>
      </c>
      <c r="T7" s="31">
        <f>SUMIF('Monthly Data'!$B:$B,S7,'Monthly Data'!U:U)</f>
        <v>17281081</v>
      </c>
      <c r="U7" s="16">
        <f>V7/T7</f>
        <v>2.2465897822017038E-3</v>
      </c>
      <c r="V7" s="45">
        <f>SUMIF('Monthly Data'!$B:$B,S7,'Monthly Data'!AA:AA)</f>
        <v>38823.5</v>
      </c>
      <c r="X7" s="16">
        <f t="shared" ref="X7:X14" si="5">X6+1</f>
        <v>2009</v>
      </c>
      <c r="Y7" s="31">
        <f>SUMIF('Monthly Data'!$B:$B,X7,'Monthly Data'!R:R)</f>
        <v>3489622.52</v>
      </c>
      <c r="Z7" s="16">
        <f>AA7/Y7</f>
        <v>2.6990111239882765E-3</v>
      </c>
      <c r="AA7" s="45">
        <f>SUMIF('Monthly Data'!$B:$B,X7,'Monthly Data'!Y:Y)</f>
        <v>9418.5300000000025</v>
      </c>
      <c r="AD7" s="31"/>
      <c r="AF7" s="45"/>
    </row>
    <row r="8" spans="2:32" ht="14.4" x14ac:dyDescent="0.3">
      <c r="B8" s="16">
        <f t="shared" si="1"/>
        <v>2010</v>
      </c>
      <c r="C8" s="31">
        <f>SUMIF('Monthly Data'!$B:$B,B8,'Monthly Data'!I:I)</f>
        <v>119155178.11999999</v>
      </c>
      <c r="D8" s="16">
        <f>E8/C8</f>
        <v>2.9434354891970183E-3</v>
      </c>
      <c r="E8" s="45">
        <f>SUMIF('Monthly Data'!$B:$B,B8,'Monthly Data'!V:V)</f>
        <v>350725.58</v>
      </c>
      <c r="G8" s="16">
        <f t="shared" si="2"/>
        <v>2010</v>
      </c>
      <c r="H8" s="31">
        <f>SUMIF('Monthly Data'!$B:$B,G8,'Monthly Data'!L:L)</f>
        <v>71376454.960000008</v>
      </c>
      <c r="I8" s="16">
        <f>J8/H8</f>
        <v>2.0469561017267979E-3</v>
      </c>
      <c r="J8" s="45">
        <f>SUMIF('Monthly Data'!$B:$B,G8,'Monthly Data'!W:W)</f>
        <v>146104.47</v>
      </c>
      <c r="K8" s="45"/>
      <c r="L8" s="109">
        <f t="shared" si="0"/>
        <v>146104.47</v>
      </c>
      <c r="N8" s="16">
        <f t="shared" si="3"/>
        <v>2010</v>
      </c>
      <c r="O8" s="31">
        <f>SUMIF('Monthly Data'!$B:$B,N8,'Monthly Data'!O:O)</f>
        <v>95770766.960000008</v>
      </c>
      <c r="P8" s="16">
        <f>Q8/O8</f>
        <v>1.7485318883364617E-3</v>
      </c>
      <c r="Q8" s="45">
        <f>SUMIF('Monthly Data'!$B:$B,N8,'Monthly Data'!X:X)</f>
        <v>167458.24000000002</v>
      </c>
      <c r="S8" s="16">
        <f t="shared" si="4"/>
        <v>2010</v>
      </c>
      <c r="T8" s="31">
        <f>SUMIF('Monthly Data'!$B:$B,S8,'Monthly Data'!U:U)</f>
        <v>17355209</v>
      </c>
      <c r="U8" s="16">
        <f>V8/T8</f>
        <v>1.9911370701441856E-3</v>
      </c>
      <c r="V8" s="45">
        <f>SUMIF('Monthly Data'!$B:$B,S8,'Monthly Data'!AA:AA)</f>
        <v>34556.6</v>
      </c>
      <c r="X8" s="16">
        <f t="shared" si="5"/>
        <v>2010</v>
      </c>
      <c r="Y8" s="31">
        <f>SUMIF('Monthly Data'!$B:$B,X8,'Monthly Data'!R:R)</f>
        <v>4583498.1999999993</v>
      </c>
      <c r="Z8" s="16">
        <f>AA8/Y8</f>
        <v>2.6085774398253284E-3</v>
      </c>
      <c r="AA8" s="45">
        <f>SUMIF('Monthly Data'!$B:$B,X8,'Monthly Data'!Y:Y)</f>
        <v>11956.41</v>
      </c>
      <c r="AD8" s="31"/>
      <c r="AF8" s="45"/>
    </row>
    <row r="9" spans="2:32" ht="14.4" x14ac:dyDescent="0.3">
      <c r="B9" s="16">
        <f t="shared" si="1"/>
        <v>2011</v>
      </c>
      <c r="C9" s="31">
        <f>SUMIF('Monthly Data'!$B:$B,B9,'Monthly Data'!I:I)</f>
        <v>121940149.47999999</v>
      </c>
      <c r="D9" s="16">
        <f>E9/C9</f>
        <v>2.9661402051940483E-3</v>
      </c>
      <c r="E9" s="45">
        <f>SUMIF('Monthly Data'!$B:$B,B9,'Monthly Data'!V:V)</f>
        <v>361691.58000000007</v>
      </c>
      <c r="G9" s="16">
        <f t="shared" si="2"/>
        <v>2011</v>
      </c>
      <c r="H9" s="31">
        <f>SUMIF('Monthly Data'!$B:$B,G9,'Monthly Data'!L:L)</f>
        <v>68325628.079999998</v>
      </c>
      <c r="I9" s="16">
        <f>J9/H9</f>
        <v>1.9742726673812375E-3</v>
      </c>
      <c r="J9" s="45">
        <f>SUMIF('Monthly Data'!$B:$B,G9,'Monthly Data'!W:W)</f>
        <v>134893.41999999998</v>
      </c>
      <c r="K9" s="45"/>
      <c r="L9" s="109">
        <f t="shared" si="0"/>
        <v>134893.41999999998</v>
      </c>
      <c r="N9" s="16">
        <f t="shared" si="3"/>
        <v>2011</v>
      </c>
      <c r="O9" s="31">
        <f>SUMIF('Monthly Data'!$B:$B,N9,'Monthly Data'!O:O)</f>
        <v>97907918.640000001</v>
      </c>
      <c r="P9" s="16">
        <f>Q9/O9</f>
        <v>1.6298554010401134E-3</v>
      </c>
      <c r="Q9" s="45">
        <f>SUMIF('Monthly Data'!$B:$B,N9,'Monthly Data'!X:X)</f>
        <v>159575.75</v>
      </c>
      <c r="S9" s="16">
        <f t="shared" si="4"/>
        <v>2011</v>
      </c>
      <c r="T9" s="31">
        <f>SUMIF('Monthly Data'!$B:$B,S9,'Monthly Data'!U:U)</f>
        <v>17333527</v>
      </c>
      <c r="U9" s="16">
        <f>V9/T9</f>
        <v>2.107822602982071E-3</v>
      </c>
      <c r="V9" s="45">
        <f>SUMIF('Monthly Data'!$B:$B,S9,'Monthly Data'!AA:AA)</f>
        <v>36536.000000000007</v>
      </c>
      <c r="X9" s="16">
        <f t="shared" si="5"/>
        <v>2011</v>
      </c>
      <c r="Y9" s="31">
        <f>SUMIF('Monthly Data'!$B:$B,X9,'Monthly Data'!R:R)</f>
        <v>3899368.22</v>
      </c>
      <c r="Z9" s="16">
        <f>AA9/Y9</f>
        <v>2.7656787950125932E-3</v>
      </c>
      <c r="AA9" s="45">
        <f>SUMIF('Monthly Data'!$B:$B,X9,'Monthly Data'!Y:Y)</f>
        <v>10784.400000000001</v>
      </c>
      <c r="AD9" s="31"/>
      <c r="AF9" s="45"/>
    </row>
    <row r="10" spans="2:32" ht="14.4" x14ac:dyDescent="0.3">
      <c r="B10" s="16">
        <f t="shared" si="1"/>
        <v>2012</v>
      </c>
      <c r="C10" s="31">
        <f>SUMIF('Monthly Data'!$B:$B,B10,'Monthly Data'!I:I)</f>
        <v>122501490.86</v>
      </c>
      <c r="D10" s="16">
        <f t="shared" ref="D10:D14" si="6">E10/C10</f>
        <v>3.0081828997587105E-3</v>
      </c>
      <c r="E10" s="45">
        <f>SUMIF('Monthly Data'!$B:$B,B10,'Monthly Data'!V:V)</f>
        <v>368506.88999999996</v>
      </c>
      <c r="G10" s="16">
        <f t="shared" si="2"/>
        <v>2012</v>
      </c>
      <c r="H10" s="31">
        <f>SUMIF('Monthly Data'!$B:$B,G10,'Monthly Data'!L:L)</f>
        <v>68199903.800000012</v>
      </c>
      <c r="I10" s="16">
        <f t="shared" ref="I10:I14" si="7">J10/H10</f>
        <v>2.0518874984102246E-3</v>
      </c>
      <c r="J10" s="45">
        <f>SUMIF('Monthly Data'!$B:$B,G10,'Monthly Data'!W:W)</f>
        <v>139938.53</v>
      </c>
      <c r="K10" s="45"/>
      <c r="L10" s="109">
        <f t="shared" si="0"/>
        <v>139938.53</v>
      </c>
      <c r="N10" s="16">
        <f t="shared" si="3"/>
        <v>2012</v>
      </c>
      <c r="O10" s="31">
        <f>SUMIF('Monthly Data'!$B:$B,N10,'Monthly Data'!O:O)</f>
        <v>94151552.840000004</v>
      </c>
      <c r="P10" s="16">
        <f t="shared" ref="P10:P14" si="8">Q10/O10</f>
        <v>1.7037622339867505E-3</v>
      </c>
      <c r="Q10" s="45">
        <f>SUMIF('Monthly Data'!$B:$B,N10,'Monthly Data'!X:X)</f>
        <v>160411.85999999999</v>
      </c>
      <c r="S10" s="16">
        <f t="shared" si="4"/>
        <v>2012</v>
      </c>
      <c r="T10" s="31">
        <f>SUMIF('Monthly Data'!$B:$B,S10,'Monthly Data'!U:U)</f>
        <v>15488406.9</v>
      </c>
      <c r="U10" s="16">
        <f t="shared" ref="U10:U14" si="9">V10/T10</f>
        <v>2.3257072359068763E-3</v>
      </c>
      <c r="V10" s="45">
        <f>SUMIF('Monthly Data'!$B:$B,S10,'Monthly Data'!AA:AA)</f>
        <v>36021.499999999993</v>
      </c>
      <c r="X10" s="16">
        <f t="shared" si="5"/>
        <v>2012</v>
      </c>
      <c r="Y10" s="31">
        <f>SUMIF('Monthly Data'!$B:$B,X10,'Monthly Data'!R:R)</f>
        <v>3484987.18</v>
      </c>
      <c r="Z10" s="16">
        <f t="shared" ref="Z10:Z14" si="10">AA10/Y10</f>
        <v>2.8605987583575549E-3</v>
      </c>
      <c r="AA10" s="45">
        <f>SUMIF('Monthly Data'!$B:$B,X10,'Monthly Data'!Y:Y)</f>
        <v>9969.1499999999978</v>
      </c>
      <c r="AC10" s="16">
        <f>X10</f>
        <v>2012</v>
      </c>
      <c r="AD10" s="31">
        <f>'Normalized Annual Summary'!BA10</f>
        <v>280909.51</v>
      </c>
      <c r="AE10" s="16">
        <f t="shared" ref="AE10:AE14" si="11">AF10/AD10</f>
        <v>2.2889933487833859E-3</v>
      </c>
      <c r="AF10" s="45">
        <f>SUMIF('Monthly Data'!$B:$B,AC10,'Monthly Data'!Z:Z)</f>
        <v>643</v>
      </c>
    </row>
    <row r="11" spans="2:32" ht="14.4" x14ac:dyDescent="0.3">
      <c r="B11" s="16">
        <f t="shared" si="1"/>
        <v>2013</v>
      </c>
      <c r="C11" s="31">
        <f>SUMIF('Monthly Data'!$B:$B,B11,'Monthly Data'!I:I)</f>
        <v>118230553.36999999</v>
      </c>
      <c r="D11" s="16">
        <f t="shared" si="6"/>
        <v>2.9247279162929289E-3</v>
      </c>
      <c r="E11" s="45">
        <f>SUMIF('Monthly Data'!$B:$B,B11,'Monthly Data'!V:V)</f>
        <v>345792.2</v>
      </c>
      <c r="G11" s="16">
        <f t="shared" si="2"/>
        <v>2013</v>
      </c>
      <c r="H11" s="31">
        <f>SUMIF('Monthly Data'!$B:$B,G11,'Monthly Data'!L:L)</f>
        <v>67175520.859999999</v>
      </c>
      <c r="I11" s="16">
        <f t="shared" si="7"/>
        <v>2.0843119369599481E-3</v>
      </c>
      <c r="J11" s="45">
        <f>SUMIF('Monthly Data'!$B:$B,G11,'Monthly Data'!W:W)</f>
        <v>140014.74</v>
      </c>
      <c r="K11" s="45"/>
      <c r="L11" s="109">
        <f t="shared" si="0"/>
        <v>140014.74</v>
      </c>
      <c r="N11" s="16">
        <f t="shared" si="3"/>
        <v>2013</v>
      </c>
      <c r="O11" s="31">
        <f>SUMIF('Monthly Data'!$B:$B,N11,'Monthly Data'!O:O)</f>
        <v>94970952.530000001</v>
      </c>
      <c r="P11" s="16">
        <f t="shared" si="8"/>
        <v>1.7208409060483498E-3</v>
      </c>
      <c r="Q11" s="45">
        <f>SUMIF('Monthly Data'!$B:$B,N11,'Monthly Data'!X:X)</f>
        <v>163429.90000000002</v>
      </c>
      <c r="S11" s="16">
        <f t="shared" si="4"/>
        <v>2013</v>
      </c>
      <c r="T11" s="31">
        <f>SUMIF('Monthly Data'!$B:$B,S11,'Monthly Data'!U:U)</f>
        <v>15613194.549999999</v>
      </c>
      <c r="U11" s="16">
        <f t="shared" si="9"/>
        <v>2.3219591534520399E-3</v>
      </c>
      <c r="V11" s="45">
        <f>SUMIF('Monthly Data'!$B:$B,S11,'Monthly Data'!AA:AA)</f>
        <v>36253.199999999997</v>
      </c>
      <c r="X11" s="16">
        <f t="shared" si="5"/>
        <v>2013</v>
      </c>
      <c r="Y11" s="31">
        <f>SUMIF('Monthly Data'!$B:$B,X11,'Monthly Data'!R:R)</f>
        <v>2710401.7199999997</v>
      </c>
      <c r="Z11" s="16">
        <f t="shared" si="10"/>
        <v>2.773732743941736E-3</v>
      </c>
      <c r="AA11" s="45">
        <f>SUMIF('Monthly Data'!$B:$B,X11,'Monthly Data'!Y:Y)</f>
        <v>7517.93</v>
      </c>
      <c r="AC11" s="16">
        <f t="shared" ref="AC11:AC14" si="12">AC10+1</f>
        <v>2013</v>
      </c>
      <c r="AD11" s="31">
        <f>'Normalized Annual Summary'!BA11</f>
        <v>272741.7</v>
      </c>
      <c r="AE11" s="16">
        <f t="shared" si="11"/>
        <v>2.37220784353841E-3</v>
      </c>
      <c r="AF11" s="45">
        <f>SUMIF('Monthly Data'!$B:$B,AC11,'Monthly Data'!Z:Z)</f>
        <v>647</v>
      </c>
    </row>
    <row r="12" spans="2:32" ht="14.4" x14ac:dyDescent="0.3">
      <c r="B12" s="16">
        <f t="shared" si="1"/>
        <v>2014</v>
      </c>
      <c r="C12" s="31">
        <f>SUMIF('Monthly Data'!$B:$B,B12,'Monthly Data'!I:I)</f>
        <v>120841855.93000001</v>
      </c>
      <c r="D12" s="16">
        <f t="shared" si="6"/>
        <v>2.9043116501231312E-3</v>
      </c>
      <c r="E12" s="45">
        <f>SUMIF('Monthly Data'!$B:$B,B12,'Monthly Data'!V:V)</f>
        <v>350962.41000000003</v>
      </c>
      <c r="G12" s="16">
        <f t="shared" si="2"/>
        <v>2014</v>
      </c>
      <c r="H12" s="31">
        <f>SUMIF('Monthly Data'!$B:$B,G12,'Monthly Data'!L:L)</f>
        <v>67361469.560000002</v>
      </c>
      <c r="I12" s="16">
        <f t="shared" si="7"/>
        <v>1.906650060322704E-3</v>
      </c>
      <c r="J12" s="45">
        <f>SUMIF('Monthly Data'!$B:$B,G12,'Monthly Data'!W:W)</f>
        <v>128434.75</v>
      </c>
      <c r="K12" s="45"/>
      <c r="L12" s="109">
        <f t="shared" si="0"/>
        <v>128434.75</v>
      </c>
      <c r="N12" s="16">
        <f t="shared" si="3"/>
        <v>2014</v>
      </c>
      <c r="O12" s="31">
        <f>SUMIF('Monthly Data'!$B:$B,N12,'Monthly Data'!O:O)</f>
        <v>98447966.930000007</v>
      </c>
      <c r="P12" s="16">
        <f t="shared" si="8"/>
        <v>1.8173898921368004E-3</v>
      </c>
      <c r="Q12" s="45">
        <f>SUMIF('Monthly Data'!$B:$B,N12,'Monthly Data'!X:X)</f>
        <v>178918.34</v>
      </c>
      <c r="S12" s="16">
        <f t="shared" si="4"/>
        <v>2014</v>
      </c>
      <c r="T12" s="31">
        <f>SUMIF('Monthly Data'!$B:$B,S12,'Monthly Data'!U:U)</f>
        <v>16830475.099999998</v>
      </c>
      <c r="U12" s="16">
        <f t="shared" si="9"/>
        <v>2.1394820874664437E-3</v>
      </c>
      <c r="V12" s="45">
        <f>SUMIF('Monthly Data'!$B:$B,S12,'Monthly Data'!AA:AA)</f>
        <v>36008.5</v>
      </c>
      <c r="X12" s="16">
        <f t="shared" si="5"/>
        <v>2014</v>
      </c>
      <c r="Y12" s="31">
        <f>SUMIF('Monthly Data'!$B:$B,X12,'Monthly Data'!R:R)</f>
        <v>2115841.9300000002</v>
      </c>
      <c r="Z12" s="16">
        <f t="shared" si="10"/>
        <v>2.7885069845458633E-3</v>
      </c>
      <c r="AA12" s="45">
        <f>SUMIF('Monthly Data'!$B:$B,X12,'Monthly Data'!Y:Y)</f>
        <v>5900.04</v>
      </c>
      <c r="AC12" s="16">
        <f t="shared" si="12"/>
        <v>2014</v>
      </c>
      <c r="AD12" s="31">
        <f>'Normalized Annual Summary'!BA12</f>
        <v>266366.21000000002</v>
      </c>
      <c r="AE12" s="16">
        <f t="shared" si="11"/>
        <v>2.4665290691338062E-3</v>
      </c>
      <c r="AF12" s="45">
        <f>SUMIF('Monthly Data'!$B:$B,AC12,'Monthly Data'!Z:Z)</f>
        <v>657</v>
      </c>
    </row>
    <row r="13" spans="2:32" ht="14.4" x14ac:dyDescent="0.3">
      <c r="B13" s="16">
        <f t="shared" si="1"/>
        <v>2015</v>
      </c>
      <c r="C13" s="31">
        <f>SUMIF('Monthly Data'!$B:$B,B13,'Monthly Data'!I:I)</f>
        <v>113897994.84</v>
      </c>
      <c r="D13" s="16">
        <f t="shared" si="6"/>
        <v>2.2145251139348327E-3</v>
      </c>
      <c r="E13" s="45">
        <f>SUMIF('Monthly Data'!$B:$B,B13,'Monthly Data'!V:V)</f>
        <v>252229.96999999997</v>
      </c>
      <c r="G13" s="16">
        <f t="shared" si="2"/>
        <v>2015</v>
      </c>
      <c r="H13" s="31">
        <f>SUMIF('Monthly Data'!$B:$B,G13,'Monthly Data'!L:L)</f>
        <v>62126758.079999998</v>
      </c>
      <c r="I13" s="16">
        <f t="shared" si="7"/>
        <v>2.5513760076759508E-3</v>
      </c>
      <c r="J13" s="45">
        <f>SUMIF('Monthly Data'!$B:$B,G13,'Monthly Data'!W:W)</f>
        <v>158508.72</v>
      </c>
      <c r="K13" s="45"/>
      <c r="L13" s="109">
        <f t="shared" si="0"/>
        <v>158508.72</v>
      </c>
      <c r="N13" s="16">
        <f t="shared" si="3"/>
        <v>2015</v>
      </c>
      <c r="O13" s="31">
        <f>SUMIF('Monthly Data'!$B:$B,N13,'Monthly Data'!O:O)</f>
        <v>100676054.72000001</v>
      </c>
      <c r="P13" s="16">
        <f t="shared" si="8"/>
        <v>1.6828454439458981E-3</v>
      </c>
      <c r="Q13" s="45">
        <f>SUMIF('Monthly Data'!$B:$B,N13,'Monthly Data'!X:X)</f>
        <v>169422.23999999996</v>
      </c>
      <c r="S13" s="16">
        <f t="shared" si="4"/>
        <v>2015</v>
      </c>
      <c r="T13" s="31">
        <f>SUMIF('Monthly Data'!$B:$B,S13,'Monthly Data'!U:U)</f>
        <v>16494364</v>
      </c>
      <c r="U13" s="16">
        <f t="shared" si="9"/>
        <v>2.1738334378943016E-3</v>
      </c>
      <c r="V13" s="45">
        <f>SUMIF('Monthly Data'!$B:$B,S13,'Monthly Data'!AA:AA)</f>
        <v>35856</v>
      </c>
      <c r="X13" s="16">
        <f t="shared" si="5"/>
        <v>2015</v>
      </c>
      <c r="Y13" s="31">
        <f>SUMIF('Monthly Data'!$B:$B,X13,'Monthly Data'!R:R)</f>
        <v>2025403.37</v>
      </c>
      <c r="Z13" s="16">
        <f t="shared" si="10"/>
        <v>2.7472206684439355E-3</v>
      </c>
      <c r="AA13" s="45">
        <f>SUMIF('Monthly Data'!$B:$B,X13,'Monthly Data'!Y:Y)</f>
        <v>5564.23</v>
      </c>
      <c r="AC13" s="16">
        <f t="shared" si="12"/>
        <v>2015</v>
      </c>
      <c r="AD13" s="31">
        <f>'Normalized Annual Summary'!BA13</f>
        <v>246527.76</v>
      </c>
      <c r="AE13" s="16">
        <f t="shared" si="11"/>
        <v>2.6487889234056237E-3</v>
      </c>
      <c r="AF13" s="45">
        <f>SUMIF('Monthly Data'!$B:$B,AC13,'Monthly Data'!Z:Z)</f>
        <v>653</v>
      </c>
    </row>
    <row r="14" spans="2:32" ht="14.4" x14ac:dyDescent="0.3">
      <c r="B14" s="16">
        <f t="shared" si="1"/>
        <v>2016</v>
      </c>
      <c r="C14" s="31">
        <f>SUMIF('Monthly Data'!$B:$B,B14,'Monthly Data'!I:I)</f>
        <v>117205514.71000001</v>
      </c>
      <c r="D14" s="16">
        <f t="shared" si="6"/>
        <v>2.8112956187708034E-3</v>
      </c>
      <c r="E14" s="45">
        <f>SUMIF('Monthly Data'!$B:$B,B14,'Monthly Data'!V:V)</f>
        <v>329499.34999999998</v>
      </c>
      <c r="G14" s="16">
        <f t="shared" si="2"/>
        <v>2016</v>
      </c>
      <c r="H14" s="31">
        <f>SUMIF('Monthly Data'!$B:$B,G14,'Monthly Data'!L:L)</f>
        <v>51789364.099999994</v>
      </c>
      <c r="I14" s="16">
        <f t="shared" si="7"/>
        <v>2.7396909088520751E-3</v>
      </c>
      <c r="J14" s="45">
        <f>SUMIF('Monthly Data'!$B:$B,G14,'Monthly Data'!W:W)</f>
        <v>141886.85</v>
      </c>
      <c r="K14" s="45"/>
      <c r="L14" s="109">
        <f>J14</f>
        <v>141886.85</v>
      </c>
      <c r="N14" s="16">
        <f t="shared" si="3"/>
        <v>2016</v>
      </c>
      <c r="O14" s="31">
        <f>SUMIF('Monthly Data'!$B:$B,N14,'Monthly Data'!O:O)</f>
        <v>108025611.39</v>
      </c>
      <c r="P14" s="16">
        <f t="shared" si="8"/>
        <v>1.6397372597179985E-3</v>
      </c>
      <c r="Q14" s="45">
        <f>SUMIF('Monthly Data'!$B:$B,N14,'Monthly Data'!X:X)</f>
        <v>177133.62</v>
      </c>
      <c r="S14" s="16">
        <f t="shared" si="4"/>
        <v>2016</v>
      </c>
      <c r="T14" s="31">
        <f>SUMIF('Monthly Data'!$B:$B,S14,'Monthly Data'!U:U)</f>
        <v>16248812.099999998</v>
      </c>
      <c r="U14" s="16">
        <f t="shared" si="9"/>
        <v>2.2394990954446455E-3</v>
      </c>
      <c r="V14" s="45">
        <f>SUMIF('Monthly Data'!$B:$B,S14,'Monthly Data'!AA:AA)</f>
        <v>36389.200000000004</v>
      </c>
      <c r="X14" s="16">
        <f t="shared" si="5"/>
        <v>2016</v>
      </c>
      <c r="Y14" s="31">
        <f>SUMIF('Monthly Data'!$B:$B,X14,'Monthly Data'!R:R)</f>
        <v>1938874.6199999999</v>
      </c>
      <c r="Z14" s="16">
        <f t="shared" si="10"/>
        <v>2.696837611913245E-3</v>
      </c>
      <c r="AA14" s="45">
        <f>SUMIF('Monthly Data'!$B:$B,X14,'Monthly Data'!Y:Y)</f>
        <v>5228.83</v>
      </c>
      <c r="AC14" s="16">
        <f t="shared" si="12"/>
        <v>2016</v>
      </c>
      <c r="AD14" s="31">
        <f>'Normalized Annual Summary'!BA14</f>
        <v>231256.11</v>
      </c>
      <c r="AE14" s="16">
        <f t="shared" si="11"/>
        <v>2.6593891940844289E-3</v>
      </c>
      <c r="AF14" s="45">
        <f>SUMIF('Monthly Data'!$B:$B,AC14,'Monthly Data'!Z:Z)</f>
        <v>615</v>
      </c>
    </row>
    <row r="15" spans="2:32" ht="14.4" x14ac:dyDescent="0.3">
      <c r="E15" s="45"/>
      <c r="J15" s="45"/>
      <c r="K15" s="45"/>
      <c r="L15" s="45"/>
      <c r="Q15" s="45"/>
      <c r="AA15" s="45"/>
      <c r="AF15" s="45"/>
    </row>
    <row r="16" spans="2:32" ht="14.4" x14ac:dyDescent="0.3">
      <c r="C16" s="16" t="s">
        <v>116</v>
      </c>
      <c r="E16" s="45" t="s">
        <v>217</v>
      </c>
      <c r="H16" s="16" t="s">
        <v>116</v>
      </c>
      <c r="J16" s="45" t="s">
        <v>217</v>
      </c>
      <c r="K16" s="108" t="s">
        <v>209</v>
      </c>
      <c r="L16" s="108" t="s">
        <v>210</v>
      </c>
      <c r="O16" s="16" t="s">
        <v>116</v>
      </c>
      <c r="Q16" s="45" t="s">
        <v>217</v>
      </c>
      <c r="T16" s="16" t="s">
        <v>116</v>
      </c>
      <c r="V16" s="45" t="s">
        <v>217</v>
      </c>
      <c r="Y16" s="16" t="s">
        <v>116</v>
      </c>
      <c r="AA16" s="45" t="s">
        <v>217</v>
      </c>
      <c r="AD16" s="16" t="s">
        <v>116</v>
      </c>
      <c r="AF16" s="45" t="s">
        <v>217</v>
      </c>
    </row>
    <row r="17" spans="2:32" s="44" customFormat="1" x14ac:dyDescent="0.25">
      <c r="C17" s="44" t="s">
        <v>117</v>
      </c>
      <c r="D17" s="44" t="s">
        <v>0</v>
      </c>
      <c r="E17" s="46" t="s">
        <v>118</v>
      </c>
      <c r="G17" s="91"/>
      <c r="H17" s="91" t="s">
        <v>117</v>
      </c>
      <c r="I17" s="91" t="s">
        <v>0</v>
      </c>
      <c r="J17" s="46" t="s">
        <v>118</v>
      </c>
      <c r="K17" s="46"/>
      <c r="L17" s="46"/>
      <c r="M17" s="91"/>
      <c r="N17" s="91"/>
      <c r="O17" s="91" t="s">
        <v>117</v>
      </c>
      <c r="P17" s="91" t="s">
        <v>0</v>
      </c>
      <c r="Q17" s="46" t="s">
        <v>118</v>
      </c>
      <c r="R17" s="91"/>
      <c r="T17" s="44" t="s">
        <v>117</v>
      </c>
      <c r="U17" s="44" t="s">
        <v>0</v>
      </c>
      <c r="V17" s="44" t="s">
        <v>118</v>
      </c>
      <c r="Y17" s="44" t="s">
        <v>117</v>
      </c>
      <c r="Z17" s="44" t="s">
        <v>0</v>
      </c>
      <c r="AA17" s="46" t="s">
        <v>118</v>
      </c>
      <c r="AD17" s="44" t="s">
        <v>117</v>
      </c>
      <c r="AE17" s="44" t="s">
        <v>0</v>
      </c>
      <c r="AF17" s="46" t="s">
        <v>118</v>
      </c>
    </row>
    <row r="18" spans="2:32" s="95" customFormat="1" x14ac:dyDescent="0.25">
      <c r="B18" s="35">
        <v>2016</v>
      </c>
      <c r="C18" s="36">
        <f ca="1">'Normalized Annual Summary'!Z14</f>
        <v>117205514.71000001</v>
      </c>
      <c r="D18" s="35">
        <f>D19</f>
        <v>2.8296699365694409E-3</v>
      </c>
      <c r="E18" s="47">
        <f ca="1">C18*D18</f>
        <v>331652.92137503438</v>
      </c>
      <c r="G18" s="35">
        <v>2016</v>
      </c>
      <c r="H18" s="36">
        <f ca="1">'Normalized Annual Summary'!AH14</f>
        <v>51789364.099999994</v>
      </c>
      <c r="I18" s="35">
        <f>I19</f>
        <v>2.2149262573656773E-3</v>
      </c>
      <c r="J18" s="47">
        <f ca="1">H18*I18</f>
        <v>114709.62239736135</v>
      </c>
      <c r="K18" s="46"/>
      <c r="L18" s="47">
        <f ca="1">SUM(J18:K18)</f>
        <v>114709.62239736135</v>
      </c>
      <c r="N18" s="35">
        <v>2016</v>
      </c>
      <c r="O18" s="36">
        <f ca="1">'Normalized Annual Summary'!AR14</f>
        <v>108025611.39</v>
      </c>
      <c r="P18" s="35">
        <f>P19</f>
        <v>1.7351997997758328E-3</v>
      </c>
      <c r="Q18" s="47">
        <f ca="1">O18*P18</f>
        <v>187446.01925458992</v>
      </c>
      <c r="S18" s="35">
        <v>2016</v>
      </c>
      <c r="T18" s="36">
        <f>'Normalized Annual Summary'!BO14</f>
        <v>16106610.137499999</v>
      </c>
      <c r="U18" s="35">
        <f>U19</f>
        <v>2.1388608634541153E-3</v>
      </c>
      <c r="V18" s="47">
        <f>T18*U18</f>
        <v>34449.798066012052</v>
      </c>
      <c r="X18" s="35">
        <v>2016</v>
      </c>
      <c r="Y18" s="36">
        <f>'Normalized Annual Summary'!AX14</f>
        <v>1938874.6199999999</v>
      </c>
      <c r="Z18" s="35">
        <f>Z19</f>
        <v>2.7441884216343475E-3</v>
      </c>
      <c r="AA18" s="47">
        <f>Y18*Z18</f>
        <v>5320.6372832046945</v>
      </c>
      <c r="AC18" s="35">
        <v>2016</v>
      </c>
      <c r="AD18" s="36">
        <f>'Normalized Annual Summary'!BD14</f>
        <v>231256.11</v>
      </c>
      <c r="AE18" s="35">
        <f>AE19</f>
        <v>2.5915690622079529E-3</v>
      </c>
      <c r="AF18" s="47">
        <f>AD18*AE18</f>
        <v>599.31618012255922</v>
      </c>
    </row>
    <row r="19" spans="2:32" s="35" customFormat="1" x14ac:dyDescent="0.25">
      <c r="B19" s="35">
        <v>2017</v>
      </c>
      <c r="C19" s="36">
        <f ca="1">'Normalized Annual Summary'!Z15</f>
        <v>114652868.05518615</v>
      </c>
      <c r="D19" s="35">
        <f>AVERAGE(D5:D14)</f>
        <v>2.8296699365694409E-3</v>
      </c>
      <c r="E19" s="47">
        <f ca="1">C19*D19</f>
        <v>324429.77387722308</v>
      </c>
      <c r="G19" s="35">
        <v>2017</v>
      </c>
      <c r="H19" s="36">
        <f ca="1">'Normalized Annual Summary'!AH15</f>
        <v>62080888.985526435</v>
      </c>
      <c r="I19" s="35">
        <f>AVERAGE(I5:I14)</f>
        <v>2.2149262573656773E-3</v>
      </c>
      <c r="J19" s="47">
        <f ca="1">H19*I19</f>
        <v>137504.59109464617</v>
      </c>
      <c r="K19" s="47"/>
      <c r="L19" s="47">
        <f ca="1">SUM(J19:K19)</f>
        <v>137504.59109464617</v>
      </c>
      <c r="N19" s="35">
        <v>2017</v>
      </c>
      <c r="O19" s="36">
        <f ca="1">'Normalized Annual Summary'!AR15</f>
        <v>98980671.312047407</v>
      </c>
      <c r="P19" s="35">
        <f>AVERAGE(P5:P14)</f>
        <v>1.7351997997758328E-3</v>
      </c>
      <c r="Q19" s="47">
        <f ca="1">O19*P19</f>
        <v>171751.24104234218</v>
      </c>
      <c r="S19" s="35">
        <v>2017</v>
      </c>
      <c r="T19" s="36">
        <f>'Normalized Annual Summary'!BO15</f>
        <v>16296711.4375</v>
      </c>
      <c r="U19" s="35">
        <f>AVERAGE(U5:U14)</f>
        <v>2.1388608634541153E-3</v>
      </c>
      <c r="V19" s="47">
        <f>T19*U19</f>
        <v>34856.398296673804</v>
      </c>
      <c r="X19" s="35">
        <v>2017</v>
      </c>
      <c r="Y19" s="36">
        <f>'Normalized Annual Summary'!AX15</f>
        <v>1962132.4431208181</v>
      </c>
      <c r="Z19" s="35">
        <f>AVERAGE(Z12:Z14)</f>
        <v>2.7441884216343475E-3</v>
      </c>
      <c r="AA19" s="47">
        <f>Y19*Z19</f>
        <v>5384.4611321252642</v>
      </c>
      <c r="AC19" s="35">
        <v>2017</v>
      </c>
      <c r="AD19" s="36">
        <f>'Normalized Annual Summary'!BD15</f>
        <v>226332.60681422742</v>
      </c>
      <c r="AE19" s="35">
        <f>AVERAGE(AE12:AE14)</f>
        <v>2.5915690622079529E-3</v>
      </c>
      <c r="AF19" s="47">
        <f>AD19*AE19</f>
        <v>586.55658158862866</v>
      </c>
    </row>
    <row r="20" spans="2:32" s="35" customFormat="1" x14ac:dyDescent="0.25">
      <c r="B20" s="35">
        <v>2018</v>
      </c>
      <c r="C20" s="36">
        <f ca="1">'Normalized Annual Summary'!Z16</f>
        <v>113115018.58532715</v>
      </c>
      <c r="D20" s="35">
        <f>D19</f>
        <v>2.8296699365694409E-3</v>
      </c>
      <c r="E20" s="47">
        <f ca="1">C20*D20</f>
        <v>320078.16746539378</v>
      </c>
      <c r="G20" s="35">
        <v>2018</v>
      </c>
      <c r="H20" s="36">
        <f ca="1">'Normalized Annual Summary'!AH16</f>
        <v>62227544.777334087</v>
      </c>
      <c r="I20" s="35">
        <f>I19</f>
        <v>2.2149262573656773E-3</v>
      </c>
      <c r="J20" s="47">
        <f ca="1">H20*I20</f>
        <v>137829.4228587157</v>
      </c>
      <c r="K20" s="47">
        <v>-18680</v>
      </c>
      <c r="L20" s="47">
        <f ca="1">SUM(J20:K20)</f>
        <v>119149.4228587157</v>
      </c>
      <c r="N20" s="35">
        <v>2018</v>
      </c>
      <c r="O20" s="36">
        <f ca="1">'Normalized Annual Summary'!AR16</f>
        <v>99199237.296813443</v>
      </c>
      <c r="P20" s="35">
        <f>P19</f>
        <v>1.7351997997758328E-3</v>
      </c>
      <c r="Q20" s="47">
        <f ca="1">O20*P20</f>
        <v>172130.49669534602</v>
      </c>
      <c r="S20" s="35">
        <v>2018</v>
      </c>
      <c r="T20" s="36">
        <f>'Normalized Annual Summary'!BO16</f>
        <v>16296711.4375</v>
      </c>
      <c r="U20" s="35">
        <f>U19</f>
        <v>2.1388608634541153E-3</v>
      </c>
      <c r="V20" s="47">
        <f>T20*U20</f>
        <v>34856.398296673804</v>
      </c>
      <c r="X20" s="35">
        <v>2018</v>
      </c>
      <c r="Y20" s="36">
        <f>'Normalized Annual Summary'!AX16</f>
        <v>1985669.2560900459</v>
      </c>
      <c r="Z20" s="35">
        <f>Z19</f>
        <v>2.7441884216343475E-3</v>
      </c>
      <c r="AA20" s="47">
        <f>Y20*Z20</f>
        <v>5449.0505817575922</v>
      </c>
      <c r="AC20" s="35">
        <v>2018</v>
      </c>
      <c r="AD20" s="36">
        <f>'Normalized Annual Summary'!BD16</f>
        <v>221513.9263015523</v>
      </c>
      <c r="AE20" s="35">
        <f>AE19</f>
        <v>2.5915690622079529E-3</v>
      </c>
      <c r="AF20" s="47">
        <f>AD20*AE20</f>
        <v>574.06863825131552</v>
      </c>
    </row>
  </sheetData>
  <mergeCells count="6">
    <mergeCell ref="B2:E2"/>
    <mergeCell ref="S2:V2"/>
    <mergeCell ref="X2:AA2"/>
    <mergeCell ref="AC2:AF2"/>
    <mergeCell ref="G2:J2"/>
    <mergeCell ref="N2:Q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workbookViewId="0">
      <pane xSplit="1" ySplit="1" topLeftCell="B2" activePane="bottomRight" state="frozen"/>
      <selection activeCell="F161" sqref="F161"/>
      <selection pane="topRight" activeCell="F161" sqref="F161"/>
      <selection pane="bottomLeft" activeCell="F161" sqref="F161"/>
      <selection pane="bottomRight" activeCell="B1" sqref="B1"/>
    </sheetView>
  </sheetViews>
  <sheetFormatPr defaultRowHeight="14.4" x14ac:dyDescent="0.3"/>
  <cols>
    <col min="1" max="1" width="10.6640625" bestFit="1" customWidth="1"/>
    <col min="2" max="2" width="11.44140625" customWidth="1"/>
    <col min="3" max="3" width="13.33203125" style="72" bestFit="1" customWidth="1"/>
    <col min="4" max="4" width="14.33203125" style="72" bestFit="1" customWidth="1"/>
    <col min="5" max="6" width="13.33203125" style="72" bestFit="1" customWidth="1"/>
    <col min="7" max="7" width="14.33203125" style="72" bestFit="1" customWidth="1"/>
    <col min="8" max="9" width="13.33203125" style="72" bestFit="1" customWidth="1"/>
    <col min="10" max="10" width="12.44140625" style="72" customWidth="1"/>
    <col min="11" max="11" width="11.5546875" style="72" bestFit="1" customWidth="1"/>
    <col min="12" max="12" width="9.5546875" style="72" bestFit="1" customWidth="1"/>
    <col min="13" max="13" width="11.5546875" style="72" bestFit="1" customWidth="1"/>
    <col min="14" max="15" width="13.33203125" style="72" bestFit="1" customWidth="1"/>
    <col min="16" max="16" width="9.5546875" style="72" bestFit="1" customWidth="1"/>
    <col min="17" max="17" width="13.33203125" style="72" bestFit="1" customWidth="1"/>
    <col min="18" max="18" width="11.5546875" style="72" bestFit="1" customWidth="1"/>
    <col min="19" max="19" width="13.33203125" style="72" bestFit="1" customWidth="1"/>
    <col min="20" max="20" width="9.5546875" style="72" bestFit="1" customWidth="1"/>
    <col min="21" max="21" width="13.33203125" style="72" bestFit="1" customWidth="1"/>
    <col min="22" max="22" width="14.33203125" style="72" bestFit="1" customWidth="1"/>
    <col min="23" max="23" width="21.33203125" style="72" bestFit="1" customWidth="1"/>
    <col min="24" max="24" width="14.33203125" style="72" bestFit="1" customWidth="1"/>
    <col min="25" max="25" width="11.109375" style="72" bestFit="1" customWidth="1"/>
    <col min="26" max="26" width="19.33203125" style="72" bestFit="1" customWidth="1"/>
    <col min="27" max="27" width="21.88671875" style="72" bestFit="1" customWidth="1"/>
    <col min="28" max="28" width="14.33203125" style="72" bestFit="1" customWidth="1"/>
    <col min="29" max="29" width="13.109375" style="72" customWidth="1"/>
    <col min="31" max="31" width="12.5546875" bestFit="1" customWidth="1"/>
  </cols>
  <sheetData>
    <row r="1" spans="1:29" x14ac:dyDescent="0.3">
      <c r="A1" t="s">
        <v>21</v>
      </c>
      <c r="B1" t="s">
        <v>22</v>
      </c>
      <c r="C1" s="72" t="s">
        <v>0</v>
      </c>
      <c r="D1" s="72" t="s">
        <v>1</v>
      </c>
      <c r="E1" s="72" t="s">
        <v>2</v>
      </c>
      <c r="F1" s="72" t="s">
        <v>3</v>
      </c>
      <c r="G1" s="72" t="s">
        <v>4</v>
      </c>
      <c r="H1" s="72" t="s">
        <v>5</v>
      </c>
      <c r="I1" s="72" t="s">
        <v>6</v>
      </c>
      <c r="J1" s="72" t="s">
        <v>7</v>
      </c>
      <c r="K1" s="72" t="s">
        <v>8</v>
      </c>
      <c r="L1" s="72" t="s">
        <v>9</v>
      </c>
      <c r="M1" s="72" t="s">
        <v>10</v>
      </c>
      <c r="N1" s="72" t="s">
        <v>11</v>
      </c>
      <c r="O1" s="72" t="s">
        <v>12</v>
      </c>
      <c r="P1" s="72" t="s">
        <v>13</v>
      </c>
      <c r="Q1" s="72" t="s">
        <v>14</v>
      </c>
      <c r="R1" s="72" t="s">
        <v>15</v>
      </c>
      <c r="S1" s="72" t="s">
        <v>16</v>
      </c>
      <c r="T1" s="72" t="s">
        <v>17</v>
      </c>
      <c r="U1" s="72" t="s">
        <v>18</v>
      </c>
      <c r="V1" s="72" t="s">
        <v>23</v>
      </c>
      <c r="W1" s="72" t="s">
        <v>26</v>
      </c>
      <c r="X1" s="72" t="s">
        <v>25</v>
      </c>
      <c r="Y1" s="72" t="s">
        <v>27</v>
      </c>
      <c r="Z1" s="72" t="s">
        <v>28</v>
      </c>
      <c r="AA1" s="72" t="s">
        <v>24</v>
      </c>
      <c r="AB1" s="72" t="s">
        <v>19</v>
      </c>
      <c r="AC1" s="72" t="s">
        <v>20</v>
      </c>
    </row>
    <row r="2" spans="1:29" x14ac:dyDescent="0.3">
      <c r="A2" s="1">
        <v>37377</v>
      </c>
      <c r="B2">
        <v>2090899.59</v>
      </c>
      <c r="D2" s="72">
        <v>5461660.5099999998</v>
      </c>
      <c r="F2" s="72">
        <v>750310.96</v>
      </c>
      <c r="G2" s="72">
        <v>2931589.98</v>
      </c>
      <c r="J2" s="72">
        <v>6101599</v>
      </c>
      <c r="K2" s="72">
        <v>117670.68</v>
      </c>
      <c r="M2" s="72">
        <v>27136</v>
      </c>
      <c r="AB2" s="72">
        <v>845677.47</v>
      </c>
      <c r="AC2" s="72">
        <v>18326544.189999998</v>
      </c>
    </row>
    <row r="3" spans="1:29" x14ac:dyDescent="0.3">
      <c r="A3" s="1">
        <v>37408</v>
      </c>
      <c r="B3">
        <v>2792857.68</v>
      </c>
      <c r="D3" s="72">
        <v>7761125.6699999999</v>
      </c>
      <c r="F3" s="72">
        <v>1403830.42</v>
      </c>
      <c r="G3" s="72">
        <v>4247873.3899999997</v>
      </c>
      <c r="J3" s="72">
        <v>6596905</v>
      </c>
      <c r="K3" s="72">
        <v>197481.38</v>
      </c>
      <c r="M3" s="72">
        <v>39690</v>
      </c>
      <c r="AB3" s="72">
        <v>845514.23</v>
      </c>
      <c r="AC3" s="72">
        <v>23885277.77</v>
      </c>
    </row>
    <row r="4" spans="1:29" x14ac:dyDescent="0.3">
      <c r="A4" s="1">
        <v>37438</v>
      </c>
      <c r="B4">
        <v>3717817.89</v>
      </c>
      <c r="D4" s="72">
        <v>8157484.6200000001</v>
      </c>
      <c r="F4" s="72">
        <v>1389859.22</v>
      </c>
      <c r="G4" s="72">
        <v>5028687.38</v>
      </c>
      <c r="J4" s="72">
        <v>9861388</v>
      </c>
      <c r="K4" s="72">
        <v>197303.72</v>
      </c>
      <c r="M4" s="72">
        <v>38536</v>
      </c>
      <c r="AB4" s="72">
        <v>1303715.4099999999</v>
      </c>
      <c r="AC4" s="72">
        <v>29694792.239999998</v>
      </c>
    </row>
    <row r="5" spans="1:29" x14ac:dyDescent="0.3">
      <c r="A5" s="1">
        <v>37469</v>
      </c>
      <c r="B5">
        <v>4098880.91</v>
      </c>
      <c r="D5" s="72">
        <v>8408644.4100000001</v>
      </c>
      <c r="F5" s="72">
        <v>1539779.04</v>
      </c>
      <c r="G5" s="72">
        <v>4824063.91</v>
      </c>
      <c r="J5" s="72">
        <v>11022841</v>
      </c>
      <c r="K5" s="72">
        <v>212491.89</v>
      </c>
      <c r="M5" s="72">
        <v>39872</v>
      </c>
      <c r="AB5" s="72">
        <v>1433711.98</v>
      </c>
      <c r="AC5" s="72">
        <v>31580285.140000001</v>
      </c>
    </row>
    <row r="6" spans="1:29" x14ac:dyDescent="0.3">
      <c r="A6" s="1">
        <v>37500</v>
      </c>
      <c r="B6">
        <v>3887142.62</v>
      </c>
      <c r="D6" s="72">
        <v>8656606.1600000001</v>
      </c>
      <c r="F6" s="72">
        <v>1540562.62</v>
      </c>
      <c r="G6" s="72">
        <v>5970475.75</v>
      </c>
      <c r="J6" s="72">
        <v>10605334</v>
      </c>
      <c r="K6" s="72">
        <v>239555.37</v>
      </c>
      <c r="M6" s="72">
        <v>39872</v>
      </c>
      <c r="AB6" s="72">
        <v>1346855.45</v>
      </c>
      <c r="AC6" s="72">
        <v>32286403.970000003</v>
      </c>
    </row>
    <row r="7" spans="1:29" x14ac:dyDescent="0.3">
      <c r="A7" s="1">
        <v>37530</v>
      </c>
      <c r="B7">
        <v>3452462.79</v>
      </c>
      <c r="D7" s="72">
        <v>8703112.8900000006</v>
      </c>
      <c r="F7" s="72">
        <v>1532159.86</v>
      </c>
      <c r="G7" s="72">
        <v>3773566.2</v>
      </c>
      <c r="J7" s="72">
        <v>8309432</v>
      </c>
      <c r="K7" s="72">
        <v>260856.74</v>
      </c>
      <c r="M7" s="72">
        <v>39958</v>
      </c>
      <c r="AB7" s="72">
        <v>1388812.71</v>
      </c>
      <c r="AC7" s="72">
        <v>27460361.189999998</v>
      </c>
    </row>
    <row r="8" spans="1:29" x14ac:dyDescent="0.3">
      <c r="A8" s="1">
        <v>37561</v>
      </c>
      <c r="B8">
        <v>3494246.24</v>
      </c>
      <c r="D8" s="72">
        <v>8460076.1099999994</v>
      </c>
      <c r="F8" s="72">
        <v>1580708.18</v>
      </c>
      <c r="G8" s="72">
        <v>5842421.3600000003</v>
      </c>
      <c r="J8" s="72">
        <v>8464281</v>
      </c>
      <c r="K8" s="72">
        <v>299094.87</v>
      </c>
      <c r="M8" s="72">
        <v>39872</v>
      </c>
      <c r="AB8" s="72">
        <v>2013696.92</v>
      </c>
      <c r="AC8" s="72">
        <v>30194396.68</v>
      </c>
    </row>
    <row r="9" spans="1:29" x14ac:dyDescent="0.3">
      <c r="A9" s="1">
        <v>37591</v>
      </c>
      <c r="B9">
        <v>4285795.24</v>
      </c>
      <c r="D9" s="72">
        <v>4197128.5600000005</v>
      </c>
      <c r="J9" s="72">
        <v>7610620.2000000011</v>
      </c>
      <c r="M9" s="72">
        <v>54952</v>
      </c>
      <c r="AC9" s="72">
        <v>16148496.000000002</v>
      </c>
    </row>
    <row r="10" spans="1:29" x14ac:dyDescent="0.3">
      <c r="A10" s="1">
        <v>37622</v>
      </c>
      <c r="B10">
        <v>3089190.45</v>
      </c>
      <c r="D10" s="72">
        <v>10999972.41</v>
      </c>
      <c r="F10" s="72">
        <v>2863379.2199999997</v>
      </c>
      <c r="G10" s="72">
        <v>9859531.4100000001</v>
      </c>
      <c r="I10" s="72">
        <v>794451.04999999993</v>
      </c>
      <c r="J10" s="72">
        <v>10294067.4</v>
      </c>
      <c r="K10" s="72">
        <v>313476.74</v>
      </c>
      <c r="M10" s="72">
        <v>24792</v>
      </c>
      <c r="AB10" s="72">
        <v>3613172.51</v>
      </c>
      <c r="AC10" s="72">
        <v>41852033.189999998</v>
      </c>
    </row>
    <row r="11" spans="1:29" x14ac:dyDescent="0.3">
      <c r="A11" s="1">
        <v>37653</v>
      </c>
      <c r="B11">
        <v>4625400.2</v>
      </c>
      <c r="D11" s="72">
        <v>7489783.8999999994</v>
      </c>
      <c r="F11" s="72">
        <v>1400216.26</v>
      </c>
      <c r="G11" s="72">
        <v>4427749.83</v>
      </c>
      <c r="I11" s="72">
        <v>1815797.84</v>
      </c>
      <c r="J11" s="72">
        <v>14681506.199999999</v>
      </c>
      <c r="K11" s="72">
        <v>623769.63</v>
      </c>
      <c r="M11" s="72">
        <v>58013</v>
      </c>
      <c r="AB11" s="72">
        <v>1812313.58</v>
      </c>
      <c r="AC11" s="72">
        <v>36934550.439999998</v>
      </c>
    </row>
    <row r="12" spans="1:29" x14ac:dyDescent="0.3">
      <c r="A12" s="1">
        <v>37681</v>
      </c>
      <c r="B12">
        <v>4073282.8</v>
      </c>
      <c r="D12" s="72">
        <v>6986957.0299999993</v>
      </c>
      <c r="F12" s="72">
        <v>1320688.6200000001</v>
      </c>
      <c r="G12" s="72">
        <v>5568524.9299999997</v>
      </c>
      <c r="I12" s="72">
        <v>1583625.22</v>
      </c>
      <c r="J12" s="72">
        <v>11068138.52</v>
      </c>
      <c r="K12" s="72">
        <v>255425.08</v>
      </c>
      <c r="M12" s="72">
        <v>39872</v>
      </c>
      <c r="AB12" s="72">
        <v>1780199.33</v>
      </c>
      <c r="AC12" s="72">
        <v>32676713.529999994</v>
      </c>
    </row>
    <row r="13" spans="1:29" x14ac:dyDescent="0.3">
      <c r="A13" s="1">
        <v>37712</v>
      </c>
      <c r="B13">
        <v>3438809.88</v>
      </c>
      <c r="D13" s="72">
        <v>6661180.0899999999</v>
      </c>
      <c r="F13" s="72">
        <v>1413992.34</v>
      </c>
      <c r="G13" s="72">
        <v>5804641.46</v>
      </c>
      <c r="I13" s="72">
        <v>1414571.91</v>
      </c>
      <c r="J13" s="72">
        <v>8995864.8000000007</v>
      </c>
      <c r="K13" s="72">
        <v>224839.84</v>
      </c>
      <c r="M13" s="72">
        <v>36573</v>
      </c>
      <c r="AB13" s="72">
        <v>2069547.63</v>
      </c>
      <c r="AC13" s="72">
        <v>30060020.949999999</v>
      </c>
    </row>
    <row r="14" spans="1:29" x14ac:dyDescent="0.3">
      <c r="A14" s="1">
        <v>37742</v>
      </c>
      <c r="B14">
        <v>3605898.12</v>
      </c>
      <c r="D14" s="72">
        <v>7444875.870000001</v>
      </c>
      <c r="F14" s="72">
        <v>1306490.82</v>
      </c>
      <c r="G14" s="72">
        <v>4749057.41</v>
      </c>
      <c r="I14" s="72">
        <v>1407297.93</v>
      </c>
      <c r="J14" s="72">
        <v>9044750.4000000004</v>
      </c>
      <c r="K14" s="72">
        <v>246607.03</v>
      </c>
      <c r="M14" s="72">
        <v>43171</v>
      </c>
      <c r="AB14" s="72">
        <v>1445254.74</v>
      </c>
      <c r="AC14" s="72">
        <v>29293403.320000004</v>
      </c>
    </row>
    <row r="15" spans="1:29" x14ac:dyDescent="0.3">
      <c r="A15" s="1">
        <v>37773</v>
      </c>
      <c r="B15">
        <v>2788238.2800000003</v>
      </c>
      <c r="D15" s="72">
        <v>7021403.9900000002</v>
      </c>
      <c r="F15" s="72">
        <v>1579255.84</v>
      </c>
      <c r="G15" s="72">
        <v>5883380.0999999996</v>
      </c>
      <c r="I15" s="72">
        <v>1148253.6100000001</v>
      </c>
      <c r="J15" s="72">
        <v>7136755</v>
      </c>
      <c r="K15" s="72">
        <v>206873.68</v>
      </c>
      <c r="M15" s="72">
        <v>36573</v>
      </c>
      <c r="AB15" s="72">
        <v>1524842.22</v>
      </c>
      <c r="AC15" s="72">
        <v>27325575.719999999</v>
      </c>
    </row>
    <row r="16" spans="1:29" x14ac:dyDescent="0.3">
      <c r="A16" s="1">
        <v>37803</v>
      </c>
      <c r="B16">
        <v>3708091</v>
      </c>
      <c r="D16" s="72">
        <v>6105878.6500000004</v>
      </c>
      <c r="F16" s="72">
        <v>1599266.86</v>
      </c>
      <c r="G16" s="72">
        <v>4844505.41</v>
      </c>
      <c r="I16" s="72">
        <v>1277792.98</v>
      </c>
      <c r="J16" s="72">
        <v>9262729.5999999996</v>
      </c>
      <c r="K16" s="72">
        <v>198430.07999999999</v>
      </c>
      <c r="M16" s="72">
        <v>43171</v>
      </c>
      <c r="AB16" s="72">
        <v>1474598.38</v>
      </c>
      <c r="AC16" s="72">
        <v>28514463.959999997</v>
      </c>
    </row>
    <row r="17" spans="1:29" x14ac:dyDescent="0.3">
      <c r="A17" s="1">
        <v>37834</v>
      </c>
      <c r="B17">
        <v>3537399.2</v>
      </c>
      <c r="D17" s="72">
        <v>6510189.0099999998</v>
      </c>
      <c r="F17" s="72">
        <v>1621488.16</v>
      </c>
      <c r="G17" s="72">
        <v>6722382.9500000002</v>
      </c>
      <c r="I17" s="72">
        <v>1259976.18</v>
      </c>
      <c r="J17" s="72">
        <v>9150879.1999999993</v>
      </c>
      <c r="K17" s="72">
        <v>212326.66</v>
      </c>
      <c r="M17" s="72">
        <v>39872</v>
      </c>
      <c r="AB17" s="72">
        <v>1433440.6</v>
      </c>
      <c r="AC17" s="72">
        <v>30487953.960000001</v>
      </c>
    </row>
    <row r="18" spans="1:29" x14ac:dyDescent="0.3">
      <c r="A18" s="1">
        <v>37865</v>
      </c>
      <c r="B18">
        <v>3509608.8</v>
      </c>
      <c r="D18" s="72">
        <v>9094170.7200000007</v>
      </c>
      <c r="F18" s="72">
        <v>1629791.9</v>
      </c>
      <c r="G18" s="72">
        <v>5615815.1600000001</v>
      </c>
      <c r="I18" s="72">
        <v>1419923.01</v>
      </c>
      <c r="J18" s="72">
        <v>9668691</v>
      </c>
      <c r="K18" s="72">
        <v>256128.68</v>
      </c>
      <c r="M18" s="72">
        <v>39872</v>
      </c>
      <c r="AB18" s="72">
        <v>1411265.44</v>
      </c>
      <c r="AC18" s="72">
        <v>32645266.710000001</v>
      </c>
    </row>
    <row r="19" spans="1:29" x14ac:dyDescent="0.3">
      <c r="A19" s="1">
        <v>37895</v>
      </c>
      <c r="B19">
        <v>2964231.92</v>
      </c>
      <c r="D19" s="72">
        <v>7299846.1999999993</v>
      </c>
      <c r="F19" s="72">
        <v>1465322.56</v>
      </c>
      <c r="G19" s="72">
        <v>5464087.96</v>
      </c>
      <c r="I19" s="72">
        <v>1405566.48</v>
      </c>
      <c r="J19" s="72">
        <v>7757890</v>
      </c>
      <c r="K19" s="72">
        <v>262813.58</v>
      </c>
      <c r="M19" s="72">
        <v>36573</v>
      </c>
      <c r="AB19" s="72">
        <v>1308345</v>
      </c>
      <c r="AC19" s="72">
        <v>27964676.699999999</v>
      </c>
    </row>
    <row r="20" spans="1:29" x14ac:dyDescent="0.3">
      <c r="A20" s="1">
        <v>37926</v>
      </c>
      <c r="B20">
        <v>3458356.08</v>
      </c>
      <c r="D20" s="72">
        <v>6649537.1299999999</v>
      </c>
      <c r="F20" s="72">
        <v>1455062.14</v>
      </c>
      <c r="G20" s="72">
        <v>6341347.4000000004</v>
      </c>
      <c r="I20" s="72">
        <v>1585582.56</v>
      </c>
      <c r="J20" s="72">
        <v>8535552.1999999993</v>
      </c>
      <c r="K20" s="72">
        <v>280932.81</v>
      </c>
      <c r="M20" s="72">
        <v>39872</v>
      </c>
      <c r="AB20" s="72">
        <v>2186918.6800000002</v>
      </c>
      <c r="AC20" s="72">
        <v>30533160.999999996</v>
      </c>
    </row>
    <row r="21" spans="1:29" x14ac:dyDescent="0.3">
      <c r="A21" s="1">
        <v>37956</v>
      </c>
      <c r="B21">
        <v>3751572.2800000003</v>
      </c>
      <c r="D21" s="72">
        <v>2249648.6</v>
      </c>
      <c r="G21" s="72">
        <v>848754.25000000023</v>
      </c>
      <c r="I21" s="72">
        <v>1714872.8</v>
      </c>
      <c r="J21" s="72">
        <v>7812288.4000000004</v>
      </c>
      <c r="M21" s="72">
        <v>48868</v>
      </c>
      <c r="AB21" s="72">
        <v>153256.46999999997</v>
      </c>
      <c r="AC21" s="72">
        <v>16579260.800000003</v>
      </c>
    </row>
    <row r="22" spans="1:29" x14ac:dyDescent="0.3">
      <c r="A22" s="1">
        <v>37987</v>
      </c>
      <c r="B22">
        <v>2798150.2</v>
      </c>
      <c r="D22" s="72">
        <v>10335069.49</v>
      </c>
      <c r="F22" s="72">
        <v>3047004.04</v>
      </c>
      <c r="G22" s="72">
        <v>12960911.52</v>
      </c>
      <c r="I22" s="72">
        <v>1427911.56</v>
      </c>
      <c r="J22" s="72">
        <v>9114939.5999999996</v>
      </c>
      <c r="K22" s="72">
        <v>664070.97</v>
      </c>
      <c r="M22" s="72">
        <v>21173</v>
      </c>
      <c r="AB22" s="72">
        <v>4763317.54</v>
      </c>
      <c r="AC22" s="72">
        <v>45132547.919999994</v>
      </c>
    </row>
    <row r="23" spans="1:29" x14ac:dyDescent="0.3">
      <c r="A23" s="1">
        <v>38018</v>
      </c>
      <c r="B23">
        <v>5172968.5199999996</v>
      </c>
      <c r="D23" s="72">
        <v>7885341.4199999999</v>
      </c>
      <c r="F23" s="72">
        <v>1275363.74</v>
      </c>
      <c r="G23" s="72">
        <v>5763569.7599999998</v>
      </c>
      <c r="I23" s="72">
        <v>2412683.96</v>
      </c>
      <c r="J23" s="72">
        <v>14814820</v>
      </c>
      <c r="K23" s="72">
        <v>295533.65999999997</v>
      </c>
      <c r="M23" s="72">
        <v>70936</v>
      </c>
      <c r="AB23" s="72">
        <v>1277813.82</v>
      </c>
      <c r="AC23" s="72">
        <v>38969030.879999995</v>
      </c>
    </row>
    <row r="24" spans="1:29" x14ac:dyDescent="0.3">
      <c r="A24" s="1">
        <v>38047</v>
      </c>
      <c r="B24">
        <v>3688622.4</v>
      </c>
      <c r="D24" s="72">
        <v>7436593.8599999994</v>
      </c>
      <c r="F24" s="72">
        <v>1189720.72</v>
      </c>
      <c r="G24" s="72">
        <v>6557483.5199999996</v>
      </c>
      <c r="I24" s="72">
        <v>1906910.08</v>
      </c>
      <c r="J24" s="72">
        <v>12824998.6</v>
      </c>
      <c r="K24" s="72">
        <v>278821.46000000002</v>
      </c>
      <c r="M24" s="72">
        <v>45664</v>
      </c>
      <c r="AB24" s="72">
        <v>2182459.02</v>
      </c>
      <c r="AC24" s="72">
        <v>36111273.660000004</v>
      </c>
    </row>
    <row r="25" spans="1:29" x14ac:dyDescent="0.3">
      <c r="A25" s="1">
        <v>38078</v>
      </c>
      <c r="B25">
        <v>3259328.8</v>
      </c>
      <c r="D25" s="72">
        <v>7099014.6500000004</v>
      </c>
      <c r="F25" s="72">
        <v>1268707.1399999999</v>
      </c>
      <c r="G25" s="72">
        <v>7413402.2400000002</v>
      </c>
      <c r="I25" s="72">
        <v>1689854.53</v>
      </c>
      <c r="J25" s="72">
        <v>6839609.4000000004</v>
      </c>
      <c r="K25" s="72">
        <v>266683.68</v>
      </c>
      <c r="M25" s="72">
        <v>36858</v>
      </c>
      <c r="AB25" s="72">
        <v>2205575.7400000002</v>
      </c>
      <c r="AC25" s="72">
        <v>30079034.18</v>
      </c>
    </row>
    <row r="26" spans="1:29" x14ac:dyDescent="0.3">
      <c r="A26" s="1">
        <v>38108</v>
      </c>
      <c r="B26">
        <v>3340558.6</v>
      </c>
      <c r="D26" s="72">
        <v>3926230.5100000002</v>
      </c>
      <c r="F26" s="72">
        <v>1477088.34</v>
      </c>
      <c r="G26" s="72">
        <v>6647931.3600000003</v>
      </c>
      <c r="I26" s="72">
        <v>1638930.6</v>
      </c>
      <c r="J26" s="72">
        <v>9697861</v>
      </c>
      <c r="K26" s="72">
        <v>206170.08</v>
      </c>
      <c r="M26" s="72">
        <v>40157</v>
      </c>
      <c r="AB26" s="72">
        <v>5055727.41</v>
      </c>
      <c r="AC26" s="72">
        <v>32030654.900000002</v>
      </c>
    </row>
    <row r="27" spans="1:29" x14ac:dyDescent="0.3">
      <c r="A27" s="1">
        <v>38139</v>
      </c>
      <c r="B27">
        <v>2700463.6799999997</v>
      </c>
      <c r="D27" s="72">
        <v>3809704.2199999997</v>
      </c>
      <c r="F27" s="72">
        <v>1755020.2</v>
      </c>
      <c r="G27" s="72">
        <v>7780618.0800000001</v>
      </c>
      <c r="I27" s="72">
        <v>1459007.72</v>
      </c>
      <c r="J27" s="72">
        <v>8754908</v>
      </c>
      <c r="K27" s="72">
        <v>212678.84</v>
      </c>
      <c r="M27" s="72">
        <v>40157</v>
      </c>
      <c r="AB27" s="72">
        <v>5717468.6799999997</v>
      </c>
      <c r="AC27" s="72">
        <v>32230026.419999998</v>
      </c>
    </row>
    <row r="28" spans="1:29" x14ac:dyDescent="0.3">
      <c r="A28" s="1">
        <v>38169</v>
      </c>
      <c r="B28">
        <v>2806017.46</v>
      </c>
      <c r="D28" s="72">
        <v>3666961</v>
      </c>
      <c r="F28" s="72">
        <v>1841240.78</v>
      </c>
      <c r="G28" s="72">
        <v>6272933.7599999998</v>
      </c>
      <c r="I28" s="72">
        <v>1471449.37</v>
      </c>
      <c r="J28" s="72">
        <v>6375018</v>
      </c>
      <c r="K28" s="72">
        <v>198781.88</v>
      </c>
      <c r="M28" s="72">
        <v>40157</v>
      </c>
      <c r="AB28" s="72">
        <v>5000260.0199999996</v>
      </c>
      <c r="AC28" s="72">
        <v>27672819.27</v>
      </c>
    </row>
    <row r="29" spans="1:29" x14ac:dyDescent="0.3">
      <c r="A29" s="1">
        <v>38200</v>
      </c>
      <c r="B29">
        <v>3465396.26</v>
      </c>
      <c r="D29" s="72">
        <v>4004937.45</v>
      </c>
      <c r="F29" s="72">
        <v>1599386.2</v>
      </c>
      <c r="G29" s="72">
        <v>7012607.04</v>
      </c>
      <c r="I29" s="72">
        <v>1630525.82</v>
      </c>
      <c r="J29" s="72">
        <v>9652316</v>
      </c>
      <c r="K29" s="72">
        <v>199309.1</v>
      </c>
      <c r="M29" s="72">
        <v>40157</v>
      </c>
      <c r="AB29" s="72">
        <v>5293559.6500000004</v>
      </c>
      <c r="AC29" s="72">
        <v>32898194.520000003</v>
      </c>
    </row>
    <row r="30" spans="1:29" x14ac:dyDescent="0.3">
      <c r="A30" s="1">
        <v>38231</v>
      </c>
      <c r="B30">
        <v>3122347.4</v>
      </c>
      <c r="D30" s="72">
        <v>521547.83000000007</v>
      </c>
      <c r="F30" s="72">
        <v>1457750.58</v>
      </c>
      <c r="G30" s="72">
        <v>7616439.8700000001</v>
      </c>
      <c r="I30" s="72">
        <v>1412506.67</v>
      </c>
      <c r="J30" s="72">
        <v>9023941</v>
      </c>
      <c r="K30" s="72">
        <v>239939.36</v>
      </c>
      <c r="M30" s="72">
        <v>40157</v>
      </c>
      <c r="AB30" s="72">
        <v>5201985.62</v>
      </c>
      <c r="AC30" s="72">
        <v>28636615.330000002</v>
      </c>
    </row>
    <row r="31" spans="1:29" x14ac:dyDescent="0.3">
      <c r="A31" s="1">
        <v>38261</v>
      </c>
      <c r="B31">
        <v>2783085.2</v>
      </c>
      <c r="D31" s="72">
        <v>8713775.25</v>
      </c>
      <c r="F31" s="72">
        <v>1577182.62</v>
      </c>
      <c r="G31" s="72">
        <v>7978507.3600000003</v>
      </c>
      <c r="I31" s="72">
        <v>1508113.37</v>
      </c>
      <c r="J31" s="72">
        <v>8103294</v>
      </c>
      <c r="K31" s="72">
        <v>280318.2</v>
      </c>
      <c r="M31" s="72">
        <v>40157</v>
      </c>
      <c r="AB31" s="72">
        <v>5758881.8900000006</v>
      </c>
      <c r="AC31" s="72">
        <v>36743314.890000001</v>
      </c>
    </row>
    <row r="32" spans="1:29" x14ac:dyDescent="0.3">
      <c r="A32" s="1">
        <v>38292</v>
      </c>
      <c r="B32">
        <v>2932928.8</v>
      </c>
      <c r="D32" s="72">
        <v>4991780.7200000007</v>
      </c>
      <c r="F32" s="72">
        <v>1559813.92</v>
      </c>
      <c r="G32" s="72">
        <v>7591294.2300000004</v>
      </c>
      <c r="I32" s="72">
        <v>1751478.09</v>
      </c>
      <c r="J32" s="72">
        <v>8201508</v>
      </c>
      <c r="K32" s="72">
        <v>302383.83</v>
      </c>
      <c r="M32" s="72">
        <v>40157</v>
      </c>
      <c r="AB32" s="72">
        <v>6664874.8799999999</v>
      </c>
      <c r="AC32" s="72">
        <v>34036219.469999999</v>
      </c>
    </row>
    <row r="33" spans="1:29" x14ac:dyDescent="0.3">
      <c r="A33" s="1">
        <v>38322</v>
      </c>
      <c r="B33">
        <v>2899666.5900000003</v>
      </c>
      <c r="D33" s="72">
        <v>2028470.3900000001</v>
      </c>
      <c r="E33" s="72">
        <v>2260223.62</v>
      </c>
      <c r="F33" s="72">
        <v>1548467.96</v>
      </c>
      <c r="G33" s="72">
        <v>7275909.8499999996</v>
      </c>
      <c r="I33" s="72">
        <v>1688366.12</v>
      </c>
      <c r="J33" s="72">
        <v>8194934.8399999999</v>
      </c>
      <c r="K33" s="72">
        <v>314563.90000000002</v>
      </c>
      <c r="M33" s="72">
        <v>48297</v>
      </c>
      <c r="AB33" s="72">
        <v>5840761.3099999996</v>
      </c>
      <c r="AC33" s="72">
        <v>32099661.579999998</v>
      </c>
    </row>
    <row r="34" spans="1:29" x14ac:dyDescent="0.3">
      <c r="A34" s="1">
        <v>38353</v>
      </c>
      <c r="B34">
        <v>3611561.71</v>
      </c>
      <c r="D34" s="72">
        <v>2238611</v>
      </c>
      <c r="E34" s="72">
        <v>1651752.0699999998</v>
      </c>
      <c r="F34" s="72">
        <v>1383381.98</v>
      </c>
      <c r="G34" s="72">
        <v>6226285</v>
      </c>
      <c r="I34" s="72">
        <v>1975844.96</v>
      </c>
      <c r="J34" s="72">
        <v>12040350.4</v>
      </c>
      <c r="K34" s="72">
        <v>320742.07</v>
      </c>
      <c r="M34" s="72">
        <v>49977</v>
      </c>
      <c r="AB34" s="72">
        <v>5172332.3599999994</v>
      </c>
      <c r="AC34" s="72">
        <v>34670838.549999997</v>
      </c>
    </row>
    <row r="35" spans="1:29" x14ac:dyDescent="0.3">
      <c r="A35" s="1">
        <v>38384</v>
      </c>
      <c r="B35">
        <v>3605720.47</v>
      </c>
      <c r="D35" s="72">
        <v>2400861.48</v>
      </c>
      <c r="E35" s="72">
        <v>1370451.6099999999</v>
      </c>
      <c r="F35" s="72">
        <v>1273871.44</v>
      </c>
      <c r="G35" s="72">
        <v>6683076.1399999997</v>
      </c>
      <c r="I35" s="72">
        <v>2063755.6900000002</v>
      </c>
      <c r="J35" s="72">
        <v>12124967.84</v>
      </c>
      <c r="K35" s="72">
        <v>287732.44</v>
      </c>
      <c r="M35" s="72">
        <v>48777</v>
      </c>
      <c r="AB35" s="72">
        <v>5340167.0599999996</v>
      </c>
      <c r="AC35" s="72">
        <v>35199381.170000002</v>
      </c>
    </row>
    <row r="36" spans="1:29" x14ac:dyDescent="0.3">
      <c r="A36" s="1">
        <v>38412</v>
      </c>
      <c r="B36">
        <v>3417269.36</v>
      </c>
      <c r="D36" s="72">
        <v>2354353.33</v>
      </c>
      <c r="E36" s="72">
        <v>2430078.13</v>
      </c>
      <c r="F36" s="72">
        <v>1274356.8400000001</v>
      </c>
      <c r="G36" s="72">
        <v>7116452.7000000002</v>
      </c>
      <c r="I36" s="72">
        <v>2030840.07</v>
      </c>
      <c r="J36" s="72">
        <v>10819547</v>
      </c>
      <c r="K36" s="72">
        <v>290380</v>
      </c>
      <c r="M36" s="72">
        <v>74889</v>
      </c>
      <c r="AB36" s="72">
        <v>5753764.3499999996</v>
      </c>
      <c r="AC36" s="72">
        <v>35561930.780000001</v>
      </c>
    </row>
    <row r="37" spans="1:29" x14ac:dyDescent="0.3">
      <c r="A37" s="1">
        <v>38443</v>
      </c>
      <c r="B37">
        <v>3178657.19</v>
      </c>
      <c r="D37" s="72">
        <v>2113013.09</v>
      </c>
      <c r="E37" s="72">
        <v>1905407.86</v>
      </c>
      <c r="F37" s="72">
        <v>1255324.1599999999</v>
      </c>
      <c r="G37" s="72">
        <v>6772168.8399999999</v>
      </c>
      <c r="I37" s="72">
        <v>1834878.76</v>
      </c>
      <c r="J37" s="72">
        <v>9979627</v>
      </c>
      <c r="K37" s="72">
        <v>253133.69</v>
      </c>
      <c r="M37" s="72">
        <v>49257</v>
      </c>
      <c r="AB37" s="72">
        <v>5225271.2300000004</v>
      </c>
      <c r="AC37" s="72">
        <v>32566738.82</v>
      </c>
    </row>
    <row r="38" spans="1:29" x14ac:dyDescent="0.3">
      <c r="A38" s="1">
        <v>38473</v>
      </c>
      <c r="B38">
        <v>2770703.44</v>
      </c>
      <c r="D38" s="72">
        <v>2063114.1400000001</v>
      </c>
      <c r="E38" s="72">
        <v>1834841.0100000002</v>
      </c>
      <c r="F38" s="72">
        <v>1333401.42</v>
      </c>
      <c r="G38" s="72">
        <v>6687824.2300000004</v>
      </c>
      <c r="I38" s="72">
        <v>1563208.3</v>
      </c>
      <c r="J38" s="72">
        <v>8310890.2000000002</v>
      </c>
      <c r="K38" s="72">
        <v>216417.28</v>
      </c>
      <c r="M38" s="72">
        <v>47577</v>
      </c>
      <c r="AB38" s="72">
        <v>5684344.2800000003</v>
      </c>
      <c r="AC38" s="72">
        <v>30512321.300000004</v>
      </c>
    </row>
    <row r="39" spans="1:29" x14ac:dyDescent="0.3">
      <c r="A39" s="1">
        <v>38504</v>
      </c>
      <c r="B39">
        <v>2753246.12</v>
      </c>
      <c r="D39" s="72">
        <v>1806685</v>
      </c>
      <c r="E39" s="72">
        <v>1576768.78</v>
      </c>
      <c r="G39" s="72">
        <v>7850961.6399999997</v>
      </c>
      <c r="I39" s="72">
        <v>1491570.07</v>
      </c>
      <c r="J39" s="72">
        <v>7849390.7999999998</v>
      </c>
      <c r="K39" s="72">
        <v>220830.27</v>
      </c>
      <c r="M39" s="72">
        <v>48297</v>
      </c>
      <c r="AB39" s="72">
        <v>6221867.04</v>
      </c>
      <c r="AC39" s="72">
        <v>29819616.719999999</v>
      </c>
    </row>
    <row r="40" spans="1:29" x14ac:dyDescent="0.3">
      <c r="A40" s="1">
        <v>38534</v>
      </c>
      <c r="B40">
        <v>3330120.51</v>
      </c>
      <c r="D40" s="72">
        <v>2312048.7800000003</v>
      </c>
      <c r="E40" s="72">
        <v>2667706.79</v>
      </c>
      <c r="F40" s="72">
        <v>3231155.12</v>
      </c>
      <c r="G40" s="72">
        <v>6902965.6900000004</v>
      </c>
      <c r="I40" s="72">
        <v>1416063.06</v>
      </c>
      <c r="J40" s="72">
        <v>10480924</v>
      </c>
      <c r="K40" s="72">
        <v>192763.32</v>
      </c>
      <c r="M40" s="72">
        <v>47337</v>
      </c>
      <c r="AB40" s="72">
        <v>5556307.2999999998</v>
      </c>
      <c r="AC40" s="72">
        <v>36137391.57</v>
      </c>
    </row>
    <row r="41" spans="1:29" x14ac:dyDescent="0.3">
      <c r="A41" s="1">
        <v>38565</v>
      </c>
      <c r="B41">
        <v>3793399.5</v>
      </c>
      <c r="D41" s="72">
        <v>2441861.5099999998</v>
      </c>
      <c r="E41" s="72">
        <v>2421370.9500000002</v>
      </c>
      <c r="F41" s="72">
        <v>1695376.08</v>
      </c>
      <c r="G41" s="72">
        <v>8672861.4499999993</v>
      </c>
      <c r="I41" s="72">
        <v>1698203.84</v>
      </c>
      <c r="J41" s="72">
        <v>12549490</v>
      </c>
      <c r="K41" s="72">
        <v>220477</v>
      </c>
      <c r="M41" s="72">
        <v>49497</v>
      </c>
      <c r="AB41" s="72">
        <v>5785922.2800000003</v>
      </c>
      <c r="AC41" s="72">
        <v>39328459.609999999</v>
      </c>
    </row>
    <row r="42" spans="1:29" x14ac:dyDescent="0.3">
      <c r="A42" s="1">
        <v>38596</v>
      </c>
      <c r="B42">
        <v>3362692.13</v>
      </c>
      <c r="D42" s="72">
        <v>2257845.54</v>
      </c>
      <c r="E42" s="72">
        <v>2355547.0699999998</v>
      </c>
      <c r="F42" s="72">
        <v>1593187.28</v>
      </c>
      <c r="G42" s="72">
        <v>8479564.0299999993</v>
      </c>
      <c r="I42" s="72">
        <v>1352139.96</v>
      </c>
      <c r="J42" s="72">
        <v>10359802</v>
      </c>
      <c r="K42" s="72">
        <v>241306.51</v>
      </c>
      <c r="M42" s="72">
        <v>50037</v>
      </c>
      <c r="AB42" s="72">
        <v>6234707.3399999999</v>
      </c>
      <c r="AC42" s="72">
        <v>36286828.859999999</v>
      </c>
    </row>
    <row r="43" spans="1:29" x14ac:dyDescent="0.3">
      <c r="A43" s="1">
        <v>38626</v>
      </c>
      <c r="B43">
        <v>3177684.7399999998</v>
      </c>
      <c r="D43" s="72">
        <v>2242156.15</v>
      </c>
      <c r="E43" s="72">
        <v>2170996.69</v>
      </c>
      <c r="F43" s="72">
        <v>1454517.06</v>
      </c>
      <c r="G43" s="72">
        <v>8057037.2800000003</v>
      </c>
      <c r="I43" s="72">
        <v>1594012.03</v>
      </c>
      <c r="J43" s="72">
        <v>9073072.1999999993</v>
      </c>
      <c r="K43" s="72">
        <v>253310.21</v>
      </c>
      <c r="M43" s="72">
        <v>45905</v>
      </c>
      <c r="AB43" s="72">
        <v>5482080.7800000003</v>
      </c>
      <c r="AC43" s="72">
        <v>33550772.140000004</v>
      </c>
    </row>
    <row r="44" spans="1:29" x14ac:dyDescent="0.3">
      <c r="A44" s="1">
        <v>38657</v>
      </c>
      <c r="B44">
        <v>2606564.29</v>
      </c>
      <c r="D44" s="72">
        <v>2103051.7000000002</v>
      </c>
      <c r="E44" s="72">
        <v>2345621.9600000004</v>
      </c>
      <c r="F44" s="72">
        <v>1483359.54</v>
      </c>
      <c r="G44" s="72">
        <v>8818541.7100000009</v>
      </c>
      <c r="I44" s="72">
        <v>1660006.1800000002</v>
      </c>
      <c r="J44" s="72">
        <v>7161578.2000000002</v>
      </c>
      <c r="K44" s="72">
        <v>300618.57</v>
      </c>
      <c r="M44" s="72">
        <v>47157</v>
      </c>
      <c r="AB44" s="72">
        <v>5695222.3799999999</v>
      </c>
      <c r="AC44" s="72">
        <v>32221721.530000001</v>
      </c>
    </row>
    <row r="45" spans="1:29" x14ac:dyDescent="0.3">
      <c r="A45" s="1">
        <v>38687</v>
      </c>
      <c r="B45">
        <v>2852831.4</v>
      </c>
      <c r="D45" s="72">
        <v>2108489.2000000002</v>
      </c>
      <c r="E45" s="72">
        <v>2046783.2899999998</v>
      </c>
      <c r="F45" s="72">
        <v>1334848.1399999999</v>
      </c>
      <c r="G45" s="72">
        <v>8179480.6100000003</v>
      </c>
      <c r="I45" s="72">
        <v>1571630.0800000001</v>
      </c>
      <c r="J45" s="72">
        <v>8844050.1999999993</v>
      </c>
      <c r="K45" s="72">
        <v>302736.90999999997</v>
      </c>
      <c r="M45" s="72">
        <v>49077</v>
      </c>
      <c r="AB45" s="72">
        <v>5341623.34</v>
      </c>
      <c r="AC45" s="72">
        <v>32631550.169999998</v>
      </c>
    </row>
    <row r="46" spans="1:29" x14ac:dyDescent="0.3">
      <c r="A46" s="1">
        <v>38718</v>
      </c>
      <c r="B46">
        <v>3777851.36</v>
      </c>
      <c r="C46" s="72">
        <v>1845357.3099999998</v>
      </c>
      <c r="D46" s="72">
        <v>2401704.11</v>
      </c>
      <c r="E46" s="72">
        <v>2115997.29</v>
      </c>
      <c r="F46" s="72">
        <v>1417405.78</v>
      </c>
      <c r="G46" s="72">
        <v>7954019.0099999998</v>
      </c>
      <c r="I46" s="72">
        <v>2504557.6599999997</v>
      </c>
      <c r="J46" s="72">
        <v>12166728.200000001</v>
      </c>
      <c r="K46" s="72">
        <v>363332</v>
      </c>
      <c r="M46" s="72">
        <v>49317</v>
      </c>
      <c r="AB46" s="72">
        <v>4499567.0999999996</v>
      </c>
      <c r="AC46" s="72">
        <v>39095836.82</v>
      </c>
    </row>
    <row r="47" spans="1:29" x14ac:dyDescent="0.3">
      <c r="A47" s="1">
        <v>38749</v>
      </c>
      <c r="B47">
        <v>3026028.16</v>
      </c>
      <c r="C47" s="72">
        <v>1691637.08</v>
      </c>
      <c r="D47" s="72">
        <v>1528197.05</v>
      </c>
      <c r="E47" s="72">
        <v>2041700.3200000003</v>
      </c>
      <c r="F47" s="72">
        <v>1224329.72</v>
      </c>
      <c r="G47" s="72">
        <v>7639770.6200000001</v>
      </c>
      <c r="I47" s="72">
        <v>1751532.15</v>
      </c>
      <c r="J47" s="72">
        <v>11102284.200000001</v>
      </c>
      <c r="K47" s="72">
        <v>285799.8</v>
      </c>
      <c r="M47" s="72">
        <v>50037</v>
      </c>
      <c r="AB47" s="72">
        <v>4648026.5199999996</v>
      </c>
      <c r="AC47" s="72">
        <v>34989342.619999997</v>
      </c>
    </row>
    <row r="48" spans="1:29" x14ac:dyDescent="0.3">
      <c r="A48" s="1">
        <v>38777</v>
      </c>
      <c r="B48">
        <v>3419372.2700000005</v>
      </c>
      <c r="C48" s="72">
        <v>1623407.8900000001</v>
      </c>
      <c r="D48" s="72">
        <v>2616032.31</v>
      </c>
      <c r="E48" s="72">
        <v>2410461.5399999996</v>
      </c>
      <c r="F48" s="72">
        <v>1229004.5</v>
      </c>
      <c r="G48" s="72">
        <v>6532548.5300000003</v>
      </c>
      <c r="I48" s="72">
        <v>2057830.4899999998</v>
      </c>
      <c r="J48" s="72">
        <v>10449743</v>
      </c>
      <c r="K48" s="72">
        <v>271908.34999999998</v>
      </c>
      <c r="M48" s="72">
        <v>70942</v>
      </c>
      <c r="AB48" s="72">
        <v>6868811.9699999997</v>
      </c>
      <c r="AC48" s="72">
        <v>37550062.850000001</v>
      </c>
    </row>
    <row r="49" spans="1:29" x14ac:dyDescent="0.3">
      <c r="A49" s="1">
        <v>38808</v>
      </c>
      <c r="B49">
        <v>3043048.56</v>
      </c>
      <c r="C49" s="72">
        <v>1643600.64</v>
      </c>
      <c r="D49" s="72">
        <v>1777333.3499999999</v>
      </c>
      <c r="E49" s="72">
        <v>1842322.5199999998</v>
      </c>
      <c r="F49" s="72">
        <v>1289023.58</v>
      </c>
      <c r="G49" s="72">
        <v>6507788.8300000001</v>
      </c>
      <c r="I49" s="72">
        <v>1912877.18</v>
      </c>
      <c r="J49" s="72">
        <v>9792241</v>
      </c>
      <c r="K49" s="72">
        <v>255402.76</v>
      </c>
      <c r="M49" s="72">
        <v>47877</v>
      </c>
      <c r="AB49" s="72">
        <v>5835737.2699999996</v>
      </c>
      <c r="AC49" s="72">
        <v>33947252.689999998</v>
      </c>
    </row>
    <row r="50" spans="1:29" x14ac:dyDescent="0.3">
      <c r="A50" s="1">
        <v>38838</v>
      </c>
      <c r="B50">
        <v>2784086.4299999997</v>
      </c>
      <c r="C50" s="72">
        <v>1331111.28</v>
      </c>
      <c r="D50" s="72">
        <v>2119877.2800000003</v>
      </c>
      <c r="E50" s="72">
        <v>2704630.8000000003</v>
      </c>
      <c r="F50" s="72">
        <v>1177658.1599999999</v>
      </c>
      <c r="G50" s="72">
        <v>6904130.4199999999</v>
      </c>
      <c r="I50" s="72">
        <v>1526978.13</v>
      </c>
      <c r="J50" s="72">
        <v>8536857.9999999981</v>
      </c>
      <c r="K50" s="72">
        <v>218356.68</v>
      </c>
      <c r="M50" s="72">
        <v>34345</v>
      </c>
      <c r="AB50" s="72">
        <v>5552185.0800000001</v>
      </c>
      <c r="AC50" s="72">
        <v>32890217.259999998</v>
      </c>
    </row>
    <row r="51" spans="1:29" x14ac:dyDescent="0.3">
      <c r="A51" s="1">
        <v>38869</v>
      </c>
      <c r="B51">
        <v>2706044.2200000007</v>
      </c>
      <c r="C51" s="72">
        <v>1316272.68</v>
      </c>
      <c r="D51" s="72">
        <v>1927116.42</v>
      </c>
      <c r="E51" s="72">
        <v>2035246.85</v>
      </c>
      <c r="F51" s="72">
        <v>1439600.26</v>
      </c>
      <c r="G51" s="72">
        <v>8642354.5399999991</v>
      </c>
      <c r="H51" s="72">
        <v>3644524</v>
      </c>
      <c r="I51" s="72">
        <v>1547964.66</v>
      </c>
      <c r="J51" s="72">
        <v>7885355.9999999991</v>
      </c>
      <c r="K51" s="72">
        <v>222809.25</v>
      </c>
      <c r="M51" s="72">
        <v>33625</v>
      </c>
      <c r="AB51" s="72">
        <v>5892764.1399999997</v>
      </c>
      <c r="AC51" s="72">
        <v>37293678.019999996</v>
      </c>
    </row>
    <row r="52" spans="1:29" x14ac:dyDescent="0.3">
      <c r="A52" s="1">
        <v>38899</v>
      </c>
      <c r="B52">
        <v>2946063.49</v>
      </c>
      <c r="C52" s="72">
        <v>1479023.1099999999</v>
      </c>
      <c r="D52" s="72">
        <v>2182911.6</v>
      </c>
      <c r="E52" s="72">
        <v>3456807.7</v>
      </c>
      <c r="F52" s="72">
        <v>1390996.58</v>
      </c>
      <c r="G52" s="72">
        <v>6724641.8300000001</v>
      </c>
      <c r="H52" s="72">
        <v>292310</v>
      </c>
      <c r="I52" s="72">
        <v>1534718.17</v>
      </c>
      <c r="J52" s="72">
        <v>8837551</v>
      </c>
      <c r="K52" s="72">
        <v>194490.72</v>
      </c>
      <c r="M52" s="72">
        <v>34585</v>
      </c>
      <c r="AB52" s="72">
        <v>5801598.2599999998</v>
      </c>
      <c r="AC52" s="72">
        <v>34875697.459999993</v>
      </c>
    </row>
    <row r="53" spans="1:29" x14ac:dyDescent="0.3">
      <c r="A53" s="1">
        <v>38930</v>
      </c>
      <c r="B53">
        <v>3304881.4499999993</v>
      </c>
      <c r="C53" s="72">
        <v>1756171.97</v>
      </c>
      <c r="D53" s="72">
        <v>1982714.7899999998</v>
      </c>
      <c r="E53" s="72">
        <v>2524619.08</v>
      </c>
      <c r="F53" s="72">
        <v>1444945.34</v>
      </c>
      <c r="G53" s="72">
        <v>8327951.0800000001</v>
      </c>
      <c r="I53" s="72">
        <v>1516596.8</v>
      </c>
      <c r="J53" s="72">
        <v>11101620</v>
      </c>
      <c r="K53" s="72">
        <v>214972.95</v>
      </c>
      <c r="M53" s="72">
        <v>37705</v>
      </c>
      <c r="AB53" s="72">
        <v>5567949.8499999996</v>
      </c>
      <c r="AC53" s="72">
        <v>37780128.310000002</v>
      </c>
    </row>
    <row r="54" spans="1:29" x14ac:dyDescent="0.3">
      <c r="A54" s="1">
        <v>38961</v>
      </c>
      <c r="B54">
        <v>3274281.22</v>
      </c>
      <c r="C54" s="72">
        <v>1676126.54</v>
      </c>
      <c r="D54" s="72">
        <v>2189084.0700000003</v>
      </c>
      <c r="E54" s="72">
        <v>2757606.03</v>
      </c>
      <c r="F54" s="72">
        <v>1371632.06</v>
      </c>
      <c r="G54" s="72">
        <v>8122788.3399999999</v>
      </c>
      <c r="H54" s="72">
        <v>44120</v>
      </c>
      <c r="I54" s="72">
        <v>1578489.6199999999</v>
      </c>
      <c r="J54" s="72">
        <v>10553631.999999998</v>
      </c>
      <c r="K54" s="72">
        <v>234208.21</v>
      </c>
      <c r="M54" s="72">
        <v>50397</v>
      </c>
      <c r="AB54" s="72">
        <v>5449803.4800000004</v>
      </c>
      <c r="AC54" s="72">
        <v>37302168.569999993</v>
      </c>
    </row>
    <row r="55" spans="1:29" x14ac:dyDescent="0.3">
      <c r="A55" s="1">
        <v>38991</v>
      </c>
      <c r="B55">
        <v>2502655.3199999998</v>
      </c>
      <c r="C55" s="72">
        <v>1429170.1900000002</v>
      </c>
      <c r="D55" s="72">
        <v>1833972.8399999999</v>
      </c>
      <c r="E55" s="72">
        <v>2829200.31</v>
      </c>
      <c r="F55" s="72">
        <v>1494711.68</v>
      </c>
      <c r="G55" s="72">
        <v>8567835.1699999999</v>
      </c>
      <c r="I55" s="72">
        <v>1768840.88</v>
      </c>
      <c r="J55" s="72">
        <v>8196272.9999999981</v>
      </c>
      <c r="K55" s="72">
        <v>291201.65000000002</v>
      </c>
      <c r="M55" s="72">
        <v>98869</v>
      </c>
      <c r="AB55" s="72">
        <v>6363008.9299999997</v>
      </c>
      <c r="AC55" s="72">
        <v>35375738.969999991</v>
      </c>
    </row>
    <row r="56" spans="1:29" x14ac:dyDescent="0.3">
      <c r="A56" s="1">
        <v>39022</v>
      </c>
      <c r="B56">
        <v>2853451.8</v>
      </c>
      <c r="C56" s="72">
        <v>1546357.86</v>
      </c>
      <c r="D56" s="72">
        <v>1970650.98</v>
      </c>
      <c r="E56" s="72">
        <v>2361987.71</v>
      </c>
      <c r="F56" s="72">
        <v>1441121.1800000002</v>
      </c>
      <c r="G56" s="72">
        <v>8052790.46</v>
      </c>
      <c r="I56" s="72">
        <v>1695081.38</v>
      </c>
      <c r="J56" s="72">
        <v>8456060.9999999981</v>
      </c>
      <c r="K56" s="72">
        <v>294763.99</v>
      </c>
      <c r="M56" s="72">
        <v>47459</v>
      </c>
      <c r="N56" s="72">
        <v>1209518</v>
      </c>
      <c r="O56" s="72">
        <v>505609</v>
      </c>
      <c r="P56" s="72">
        <v>1364</v>
      </c>
      <c r="Q56" s="72">
        <v>2662022.7000000002</v>
      </c>
      <c r="R56" s="72">
        <v>39135.760000000002</v>
      </c>
      <c r="S56" s="72">
        <v>267010</v>
      </c>
      <c r="T56" s="72">
        <v>711</v>
      </c>
      <c r="AB56" s="72">
        <v>4386519.83</v>
      </c>
      <c r="AC56" s="72">
        <v>37791615.649999999</v>
      </c>
    </row>
    <row r="57" spans="1:29" x14ac:dyDescent="0.3">
      <c r="A57" s="1">
        <v>39052</v>
      </c>
      <c r="B57">
        <v>3068108.1200000006</v>
      </c>
      <c r="C57" s="72">
        <v>0</v>
      </c>
      <c r="D57" s="72">
        <v>1224324.8399999999</v>
      </c>
      <c r="E57" s="72">
        <v>3263715.24</v>
      </c>
      <c r="F57" s="72">
        <v>1395277.3</v>
      </c>
      <c r="G57" s="72">
        <v>7973436.8300000001</v>
      </c>
      <c r="I57" s="72">
        <v>1714912.1899999997</v>
      </c>
      <c r="J57" s="72">
        <v>9052853.9999999981</v>
      </c>
      <c r="K57" s="72">
        <v>316849.03000000003</v>
      </c>
      <c r="M57" s="72">
        <v>46979</v>
      </c>
      <c r="N57" s="72">
        <v>1344899</v>
      </c>
      <c r="O57" s="72">
        <v>659747</v>
      </c>
      <c r="P57" s="72">
        <v>1364</v>
      </c>
      <c r="Q57" s="72">
        <v>2617188.12</v>
      </c>
      <c r="R57" s="72">
        <v>41717.519999999997</v>
      </c>
      <c r="S57" s="72">
        <v>888320</v>
      </c>
      <c r="T57" s="72">
        <v>1750.5</v>
      </c>
      <c r="U57" s="72">
        <v>1161507</v>
      </c>
      <c r="V57" s="72">
        <v>209103</v>
      </c>
      <c r="W57" s="72">
        <v>285</v>
      </c>
      <c r="AB57" s="72">
        <v>4292747.5600000005</v>
      </c>
      <c r="AC57" s="72">
        <v>39275085.250000007</v>
      </c>
    </row>
    <row r="58" spans="1:29" x14ac:dyDescent="0.3">
      <c r="A58" s="1">
        <v>39083</v>
      </c>
      <c r="B58">
        <v>3122428.48</v>
      </c>
      <c r="C58" s="72">
        <v>3375920.9099999997</v>
      </c>
      <c r="D58" s="72">
        <v>2076604.6</v>
      </c>
      <c r="E58" s="72">
        <v>2393007.69</v>
      </c>
      <c r="F58" s="72">
        <v>1264617.8999999999</v>
      </c>
      <c r="G58" s="72">
        <v>4939156.9800000004</v>
      </c>
      <c r="I58" s="72">
        <v>2307225.85</v>
      </c>
      <c r="J58" s="72">
        <v>10585967.4</v>
      </c>
      <c r="K58" s="72">
        <v>334303.17000000004</v>
      </c>
      <c r="M58" s="72">
        <v>57461</v>
      </c>
      <c r="N58" s="72">
        <v>1340369</v>
      </c>
      <c r="O58" s="72">
        <v>592898</v>
      </c>
      <c r="P58" s="72">
        <v>1364</v>
      </c>
      <c r="Q58" s="72">
        <v>2249739.71</v>
      </c>
      <c r="R58" s="72">
        <v>45097.26</v>
      </c>
      <c r="S58" s="72">
        <v>481390</v>
      </c>
      <c r="T58" s="72">
        <v>1278</v>
      </c>
      <c r="U58" s="72">
        <v>1674427</v>
      </c>
      <c r="V58" s="72">
        <v>1014347</v>
      </c>
      <c r="W58" s="72">
        <v>10970.6</v>
      </c>
      <c r="X58" s="72">
        <v>1034060</v>
      </c>
      <c r="AB58" s="72">
        <v>6404711.4700000007</v>
      </c>
      <c r="AC58" s="72">
        <v>45307346.020000003</v>
      </c>
    </row>
    <row r="59" spans="1:29" x14ac:dyDescent="0.3">
      <c r="A59" s="1">
        <v>39114</v>
      </c>
      <c r="B59">
        <v>3280333.0700000003</v>
      </c>
      <c r="C59" s="72">
        <v>1318340.3</v>
      </c>
      <c r="D59" s="72">
        <v>1850547.32</v>
      </c>
      <c r="E59" s="72">
        <v>2242216.2400000002</v>
      </c>
      <c r="F59" s="72">
        <v>1176578.96</v>
      </c>
      <c r="G59" s="72">
        <v>7473074.0999999996</v>
      </c>
      <c r="I59" s="72">
        <v>1912309.6299999997</v>
      </c>
      <c r="J59" s="72">
        <v>11499628.6</v>
      </c>
      <c r="K59" s="72">
        <v>289420.78999999998</v>
      </c>
      <c r="M59" s="72">
        <v>65866</v>
      </c>
      <c r="N59" s="72">
        <v>1501506</v>
      </c>
      <c r="O59" s="72">
        <v>606648</v>
      </c>
      <c r="P59" s="72">
        <v>1364</v>
      </c>
      <c r="Q59" s="72">
        <v>2571950.59</v>
      </c>
      <c r="R59" s="72">
        <v>44131.7</v>
      </c>
      <c r="S59" s="72">
        <v>472280</v>
      </c>
      <c r="T59" s="72">
        <v>1278</v>
      </c>
      <c r="U59" s="72">
        <v>1568872</v>
      </c>
      <c r="V59" s="72">
        <v>664389</v>
      </c>
      <c r="W59" s="72">
        <v>115445.9</v>
      </c>
      <c r="X59" s="72">
        <v>2164940</v>
      </c>
      <c r="Y59" s="72">
        <v>18680</v>
      </c>
      <c r="AB59" s="72">
        <v>6095244.1200000001</v>
      </c>
      <c r="AC59" s="72">
        <v>46935044.319999993</v>
      </c>
    </row>
    <row r="60" spans="1:29" x14ac:dyDescent="0.3">
      <c r="A60" s="1">
        <v>39142</v>
      </c>
      <c r="B60">
        <v>3566126.8400000003</v>
      </c>
      <c r="C60" s="72">
        <v>0</v>
      </c>
      <c r="D60" s="72">
        <v>2378962.5699999998</v>
      </c>
      <c r="E60" s="72">
        <v>3441072.2299999995</v>
      </c>
      <c r="F60" s="72">
        <v>2602928.36</v>
      </c>
      <c r="G60" s="72">
        <v>6614409.1299999999</v>
      </c>
      <c r="I60" s="72">
        <v>1355946.2</v>
      </c>
      <c r="J60" s="72">
        <v>12027812</v>
      </c>
      <c r="K60" s="72">
        <v>277438.51</v>
      </c>
      <c r="M60" s="72">
        <v>44709</v>
      </c>
      <c r="N60" s="72">
        <v>1649206</v>
      </c>
      <c r="O60" s="72">
        <v>862383</v>
      </c>
      <c r="P60" s="72">
        <v>1364</v>
      </c>
      <c r="Q60" s="72">
        <v>2343435.7599999998</v>
      </c>
      <c r="R60" s="72">
        <v>36421.07</v>
      </c>
      <c r="S60" s="72">
        <v>609240</v>
      </c>
      <c r="T60" s="72">
        <v>1278</v>
      </c>
      <c r="U60" s="72">
        <v>1211727</v>
      </c>
      <c r="V60" s="72">
        <v>691899</v>
      </c>
      <c r="W60" s="72">
        <v>-214358.3</v>
      </c>
      <c r="X60" s="72">
        <v>2428320</v>
      </c>
      <c r="Y60" s="72">
        <v>9340</v>
      </c>
      <c r="Z60" s="72">
        <v>282642</v>
      </c>
      <c r="AB60" s="72">
        <v>5305976.1900000004</v>
      </c>
      <c r="AC60" s="72">
        <v>47528278.560000002</v>
      </c>
    </row>
    <row r="61" spans="1:29" x14ac:dyDescent="0.3">
      <c r="A61" s="1">
        <v>39173</v>
      </c>
      <c r="B61">
        <v>3004647.75</v>
      </c>
      <c r="C61" s="72">
        <v>1609279.5999999999</v>
      </c>
      <c r="D61" s="72">
        <v>2588412.1999999997</v>
      </c>
      <c r="E61" s="72">
        <v>2818471.46</v>
      </c>
      <c r="F61" s="72">
        <v>1239673.28</v>
      </c>
      <c r="G61" s="72">
        <v>6898128.6200000001</v>
      </c>
      <c r="H61" s="72">
        <v>16347</v>
      </c>
      <c r="J61" s="72">
        <v>9719681.9999999981</v>
      </c>
      <c r="K61" s="72">
        <v>219567.1</v>
      </c>
      <c r="M61" s="72">
        <v>-50651</v>
      </c>
      <c r="N61" s="72">
        <v>1612839</v>
      </c>
      <c r="O61" s="72">
        <v>642904</v>
      </c>
      <c r="P61" s="72">
        <v>1364</v>
      </c>
      <c r="Q61" s="72">
        <v>2815142.97</v>
      </c>
      <c r="R61" s="72">
        <v>36298.67</v>
      </c>
      <c r="S61" s="72">
        <v>569820</v>
      </c>
      <c r="T61" s="72">
        <v>1278</v>
      </c>
      <c r="U61" s="72">
        <v>1922320</v>
      </c>
      <c r="V61" s="72">
        <v>752446</v>
      </c>
      <c r="W61" s="72">
        <v>-4567.92</v>
      </c>
      <c r="X61" s="72">
        <v>1018680.7999999999</v>
      </c>
      <c r="Y61" s="72">
        <v>9340</v>
      </c>
      <c r="Z61" s="72">
        <v>60826</v>
      </c>
      <c r="AB61" s="72">
        <v>3160151.4</v>
      </c>
      <c r="AC61" s="72">
        <v>40662400.929999992</v>
      </c>
    </row>
    <row r="62" spans="1:29" x14ac:dyDescent="0.3">
      <c r="A62" s="1">
        <v>39203</v>
      </c>
      <c r="B62">
        <v>2752888.1899999995</v>
      </c>
      <c r="C62" s="72">
        <v>1417922.4</v>
      </c>
      <c r="D62" s="72">
        <v>2723626.4</v>
      </c>
      <c r="E62" s="72">
        <v>3384672.9299999997</v>
      </c>
      <c r="F62" s="72">
        <v>1246399.18</v>
      </c>
      <c r="G62" s="72">
        <v>5765055.96</v>
      </c>
      <c r="H62" s="72">
        <v>1000887</v>
      </c>
      <c r="J62" s="72">
        <v>8752368</v>
      </c>
      <c r="K62" s="72">
        <v>218184.26</v>
      </c>
      <c r="M62" s="72">
        <v>43441</v>
      </c>
      <c r="N62" s="72">
        <v>1092102</v>
      </c>
      <c r="O62" s="72">
        <v>792533</v>
      </c>
      <c r="P62" s="72">
        <v>1364</v>
      </c>
      <c r="Q62" s="72">
        <v>2670935.71</v>
      </c>
      <c r="R62" s="72">
        <v>31085.200000000001</v>
      </c>
      <c r="S62" s="72">
        <v>629080</v>
      </c>
      <c r="T62" s="72">
        <v>1278</v>
      </c>
      <c r="U62" s="72">
        <v>1511830</v>
      </c>
      <c r="V62" s="72">
        <v>795814</v>
      </c>
      <c r="W62" s="72">
        <v>6877.92</v>
      </c>
      <c r="X62" s="72">
        <v>2091759.7800000003</v>
      </c>
      <c r="Y62" s="72">
        <v>9340</v>
      </c>
      <c r="Z62" s="72">
        <v>52090</v>
      </c>
      <c r="AB62" s="72">
        <v>7167611.5499999998</v>
      </c>
      <c r="AC62" s="72">
        <v>44159146.480000004</v>
      </c>
    </row>
    <row r="63" spans="1:29" x14ac:dyDescent="0.3">
      <c r="A63" s="1">
        <v>39234</v>
      </c>
      <c r="B63">
        <v>2835539.49</v>
      </c>
      <c r="C63" s="72">
        <v>1306635.1000000001</v>
      </c>
      <c r="D63" s="72">
        <v>2518569</v>
      </c>
      <c r="E63" s="72">
        <v>3351200.0000000005</v>
      </c>
      <c r="F63" s="72">
        <v>1488549.92</v>
      </c>
      <c r="G63" s="72">
        <v>8236589.4500000002</v>
      </c>
      <c r="H63" s="72">
        <v>2731690.3000000003</v>
      </c>
      <c r="J63" s="72">
        <v>7860712</v>
      </c>
      <c r="K63" s="72">
        <v>217593.1</v>
      </c>
      <c r="M63" s="72">
        <v>32995</v>
      </c>
      <c r="N63" s="72">
        <v>984381</v>
      </c>
      <c r="O63" s="72">
        <v>391430</v>
      </c>
      <c r="P63" s="72">
        <v>1364</v>
      </c>
      <c r="Q63" s="72">
        <v>2966686.33</v>
      </c>
      <c r="R63" s="72">
        <v>27769.759999999998</v>
      </c>
      <c r="S63" s="72">
        <v>375730</v>
      </c>
      <c r="T63" s="72">
        <v>1278</v>
      </c>
      <c r="U63" s="72">
        <v>1715024</v>
      </c>
      <c r="V63" s="72">
        <v>780050</v>
      </c>
      <c r="W63" s="72">
        <v>7410.1200000000008</v>
      </c>
      <c r="X63" s="72">
        <v>3583577.04</v>
      </c>
      <c r="Y63" s="72">
        <v>9340</v>
      </c>
      <c r="Z63" s="72">
        <v>46534</v>
      </c>
      <c r="AB63" s="72">
        <v>6676079.4299999997</v>
      </c>
      <c r="AC63" s="72">
        <v>48146727.039999999</v>
      </c>
    </row>
    <row r="64" spans="1:29" x14ac:dyDescent="0.3">
      <c r="A64" s="1">
        <v>39264</v>
      </c>
      <c r="B64">
        <v>3026067.54</v>
      </c>
      <c r="C64" s="72">
        <v>1424457.9</v>
      </c>
      <c r="D64" s="72">
        <v>2612579.4</v>
      </c>
      <c r="E64" s="72">
        <v>3030964.1</v>
      </c>
      <c r="F64" s="72">
        <v>1427778.36</v>
      </c>
      <c r="G64" s="72">
        <v>6043355.2599999998</v>
      </c>
      <c r="J64" s="72">
        <v>9360810</v>
      </c>
      <c r="K64" s="72">
        <v>193778.79</v>
      </c>
      <c r="M64" s="72">
        <v>32995</v>
      </c>
      <c r="N64" s="72">
        <v>1162832</v>
      </c>
      <c r="O64" s="72">
        <v>699915</v>
      </c>
      <c r="P64" s="72">
        <v>1364</v>
      </c>
      <c r="Q64" s="72">
        <v>2890282.18</v>
      </c>
      <c r="R64" s="72">
        <v>24702.1</v>
      </c>
      <c r="S64" s="72">
        <v>480200</v>
      </c>
      <c r="T64" s="72">
        <v>1278</v>
      </c>
      <c r="U64" s="72">
        <v>1673159</v>
      </c>
      <c r="V64" s="72">
        <v>571164</v>
      </c>
      <c r="W64" s="72">
        <v>2951.94</v>
      </c>
      <c r="X64" s="72">
        <v>1505518.8</v>
      </c>
      <c r="Y64" s="72">
        <v>4640</v>
      </c>
      <c r="Z64" s="72">
        <v>20697</v>
      </c>
      <c r="AB64" s="72">
        <v>3944356.2</v>
      </c>
      <c r="AC64" s="72">
        <v>40135846.569999993</v>
      </c>
    </row>
    <row r="65" spans="1:29" x14ac:dyDescent="0.3">
      <c r="A65" s="1">
        <v>39295</v>
      </c>
      <c r="B65">
        <v>3404324.98</v>
      </c>
      <c r="C65" s="72">
        <v>1481509.8</v>
      </c>
      <c r="D65" s="72">
        <v>2593854.6</v>
      </c>
      <c r="E65" s="72">
        <v>4130431.1800000006</v>
      </c>
      <c r="F65" s="72">
        <v>1480023.38</v>
      </c>
      <c r="G65" s="72">
        <v>8074530.0700000003</v>
      </c>
      <c r="J65" s="72">
        <v>10347960</v>
      </c>
      <c r="K65" s="72">
        <v>233651.75</v>
      </c>
      <c r="M65" s="72">
        <v>33661</v>
      </c>
      <c r="N65" s="72">
        <v>1281213</v>
      </c>
      <c r="O65" s="72">
        <v>531685</v>
      </c>
      <c r="P65" s="72">
        <v>1364</v>
      </c>
      <c r="Q65" s="72">
        <v>2541206.7799999998</v>
      </c>
      <c r="R65" s="72">
        <v>26506.95</v>
      </c>
      <c r="S65" s="72">
        <v>445060</v>
      </c>
      <c r="T65" s="72">
        <v>1278</v>
      </c>
      <c r="U65" s="72">
        <v>1043671</v>
      </c>
      <c r="V65" s="72">
        <v>526172</v>
      </c>
      <c r="W65" s="72">
        <v>2954.88</v>
      </c>
      <c r="X65" s="72">
        <v>1055220</v>
      </c>
      <c r="Y65" s="72">
        <v>4700</v>
      </c>
      <c r="Z65" s="72">
        <v>22209</v>
      </c>
      <c r="AB65" s="72">
        <v>5851486.0299999993</v>
      </c>
      <c r="AC65" s="72">
        <v>45114673.400000013</v>
      </c>
    </row>
    <row r="66" spans="1:29" x14ac:dyDescent="0.3">
      <c r="A66" s="1">
        <v>39326</v>
      </c>
      <c r="B66">
        <v>2991292.3</v>
      </c>
      <c r="C66" s="72">
        <v>1613818.2</v>
      </c>
      <c r="D66" s="72">
        <v>2404185.7999999998</v>
      </c>
      <c r="E66" s="72">
        <v>3653715.1899999995</v>
      </c>
      <c r="F66" s="72">
        <v>1409887.48</v>
      </c>
      <c r="G66" s="72">
        <v>7580525.8899999997</v>
      </c>
      <c r="J66" s="72">
        <v>9924553</v>
      </c>
      <c r="K66" s="72">
        <v>177410.06</v>
      </c>
      <c r="M66" s="72">
        <v>33661</v>
      </c>
      <c r="N66" s="72">
        <v>1285105</v>
      </c>
      <c r="O66" s="72">
        <v>585328</v>
      </c>
      <c r="P66" s="72">
        <v>1364</v>
      </c>
      <c r="Q66" s="72">
        <v>3001298.79</v>
      </c>
      <c r="R66" s="72">
        <v>30370.5</v>
      </c>
      <c r="S66" s="72">
        <v>453400</v>
      </c>
      <c r="T66" s="72">
        <v>1278</v>
      </c>
      <c r="U66" s="72">
        <v>831286</v>
      </c>
      <c r="V66" s="72">
        <v>369440</v>
      </c>
      <c r="W66" s="72">
        <v>2653.6800000000003</v>
      </c>
      <c r="X66" s="72">
        <v>876902.42</v>
      </c>
      <c r="Y66" s="72">
        <v>4670</v>
      </c>
      <c r="Z66" s="72">
        <v>25446</v>
      </c>
      <c r="AB66" s="72">
        <v>4852722.71</v>
      </c>
      <c r="AC66" s="72">
        <v>42110314.020000003</v>
      </c>
    </row>
    <row r="67" spans="1:29" x14ac:dyDescent="0.3">
      <c r="A67" s="1">
        <v>39356</v>
      </c>
      <c r="B67">
        <v>2863586.9499999997</v>
      </c>
      <c r="C67" s="72">
        <v>1435950.5</v>
      </c>
      <c r="D67" s="72">
        <v>2279754.7999999998</v>
      </c>
      <c r="E67" s="72">
        <v>3756797.7299999995</v>
      </c>
      <c r="F67" s="72">
        <v>1580402.26</v>
      </c>
      <c r="G67" s="72">
        <v>7238506.5300000003</v>
      </c>
      <c r="H67" s="72">
        <v>44097.69</v>
      </c>
      <c r="J67" s="72">
        <v>8156732</v>
      </c>
      <c r="K67" s="72">
        <v>300983.02</v>
      </c>
      <c r="M67" s="72">
        <v>23266</v>
      </c>
      <c r="N67" s="72">
        <v>1134884</v>
      </c>
      <c r="O67" s="72">
        <v>596586</v>
      </c>
      <c r="P67" s="72">
        <v>1364</v>
      </c>
      <c r="Q67" s="72">
        <v>2763033.12</v>
      </c>
      <c r="R67" s="72">
        <v>32866.81</v>
      </c>
      <c r="S67" s="72">
        <v>547990</v>
      </c>
      <c r="T67" s="72">
        <v>1278</v>
      </c>
      <c r="U67" s="72">
        <v>843266</v>
      </c>
      <c r="V67" s="72">
        <v>427193</v>
      </c>
      <c r="W67" s="72">
        <v>3772.5</v>
      </c>
      <c r="X67" s="72">
        <v>1349326.7</v>
      </c>
      <c r="Y67" s="72">
        <v>4670</v>
      </c>
      <c r="Z67" s="72">
        <v>27537</v>
      </c>
      <c r="AB67" s="72">
        <v>3910770.57</v>
      </c>
      <c r="AC67" s="72">
        <v>39324615.18</v>
      </c>
    </row>
    <row r="68" spans="1:29" x14ac:dyDescent="0.3">
      <c r="A68" s="1">
        <v>39387</v>
      </c>
      <c r="B68">
        <v>3092644.59</v>
      </c>
      <c r="C68" s="72">
        <v>2088978.4000000001</v>
      </c>
      <c r="D68" s="72">
        <v>2693440.8</v>
      </c>
      <c r="E68" s="72">
        <v>4013490.3900000006</v>
      </c>
      <c r="F68" s="72">
        <v>1529619.42</v>
      </c>
      <c r="G68" s="72">
        <v>6977893.8499999996</v>
      </c>
      <c r="J68" s="72">
        <v>8412023</v>
      </c>
      <c r="K68" s="72">
        <v>286816.27</v>
      </c>
      <c r="M68" s="72">
        <v>42058</v>
      </c>
      <c r="N68" s="72">
        <v>1128249</v>
      </c>
      <c r="O68" s="72">
        <v>502556</v>
      </c>
      <c r="P68" s="72">
        <v>1364</v>
      </c>
      <c r="Q68" s="72">
        <v>2944003.5</v>
      </c>
      <c r="R68" s="72">
        <v>38803.769999999997</v>
      </c>
      <c r="S68" s="72">
        <v>472310</v>
      </c>
      <c r="T68" s="72">
        <v>1278</v>
      </c>
      <c r="U68" s="72">
        <v>938395</v>
      </c>
      <c r="V68" s="72">
        <v>474948</v>
      </c>
      <c r="W68" s="72">
        <v>3106.0200000000004</v>
      </c>
      <c r="X68" s="72">
        <v>1252077.93</v>
      </c>
      <c r="Y68" s="72">
        <v>4670</v>
      </c>
      <c r="Z68" s="72">
        <v>32512</v>
      </c>
      <c r="AB68" s="72">
        <v>4893368.25</v>
      </c>
      <c r="AC68" s="72">
        <v>41824606.190000005</v>
      </c>
    </row>
    <row r="69" spans="1:29" x14ac:dyDescent="0.3">
      <c r="A69" s="1">
        <v>39417</v>
      </c>
      <c r="B69">
        <v>2945525.73</v>
      </c>
      <c r="C69" s="72">
        <v>922176.20000000007</v>
      </c>
      <c r="D69" s="72">
        <v>2683831.6</v>
      </c>
      <c r="E69" s="72">
        <v>3870075.8099999996</v>
      </c>
      <c r="F69" s="72">
        <v>1148408.8799999999</v>
      </c>
      <c r="G69" s="72">
        <v>7425348.7999999998</v>
      </c>
      <c r="J69" s="72">
        <v>9128077</v>
      </c>
      <c r="K69" s="72">
        <v>333335.86</v>
      </c>
      <c r="M69" s="72">
        <v>32995</v>
      </c>
      <c r="N69" s="72">
        <v>1294098</v>
      </c>
      <c r="O69" s="72">
        <v>716551</v>
      </c>
      <c r="P69" s="72">
        <v>1364</v>
      </c>
      <c r="Q69" s="72">
        <v>2659529.4500000002</v>
      </c>
      <c r="R69" s="72">
        <v>41654.36</v>
      </c>
      <c r="S69" s="72">
        <v>556180</v>
      </c>
      <c r="T69" s="72">
        <v>1416.6</v>
      </c>
      <c r="U69" s="72">
        <v>940466</v>
      </c>
      <c r="V69" s="72">
        <v>432486</v>
      </c>
      <c r="W69" s="72">
        <v>3119.34</v>
      </c>
      <c r="X69" s="72">
        <v>1153800.5</v>
      </c>
      <c r="Y69" s="72">
        <v>4640</v>
      </c>
      <c r="Z69" s="72">
        <v>34900.080000000002</v>
      </c>
      <c r="AB69" s="72">
        <v>5971684.0800000001</v>
      </c>
      <c r="AC69" s="72">
        <v>42301664.289999999</v>
      </c>
    </row>
    <row r="70" spans="1:29" x14ac:dyDescent="0.3">
      <c r="A70" s="1">
        <v>39448</v>
      </c>
      <c r="B70">
        <v>3502285.65</v>
      </c>
      <c r="C70" s="72">
        <v>1756456.7</v>
      </c>
      <c r="D70" s="72">
        <v>2870554.6</v>
      </c>
      <c r="E70" s="72">
        <v>3558582.8699999996</v>
      </c>
      <c r="F70" s="72">
        <v>1046714.88</v>
      </c>
      <c r="G70" s="72">
        <v>5020743.43</v>
      </c>
      <c r="H70" s="72">
        <v>128234.75</v>
      </c>
      <c r="J70" s="72">
        <v>11639227</v>
      </c>
      <c r="K70" s="72">
        <v>336358.28</v>
      </c>
      <c r="M70" s="72">
        <v>54242</v>
      </c>
      <c r="N70" s="72">
        <v>1458677</v>
      </c>
      <c r="O70" s="72">
        <v>760382</v>
      </c>
      <c r="P70" s="72">
        <v>1364</v>
      </c>
      <c r="Q70" s="72">
        <v>2304635.31</v>
      </c>
      <c r="R70" s="72">
        <v>45377.67</v>
      </c>
      <c r="S70" s="72">
        <v>623140</v>
      </c>
      <c r="T70" s="72">
        <v>1278</v>
      </c>
      <c r="U70" s="72">
        <v>1240388</v>
      </c>
      <c r="V70" s="72">
        <v>508795</v>
      </c>
      <c r="W70" s="72">
        <v>3023.4</v>
      </c>
      <c r="X70" s="72">
        <v>873750.7</v>
      </c>
      <c r="Y70" s="72">
        <v>4700</v>
      </c>
      <c r="Z70" s="72">
        <v>38019.54</v>
      </c>
      <c r="AB70" s="72">
        <v>4181518.75</v>
      </c>
      <c r="AC70" s="72">
        <v>41958449.530000001</v>
      </c>
    </row>
    <row r="71" spans="1:29" x14ac:dyDescent="0.3">
      <c r="A71" s="1">
        <v>39479</v>
      </c>
      <c r="B71">
        <v>3087887.86</v>
      </c>
      <c r="C71" s="72">
        <v>1800940.9</v>
      </c>
      <c r="D71" s="72">
        <v>2665618.3200000003</v>
      </c>
      <c r="E71" s="72">
        <v>3319250.6399999997</v>
      </c>
      <c r="G71" s="72">
        <v>7659318.5499999998</v>
      </c>
      <c r="J71" s="72">
        <v>10710205.24</v>
      </c>
      <c r="K71" s="72">
        <v>264266.16000000003</v>
      </c>
      <c r="M71" s="72">
        <v>33722</v>
      </c>
      <c r="N71" s="72">
        <v>1742826</v>
      </c>
      <c r="O71" s="72">
        <v>880990</v>
      </c>
      <c r="P71" s="72">
        <v>1364</v>
      </c>
      <c r="Q71" s="72">
        <v>2709304.72</v>
      </c>
      <c r="R71" s="72">
        <v>43931.55</v>
      </c>
      <c r="S71" s="72">
        <v>587840</v>
      </c>
      <c r="T71" s="72">
        <v>1278</v>
      </c>
      <c r="U71" s="72">
        <v>1200951</v>
      </c>
      <c r="V71" s="72">
        <v>406153</v>
      </c>
      <c r="W71" s="72">
        <v>2919.9</v>
      </c>
      <c r="X71" s="72">
        <v>495125.58999999997</v>
      </c>
      <c r="Y71" s="72">
        <v>4670</v>
      </c>
      <c r="Z71" s="72">
        <v>36808.03</v>
      </c>
      <c r="AB71" s="72">
        <v>3009155.89</v>
      </c>
      <c r="AC71" s="72">
        <v>40664527.350000001</v>
      </c>
    </row>
    <row r="72" spans="1:29" x14ac:dyDescent="0.3">
      <c r="A72" s="1">
        <v>39508</v>
      </c>
      <c r="B72">
        <v>3347362.59</v>
      </c>
      <c r="C72" s="72">
        <v>1770399</v>
      </c>
      <c r="D72" s="72">
        <v>2859831.02</v>
      </c>
      <c r="E72" s="72">
        <v>3559433.7</v>
      </c>
      <c r="F72" s="72">
        <v>1005551.04</v>
      </c>
      <c r="G72" s="72">
        <v>7064397.1699999999</v>
      </c>
      <c r="H72" s="72">
        <v>3405600.9999999995</v>
      </c>
      <c r="J72" s="72">
        <v>11156676.719999999</v>
      </c>
      <c r="K72" s="72">
        <v>263047.14</v>
      </c>
      <c r="M72" s="72">
        <v>34160</v>
      </c>
      <c r="N72" s="72">
        <v>1578304</v>
      </c>
      <c r="O72" s="72">
        <v>785626</v>
      </c>
      <c r="P72" s="72">
        <v>1364</v>
      </c>
      <c r="Q72" s="72">
        <v>2559927.9500000002</v>
      </c>
      <c r="R72" s="72">
        <v>38006.620000000003</v>
      </c>
      <c r="S72" s="72">
        <v>503290</v>
      </c>
      <c r="T72" s="72">
        <v>1278</v>
      </c>
      <c r="U72" s="72">
        <v>1016903</v>
      </c>
      <c r="V72" s="72">
        <v>472332</v>
      </c>
      <c r="W72" s="72">
        <v>3170.1</v>
      </c>
      <c r="X72" s="72">
        <v>1314080.9300000002</v>
      </c>
      <c r="Y72" s="72">
        <v>4670</v>
      </c>
      <c r="Z72" s="72">
        <v>31843.78</v>
      </c>
      <c r="AB72" s="72">
        <v>5631571.8499999996</v>
      </c>
      <c r="AC72" s="72">
        <v>48408827.609999999</v>
      </c>
    </row>
    <row r="73" spans="1:29" x14ac:dyDescent="0.3">
      <c r="A73" s="1">
        <v>39539</v>
      </c>
      <c r="B73">
        <v>3076289.55</v>
      </c>
      <c r="C73" s="72">
        <v>1887019.5999999999</v>
      </c>
      <c r="D73" s="72">
        <v>2753551.06</v>
      </c>
      <c r="E73" s="72">
        <v>3949263.0300000003</v>
      </c>
      <c r="F73" s="72">
        <v>1968977.34</v>
      </c>
      <c r="G73" s="72">
        <v>7147593.46</v>
      </c>
      <c r="J73" s="72">
        <v>10318856</v>
      </c>
      <c r="K73" s="72">
        <v>280433.40000000002</v>
      </c>
      <c r="M73" s="72">
        <v>35353</v>
      </c>
      <c r="N73" s="72">
        <v>1329015</v>
      </c>
      <c r="O73" s="72">
        <v>776308</v>
      </c>
      <c r="P73" s="72">
        <v>1364</v>
      </c>
      <c r="Q73" s="72">
        <v>2388180.14</v>
      </c>
      <c r="R73" s="72">
        <v>36292.74</v>
      </c>
      <c r="S73" s="72">
        <v>512870</v>
      </c>
      <c r="T73" s="72">
        <v>1278</v>
      </c>
      <c r="U73" s="72">
        <v>962253</v>
      </c>
      <c r="V73" s="72">
        <v>549308</v>
      </c>
      <c r="W73" s="72">
        <v>3773.7</v>
      </c>
      <c r="X73" s="72">
        <v>1210288.6800000002</v>
      </c>
      <c r="Y73" s="72">
        <v>4670</v>
      </c>
      <c r="Z73" s="72">
        <v>30407.78</v>
      </c>
      <c r="AB73" s="72">
        <v>5016996.6099999994</v>
      </c>
      <c r="AC73" s="72">
        <v>44240342.090000004</v>
      </c>
    </row>
    <row r="74" spans="1:29" x14ac:dyDescent="0.3">
      <c r="A74" s="1">
        <v>39569</v>
      </c>
      <c r="B74">
        <v>2571125.29</v>
      </c>
      <c r="C74" s="72">
        <v>1506449.8</v>
      </c>
      <c r="D74" s="72">
        <v>2168390</v>
      </c>
      <c r="E74" s="72">
        <v>3767614.1600000006</v>
      </c>
      <c r="F74" s="72">
        <v>1101478.8</v>
      </c>
      <c r="G74" s="72">
        <v>6897964.54</v>
      </c>
      <c r="H74" s="72">
        <v>617988.79</v>
      </c>
      <c r="J74" s="72">
        <v>8039731.4000000004</v>
      </c>
      <c r="K74" s="72">
        <v>233091.47</v>
      </c>
      <c r="M74" s="72">
        <v>36635</v>
      </c>
      <c r="N74" s="72">
        <v>1200925</v>
      </c>
      <c r="O74" s="72">
        <v>789157</v>
      </c>
      <c r="P74" s="72">
        <v>1364</v>
      </c>
      <c r="Q74" s="72">
        <v>2480386.88</v>
      </c>
      <c r="R74" s="72">
        <v>32887.800000000003</v>
      </c>
      <c r="S74" s="72">
        <v>603310</v>
      </c>
      <c r="T74" s="72">
        <v>1152</v>
      </c>
      <c r="U74" s="72">
        <v>937688</v>
      </c>
      <c r="V74" s="72">
        <v>376537</v>
      </c>
      <c r="W74" s="72">
        <v>3299.1</v>
      </c>
      <c r="X74" s="72">
        <v>832109.52</v>
      </c>
      <c r="Y74" s="72">
        <v>4670</v>
      </c>
      <c r="Z74" s="72">
        <v>25724.94</v>
      </c>
      <c r="AB74" s="72">
        <v>4960242.08</v>
      </c>
      <c r="AC74" s="72">
        <v>39189922.57</v>
      </c>
    </row>
    <row r="75" spans="1:29" x14ac:dyDescent="0.3">
      <c r="A75" s="1">
        <v>39600</v>
      </c>
      <c r="B75">
        <v>2784746.03</v>
      </c>
      <c r="C75" s="72">
        <v>1179509.3999999999</v>
      </c>
      <c r="D75" s="72">
        <v>2416259.38</v>
      </c>
      <c r="E75" s="72">
        <v>3917558.1</v>
      </c>
      <c r="F75" s="72">
        <v>1167010.1000000001</v>
      </c>
      <c r="G75" s="72">
        <v>6769505.1500000004</v>
      </c>
      <c r="J75" s="72">
        <v>8268543.2000000002</v>
      </c>
      <c r="K75" s="72">
        <v>215562.06</v>
      </c>
      <c r="M75" s="72">
        <v>41525</v>
      </c>
      <c r="N75" s="72">
        <v>1196658</v>
      </c>
      <c r="O75" s="72">
        <v>530787</v>
      </c>
      <c r="P75" s="72">
        <v>1364</v>
      </c>
      <c r="Q75" s="72">
        <v>2508131.25</v>
      </c>
      <c r="R75" s="72">
        <v>30122.39</v>
      </c>
      <c r="S75" s="72">
        <v>426190</v>
      </c>
      <c r="T75" s="72">
        <v>1404</v>
      </c>
      <c r="U75" s="72">
        <v>780716</v>
      </c>
      <c r="V75" s="72">
        <v>377608</v>
      </c>
      <c r="W75" s="72">
        <v>3091.5</v>
      </c>
      <c r="X75" s="72">
        <v>870099.07</v>
      </c>
      <c r="Y75" s="72">
        <v>4670</v>
      </c>
      <c r="Z75" s="72">
        <v>23579.52</v>
      </c>
      <c r="AB75" s="72">
        <v>4407164.21</v>
      </c>
      <c r="AC75" s="72">
        <v>37921803.359999999</v>
      </c>
    </row>
    <row r="76" spans="1:29" x14ac:dyDescent="0.3">
      <c r="A76" s="1">
        <v>39630</v>
      </c>
      <c r="B76">
        <v>2836287.59</v>
      </c>
      <c r="C76" s="72">
        <v>881308.10000000009</v>
      </c>
      <c r="D76" s="72">
        <v>2244217.04</v>
      </c>
      <c r="E76" s="72">
        <v>3382531.0699999994</v>
      </c>
      <c r="F76" s="72">
        <v>1102334.3</v>
      </c>
      <c r="G76" s="72">
        <v>5160769.3899999997</v>
      </c>
      <c r="H76" s="72">
        <v>16846</v>
      </c>
      <c r="J76" s="72">
        <v>8896154</v>
      </c>
      <c r="K76" s="72">
        <v>183626.62</v>
      </c>
      <c r="M76" s="72">
        <v>39059</v>
      </c>
      <c r="N76" s="72">
        <v>1060503</v>
      </c>
      <c r="O76" s="72">
        <v>522174</v>
      </c>
      <c r="P76" s="72">
        <v>1364</v>
      </c>
      <c r="Q76" s="72">
        <v>2534589.5699999998</v>
      </c>
      <c r="R76" s="72">
        <v>26908.2</v>
      </c>
      <c r="S76" s="72">
        <v>701830</v>
      </c>
      <c r="T76" s="72">
        <v>1278</v>
      </c>
      <c r="U76" s="72">
        <v>880544</v>
      </c>
      <c r="V76" s="72">
        <v>439501</v>
      </c>
      <c r="W76" s="72">
        <v>3307.8</v>
      </c>
      <c r="X76" s="72">
        <v>956458.77</v>
      </c>
      <c r="Y76" s="72">
        <v>4670</v>
      </c>
      <c r="Z76" s="72">
        <v>21095.55</v>
      </c>
      <c r="AB76" s="72">
        <v>4046668.5700000003</v>
      </c>
      <c r="AC76" s="72">
        <v>35944025.570000008</v>
      </c>
    </row>
    <row r="77" spans="1:29" x14ac:dyDescent="0.3">
      <c r="A77" s="1">
        <v>39661</v>
      </c>
      <c r="B77">
        <v>3181291.27</v>
      </c>
      <c r="C77" s="72">
        <v>999418.5</v>
      </c>
      <c r="D77" s="72">
        <v>2272204.2199999997</v>
      </c>
      <c r="E77" s="72">
        <v>3591121.9</v>
      </c>
      <c r="F77" s="72">
        <v>1144074.3</v>
      </c>
      <c r="G77" s="72">
        <v>6850946.6100000003</v>
      </c>
      <c r="J77" s="72">
        <v>10282201</v>
      </c>
      <c r="K77" s="72">
        <v>203933.16999999998</v>
      </c>
      <c r="M77" s="72">
        <v>39059</v>
      </c>
      <c r="N77" s="72">
        <v>1182128</v>
      </c>
      <c r="O77" s="72">
        <v>640547</v>
      </c>
      <c r="P77" s="72">
        <v>1364</v>
      </c>
      <c r="Q77" s="72">
        <v>2452627.16</v>
      </c>
      <c r="R77" s="72">
        <v>28577.66</v>
      </c>
      <c r="S77" s="72">
        <v>339900</v>
      </c>
      <c r="T77" s="72">
        <v>1278</v>
      </c>
      <c r="U77" s="72">
        <v>922021</v>
      </c>
      <c r="V77" s="72">
        <v>438551</v>
      </c>
      <c r="W77" s="72">
        <v>3228.6</v>
      </c>
      <c r="X77" s="72">
        <v>914416</v>
      </c>
      <c r="Y77" s="72">
        <v>4670</v>
      </c>
      <c r="Z77" s="72">
        <v>22515.07</v>
      </c>
      <c r="AB77" s="72">
        <v>4423529.6499999994</v>
      </c>
      <c r="AC77" s="72">
        <v>39939603.110000007</v>
      </c>
    </row>
    <row r="78" spans="1:29" x14ac:dyDescent="0.3">
      <c r="A78" s="1">
        <v>39692</v>
      </c>
      <c r="B78">
        <v>2945381.9299999997</v>
      </c>
      <c r="C78" s="72">
        <v>866875.10000000009</v>
      </c>
      <c r="D78" s="72">
        <v>2449903.4699999997</v>
      </c>
      <c r="E78" s="72">
        <v>3869306.1100000003</v>
      </c>
      <c r="F78" s="72">
        <v>1159311.3999999999</v>
      </c>
      <c r="G78" s="72">
        <v>7103155.8099999996</v>
      </c>
      <c r="H78" s="72">
        <v>190043</v>
      </c>
      <c r="J78" s="72">
        <v>9861672</v>
      </c>
      <c r="K78" s="72">
        <v>245414.26</v>
      </c>
      <c r="M78" s="72">
        <v>42333</v>
      </c>
      <c r="N78" s="72">
        <v>1320031</v>
      </c>
      <c r="O78" s="72">
        <v>615965</v>
      </c>
      <c r="P78" s="72">
        <v>1364</v>
      </c>
      <c r="Q78" s="72">
        <v>2542082.87</v>
      </c>
      <c r="R78" s="72">
        <v>32439.64</v>
      </c>
      <c r="S78" s="72">
        <v>483500</v>
      </c>
      <c r="T78" s="72">
        <v>1215</v>
      </c>
      <c r="U78" s="72">
        <v>853878</v>
      </c>
      <c r="V78" s="72">
        <v>432694</v>
      </c>
      <c r="W78" s="72">
        <v>3192.8999999999996</v>
      </c>
      <c r="X78" s="72">
        <v>896945.96</v>
      </c>
      <c r="Y78" s="72">
        <v>4670</v>
      </c>
      <c r="Z78" s="72">
        <v>24958.05</v>
      </c>
      <c r="AB78" s="72">
        <v>4350527.62</v>
      </c>
      <c r="AC78" s="72">
        <v>40296860.119999997</v>
      </c>
    </row>
    <row r="79" spans="1:29" x14ac:dyDescent="0.3">
      <c r="A79" s="1">
        <v>39722</v>
      </c>
      <c r="B79">
        <v>2911877.59</v>
      </c>
      <c r="C79" s="72">
        <v>851311.2</v>
      </c>
      <c r="D79" s="72">
        <v>1856039.5999999999</v>
      </c>
      <c r="E79" s="72">
        <v>3540577.8</v>
      </c>
      <c r="F79" s="72">
        <v>1070651</v>
      </c>
      <c r="G79" s="72">
        <v>6579374.8200000003</v>
      </c>
      <c r="H79" s="72">
        <v>39563</v>
      </c>
      <c r="J79" s="72">
        <v>7762435</v>
      </c>
      <c r="K79" s="72">
        <v>259299.4</v>
      </c>
      <c r="M79" s="72">
        <v>41221</v>
      </c>
      <c r="N79" s="72">
        <v>1149144</v>
      </c>
      <c r="O79" s="72">
        <v>612725</v>
      </c>
      <c r="P79" s="72">
        <v>1364</v>
      </c>
      <c r="Q79" s="72">
        <v>2485463.29</v>
      </c>
      <c r="R79" s="72">
        <v>35130.300000000003</v>
      </c>
      <c r="S79" s="72">
        <v>546170</v>
      </c>
      <c r="T79" s="72">
        <v>1215</v>
      </c>
      <c r="U79" s="72">
        <v>877290</v>
      </c>
      <c r="V79" s="72">
        <v>338088</v>
      </c>
      <c r="W79" s="72">
        <v>2988</v>
      </c>
      <c r="X79" s="72">
        <v>727660</v>
      </c>
      <c r="Y79" s="72">
        <v>4670</v>
      </c>
      <c r="Z79" s="72">
        <v>28015.74</v>
      </c>
      <c r="AB79" s="72">
        <v>3865314.4</v>
      </c>
      <c r="AC79" s="72">
        <v>35587588.139999993</v>
      </c>
    </row>
    <row r="80" spans="1:29" x14ac:dyDescent="0.3">
      <c r="A80" s="1">
        <v>39753</v>
      </c>
      <c r="B80">
        <v>2668607.08</v>
      </c>
      <c r="C80" s="72">
        <v>914410.6</v>
      </c>
      <c r="D80" s="72">
        <v>2266291.92</v>
      </c>
      <c r="E80" s="72">
        <v>3843516.72</v>
      </c>
      <c r="F80" s="72">
        <v>1189916.8</v>
      </c>
      <c r="G80" s="72">
        <v>6357381.8700000001</v>
      </c>
      <c r="J80" s="72">
        <v>7939063</v>
      </c>
      <c r="K80" s="72">
        <v>297308.90000000002</v>
      </c>
      <c r="L80" s="72">
        <v>2003.4</v>
      </c>
      <c r="M80" s="72">
        <v>41221</v>
      </c>
      <c r="N80" s="72">
        <v>1215803</v>
      </c>
      <c r="O80" s="72">
        <v>632181</v>
      </c>
      <c r="P80" s="72">
        <v>1364</v>
      </c>
      <c r="Q80" s="72">
        <v>2484164.91</v>
      </c>
      <c r="R80" s="72">
        <v>40935.5</v>
      </c>
      <c r="S80" s="72">
        <v>555450</v>
      </c>
      <c r="T80" s="72">
        <v>1215</v>
      </c>
      <c r="U80" s="72">
        <v>863618</v>
      </c>
      <c r="V80" s="72">
        <v>434114</v>
      </c>
      <c r="W80" s="72">
        <v>3760.8</v>
      </c>
      <c r="X80" s="72">
        <v>830437.27</v>
      </c>
      <c r="Y80" s="72">
        <v>4670</v>
      </c>
      <c r="Z80" s="72">
        <v>32388.22</v>
      </c>
      <c r="AA80" s="72">
        <v>268901.09999999998</v>
      </c>
      <c r="AB80" s="72">
        <v>3865708.2</v>
      </c>
      <c r="AC80" s="72">
        <v>36754432.289999999</v>
      </c>
    </row>
    <row r="81" spans="1:29" x14ac:dyDescent="0.3">
      <c r="A81" s="1">
        <v>39783</v>
      </c>
      <c r="B81">
        <v>2779992.6999999997</v>
      </c>
      <c r="C81" s="72">
        <v>1488516.8</v>
      </c>
      <c r="D81" s="72">
        <v>2484701.6</v>
      </c>
      <c r="E81" s="72">
        <v>3024187.63</v>
      </c>
      <c r="F81" s="72">
        <v>1010628.8</v>
      </c>
      <c r="G81" s="72">
        <v>6845092.6399999997</v>
      </c>
      <c r="J81" s="72">
        <v>8976876</v>
      </c>
      <c r="K81" s="72">
        <v>298697.20999999996</v>
      </c>
      <c r="L81" s="72">
        <v>189</v>
      </c>
      <c r="M81" s="72">
        <v>41221</v>
      </c>
      <c r="N81" s="72">
        <v>1151717</v>
      </c>
      <c r="O81" s="72">
        <v>612450</v>
      </c>
      <c r="P81" s="72">
        <v>1364</v>
      </c>
      <c r="Q81" s="72">
        <v>2227087.4300000002</v>
      </c>
      <c r="R81" s="72">
        <v>43352.1</v>
      </c>
      <c r="S81" s="72">
        <v>491120</v>
      </c>
      <c r="T81" s="72">
        <v>1215</v>
      </c>
      <c r="U81" s="72">
        <v>940794</v>
      </c>
      <c r="V81" s="72">
        <v>445479</v>
      </c>
      <c r="W81" s="72">
        <v>3068.1000000000004</v>
      </c>
      <c r="X81" s="72">
        <v>642800</v>
      </c>
      <c r="Z81" s="72">
        <v>34899.82</v>
      </c>
      <c r="AA81" s="72">
        <v>547168.23</v>
      </c>
      <c r="AB81" s="72">
        <v>3333604.7199999997</v>
      </c>
      <c r="AC81" s="72">
        <v>37426222.780000001</v>
      </c>
    </row>
    <row r="82" spans="1:29" x14ac:dyDescent="0.3">
      <c r="A82" s="1">
        <v>39814</v>
      </c>
      <c r="B82">
        <v>3209330.1</v>
      </c>
      <c r="C82" s="72">
        <v>1749111.0999999999</v>
      </c>
      <c r="D82" s="72">
        <v>2460994.16</v>
      </c>
      <c r="E82" s="72">
        <v>3175319.08</v>
      </c>
      <c r="F82" s="72">
        <v>978151.2</v>
      </c>
      <c r="G82" s="72">
        <v>5773380.5999999996</v>
      </c>
      <c r="H82" s="72">
        <v>86192</v>
      </c>
      <c r="I82" s="72">
        <v>-84220</v>
      </c>
      <c r="J82" s="72">
        <v>12071050</v>
      </c>
      <c r="K82" s="72">
        <v>106018.14000000001</v>
      </c>
      <c r="L82" s="72">
        <v>189</v>
      </c>
      <c r="M82" s="72">
        <v>41221</v>
      </c>
      <c r="N82" s="72">
        <v>1384096</v>
      </c>
      <c r="O82" s="72">
        <v>758503</v>
      </c>
      <c r="P82" s="72">
        <v>1364</v>
      </c>
      <c r="Q82" s="72">
        <v>1911379.79</v>
      </c>
      <c r="R82" s="72">
        <v>47114.42</v>
      </c>
      <c r="S82" s="72">
        <v>509845</v>
      </c>
      <c r="T82" s="72">
        <v>1215</v>
      </c>
      <c r="U82" s="72">
        <v>1262351</v>
      </c>
      <c r="V82" s="72">
        <v>533296</v>
      </c>
      <c r="W82" s="72">
        <v>3134.1</v>
      </c>
      <c r="X82" s="72">
        <v>858520</v>
      </c>
      <c r="Y82" s="72">
        <v>9340</v>
      </c>
      <c r="Z82" s="72">
        <v>37732.33</v>
      </c>
      <c r="AA82" s="72">
        <v>261521.19</v>
      </c>
      <c r="AB82" s="72">
        <v>1952949.7000000002</v>
      </c>
      <c r="AC82" s="72">
        <v>39099097.910000004</v>
      </c>
    </row>
    <row r="83" spans="1:29" x14ac:dyDescent="0.3">
      <c r="A83" s="1">
        <v>39845</v>
      </c>
      <c r="B83">
        <v>3676883.0799999996</v>
      </c>
      <c r="C83" s="72">
        <v>1853565.9</v>
      </c>
      <c r="D83" s="72">
        <v>2721626.8</v>
      </c>
      <c r="E83" s="72">
        <v>3657111.6699999995</v>
      </c>
      <c r="F83" s="72">
        <v>-3178696.8000000003</v>
      </c>
      <c r="G83" s="72">
        <v>4340520.47</v>
      </c>
      <c r="H83" s="72">
        <v>6998315</v>
      </c>
      <c r="J83" s="72">
        <v>12161272</v>
      </c>
      <c r="K83" s="72">
        <v>319945.16000000003</v>
      </c>
      <c r="L83" s="72">
        <v>189</v>
      </c>
      <c r="M83" s="72">
        <v>62590</v>
      </c>
      <c r="N83" s="72">
        <v>1683122</v>
      </c>
      <c r="O83" s="72">
        <v>1023670</v>
      </c>
      <c r="P83" s="72">
        <v>1364</v>
      </c>
      <c r="Q83" s="72">
        <v>2076618.82</v>
      </c>
      <c r="R83" s="72">
        <v>46341.9</v>
      </c>
      <c r="S83" s="72">
        <v>626025</v>
      </c>
      <c r="T83" s="72">
        <v>1215</v>
      </c>
      <c r="U83" s="72">
        <v>1075867</v>
      </c>
      <c r="V83" s="72">
        <v>538346</v>
      </c>
      <c r="W83" s="72">
        <v>3210.9</v>
      </c>
      <c r="X83" s="72">
        <v>701320</v>
      </c>
      <c r="Y83" s="72">
        <v>3205</v>
      </c>
      <c r="Z83" s="72">
        <v>36365.279999999999</v>
      </c>
      <c r="AA83" s="72">
        <v>269153.09999999998</v>
      </c>
      <c r="AB83" s="72">
        <v>2828938.64</v>
      </c>
      <c r="AC83" s="72">
        <v>43528084.920000002</v>
      </c>
    </row>
    <row r="84" spans="1:29" x14ac:dyDescent="0.3">
      <c r="A84" s="1">
        <v>39873</v>
      </c>
      <c r="B84">
        <v>3161411.7800000003</v>
      </c>
      <c r="C84" s="72">
        <v>1539591.0999999996</v>
      </c>
      <c r="D84" s="72">
        <v>2374701.15</v>
      </c>
      <c r="E84" s="72">
        <v>3680290.35</v>
      </c>
      <c r="F84" s="72">
        <v>5022536.5999999996</v>
      </c>
      <c r="G84" s="72">
        <v>7401739.6100000003</v>
      </c>
      <c r="J84" s="72">
        <v>10875794</v>
      </c>
      <c r="K84" s="72">
        <v>282328.08999999997</v>
      </c>
      <c r="L84" s="72">
        <v>189</v>
      </c>
      <c r="M84" s="72">
        <v>41221</v>
      </c>
      <c r="N84" s="72">
        <v>1636930</v>
      </c>
      <c r="O84" s="72">
        <v>777469</v>
      </c>
      <c r="P84" s="72">
        <v>1364</v>
      </c>
      <c r="Q84" s="72">
        <v>1951498.89</v>
      </c>
      <c r="R84" s="72">
        <v>38369.24</v>
      </c>
      <c r="S84" s="72">
        <v>539490</v>
      </c>
      <c r="T84" s="72">
        <v>1215</v>
      </c>
      <c r="U84" s="72">
        <v>1287519</v>
      </c>
      <c r="V84" s="72">
        <v>462093</v>
      </c>
      <c r="W84" s="72">
        <v>3040.2</v>
      </c>
      <c r="X84" s="72">
        <v>701040</v>
      </c>
      <c r="Y84" s="72">
        <v>6135</v>
      </c>
      <c r="Z84" s="72">
        <v>30526.69</v>
      </c>
      <c r="AA84" s="72">
        <v>215408.25</v>
      </c>
      <c r="AB84" s="72">
        <v>3803809.83</v>
      </c>
      <c r="AC84" s="72">
        <v>45835710.780000009</v>
      </c>
    </row>
    <row r="85" spans="1:29" x14ac:dyDescent="0.3">
      <c r="A85" s="1">
        <v>39904</v>
      </c>
      <c r="B85">
        <v>2817677.88</v>
      </c>
      <c r="C85" s="72">
        <v>1569951</v>
      </c>
      <c r="D85" s="72">
        <v>2248906.11</v>
      </c>
      <c r="E85" s="72">
        <v>4088354.33</v>
      </c>
      <c r="F85" s="72">
        <v>892935.6</v>
      </c>
      <c r="G85" s="72">
        <v>6817917.0300000003</v>
      </c>
      <c r="H85" s="72">
        <v>1317129</v>
      </c>
      <c r="J85" s="72">
        <v>9322732</v>
      </c>
      <c r="K85" s="72">
        <v>433660.23</v>
      </c>
      <c r="L85" s="72">
        <v>189</v>
      </c>
      <c r="M85" s="72">
        <v>41221</v>
      </c>
      <c r="N85" s="72">
        <v>1358848</v>
      </c>
      <c r="O85" s="72">
        <v>802736</v>
      </c>
      <c r="P85" s="72">
        <v>1364</v>
      </c>
      <c r="Q85" s="72">
        <v>2195871.96</v>
      </c>
      <c r="R85" s="72">
        <v>38618.559999999998</v>
      </c>
      <c r="S85" s="72">
        <v>568960</v>
      </c>
      <c r="T85" s="72">
        <v>-6303</v>
      </c>
      <c r="U85" s="72">
        <v>1079806</v>
      </c>
      <c r="V85" s="72">
        <v>561613</v>
      </c>
      <c r="W85" s="72">
        <v>3776.4</v>
      </c>
      <c r="X85" s="72">
        <v>822160</v>
      </c>
      <c r="Y85" s="72">
        <v>3205</v>
      </c>
      <c r="Z85" s="72">
        <v>30394.880000000001</v>
      </c>
      <c r="AA85" s="72">
        <v>237583.8</v>
      </c>
      <c r="AB85" s="72">
        <v>4307126.42</v>
      </c>
      <c r="AC85" s="72">
        <v>41556434.200000003</v>
      </c>
    </row>
    <row r="86" spans="1:29" x14ac:dyDescent="0.3">
      <c r="A86" s="1">
        <v>39934</v>
      </c>
      <c r="B86">
        <v>2836984.5700000003</v>
      </c>
      <c r="C86" s="72">
        <v>1325732.8999999999</v>
      </c>
      <c r="D86" s="72">
        <v>2272152.61</v>
      </c>
      <c r="E86" s="72">
        <v>3420808.92</v>
      </c>
      <c r="F86" s="72">
        <v>1025500.3</v>
      </c>
      <c r="G86" s="72">
        <v>7557916.0099999998</v>
      </c>
      <c r="J86" s="72">
        <v>9195173</v>
      </c>
      <c r="K86" s="72">
        <v>228304.68</v>
      </c>
      <c r="L86" s="72">
        <v>189</v>
      </c>
      <c r="M86" s="72">
        <v>41221</v>
      </c>
      <c r="N86" s="72">
        <v>1303827</v>
      </c>
      <c r="O86" s="72">
        <v>709359</v>
      </c>
      <c r="P86" s="72">
        <v>1364</v>
      </c>
      <c r="Q86" s="72">
        <v>2101665.13</v>
      </c>
      <c r="R86" s="72">
        <v>32887.800000000003</v>
      </c>
      <c r="S86" s="72">
        <v>559800</v>
      </c>
      <c r="T86" s="72">
        <v>1485</v>
      </c>
      <c r="U86" s="72">
        <v>797306</v>
      </c>
      <c r="V86" s="72">
        <v>343763</v>
      </c>
      <c r="W86" s="72">
        <v>3132.3</v>
      </c>
      <c r="X86" s="72">
        <v>574140</v>
      </c>
      <c r="Y86" s="72">
        <v>4670</v>
      </c>
      <c r="Z86" s="72">
        <v>25963.74</v>
      </c>
      <c r="AA86" s="72">
        <v>215266.95</v>
      </c>
      <c r="AB86" s="72">
        <v>3394202.33</v>
      </c>
      <c r="AC86" s="72">
        <v>37972815.240000002</v>
      </c>
    </row>
    <row r="87" spans="1:29" x14ac:dyDescent="0.3">
      <c r="A87" s="1">
        <v>39965</v>
      </c>
      <c r="B87">
        <v>2508177.84</v>
      </c>
      <c r="C87" s="72">
        <v>1225176.2</v>
      </c>
      <c r="D87" s="72">
        <v>1965250.85</v>
      </c>
      <c r="E87" s="72">
        <v>3618853.3800000008</v>
      </c>
      <c r="F87" s="72">
        <v>1093788.1000000001</v>
      </c>
      <c r="G87" s="72">
        <v>8326649.0599999996</v>
      </c>
      <c r="J87" s="72">
        <v>7199957.7999999998</v>
      </c>
      <c r="K87" s="72">
        <v>218446.68</v>
      </c>
      <c r="L87" s="72">
        <v>189</v>
      </c>
      <c r="M87" s="72">
        <v>41221</v>
      </c>
      <c r="N87" s="72">
        <v>1105215</v>
      </c>
      <c r="O87" s="72">
        <v>443238</v>
      </c>
      <c r="P87" s="72">
        <v>1364</v>
      </c>
      <c r="Q87" s="72">
        <v>1919424.11</v>
      </c>
      <c r="R87" s="72">
        <v>30122.39</v>
      </c>
      <c r="S87" s="72">
        <v>404260</v>
      </c>
      <c r="T87" s="72">
        <v>1485</v>
      </c>
      <c r="U87" s="72">
        <v>733741</v>
      </c>
      <c r="V87" s="72">
        <v>364835</v>
      </c>
      <c r="W87" s="72">
        <v>2319.3000000000002</v>
      </c>
      <c r="X87" s="72">
        <v>646020</v>
      </c>
      <c r="Y87" s="72">
        <v>4670</v>
      </c>
      <c r="Z87" s="72">
        <v>23219.72</v>
      </c>
      <c r="AA87" s="72">
        <v>203091.75</v>
      </c>
      <c r="AB87" s="72">
        <v>3733964.5</v>
      </c>
      <c r="AC87" s="72">
        <v>35814679.68</v>
      </c>
    </row>
    <row r="88" spans="1:29" x14ac:dyDescent="0.3">
      <c r="A88" s="1">
        <v>39995</v>
      </c>
      <c r="B88">
        <v>2677274.5</v>
      </c>
      <c r="C88" s="72">
        <v>1229186.1000000001</v>
      </c>
      <c r="D88" s="72">
        <v>1930175.6400000001</v>
      </c>
      <c r="E88" s="72">
        <v>3118263.2700000005</v>
      </c>
      <c r="F88" s="72">
        <v>1131782.3</v>
      </c>
      <c r="G88" s="72">
        <v>7696425.7199999997</v>
      </c>
      <c r="J88" s="72">
        <v>8019435.2000000002</v>
      </c>
      <c r="K88" s="72">
        <v>199155.15</v>
      </c>
      <c r="L88" s="72">
        <v>189</v>
      </c>
      <c r="M88" s="72">
        <v>41221</v>
      </c>
      <c r="N88" s="72">
        <v>962322</v>
      </c>
      <c r="O88" s="72">
        <v>499324</v>
      </c>
      <c r="P88" s="72">
        <v>1364</v>
      </c>
      <c r="Q88" s="72">
        <v>1924011.11</v>
      </c>
      <c r="R88" s="72">
        <v>26908.2</v>
      </c>
      <c r="S88" s="72">
        <v>398050</v>
      </c>
      <c r="T88" s="72">
        <v>1377</v>
      </c>
      <c r="U88" s="72">
        <v>971068</v>
      </c>
      <c r="V88" s="72">
        <v>457714</v>
      </c>
      <c r="W88" s="72">
        <v>3343.7999999999997</v>
      </c>
      <c r="X88" s="72">
        <v>676860</v>
      </c>
      <c r="Y88" s="72">
        <v>4670</v>
      </c>
      <c r="Z88" s="72">
        <v>21112.38</v>
      </c>
      <c r="AA88" s="72">
        <v>209724.75</v>
      </c>
      <c r="AB88" s="72">
        <v>2601973.42</v>
      </c>
      <c r="AC88" s="72">
        <v>34802930.539999999</v>
      </c>
    </row>
    <row r="89" spans="1:29" x14ac:dyDescent="0.3">
      <c r="A89" s="1">
        <v>40026</v>
      </c>
      <c r="B89">
        <v>2854286.11</v>
      </c>
      <c r="C89" s="72">
        <v>1287926.1000000001</v>
      </c>
      <c r="D89" s="72">
        <v>1960394.85</v>
      </c>
      <c r="E89" s="72">
        <v>3826577.58</v>
      </c>
      <c r="F89" s="72">
        <v>1019565.9</v>
      </c>
      <c r="G89" s="72">
        <v>8558274.1999999993</v>
      </c>
      <c r="J89" s="72">
        <v>9040975</v>
      </c>
      <c r="K89" s="72">
        <v>113979.37000000001</v>
      </c>
      <c r="L89" s="72">
        <v>189</v>
      </c>
      <c r="M89" s="72">
        <v>41221</v>
      </c>
      <c r="N89" s="72">
        <v>1320135</v>
      </c>
      <c r="O89" s="72">
        <v>724273</v>
      </c>
      <c r="P89" s="72">
        <v>1364</v>
      </c>
      <c r="Q89" s="72">
        <v>2216121.2400000002</v>
      </c>
      <c r="R89" s="72">
        <v>28577.66</v>
      </c>
      <c r="S89" s="72">
        <v>639360</v>
      </c>
      <c r="T89" s="72">
        <v>1485</v>
      </c>
      <c r="U89" s="72">
        <v>735388</v>
      </c>
      <c r="V89" s="72">
        <v>366439</v>
      </c>
      <c r="W89" s="72">
        <v>2831.1</v>
      </c>
      <c r="X89" s="72">
        <v>487980</v>
      </c>
      <c r="Y89" s="72">
        <v>4670</v>
      </c>
      <c r="Z89" s="72">
        <v>22272.62</v>
      </c>
      <c r="AA89" s="72">
        <v>208231.2</v>
      </c>
      <c r="AB89" s="72">
        <v>4671565.38</v>
      </c>
      <c r="AC89" s="72">
        <v>40134082.31000001</v>
      </c>
    </row>
    <row r="90" spans="1:29" x14ac:dyDescent="0.3">
      <c r="A90" s="1">
        <v>40057</v>
      </c>
      <c r="B90">
        <v>2712068.95</v>
      </c>
      <c r="C90" s="72">
        <v>1345225.4</v>
      </c>
      <c r="D90" s="72">
        <v>1933714.48</v>
      </c>
      <c r="E90" s="72">
        <v>2773594.68</v>
      </c>
      <c r="F90" s="72">
        <v>1109766.6000000001</v>
      </c>
      <c r="G90" s="72">
        <v>9131741.2300000004</v>
      </c>
      <c r="J90" s="72">
        <v>9415683</v>
      </c>
      <c r="K90" s="72">
        <v>163266.34</v>
      </c>
      <c r="L90" s="72">
        <v>189</v>
      </c>
      <c r="M90" s="72">
        <v>41221</v>
      </c>
      <c r="N90" s="72">
        <v>1339331</v>
      </c>
      <c r="O90" s="72">
        <v>682936</v>
      </c>
      <c r="P90" s="72">
        <v>1364</v>
      </c>
      <c r="Q90" s="72">
        <v>2348389.2200000002</v>
      </c>
      <c r="R90" s="72">
        <v>32439.64</v>
      </c>
      <c r="S90" s="72">
        <v>608690</v>
      </c>
      <c r="T90" s="72">
        <v>1593</v>
      </c>
      <c r="U90" s="72">
        <v>936658</v>
      </c>
      <c r="V90" s="72">
        <v>511348</v>
      </c>
      <c r="W90" s="72">
        <v>3525</v>
      </c>
      <c r="X90" s="72">
        <v>853520</v>
      </c>
      <c r="Y90" s="72">
        <v>4670</v>
      </c>
      <c r="Z90" s="72">
        <v>25213.63</v>
      </c>
      <c r="AA90" s="72">
        <v>240232.5</v>
      </c>
      <c r="AB90" s="72">
        <v>2330685.2000000002</v>
      </c>
      <c r="AC90" s="72">
        <v>38547065.870000005</v>
      </c>
    </row>
    <row r="91" spans="1:29" x14ac:dyDescent="0.3">
      <c r="A91" s="1">
        <v>40087</v>
      </c>
      <c r="B91">
        <v>2668037.5300000003</v>
      </c>
      <c r="C91" s="72">
        <v>1288906.5</v>
      </c>
      <c r="D91" s="72">
        <v>2080817.27</v>
      </c>
      <c r="E91" s="72">
        <v>3960581.3799999994</v>
      </c>
      <c r="F91" s="72">
        <v>1107368.2</v>
      </c>
      <c r="G91" s="72">
        <v>8946185.5299999993</v>
      </c>
      <c r="J91" s="72">
        <v>8460687</v>
      </c>
      <c r="K91" s="72">
        <v>148852.5</v>
      </c>
      <c r="L91" s="72">
        <v>189</v>
      </c>
      <c r="M91" s="72">
        <v>41221</v>
      </c>
      <c r="N91" s="72">
        <v>1234971</v>
      </c>
      <c r="O91" s="72">
        <v>526790</v>
      </c>
      <c r="P91" s="72">
        <v>1364</v>
      </c>
      <c r="Q91" s="72">
        <v>2387114.85</v>
      </c>
      <c r="R91" s="72">
        <v>35130.300000000003</v>
      </c>
      <c r="S91" s="72">
        <v>337980</v>
      </c>
      <c r="T91" s="72">
        <v>1485</v>
      </c>
      <c r="U91" s="72">
        <v>703287</v>
      </c>
      <c r="V91" s="72">
        <v>294460</v>
      </c>
      <c r="W91" s="72">
        <v>2560.8000000000002</v>
      </c>
      <c r="X91" s="72">
        <v>516040</v>
      </c>
      <c r="Y91" s="72">
        <v>3205</v>
      </c>
      <c r="Z91" s="72">
        <v>27692.51</v>
      </c>
      <c r="AA91" s="72">
        <v>227064.15</v>
      </c>
      <c r="AB91" s="72">
        <v>3392541.27</v>
      </c>
      <c r="AC91" s="72">
        <v>38394531.789999999</v>
      </c>
    </row>
    <row r="92" spans="1:29" x14ac:dyDescent="0.3">
      <c r="A92" s="1">
        <v>40118</v>
      </c>
      <c r="B92">
        <v>2665825.4000000004</v>
      </c>
      <c r="C92" s="72">
        <v>1367776.7</v>
      </c>
      <c r="D92" s="72">
        <v>2133009.85</v>
      </c>
      <c r="E92" s="72">
        <v>4561588.7799999993</v>
      </c>
      <c r="F92" s="72">
        <v>1042308.1</v>
      </c>
      <c r="G92" s="72">
        <v>8777689.7799999993</v>
      </c>
      <c r="J92" s="72">
        <v>8892570</v>
      </c>
      <c r="K92" s="72">
        <v>225500.34</v>
      </c>
      <c r="L92" s="72">
        <v>189</v>
      </c>
      <c r="M92" s="72">
        <v>41221</v>
      </c>
      <c r="N92" s="72">
        <v>914237</v>
      </c>
      <c r="O92" s="72">
        <v>462847</v>
      </c>
      <c r="P92" s="72">
        <v>1364</v>
      </c>
      <c r="Q92" s="72">
        <v>2267463.13</v>
      </c>
      <c r="R92" s="72">
        <v>40935.5</v>
      </c>
      <c r="S92" s="72">
        <v>417770</v>
      </c>
      <c r="T92" s="72">
        <v>405</v>
      </c>
      <c r="U92" s="72">
        <v>821304</v>
      </c>
      <c r="V92" s="72">
        <v>317357</v>
      </c>
      <c r="W92" s="72">
        <v>2977.2</v>
      </c>
      <c r="X92" s="72">
        <v>690560</v>
      </c>
      <c r="Y92" s="72">
        <v>6135</v>
      </c>
      <c r="Z92" s="72">
        <v>32952.51</v>
      </c>
      <c r="AA92" s="72">
        <v>269969.40000000002</v>
      </c>
      <c r="AB92" s="72">
        <v>3977846.0100000002</v>
      </c>
      <c r="AC92" s="72">
        <v>39931801.699999996</v>
      </c>
    </row>
    <row r="93" spans="1:29" x14ac:dyDescent="0.3">
      <c r="A93" s="1">
        <v>40148</v>
      </c>
      <c r="B93">
        <v>2753809.12</v>
      </c>
      <c r="C93" s="72">
        <v>2041943.1</v>
      </c>
      <c r="D93" s="72">
        <v>2677587.12</v>
      </c>
      <c r="E93" s="72">
        <v>3717790.1399999997</v>
      </c>
      <c r="F93" s="72">
        <v>1088283.3999999999</v>
      </c>
      <c r="G93" s="72">
        <v>9501660.2100000009</v>
      </c>
      <c r="J93" s="72">
        <v>8882047</v>
      </c>
      <c r="K93" s="72">
        <v>177880.13999999998</v>
      </c>
      <c r="L93" s="72">
        <v>189</v>
      </c>
      <c r="M93" s="72">
        <v>41221</v>
      </c>
      <c r="N93" s="72">
        <v>1000518</v>
      </c>
      <c r="O93" s="72">
        <v>649302</v>
      </c>
      <c r="P93" s="72">
        <v>1364</v>
      </c>
      <c r="Q93" s="72">
        <v>2201869.62</v>
      </c>
      <c r="R93" s="72">
        <v>43352.1</v>
      </c>
      <c r="S93" s="72">
        <v>501520</v>
      </c>
      <c r="T93" s="72">
        <v>405</v>
      </c>
      <c r="U93" s="72">
        <v>987938</v>
      </c>
      <c r="V93" s="72">
        <v>445577</v>
      </c>
      <c r="W93" s="72">
        <v>2957.4</v>
      </c>
      <c r="X93" s="72">
        <v>692380</v>
      </c>
      <c r="Y93" s="72">
        <v>4670</v>
      </c>
      <c r="Z93" s="72">
        <v>34637.910000000003</v>
      </c>
      <c r="AA93" s="72">
        <v>566338.5</v>
      </c>
      <c r="AB93" s="72">
        <v>2984770.01</v>
      </c>
      <c r="AC93" s="72">
        <v>41000009.769999996</v>
      </c>
    </row>
    <row r="94" spans="1:29" x14ac:dyDescent="0.3">
      <c r="A94" s="1">
        <v>40179</v>
      </c>
      <c r="B94">
        <v>3217251.74</v>
      </c>
      <c r="C94" s="72">
        <v>1206100</v>
      </c>
      <c r="D94" s="72">
        <v>2679016.7599999998</v>
      </c>
      <c r="E94" s="72">
        <v>3543161.07</v>
      </c>
      <c r="F94" s="72">
        <v>957237.6</v>
      </c>
      <c r="G94" s="72">
        <v>8652223.2899999991</v>
      </c>
      <c r="H94" s="72">
        <v>3445733</v>
      </c>
      <c r="J94" s="72">
        <v>11046547.199999999</v>
      </c>
      <c r="K94" s="72">
        <v>189436.38</v>
      </c>
      <c r="L94" s="72">
        <v>189</v>
      </c>
      <c r="M94" s="72">
        <v>59623</v>
      </c>
      <c r="N94" s="72">
        <v>1462236</v>
      </c>
      <c r="O94" s="72">
        <v>699559</v>
      </c>
      <c r="P94" s="72">
        <v>1364</v>
      </c>
      <c r="Q94" s="72">
        <v>2097038.24</v>
      </c>
      <c r="R94" s="72">
        <v>47114.42</v>
      </c>
      <c r="S94" s="72">
        <v>741230</v>
      </c>
      <c r="T94" s="72">
        <v>1431</v>
      </c>
      <c r="U94" s="72">
        <v>1321448</v>
      </c>
      <c r="V94" s="72">
        <v>515696</v>
      </c>
      <c r="W94" s="72">
        <v>2994.3</v>
      </c>
      <c r="X94" s="72">
        <v>809940</v>
      </c>
      <c r="Y94" s="72">
        <v>4670</v>
      </c>
      <c r="Z94" s="72">
        <v>37717.879999999997</v>
      </c>
      <c r="AA94" s="72">
        <v>426576.15</v>
      </c>
      <c r="AB94" s="72">
        <v>2817275.46</v>
      </c>
      <c r="AC94" s="72">
        <v>45975303.490000002</v>
      </c>
    </row>
    <row r="95" spans="1:29" x14ac:dyDescent="0.3">
      <c r="A95" s="1">
        <v>40210</v>
      </c>
      <c r="B95">
        <v>3163272.08</v>
      </c>
      <c r="C95" s="72">
        <v>1744187.4000000001</v>
      </c>
      <c r="D95" s="72">
        <v>2628208.0099999998</v>
      </c>
      <c r="E95" s="72">
        <v>2814157.6599999997</v>
      </c>
      <c r="F95" s="72">
        <v>877719.7</v>
      </c>
      <c r="G95" s="72">
        <v>9253883.1199999992</v>
      </c>
      <c r="J95" s="72">
        <v>11758704</v>
      </c>
      <c r="K95" s="72">
        <v>440234.25</v>
      </c>
      <c r="L95" s="72">
        <v>189</v>
      </c>
      <c r="M95" s="72">
        <v>41221</v>
      </c>
      <c r="N95" s="72">
        <v>1779384</v>
      </c>
      <c r="O95" s="72">
        <v>971908</v>
      </c>
      <c r="P95" s="72">
        <v>1364</v>
      </c>
      <c r="Q95" s="72">
        <v>2159820.81</v>
      </c>
      <c r="R95" s="72">
        <v>46341.9</v>
      </c>
      <c r="S95" s="72">
        <v>447680</v>
      </c>
      <c r="T95" s="72">
        <v>1431</v>
      </c>
      <c r="U95" s="72">
        <v>1066600</v>
      </c>
      <c r="V95" s="72">
        <v>521507</v>
      </c>
      <c r="W95" s="72">
        <v>2820.3</v>
      </c>
      <c r="X95" s="72">
        <v>620094</v>
      </c>
      <c r="Y95" s="72">
        <v>4670</v>
      </c>
      <c r="Z95" s="72">
        <v>36719.03</v>
      </c>
      <c r="AA95" s="72">
        <v>220022.55</v>
      </c>
      <c r="AB95" s="72">
        <v>1802749.93</v>
      </c>
      <c r="AC95" s="72">
        <v>42412394.739999995</v>
      </c>
    </row>
    <row r="96" spans="1:29" x14ac:dyDescent="0.3">
      <c r="A96" s="1">
        <v>40238</v>
      </c>
      <c r="B96">
        <v>3261507.55</v>
      </c>
      <c r="C96" s="72">
        <v>1524585.2999999998</v>
      </c>
      <c r="D96" s="72">
        <v>2298050.0499999998</v>
      </c>
      <c r="E96" s="72">
        <v>4986857.9000000004</v>
      </c>
      <c r="F96" s="72">
        <v>930846.4</v>
      </c>
      <c r="G96" s="72">
        <v>10342746.26</v>
      </c>
      <c r="H96" s="72">
        <v>1420757</v>
      </c>
      <c r="J96" s="72">
        <v>10725755</v>
      </c>
      <c r="K96" s="72">
        <v>780353.2</v>
      </c>
      <c r="L96" s="72">
        <v>189</v>
      </c>
      <c r="M96" s="72">
        <v>41046</v>
      </c>
      <c r="N96" s="72">
        <v>2612695</v>
      </c>
      <c r="O96" s="72">
        <v>1193962</v>
      </c>
      <c r="P96" s="72">
        <v>2728</v>
      </c>
      <c r="Q96" s="72">
        <v>2102712.85</v>
      </c>
      <c r="R96" s="72">
        <v>38369.24</v>
      </c>
      <c r="S96" s="72">
        <v>873660</v>
      </c>
      <c r="T96" s="72">
        <v>2538</v>
      </c>
      <c r="U96" s="72">
        <v>924267</v>
      </c>
      <c r="V96" s="72">
        <v>512335</v>
      </c>
      <c r="W96" s="72">
        <v>2751.2999999999997</v>
      </c>
      <c r="X96" s="72">
        <v>661000</v>
      </c>
      <c r="Y96" s="72">
        <v>4670</v>
      </c>
      <c r="Z96" s="72">
        <v>30705.56</v>
      </c>
      <c r="AA96" s="72">
        <v>216578.7</v>
      </c>
      <c r="AB96" s="72">
        <v>3954590.14</v>
      </c>
      <c r="AC96" s="72">
        <v>49446256.45000001</v>
      </c>
    </row>
    <row r="97" spans="1:29" x14ac:dyDescent="0.3">
      <c r="A97" s="1">
        <v>40269</v>
      </c>
      <c r="B97">
        <v>2904361.6100000003</v>
      </c>
      <c r="C97" s="72">
        <v>1454039.1</v>
      </c>
      <c r="D97" s="72">
        <v>2360389.2400000002</v>
      </c>
      <c r="E97" s="72">
        <v>3614200.0200000005</v>
      </c>
      <c r="F97" s="72">
        <v>884727.2</v>
      </c>
      <c r="G97" s="72">
        <v>7145379.0099999998</v>
      </c>
      <c r="J97" s="72">
        <v>9595685</v>
      </c>
      <c r="K97" s="72">
        <v>252845.82</v>
      </c>
      <c r="L97" s="72">
        <v>189</v>
      </c>
      <c r="M97" s="72">
        <v>41046</v>
      </c>
      <c r="N97" s="72">
        <v>16095</v>
      </c>
      <c r="O97" s="72">
        <v>171059</v>
      </c>
      <c r="Q97" s="72">
        <v>2383907.9700000002</v>
      </c>
      <c r="R97" s="72">
        <v>38618.559999999998</v>
      </c>
      <c r="S97" s="72">
        <v>223470</v>
      </c>
      <c r="T97" s="72">
        <v>108</v>
      </c>
      <c r="U97" s="72">
        <v>989110</v>
      </c>
      <c r="V97" s="72">
        <v>457533</v>
      </c>
      <c r="W97" s="72">
        <v>3326.1</v>
      </c>
      <c r="X97" s="72">
        <v>737045</v>
      </c>
      <c r="Y97" s="72">
        <v>4670</v>
      </c>
      <c r="Z97" s="72">
        <v>30328.47</v>
      </c>
      <c r="AA97" s="72">
        <v>228858.3</v>
      </c>
      <c r="AB97" s="72">
        <v>4819221.62</v>
      </c>
      <c r="AC97" s="72">
        <v>38356213.019999996</v>
      </c>
    </row>
    <row r="98" spans="1:29" x14ac:dyDescent="0.3">
      <c r="A98" s="1">
        <v>40299</v>
      </c>
      <c r="B98">
        <v>2477203.4500000002</v>
      </c>
      <c r="C98" s="72">
        <v>1224093.1000000001</v>
      </c>
      <c r="D98" s="72">
        <v>1847818.11</v>
      </c>
      <c r="E98" s="72">
        <v>3222405.3</v>
      </c>
      <c r="F98" s="72">
        <v>938177.6</v>
      </c>
      <c r="G98" s="72">
        <v>7870628.3200000003</v>
      </c>
      <c r="H98" s="72">
        <v>14206</v>
      </c>
      <c r="J98" s="72">
        <v>7660749</v>
      </c>
      <c r="K98" s="72">
        <v>71794.67</v>
      </c>
      <c r="L98" s="72">
        <v>189</v>
      </c>
      <c r="M98" s="72">
        <v>41046</v>
      </c>
      <c r="N98" s="72">
        <v>1621970</v>
      </c>
      <c r="O98" s="72">
        <v>708519</v>
      </c>
      <c r="P98" s="72">
        <v>1364</v>
      </c>
      <c r="Q98" s="72">
        <v>2290387.34</v>
      </c>
      <c r="R98" s="72">
        <v>32887.800000000003</v>
      </c>
      <c r="S98" s="72">
        <v>682460</v>
      </c>
      <c r="T98" s="72">
        <v>1269</v>
      </c>
      <c r="U98" s="72">
        <v>796181</v>
      </c>
      <c r="V98" s="72">
        <v>363755</v>
      </c>
      <c r="W98" s="72">
        <v>2789.7</v>
      </c>
      <c r="X98" s="72">
        <v>580975</v>
      </c>
      <c r="Y98" s="72">
        <v>4670</v>
      </c>
      <c r="Z98" s="72">
        <v>25951.94</v>
      </c>
      <c r="AA98" s="72">
        <v>215515.8</v>
      </c>
      <c r="AB98" s="72">
        <v>3568645.8400000003</v>
      </c>
      <c r="AC98" s="72">
        <v>36265651.970000006</v>
      </c>
    </row>
    <row r="99" spans="1:29" x14ac:dyDescent="0.3">
      <c r="A99" s="1">
        <v>40330</v>
      </c>
      <c r="B99">
        <v>2799797.33</v>
      </c>
      <c r="C99" s="72">
        <v>1286981.1000000001</v>
      </c>
      <c r="D99" s="72">
        <v>2076685.0899999999</v>
      </c>
      <c r="E99" s="72">
        <v>4216913.1899999995</v>
      </c>
      <c r="F99" s="72">
        <v>1038427.2</v>
      </c>
      <c r="G99" s="72">
        <v>7948455.4400000004</v>
      </c>
      <c r="J99" s="72">
        <v>8171011</v>
      </c>
      <c r="K99" s="72">
        <v>367960.51</v>
      </c>
      <c r="L99" s="72">
        <v>189</v>
      </c>
      <c r="M99" s="72">
        <v>41046</v>
      </c>
      <c r="N99" s="72">
        <v>1059740</v>
      </c>
      <c r="O99" s="72">
        <v>464432</v>
      </c>
      <c r="P99" s="72">
        <v>1364</v>
      </c>
      <c r="Q99" s="72">
        <v>2389864.15</v>
      </c>
      <c r="R99" s="72">
        <v>30122.39</v>
      </c>
      <c r="S99" s="72">
        <v>487850</v>
      </c>
      <c r="T99" s="72">
        <v>1269</v>
      </c>
      <c r="U99" s="72">
        <v>835032</v>
      </c>
      <c r="V99" s="72">
        <v>453762</v>
      </c>
      <c r="W99" s="72">
        <v>2601</v>
      </c>
      <c r="X99" s="72">
        <v>669715</v>
      </c>
      <c r="Y99" s="72">
        <v>3205</v>
      </c>
      <c r="Z99" s="72">
        <v>23586.77</v>
      </c>
      <c r="AA99" s="72">
        <v>412750.53</v>
      </c>
      <c r="AB99" s="72">
        <v>7069575.25</v>
      </c>
      <c r="AC99" s="72">
        <v>41852334.950000003</v>
      </c>
    </row>
    <row r="100" spans="1:29" x14ac:dyDescent="0.3">
      <c r="A100" s="1">
        <v>40360</v>
      </c>
      <c r="B100">
        <v>3145757.58</v>
      </c>
      <c r="C100" s="72">
        <v>1312244.1000000001</v>
      </c>
      <c r="D100" s="72">
        <v>1971450.8599999999</v>
      </c>
      <c r="E100" s="72">
        <v>3593989.24</v>
      </c>
      <c r="F100" s="72">
        <v>1078959.6000000001</v>
      </c>
      <c r="G100" s="72">
        <v>6771554.7699999996</v>
      </c>
      <c r="J100" s="72">
        <v>9558580</v>
      </c>
      <c r="K100" s="72">
        <v>194524.28</v>
      </c>
      <c r="L100" s="72">
        <v>189</v>
      </c>
      <c r="M100" s="72">
        <v>40038</v>
      </c>
      <c r="N100" s="72">
        <v>1383572</v>
      </c>
      <c r="O100" s="72">
        <v>642152</v>
      </c>
      <c r="P100" s="72">
        <v>1364</v>
      </c>
      <c r="Q100" s="72">
        <v>2510132.98</v>
      </c>
      <c r="R100" s="72">
        <v>26908.2</v>
      </c>
      <c r="S100" s="72">
        <v>587270</v>
      </c>
      <c r="T100" s="72">
        <v>1269</v>
      </c>
      <c r="U100" s="72">
        <v>1095141</v>
      </c>
      <c r="V100" s="72">
        <v>460612</v>
      </c>
      <c r="W100" s="72">
        <v>4172.4000000000005</v>
      </c>
      <c r="X100" s="72">
        <v>660824</v>
      </c>
      <c r="Y100" s="72">
        <v>6135</v>
      </c>
      <c r="Z100" s="72">
        <v>21133.82</v>
      </c>
      <c r="AA100" s="72">
        <v>320422.95</v>
      </c>
      <c r="AB100" s="72">
        <v>5553484.4400000004</v>
      </c>
      <c r="AC100" s="72">
        <v>40941881.219999999</v>
      </c>
    </row>
    <row r="101" spans="1:29" x14ac:dyDescent="0.3">
      <c r="A101" s="1">
        <v>40391</v>
      </c>
      <c r="B101">
        <v>3314514</v>
      </c>
      <c r="C101" s="72">
        <v>1546767.7</v>
      </c>
      <c r="D101" s="72">
        <v>2045749.37</v>
      </c>
      <c r="E101" s="72">
        <v>3760271.2</v>
      </c>
      <c r="F101" s="72">
        <v>1119258.6000000001</v>
      </c>
      <c r="G101" s="72">
        <v>7911198.2800000003</v>
      </c>
      <c r="H101" s="72">
        <v>745797</v>
      </c>
      <c r="J101" s="72">
        <v>10996543</v>
      </c>
      <c r="K101" s="72">
        <v>208926.91999999998</v>
      </c>
      <c r="L101" s="72">
        <v>189</v>
      </c>
      <c r="M101" s="72">
        <v>42054</v>
      </c>
      <c r="N101" s="72">
        <v>1332328</v>
      </c>
      <c r="O101" s="72">
        <v>634006</v>
      </c>
      <c r="P101" s="72">
        <v>1364</v>
      </c>
      <c r="Q101" s="72">
        <v>2640088.02</v>
      </c>
      <c r="R101" s="72">
        <v>28577.66</v>
      </c>
      <c r="S101" s="72">
        <v>545250</v>
      </c>
      <c r="T101" s="72">
        <v>1269</v>
      </c>
      <c r="U101" s="72">
        <v>777490</v>
      </c>
      <c r="V101" s="72">
        <v>329597</v>
      </c>
      <c r="W101" s="72">
        <v>2500.2000000000003</v>
      </c>
      <c r="X101" s="72">
        <v>459320</v>
      </c>
      <c r="Y101" s="72">
        <v>3205</v>
      </c>
      <c r="Z101" s="72">
        <v>22414.7</v>
      </c>
      <c r="AA101" s="72">
        <v>352577.79</v>
      </c>
      <c r="AB101" s="72">
        <v>6013173.9499999993</v>
      </c>
      <c r="AC101" s="72">
        <v>44834430.390000001</v>
      </c>
    </row>
    <row r="102" spans="1:29" x14ac:dyDescent="0.3">
      <c r="A102" s="1">
        <v>40422</v>
      </c>
      <c r="B102">
        <v>3235195.0700000003</v>
      </c>
      <c r="C102" s="72">
        <v>1496775.8</v>
      </c>
      <c r="D102" s="72">
        <v>2350606.7999999998</v>
      </c>
      <c r="E102" s="72">
        <v>3404667.9899999998</v>
      </c>
      <c r="F102" s="72">
        <v>1057547.6000000001</v>
      </c>
      <c r="G102" s="72">
        <v>8110245.0899999999</v>
      </c>
      <c r="J102" s="72">
        <v>10873733</v>
      </c>
      <c r="K102" s="72">
        <v>75844.600000000006</v>
      </c>
      <c r="L102" s="72">
        <v>189</v>
      </c>
      <c r="M102" s="72">
        <v>41046</v>
      </c>
      <c r="N102" s="72">
        <v>1141621</v>
      </c>
      <c r="O102" s="72">
        <v>528388</v>
      </c>
      <c r="P102" s="72">
        <v>1364</v>
      </c>
      <c r="Q102" s="72">
        <v>2681368.12</v>
      </c>
      <c r="R102" s="72">
        <v>32439.64</v>
      </c>
      <c r="S102" s="72">
        <v>477950</v>
      </c>
      <c r="T102" s="72">
        <v>1269</v>
      </c>
      <c r="U102" s="72">
        <v>984472</v>
      </c>
      <c r="V102" s="72">
        <v>486449</v>
      </c>
      <c r="W102" s="72">
        <v>3555.9</v>
      </c>
      <c r="X102" s="72">
        <v>596163</v>
      </c>
      <c r="Y102" s="72">
        <v>6135</v>
      </c>
      <c r="Z102" s="72">
        <v>25136.66</v>
      </c>
      <c r="AA102" s="72">
        <v>381147.77</v>
      </c>
      <c r="AB102" s="72">
        <v>6006539.3799999999</v>
      </c>
      <c r="AC102" s="72">
        <v>43999849.420000002</v>
      </c>
    </row>
    <row r="103" spans="1:29" x14ac:dyDescent="0.3">
      <c r="A103" s="1">
        <v>40452</v>
      </c>
      <c r="B103">
        <v>2764383.13</v>
      </c>
      <c r="C103" s="72">
        <v>1261330.8999999999</v>
      </c>
      <c r="D103" s="72">
        <v>2377931.1</v>
      </c>
      <c r="E103" s="72">
        <v>4261966.34</v>
      </c>
      <c r="F103" s="72">
        <v>967791.3</v>
      </c>
      <c r="G103" s="72">
        <v>7775055.25</v>
      </c>
      <c r="J103" s="72">
        <v>8560144</v>
      </c>
      <c r="K103" s="72">
        <v>431804.11</v>
      </c>
      <c r="L103" s="72">
        <v>189</v>
      </c>
      <c r="M103" s="72">
        <v>41046</v>
      </c>
      <c r="N103" s="72">
        <v>1344403</v>
      </c>
      <c r="O103" s="72">
        <v>562406</v>
      </c>
      <c r="P103" s="72">
        <v>1364</v>
      </c>
      <c r="Q103" s="72">
        <v>2539826.1</v>
      </c>
      <c r="R103" s="72">
        <v>35130.300000000003</v>
      </c>
      <c r="S103" s="72">
        <v>514770</v>
      </c>
      <c r="T103" s="72">
        <v>1269</v>
      </c>
      <c r="U103" s="72">
        <v>578751</v>
      </c>
      <c r="V103" s="72">
        <v>379605</v>
      </c>
      <c r="W103" s="72">
        <v>2994.3</v>
      </c>
      <c r="X103" s="72">
        <v>931851</v>
      </c>
      <c r="Y103" s="72">
        <v>4670</v>
      </c>
      <c r="Z103" s="72">
        <v>28112.74</v>
      </c>
      <c r="AA103" s="72">
        <v>341874.81</v>
      </c>
      <c r="AB103" s="72">
        <v>5059124.57</v>
      </c>
      <c r="AC103" s="72">
        <v>40767792.950000003</v>
      </c>
    </row>
    <row r="104" spans="1:29" x14ac:dyDescent="0.3">
      <c r="A104" s="1">
        <v>40483</v>
      </c>
      <c r="B104">
        <v>2653266.7199999997</v>
      </c>
      <c r="C104" s="72">
        <v>1396956.8</v>
      </c>
      <c r="D104" s="72">
        <v>2100306.52</v>
      </c>
      <c r="E104" s="72">
        <v>3931628.07</v>
      </c>
      <c r="F104" s="72">
        <v>1062178.5</v>
      </c>
      <c r="G104" s="72">
        <v>8685964.8599999994</v>
      </c>
      <c r="H104" s="72">
        <v>46303</v>
      </c>
      <c r="J104" s="72">
        <v>7678280.2000000002</v>
      </c>
      <c r="K104" s="72">
        <v>314885.71999999997</v>
      </c>
      <c r="L104" s="72">
        <v>189</v>
      </c>
      <c r="M104" s="72">
        <v>41046</v>
      </c>
      <c r="N104" s="72">
        <v>1156021</v>
      </c>
      <c r="O104" s="72">
        <v>590761</v>
      </c>
      <c r="P104" s="72">
        <v>1364</v>
      </c>
      <c r="Q104" s="72">
        <v>2413538.9500000002</v>
      </c>
      <c r="R104" s="72">
        <v>40935.5</v>
      </c>
      <c r="S104" s="72">
        <v>672520</v>
      </c>
      <c r="T104" s="72">
        <v>1269</v>
      </c>
      <c r="U104" s="72">
        <v>994279</v>
      </c>
      <c r="V104" s="72">
        <v>355629</v>
      </c>
      <c r="W104" s="72">
        <v>2563.2000000000003</v>
      </c>
      <c r="X104" s="72">
        <v>744164</v>
      </c>
      <c r="Y104" s="72">
        <v>4670</v>
      </c>
      <c r="Z104" s="72">
        <v>32458.15</v>
      </c>
      <c r="AA104" s="72">
        <v>563592.15</v>
      </c>
      <c r="AB104" s="72">
        <v>5351536.41</v>
      </c>
      <c r="AC104" s="72">
        <v>40836306.75</v>
      </c>
    </row>
    <row r="105" spans="1:29" x14ac:dyDescent="0.3">
      <c r="A105" s="1">
        <v>40513</v>
      </c>
      <c r="B105">
        <v>2784628.01</v>
      </c>
      <c r="C105" s="72">
        <v>1414703.9</v>
      </c>
      <c r="D105" s="72">
        <v>2305378.65</v>
      </c>
      <c r="E105" s="72">
        <v>3733158.1399999997</v>
      </c>
      <c r="F105" s="72">
        <v>953283.4</v>
      </c>
      <c r="G105" s="72">
        <v>8312015.1699999999</v>
      </c>
      <c r="J105" s="72">
        <v>8697503.8000000007</v>
      </c>
      <c r="K105" s="72">
        <v>318773.27999999997</v>
      </c>
      <c r="L105" s="72">
        <v>189</v>
      </c>
      <c r="M105" s="72">
        <v>41046</v>
      </c>
      <c r="N105" s="72">
        <v>1361549</v>
      </c>
      <c r="O105" s="72">
        <v>649594</v>
      </c>
      <c r="P105" s="72">
        <v>1315</v>
      </c>
      <c r="Q105" s="72">
        <v>2294214.92</v>
      </c>
      <c r="R105" s="72">
        <v>43352.1</v>
      </c>
      <c r="S105" s="72">
        <v>656130</v>
      </c>
      <c r="T105" s="72">
        <v>1233</v>
      </c>
      <c r="U105" s="72">
        <v>1232447</v>
      </c>
      <c r="V105" s="72">
        <v>556357</v>
      </c>
      <c r="W105" s="72">
        <v>3352.5</v>
      </c>
      <c r="X105" s="72">
        <v>763425</v>
      </c>
      <c r="Y105" s="72">
        <v>4670</v>
      </c>
      <c r="Z105" s="72">
        <v>34804.15</v>
      </c>
      <c r="AA105" s="72">
        <v>427286.58999999997</v>
      </c>
      <c r="AB105" s="72">
        <v>5114692.58</v>
      </c>
      <c r="AC105" s="72">
        <v>41705102.190000005</v>
      </c>
    </row>
    <row r="106" spans="1:29" x14ac:dyDescent="0.3">
      <c r="A106" s="1">
        <v>40544</v>
      </c>
      <c r="B106">
        <v>3402591.9499999997</v>
      </c>
      <c r="C106" s="72">
        <v>1692543.8</v>
      </c>
      <c r="D106" s="72">
        <v>2417377.38</v>
      </c>
      <c r="E106" s="72">
        <v>3591154.29</v>
      </c>
      <c r="F106" s="72">
        <v>892551.1</v>
      </c>
      <c r="G106" s="72">
        <v>3416578.39</v>
      </c>
      <c r="J106" s="72">
        <v>11460895</v>
      </c>
      <c r="K106" s="72">
        <v>335767.4</v>
      </c>
      <c r="L106" s="72">
        <v>189</v>
      </c>
      <c r="M106" s="72">
        <v>41156</v>
      </c>
      <c r="N106" s="72">
        <v>1826652</v>
      </c>
      <c r="O106" s="72">
        <v>773453</v>
      </c>
      <c r="P106" s="72">
        <v>1364</v>
      </c>
      <c r="Q106" s="72">
        <v>2079649.41</v>
      </c>
      <c r="R106" s="72">
        <v>47114.42</v>
      </c>
      <c r="S106" s="72">
        <v>536940</v>
      </c>
      <c r="T106" s="72">
        <v>1305</v>
      </c>
      <c r="U106" s="72">
        <v>1082809</v>
      </c>
      <c r="V106" s="72">
        <v>453166</v>
      </c>
      <c r="W106" s="72">
        <v>1994.7</v>
      </c>
      <c r="X106" s="72">
        <v>576321</v>
      </c>
      <c r="Y106" s="72">
        <v>4670</v>
      </c>
      <c r="Z106" s="72">
        <v>37633.74</v>
      </c>
      <c r="AA106" s="72">
        <v>370871.04000000004</v>
      </c>
      <c r="AB106" s="72">
        <v>4961652.6500000004</v>
      </c>
      <c r="AC106" s="72">
        <v>40006400.270000003</v>
      </c>
    </row>
    <row r="107" spans="1:29" x14ac:dyDescent="0.3">
      <c r="A107" s="1">
        <v>40575</v>
      </c>
      <c r="B107">
        <v>3466594.12</v>
      </c>
      <c r="C107" s="72">
        <v>1698684.1</v>
      </c>
      <c r="D107" s="72">
        <v>2783790.8</v>
      </c>
      <c r="E107" s="72">
        <v>3520429.7100000004</v>
      </c>
      <c r="F107" s="72">
        <v>824204.4</v>
      </c>
      <c r="G107" s="72">
        <v>8257698.0199999996</v>
      </c>
      <c r="H107" s="72">
        <v>4283121</v>
      </c>
      <c r="J107" s="72">
        <v>11895170</v>
      </c>
      <c r="K107" s="72">
        <v>300526.98</v>
      </c>
      <c r="L107" s="72">
        <v>189</v>
      </c>
      <c r="M107" s="72">
        <v>41156</v>
      </c>
      <c r="N107" s="72">
        <v>1648186</v>
      </c>
      <c r="O107" s="72">
        <v>829606</v>
      </c>
      <c r="P107" s="72">
        <v>1364</v>
      </c>
      <c r="Q107" s="72">
        <v>2257655.9500000002</v>
      </c>
      <c r="R107" s="72">
        <v>46341.9</v>
      </c>
      <c r="S107" s="72">
        <v>582960</v>
      </c>
      <c r="T107" s="72">
        <v>1269</v>
      </c>
      <c r="U107" s="72">
        <v>1039507</v>
      </c>
      <c r="V107" s="72">
        <v>459513</v>
      </c>
      <c r="W107" s="72">
        <v>3420.9000000000005</v>
      </c>
      <c r="X107" s="72">
        <v>408113</v>
      </c>
      <c r="Y107" s="72">
        <v>4670</v>
      </c>
      <c r="Z107" s="72">
        <v>36719.629999999997</v>
      </c>
      <c r="AA107" s="72">
        <v>291803.94</v>
      </c>
      <c r="AB107" s="72">
        <v>4742118.7699999996</v>
      </c>
      <c r="AC107" s="72">
        <v>49424813.219999999</v>
      </c>
    </row>
    <row r="108" spans="1:29" x14ac:dyDescent="0.3">
      <c r="A108" s="1">
        <v>40603</v>
      </c>
      <c r="B108">
        <v>3064568.75</v>
      </c>
      <c r="C108" s="72">
        <v>1527152</v>
      </c>
      <c r="D108" s="72">
        <v>2360633.14</v>
      </c>
      <c r="E108" s="72">
        <v>3695507.88</v>
      </c>
      <c r="F108" s="72">
        <v>758865.4</v>
      </c>
      <c r="G108" s="72">
        <v>7692439.5599999996</v>
      </c>
      <c r="J108" s="72">
        <v>9995447</v>
      </c>
      <c r="K108" s="72">
        <v>273694.42000000004</v>
      </c>
      <c r="L108" s="72">
        <v>189</v>
      </c>
      <c r="M108" s="72">
        <v>45768</v>
      </c>
      <c r="N108" s="72">
        <v>1409465</v>
      </c>
      <c r="O108" s="72">
        <v>676385</v>
      </c>
      <c r="P108" s="72">
        <v>1364</v>
      </c>
      <c r="Q108" s="72">
        <v>2100288.58</v>
      </c>
      <c r="R108" s="72">
        <v>38369.24</v>
      </c>
      <c r="S108" s="72">
        <v>578440</v>
      </c>
      <c r="T108" s="72">
        <v>1269</v>
      </c>
      <c r="U108" s="72">
        <v>921990</v>
      </c>
      <c r="V108" s="72">
        <v>440402</v>
      </c>
      <c r="W108" s="72">
        <v>2934.6</v>
      </c>
      <c r="X108" s="72">
        <v>834182</v>
      </c>
      <c r="Y108" s="72">
        <v>4670</v>
      </c>
      <c r="Z108" s="72">
        <v>30538.85</v>
      </c>
      <c r="AA108" s="72">
        <v>301318.65000000002</v>
      </c>
      <c r="AB108" s="72">
        <v>-3251142.74</v>
      </c>
      <c r="AC108" s="72">
        <v>33504739.330000006</v>
      </c>
    </row>
    <row r="109" spans="1:29" x14ac:dyDescent="0.3">
      <c r="A109" s="1">
        <v>40634</v>
      </c>
      <c r="B109">
        <v>2963187.64</v>
      </c>
      <c r="C109" s="72">
        <v>1550976.2</v>
      </c>
      <c r="D109" s="72">
        <v>2179434.11</v>
      </c>
      <c r="E109" s="72">
        <v>3750980.08</v>
      </c>
      <c r="F109" s="72">
        <v>857365.7</v>
      </c>
      <c r="G109" s="72">
        <v>8547243.9199999999</v>
      </c>
      <c r="J109" s="72">
        <v>9702102</v>
      </c>
      <c r="K109" s="72">
        <v>220832.6</v>
      </c>
      <c r="L109" s="72">
        <v>189</v>
      </c>
      <c r="M109" s="72">
        <v>40389</v>
      </c>
      <c r="N109" s="72">
        <v>1426250</v>
      </c>
      <c r="O109" s="72">
        <v>743084</v>
      </c>
      <c r="P109" s="72">
        <v>1364</v>
      </c>
      <c r="Q109" s="72">
        <v>2376449.85</v>
      </c>
      <c r="R109" s="72">
        <v>38618.559999999998</v>
      </c>
      <c r="S109" s="72">
        <v>603490</v>
      </c>
      <c r="T109" s="72">
        <v>1269</v>
      </c>
      <c r="U109" s="72">
        <v>7990</v>
      </c>
      <c r="V109" s="72">
        <v>5295</v>
      </c>
      <c r="X109" s="72">
        <v>-126128</v>
      </c>
      <c r="Z109" s="72">
        <v>30639.37</v>
      </c>
      <c r="AA109" s="72">
        <v>316233</v>
      </c>
      <c r="AB109" s="72">
        <v>12820321.4</v>
      </c>
      <c r="AC109" s="72">
        <v>48057576.43</v>
      </c>
    </row>
    <row r="110" spans="1:29" x14ac:dyDescent="0.3">
      <c r="A110" s="1">
        <v>40664</v>
      </c>
      <c r="B110">
        <v>2714082.7199999997</v>
      </c>
      <c r="C110" s="72">
        <v>1309979.6000000001</v>
      </c>
      <c r="D110" s="72">
        <v>2141329.0300000003</v>
      </c>
      <c r="E110" s="72">
        <v>3673471.06</v>
      </c>
      <c r="F110" s="72">
        <v>781378.1</v>
      </c>
      <c r="G110" s="72">
        <v>7301956.9500000002</v>
      </c>
      <c r="J110" s="72">
        <v>8443730</v>
      </c>
      <c r="K110" s="72">
        <v>217313.47</v>
      </c>
      <c r="L110" s="72">
        <v>189</v>
      </c>
      <c r="M110" s="72">
        <v>41156</v>
      </c>
      <c r="N110" s="72">
        <v>1213054</v>
      </c>
      <c r="O110" s="72">
        <v>586400</v>
      </c>
      <c r="P110" s="72">
        <v>1364</v>
      </c>
      <c r="Q110" s="72">
        <v>2165262.7400000002</v>
      </c>
      <c r="R110" s="72">
        <v>32887.800000000003</v>
      </c>
      <c r="S110" s="72">
        <v>478520</v>
      </c>
      <c r="T110" s="72">
        <v>1271.0999999999999</v>
      </c>
      <c r="U110" s="72">
        <v>1329379</v>
      </c>
      <c r="V110" s="72">
        <v>513188</v>
      </c>
      <c r="W110" s="72">
        <v>3892.8</v>
      </c>
      <c r="X110" s="72">
        <v>1011269</v>
      </c>
      <c r="Y110" s="72">
        <v>4670</v>
      </c>
      <c r="Z110" s="72">
        <v>26475.83</v>
      </c>
      <c r="AA110" s="72">
        <v>300254.14</v>
      </c>
      <c r="AB110" s="72">
        <v>4509798.8</v>
      </c>
      <c r="AC110" s="72">
        <v>38802273.140000001</v>
      </c>
    </row>
    <row r="111" spans="1:29" x14ac:dyDescent="0.3">
      <c r="A111" s="1">
        <v>40695</v>
      </c>
      <c r="B111">
        <v>2674339.29</v>
      </c>
      <c r="C111" s="72">
        <v>1252672.8</v>
      </c>
      <c r="D111" s="72">
        <v>1878145.28</v>
      </c>
      <c r="E111" s="72">
        <v>4374505.28</v>
      </c>
      <c r="F111" s="72">
        <v>916692.6</v>
      </c>
      <c r="G111" s="72">
        <v>7855765.7800000003</v>
      </c>
      <c r="J111" s="72">
        <v>7919559.1799999997</v>
      </c>
      <c r="K111" s="72">
        <v>210368.62</v>
      </c>
      <c r="L111" s="72">
        <v>207.9</v>
      </c>
      <c r="M111" s="72">
        <v>41156</v>
      </c>
      <c r="N111" s="72">
        <v>1116756</v>
      </c>
      <c r="O111" s="72">
        <v>551195.4</v>
      </c>
      <c r="P111" s="72">
        <v>1364</v>
      </c>
      <c r="Q111" s="72">
        <v>1162730.18</v>
      </c>
      <c r="S111" s="72">
        <v>522890</v>
      </c>
      <c r="T111" s="72">
        <v>1171.8</v>
      </c>
      <c r="U111" s="72">
        <v>1125267</v>
      </c>
      <c r="V111" s="72">
        <v>428175.5</v>
      </c>
      <c r="X111" s="72">
        <v>665068</v>
      </c>
      <c r="Y111" s="72">
        <v>3205</v>
      </c>
      <c r="Z111" s="72">
        <v>24166.3</v>
      </c>
      <c r="AA111" s="72">
        <v>285172.06</v>
      </c>
      <c r="AB111" s="72">
        <v>4633611.12</v>
      </c>
      <c r="AC111" s="72">
        <v>37644185.089999996</v>
      </c>
    </row>
    <row r="112" spans="1:29" x14ac:dyDescent="0.3">
      <c r="A112" s="1">
        <v>40725</v>
      </c>
      <c r="B112">
        <v>3021153.72</v>
      </c>
      <c r="C112" s="72">
        <v>1277140.1000000001</v>
      </c>
      <c r="D112" s="72">
        <v>1932731.44</v>
      </c>
      <c r="E112" s="72">
        <v>3880694.4400000004</v>
      </c>
      <c r="F112" s="72">
        <v>960581.3</v>
      </c>
      <c r="G112" s="72">
        <v>7978853.2199999997</v>
      </c>
      <c r="J112" s="72">
        <v>8888844.879999999</v>
      </c>
      <c r="K112" s="72">
        <v>195162.2</v>
      </c>
      <c r="L112" s="72">
        <v>189</v>
      </c>
      <c r="M112" s="72">
        <v>41156</v>
      </c>
      <c r="N112" s="72">
        <v>1124025</v>
      </c>
      <c r="O112" s="72">
        <v>565104</v>
      </c>
      <c r="P112" s="72">
        <v>1364</v>
      </c>
      <c r="Q112" s="72">
        <v>3640544.61</v>
      </c>
      <c r="R112" s="72">
        <v>57030.59</v>
      </c>
      <c r="S112" s="72">
        <v>481940</v>
      </c>
      <c r="T112" s="72">
        <v>1134</v>
      </c>
      <c r="U112" s="72">
        <v>762293</v>
      </c>
      <c r="V112" s="72">
        <v>332494</v>
      </c>
      <c r="W112" s="72">
        <v>-77.7</v>
      </c>
      <c r="X112" s="72">
        <v>252352</v>
      </c>
      <c r="Y112" s="72">
        <v>4670</v>
      </c>
      <c r="Z112" s="72">
        <v>21056.76</v>
      </c>
      <c r="AA112" s="72">
        <v>291702.28999999998</v>
      </c>
      <c r="AB112" s="72">
        <v>5005182.0600000005</v>
      </c>
      <c r="AC112" s="72">
        <v>40717320.909999996</v>
      </c>
    </row>
    <row r="113" spans="1:29" x14ac:dyDescent="0.3">
      <c r="A113" s="1">
        <v>40756</v>
      </c>
      <c r="B113">
        <v>3454013.29</v>
      </c>
      <c r="C113" s="72">
        <v>1556603.3</v>
      </c>
      <c r="D113" s="72">
        <v>2091139.78</v>
      </c>
      <c r="E113" s="72">
        <v>5329527.42</v>
      </c>
      <c r="F113" s="72">
        <v>1170473.6000000001</v>
      </c>
      <c r="G113" s="72">
        <v>6043394.8300000001</v>
      </c>
      <c r="J113" s="72">
        <v>11215315.280000001</v>
      </c>
      <c r="K113" s="72">
        <v>230044.58000000002</v>
      </c>
      <c r="L113" s="72">
        <v>201.6</v>
      </c>
      <c r="M113" s="72">
        <v>41156</v>
      </c>
      <c r="N113" s="72">
        <v>1544004</v>
      </c>
      <c r="O113" s="72">
        <v>670966.4</v>
      </c>
      <c r="P113" s="72">
        <v>1364</v>
      </c>
      <c r="Q113" s="72">
        <v>2492469.9500000002</v>
      </c>
      <c r="R113" s="72">
        <v>28577.66</v>
      </c>
      <c r="S113" s="72">
        <v>510140</v>
      </c>
      <c r="T113" s="72">
        <v>1171.8</v>
      </c>
      <c r="U113" s="72">
        <v>1066722</v>
      </c>
      <c r="V113" s="72">
        <v>631257.4</v>
      </c>
      <c r="W113" s="72">
        <v>-608.4</v>
      </c>
      <c r="X113" s="72">
        <v>726524</v>
      </c>
      <c r="Y113" s="72">
        <v>4670</v>
      </c>
      <c r="Z113" s="72">
        <v>22376.27</v>
      </c>
      <c r="AA113" s="72">
        <v>341301.51</v>
      </c>
      <c r="AB113" s="72">
        <v>4676930.2300000004</v>
      </c>
      <c r="AC113" s="72">
        <v>43849736.5</v>
      </c>
    </row>
    <row r="114" spans="1:29" x14ac:dyDescent="0.3">
      <c r="A114" s="1">
        <v>40787</v>
      </c>
      <c r="B114">
        <v>3248410.17</v>
      </c>
      <c r="C114" s="72">
        <v>1416913.6</v>
      </c>
      <c r="D114" s="72">
        <v>2119524.0700000003</v>
      </c>
      <c r="E114" s="72">
        <v>4378310.5</v>
      </c>
      <c r="F114" s="72">
        <v>1034005.7</v>
      </c>
      <c r="G114" s="72">
        <v>8876659.6600000001</v>
      </c>
      <c r="J114" s="72">
        <v>10741945.960000001</v>
      </c>
      <c r="K114" s="72">
        <v>252942.7</v>
      </c>
      <c r="L114" s="72">
        <v>189</v>
      </c>
      <c r="M114" s="72">
        <v>40728</v>
      </c>
      <c r="N114" s="72">
        <v>1299949</v>
      </c>
      <c r="O114" s="72">
        <v>682687.4</v>
      </c>
      <c r="P114" s="72">
        <v>1364</v>
      </c>
      <c r="Q114" s="72">
        <v>2523926.19</v>
      </c>
      <c r="R114" s="72">
        <v>32439.4</v>
      </c>
      <c r="S114" s="72">
        <v>521700</v>
      </c>
      <c r="T114" s="72">
        <v>1171.8</v>
      </c>
      <c r="U114" s="72">
        <v>898409</v>
      </c>
      <c r="V114" s="72">
        <v>460551.6</v>
      </c>
      <c r="W114" s="72">
        <v>-319.2</v>
      </c>
      <c r="X114" s="72">
        <v>657158</v>
      </c>
      <c r="Y114" s="72">
        <v>4670</v>
      </c>
      <c r="Z114" s="72">
        <v>25150.68</v>
      </c>
      <c r="AA114" s="72">
        <v>393912.27</v>
      </c>
      <c r="AB114" s="72">
        <v>5521189.04</v>
      </c>
      <c r="AC114" s="72">
        <v>45133588.539999992</v>
      </c>
    </row>
    <row r="115" spans="1:29" x14ac:dyDescent="0.3">
      <c r="A115" s="1">
        <v>40817</v>
      </c>
      <c r="B115">
        <v>2650329.0499999998</v>
      </c>
      <c r="C115" s="72">
        <v>1277474.1000000001</v>
      </c>
      <c r="D115" s="72">
        <v>1891663.8399999999</v>
      </c>
      <c r="E115" s="72">
        <v>4192913.14</v>
      </c>
      <c r="F115" s="72">
        <v>918527</v>
      </c>
      <c r="G115" s="72">
        <v>7648627.0300000003</v>
      </c>
      <c r="J115" s="72">
        <v>8385370.6099999994</v>
      </c>
      <c r="K115" s="72">
        <v>267252.42</v>
      </c>
      <c r="L115" s="72">
        <v>189</v>
      </c>
      <c r="M115" s="72">
        <v>40348</v>
      </c>
      <c r="N115" s="72">
        <v>1101583.1000000001</v>
      </c>
      <c r="O115" s="72">
        <v>541183.66999999993</v>
      </c>
      <c r="P115" s="72">
        <v>1364</v>
      </c>
      <c r="Q115" s="72">
        <v>2328779.19</v>
      </c>
      <c r="R115" s="72">
        <v>35130.300000000003</v>
      </c>
      <c r="S115" s="72">
        <v>466650</v>
      </c>
      <c r="T115" s="72">
        <v>1134</v>
      </c>
      <c r="U115" s="72">
        <v>793128.12</v>
      </c>
      <c r="V115" s="72">
        <v>366216.66000000003</v>
      </c>
      <c r="X115" s="72">
        <v>715322</v>
      </c>
      <c r="Y115" s="72">
        <v>3220</v>
      </c>
      <c r="Z115" s="72">
        <v>28185.599999999999</v>
      </c>
      <c r="AA115" s="72">
        <v>301909.99</v>
      </c>
      <c r="AB115" s="72">
        <v>5061284.1399999997</v>
      </c>
      <c r="AC115" s="72">
        <v>39017784.960000008</v>
      </c>
    </row>
    <row r="116" spans="1:29" x14ac:dyDescent="0.3">
      <c r="A116" s="1">
        <v>40848</v>
      </c>
      <c r="B116">
        <v>2750932.8699999996</v>
      </c>
      <c r="C116" s="72">
        <v>1378750.8</v>
      </c>
      <c r="D116" s="72">
        <v>2700922.06</v>
      </c>
      <c r="E116" s="72">
        <v>4032135.98</v>
      </c>
      <c r="F116" s="72">
        <v>903111.6</v>
      </c>
      <c r="G116" s="72">
        <v>7882424.1500000004</v>
      </c>
      <c r="J116" s="72">
        <v>7819214.71</v>
      </c>
      <c r="K116" s="72">
        <v>296053.32</v>
      </c>
      <c r="L116" s="72">
        <v>195.3</v>
      </c>
      <c r="M116" s="72">
        <v>41536</v>
      </c>
      <c r="N116" s="72">
        <v>1172802.57</v>
      </c>
      <c r="O116" s="72">
        <v>642748.67000000004</v>
      </c>
      <c r="P116" s="72">
        <v>1364</v>
      </c>
      <c r="Q116" s="72">
        <v>2258598.0499999998</v>
      </c>
      <c r="R116" s="72">
        <v>40935.49</v>
      </c>
      <c r="S116" s="72">
        <v>546430</v>
      </c>
      <c r="T116" s="72">
        <v>1171.8</v>
      </c>
      <c r="U116" s="72">
        <v>821910.41999999993</v>
      </c>
      <c r="V116" s="72">
        <v>369943.59</v>
      </c>
      <c r="X116" s="72">
        <v>669826</v>
      </c>
      <c r="Y116" s="72">
        <v>3220</v>
      </c>
      <c r="Z116" s="72">
        <v>32734.54</v>
      </c>
      <c r="AA116" s="72">
        <v>380619.43</v>
      </c>
      <c r="AB116" s="72">
        <v>4731070.12</v>
      </c>
      <c r="AC116" s="72">
        <v>39478651.470000006</v>
      </c>
    </row>
    <row r="117" spans="1:29" x14ac:dyDescent="0.3">
      <c r="A117" s="1">
        <v>40878</v>
      </c>
      <c r="B117">
        <v>2684593.2699999986</v>
      </c>
      <c r="C117" s="72">
        <v>1526433.6</v>
      </c>
      <c r="D117" s="72">
        <v>3632047.96</v>
      </c>
      <c r="E117" s="72">
        <v>3953501.4499999993</v>
      </c>
      <c r="F117" s="72">
        <v>864436</v>
      </c>
      <c r="G117" s="72">
        <v>8172284.3200000003</v>
      </c>
      <c r="J117" s="72">
        <v>8314439.5299999993</v>
      </c>
      <c r="K117" s="72">
        <v>307322.65000000002</v>
      </c>
      <c r="L117" s="72">
        <v>182.7</v>
      </c>
      <c r="M117" s="72">
        <v>40942</v>
      </c>
      <c r="N117" s="72">
        <v>1229464.67</v>
      </c>
      <c r="O117" s="72">
        <v>732672.32</v>
      </c>
      <c r="P117" s="72">
        <v>1364</v>
      </c>
      <c r="Q117" s="72">
        <v>2215340.83</v>
      </c>
      <c r="R117" s="72">
        <v>43352.1</v>
      </c>
      <c r="S117" s="72">
        <v>496250</v>
      </c>
      <c r="T117" s="72">
        <v>1134</v>
      </c>
      <c r="U117" s="72">
        <v>866964.58000000007</v>
      </c>
      <c r="V117" s="72">
        <v>413070.86</v>
      </c>
      <c r="X117" s="72">
        <v>598130</v>
      </c>
      <c r="Y117" s="72">
        <v>3220</v>
      </c>
      <c r="Z117" s="72">
        <v>34850.68</v>
      </c>
      <c r="AA117" s="72">
        <v>514557.9</v>
      </c>
      <c r="AB117" s="72">
        <v>4457582.9399999995</v>
      </c>
      <c r="AC117" s="72">
        <v>41104138.359999985</v>
      </c>
    </row>
    <row r="118" spans="1:29" x14ac:dyDescent="0.3">
      <c r="A118" s="1">
        <v>40909</v>
      </c>
      <c r="B118">
        <v>3015804.08</v>
      </c>
      <c r="C118" s="72">
        <v>1560746.7999999998</v>
      </c>
      <c r="D118" s="72">
        <v>3734120.39</v>
      </c>
      <c r="E118" s="72">
        <v>3754637.4299999997</v>
      </c>
      <c r="F118" s="72">
        <v>796864.7</v>
      </c>
      <c r="G118" s="72">
        <v>7367450.2000000002</v>
      </c>
      <c r="J118" s="72">
        <v>10022000.82</v>
      </c>
      <c r="K118" s="72">
        <v>336121.52</v>
      </c>
      <c r="L118" s="72">
        <v>195.3</v>
      </c>
      <c r="M118" s="72">
        <v>40942</v>
      </c>
      <c r="N118" s="72">
        <v>1542142.4400000002</v>
      </c>
      <c r="O118" s="72">
        <v>821811.89</v>
      </c>
      <c r="P118" s="72">
        <v>1364</v>
      </c>
      <c r="Q118" s="72">
        <v>1995748.74</v>
      </c>
      <c r="R118" s="72">
        <v>47114.42</v>
      </c>
      <c r="S118" s="72">
        <v>-609380</v>
      </c>
      <c r="T118" s="72">
        <v>1171.8</v>
      </c>
      <c r="U118" s="72">
        <v>1044689.88</v>
      </c>
      <c r="V118" s="72">
        <v>462150.48000000004</v>
      </c>
      <c r="X118" s="72">
        <v>590458</v>
      </c>
      <c r="Y118" s="72">
        <v>3220</v>
      </c>
      <c r="Z118" s="72">
        <v>38040.769999999997</v>
      </c>
      <c r="AA118" s="72">
        <v>539169.17000000004</v>
      </c>
      <c r="AB118" s="72">
        <v>4631176.8599999994</v>
      </c>
      <c r="AC118" s="72">
        <v>41737761.690000005</v>
      </c>
    </row>
    <row r="119" spans="1:29" x14ac:dyDescent="0.3">
      <c r="A119" s="1">
        <v>40940</v>
      </c>
      <c r="B119">
        <v>3172320.2099999995</v>
      </c>
      <c r="C119" s="72">
        <v>1634265.4</v>
      </c>
      <c r="D119" s="72">
        <v>3387148.38</v>
      </c>
      <c r="E119" s="72">
        <v>3659607.88</v>
      </c>
      <c r="F119" s="72">
        <v>798436.6</v>
      </c>
      <c r="G119" s="72">
        <v>8175903.6600000001</v>
      </c>
      <c r="J119" s="72">
        <v>10875016.519999998</v>
      </c>
      <c r="K119" s="72">
        <v>321887.46000000002</v>
      </c>
      <c r="L119" s="72">
        <v>195.3</v>
      </c>
      <c r="M119" s="72">
        <v>36015</v>
      </c>
      <c r="N119" s="72">
        <v>1530937.21</v>
      </c>
      <c r="O119" s="72">
        <v>867353.91</v>
      </c>
      <c r="P119" s="72">
        <v>1364</v>
      </c>
      <c r="Q119" s="72">
        <v>2235459.42</v>
      </c>
      <c r="R119" s="72">
        <v>46341.9</v>
      </c>
      <c r="S119" s="72">
        <v>1656500</v>
      </c>
      <c r="T119" s="72">
        <v>1171.8</v>
      </c>
      <c r="U119" s="72">
        <v>1114069.1499999999</v>
      </c>
      <c r="V119" s="72">
        <v>513186.44999999995</v>
      </c>
      <c r="X119" s="72">
        <v>659112</v>
      </c>
      <c r="Y119" s="72">
        <v>3220</v>
      </c>
      <c r="Z119" s="72">
        <v>36914.03</v>
      </c>
      <c r="AA119" s="72">
        <v>370252.97</v>
      </c>
      <c r="AB119" s="72">
        <v>4636203.8999999994</v>
      </c>
      <c r="AC119" s="72">
        <v>45732883.149999991</v>
      </c>
    </row>
    <row r="120" spans="1:29" x14ac:dyDescent="0.3">
      <c r="A120" s="1">
        <v>40969</v>
      </c>
      <c r="B120">
        <v>3025568.040000001</v>
      </c>
      <c r="C120" s="72">
        <v>1462068.7</v>
      </c>
      <c r="D120" s="72">
        <v>2912736.9</v>
      </c>
      <c r="E120" s="72">
        <v>4871794.0600000005</v>
      </c>
      <c r="F120" s="72">
        <v>833865.5</v>
      </c>
      <c r="G120" s="72">
        <v>7918535.6299999999</v>
      </c>
      <c r="J120" s="72">
        <v>9929691.4400000013</v>
      </c>
      <c r="K120" s="72">
        <v>292218.15000000002</v>
      </c>
      <c r="L120" s="72">
        <v>182.7</v>
      </c>
      <c r="M120" s="72">
        <v>40041</v>
      </c>
      <c r="N120" s="72">
        <v>1365416.54</v>
      </c>
      <c r="O120" s="72">
        <v>793681.59</v>
      </c>
      <c r="P120" s="72">
        <v>1364</v>
      </c>
      <c r="Q120" s="72">
        <v>2261445.16</v>
      </c>
      <c r="R120" s="72">
        <v>39739.57</v>
      </c>
      <c r="S120" s="72">
        <v>458530</v>
      </c>
      <c r="T120" s="72">
        <v>1096.2</v>
      </c>
      <c r="U120" s="72">
        <v>942173.4800000001</v>
      </c>
      <c r="V120" s="72">
        <v>447623.19</v>
      </c>
      <c r="X120" s="72">
        <v>647470</v>
      </c>
      <c r="Y120" s="72">
        <v>3220</v>
      </c>
      <c r="Z120" s="72">
        <v>31785.06</v>
      </c>
      <c r="AA120" s="72">
        <v>311978.52</v>
      </c>
      <c r="AB120" s="72">
        <v>4655316.87</v>
      </c>
      <c r="AC120" s="72">
        <v>43247542.299999997</v>
      </c>
    </row>
    <row r="121" spans="1:29" x14ac:dyDescent="0.3">
      <c r="A121" s="1">
        <v>41000</v>
      </c>
      <c r="B121">
        <v>2540065.1499999994</v>
      </c>
      <c r="C121" s="72">
        <v>1328531.3999999999</v>
      </c>
      <c r="D121" s="72">
        <v>2310462.25</v>
      </c>
      <c r="E121" s="72">
        <v>3387918.8499999996</v>
      </c>
      <c r="F121" s="72">
        <v>844670.6</v>
      </c>
      <c r="G121" s="72">
        <v>8341084.71</v>
      </c>
      <c r="J121" s="72">
        <v>8367437.5299999984</v>
      </c>
      <c r="K121" s="72">
        <v>262014.43</v>
      </c>
      <c r="L121" s="72">
        <v>195.3</v>
      </c>
      <c r="M121" s="72">
        <v>40041</v>
      </c>
      <c r="N121" s="72">
        <v>1222573.93</v>
      </c>
      <c r="O121" s="72">
        <v>691234.81</v>
      </c>
      <c r="P121" s="72">
        <v>1364</v>
      </c>
      <c r="Q121" s="72">
        <v>2420698.7999999998</v>
      </c>
      <c r="R121" s="72">
        <v>38618.300000000003</v>
      </c>
      <c r="S121" s="72">
        <v>482440</v>
      </c>
      <c r="T121" s="72">
        <v>1171.8</v>
      </c>
      <c r="U121" s="72">
        <v>853805.6</v>
      </c>
      <c r="V121" s="72">
        <v>424846.88</v>
      </c>
      <c r="X121" s="72">
        <v>736580</v>
      </c>
      <c r="Y121" s="72">
        <v>3220</v>
      </c>
      <c r="Z121" s="72">
        <v>30501.34</v>
      </c>
      <c r="AA121" s="72">
        <v>293096.52</v>
      </c>
      <c r="AB121" s="72">
        <v>4639270.5600000005</v>
      </c>
      <c r="AC121" s="72">
        <v>39261843.760000005</v>
      </c>
    </row>
    <row r="122" spans="1:29" x14ac:dyDescent="0.3">
      <c r="A122" s="1">
        <v>41030</v>
      </c>
      <c r="B122">
        <v>2507418.1000000006</v>
      </c>
      <c r="C122" s="72">
        <f>2422195.5-C123</f>
        <v>1178517.5</v>
      </c>
      <c r="D122" s="72">
        <v>2248701.0699999998</v>
      </c>
      <c r="E122" s="72">
        <v>3463929.46</v>
      </c>
      <c r="F122" s="72">
        <v>858706.7</v>
      </c>
      <c r="G122" s="72">
        <v>7696170.0199999996</v>
      </c>
      <c r="J122" s="72">
        <v>9203105.8100000042</v>
      </c>
      <c r="K122" s="72">
        <v>223408.3</v>
      </c>
      <c r="L122" s="72">
        <v>195.3</v>
      </c>
      <c r="M122" s="72">
        <v>44832</v>
      </c>
      <c r="N122" s="72">
        <v>1137862.54</v>
      </c>
      <c r="O122" s="72">
        <v>593857.89</v>
      </c>
      <c r="P122" s="72">
        <v>1364</v>
      </c>
      <c r="Q122" s="72">
        <v>1851431.8900000001</v>
      </c>
      <c r="R122" s="72">
        <v>32887.800000000003</v>
      </c>
      <c r="S122" s="72">
        <v>474040</v>
      </c>
      <c r="T122" s="72">
        <v>1134</v>
      </c>
      <c r="U122" s="72">
        <v>785393.62</v>
      </c>
      <c r="V122" s="72">
        <v>390243.78</v>
      </c>
      <c r="X122" s="72">
        <v>406937</v>
      </c>
      <c r="Y122" s="72">
        <v>3220</v>
      </c>
      <c r="Z122" s="72">
        <v>25809.040000000001</v>
      </c>
      <c r="AA122" s="72">
        <v>278554.43</v>
      </c>
      <c r="AB122" s="72">
        <v>4583238.46</v>
      </c>
      <c r="AC122" s="72">
        <v>47193635.269999988</v>
      </c>
    </row>
    <row r="123" spans="1:29" x14ac:dyDescent="0.3">
      <c r="A123" s="1">
        <v>41061</v>
      </c>
      <c r="B123">
        <v>2333265.8799999994</v>
      </c>
      <c r="C123" s="72">
        <v>1243678</v>
      </c>
      <c r="D123" s="72">
        <v>1993163.15</v>
      </c>
      <c r="E123" s="72">
        <v>3332840.96</v>
      </c>
      <c r="F123" s="72">
        <v>982446.7</v>
      </c>
      <c r="G123" s="72">
        <v>7958998.5599999996</v>
      </c>
      <c r="J123" s="72">
        <v>6152424.6099999975</v>
      </c>
      <c r="K123" s="72">
        <v>208573.31</v>
      </c>
      <c r="L123" s="72">
        <v>189</v>
      </c>
      <c r="M123" s="72">
        <v>7023</v>
      </c>
      <c r="N123" s="72">
        <v>1071671.99</v>
      </c>
      <c r="O123" s="72">
        <v>452573.27000000014</v>
      </c>
      <c r="P123" s="72">
        <v>1364</v>
      </c>
      <c r="Q123" s="72">
        <v>2388712.34</v>
      </c>
      <c r="R123" s="72">
        <v>30122.39</v>
      </c>
      <c r="S123" s="72">
        <v>482820</v>
      </c>
      <c r="T123" s="72">
        <v>1171.8</v>
      </c>
      <c r="U123" s="72">
        <v>754642.61</v>
      </c>
      <c r="V123" s="72">
        <v>382663.11000000004</v>
      </c>
      <c r="X123" s="72">
        <v>615628</v>
      </c>
      <c r="Y123" s="72">
        <v>3220</v>
      </c>
      <c r="Z123" s="72">
        <v>23521.02</v>
      </c>
      <c r="AA123" s="72">
        <v>321345.40000000002</v>
      </c>
      <c r="AB123" s="72">
        <v>3845128.26</v>
      </c>
      <c r="AC123" s="72">
        <v>25384510.799999997</v>
      </c>
    </row>
    <row r="124" spans="1:29" x14ac:dyDescent="0.3">
      <c r="A124" s="1">
        <v>41091</v>
      </c>
      <c r="B124">
        <v>2810409.05</v>
      </c>
      <c r="C124" s="72">
        <v>1275269.2</v>
      </c>
      <c r="D124" s="72">
        <v>2074502.51</v>
      </c>
      <c r="E124" s="72">
        <v>4582975.3999999994</v>
      </c>
      <c r="G124" s="72">
        <v>8056332.1399999997</v>
      </c>
      <c r="J124" s="72">
        <v>8993050.9099999983</v>
      </c>
      <c r="K124" s="72">
        <v>165182.63</v>
      </c>
      <c r="L124" s="72">
        <v>189</v>
      </c>
      <c r="M124" s="72">
        <v>39516</v>
      </c>
      <c r="N124" s="72">
        <v>1213249.7600000002</v>
      </c>
      <c r="O124" s="72">
        <v>577891.85000000009</v>
      </c>
      <c r="P124" s="72">
        <v>1364</v>
      </c>
      <c r="Q124" s="72">
        <v>2412732.34</v>
      </c>
      <c r="R124" s="72">
        <v>26908.2</v>
      </c>
      <c r="S124" s="72">
        <v>300920</v>
      </c>
      <c r="T124" s="72">
        <v>1134</v>
      </c>
      <c r="U124" s="72">
        <v>838353.45000000007</v>
      </c>
      <c r="V124" s="72">
        <v>355931.17</v>
      </c>
      <c r="X124" s="72">
        <v>328143</v>
      </c>
      <c r="Y124" s="72">
        <v>3220</v>
      </c>
      <c r="Z124" s="72">
        <v>20887.22</v>
      </c>
      <c r="AA124" s="72">
        <v>181812.13</v>
      </c>
      <c r="AB124" s="72">
        <v>3771532.16</v>
      </c>
      <c r="AC124" s="72">
        <v>38031506.120000005</v>
      </c>
    </row>
    <row r="125" spans="1:29" x14ac:dyDescent="0.3">
      <c r="A125" s="1">
        <v>41122</v>
      </c>
      <c r="B125">
        <v>3386325.9699999993</v>
      </c>
      <c r="C125" s="72">
        <v>1466744.6</v>
      </c>
      <c r="D125" s="72">
        <v>2160357.66</v>
      </c>
      <c r="E125" s="72">
        <v>3140959.74</v>
      </c>
      <c r="F125" s="72">
        <v>2043858.4</v>
      </c>
      <c r="G125" s="72">
        <v>6464347.4800000004</v>
      </c>
      <c r="J125" s="72">
        <v>11796757.559999995</v>
      </c>
      <c r="K125" s="72">
        <v>173734.57</v>
      </c>
      <c r="L125" s="72">
        <v>195.3</v>
      </c>
      <c r="M125" s="72">
        <v>39442</v>
      </c>
      <c r="N125" s="72">
        <v>1495658.8000000003</v>
      </c>
      <c r="O125" s="72">
        <v>607906.36</v>
      </c>
      <c r="P125" s="72">
        <v>1364</v>
      </c>
      <c r="Q125" s="72">
        <v>2366445.4500000002</v>
      </c>
      <c r="S125" s="72">
        <v>659090</v>
      </c>
      <c r="T125" s="72">
        <v>1171.8</v>
      </c>
      <c r="U125" s="72">
        <v>1046686.4</v>
      </c>
      <c r="V125" s="72">
        <v>442954.9</v>
      </c>
      <c r="X125" s="72">
        <v>796698</v>
      </c>
      <c r="Y125" s="72">
        <v>3220</v>
      </c>
      <c r="Z125" s="72">
        <v>22626.720000000001</v>
      </c>
      <c r="AA125" s="72">
        <v>486129.57</v>
      </c>
      <c r="AB125" s="72">
        <v>6123858.7700000005</v>
      </c>
      <c r="AC125" s="72">
        <v>44726534.049999997</v>
      </c>
    </row>
    <row r="126" spans="1:29" x14ac:dyDescent="0.3">
      <c r="A126" s="1">
        <v>41153</v>
      </c>
      <c r="B126">
        <v>3649610.1999999993</v>
      </c>
      <c r="C126" s="72">
        <v>1343653.4</v>
      </c>
      <c r="D126" s="72">
        <v>2253441.59</v>
      </c>
      <c r="E126" s="72">
        <v>4287965.07</v>
      </c>
      <c r="F126" s="72">
        <v>938196.1</v>
      </c>
      <c r="G126" s="72">
        <v>8651732.9700000007</v>
      </c>
      <c r="J126" s="72">
        <v>10265772.910000002</v>
      </c>
      <c r="K126" s="72">
        <v>211260.79</v>
      </c>
      <c r="L126" s="72">
        <v>195.3</v>
      </c>
      <c r="M126" s="72">
        <v>38606</v>
      </c>
      <c r="N126" s="72">
        <v>1286065.8299999998</v>
      </c>
      <c r="O126" s="72">
        <v>702370.94</v>
      </c>
      <c r="P126" s="72">
        <v>1364</v>
      </c>
      <c r="Q126" s="72">
        <v>2406451.8199999998</v>
      </c>
      <c r="R126" s="72">
        <v>61016.7</v>
      </c>
      <c r="S126" s="72">
        <v>473161.15</v>
      </c>
      <c r="T126" s="72">
        <v>1171.8</v>
      </c>
      <c r="U126" s="72">
        <v>912194.8600000001</v>
      </c>
      <c r="V126" s="72">
        <v>487435.75</v>
      </c>
      <c r="X126" s="72">
        <v>542027</v>
      </c>
      <c r="Y126" s="72">
        <v>3220</v>
      </c>
      <c r="Z126" s="72">
        <v>25369.88</v>
      </c>
      <c r="AA126" s="72">
        <v>386149.43</v>
      </c>
      <c r="AB126" s="72">
        <v>4062973.78</v>
      </c>
      <c r="AC126" s="72">
        <v>42991407.270000003</v>
      </c>
    </row>
    <row r="127" spans="1:29" x14ac:dyDescent="0.3">
      <c r="A127" s="1">
        <v>41183</v>
      </c>
      <c r="B127">
        <v>2897404.9799999995</v>
      </c>
      <c r="C127" s="72">
        <v>1199016.2</v>
      </c>
      <c r="D127" s="72">
        <v>3415801.9600000004</v>
      </c>
      <c r="E127" s="72">
        <v>4325726.7299999995</v>
      </c>
      <c r="F127" s="72">
        <v>902884.6</v>
      </c>
      <c r="G127" s="72">
        <v>8128100.3099999996</v>
      </c>
      <c r="J127" s="72">
        <v>8611090.9300000016</v>
      </c>
      <c r="K127" s="72">
        <v>200497.04</v>
      </c>
      <c r="L127" s="72">
        <v>189</v>
      </c>
      <c r="M127" s="72">
        <v>38606</v>
      </c>
      <c r="N127" s="72">
        <v>1119537.4900000002</v>
      </c>
      <c r="O127" s="72">
        <v>550412.56999999995</v>
      </c>
      <c r="P127" s="72">
        <v>1364</v>
      </c>
      <c r="Q127" s="72">
        <v>1117823.02</v>
      </c>
      <c r="R127" s="72">
        <v>35130.300000000003</v>
      </c>
      <c r="S127" s="72">
        <v>491670</v>
      </c>
      <c r="T127" s="72">
        <v>1134</v>
      </c>
      <c r="U127" s="72">
        <v>801821.14999999991</v>
      </c>
      <c r="V127" s="72">
        <v>394902.42000000004</v>
      </c>
      <c r="X127" s="72">
        <v>523015</v>
      </c>
      <c r="Y127" s="72">
        <v>3220</v>
      </c>
      <c r="Z127" s="72">
        <v>27972.18</v>
      </c>
      <c r="AA127" s="72">
        <v>336662.06</v>
      </c>
      <c r="AB127" s="72">
        <v>7295050.8199999994</v>
      </c>
      <c r="AC127" s="72">
        <v>42419032.760000005</v>
      </c>
    </row>
    <row r="128" spans="1:29" x14ac:dyDescent="0.3">
      <c r="A128" s="1">
        <v>41214</v>
      </c>
      <c r="B128">
        <v>2636660.3699999992</v>
      </c>
      <c r="C128" s="72">
        <v>1384937.8</v>
      </c>
      <c r="D128" s="72">
        <v>2643597.7199999997</v>
      </c>
      <c r="E128" s="72">
        <v>4308739.3600000003</v>
      </c>
      <c r="F128" s="72">
        <v>949481</v>
      </c>
      <c r="G128" s="72">
        <v>8001224.9199999999</v>
      </c>
      <c r="J128" s="72">
        <v>7751856.0200000005</v>
      </c>
      <c r="K128" s="72">
        <v>280701.56</v>
      </c>
      <c r="L128" s="72">
        <v>195.3</v>
      </c>
      <c r="M128" s="72">
        <v>39209</v>
      </c>
      <c r="N128" s="72">
        <v>1170254.5999999999</v>
      </c>
      <c r="O128" s="72">
        <v>808092.81</v>
      </c>
      <c r="P128" s="72">
        <v>1364</v>
      </c>
      <c r="Q128" s="72">
        <v>3359587.56</v>
      </c>
      <c r="S128" s="72">
        <v>339029.69</v>
      </c>
      <c r="T128" s="72">
        <v>1171.8</v>
      </c>
      <c r="U128" s="72">
        <v>829355.15</v>
      </c>
      <c r="V128" s="72">
        <v>363140.27</v>
      </c>
      <c r="X128" s="72">
        <v>776762</v>
      </c>
      <c r="Y128" s="72">
        <v>3220</v>
      </c>
      <c r="Z128" s="72">
        <v>32997.050000000003</v>
      </c>
      <c r="AA128" s="72">
        <v>515309.13</v>
      </c>
      <c r="AB128" s="72">
        <v>4881906.2</v>
      </c>
      <c r="AC128" s="72">
        <v>41078793.310000002</v>
      </c>
    </row>
    <row r="129" spans="1:29" x14ac:dyDescent="0.3">
      <c r="A129" s="1">
        <v>41244</v>
      </c>
      <c r="B129">
        <v>2692008.2</v>
      </c>
      <c r="C129" s="72">
        <v>1537690.0999999999</v>
      </c>
      <c r="D129" s="72">
        <v>2701856.08</v>
      </c>
      <c r="E129" s="72">
        <v>3349971.0000000005</v>
      </c>
      <c r="F129" s="72">
        <v>724223.7</v>
      </c>
      <c r="G129" s="72">
        <v>8010547.9500000002</v>
      </c>
      <c r="J129" s="72">
        <v>8815011.9699999988</v>
      </c>
      <c r="K129" s="72">
        <v>233406</v>
      </c>
      <c r="L129" s="72">
        <v>182.7</v>
      </c>
      <c r="M129" s="72">
        <v>38615</v>
      </c>
      <c r="N129" s="72">
        <v>1257794.7200000002</v>
      </c>
      <c r="O129" s="72">
        <v>695574.94</v>
      </c>
      <c r="P129" s="72">
        <v>1364</v>
      </c>
      <c r="Q129" s="72">
        <v>2131016.17</v>
      </c>
      <c r="S129" s="72">
        <v>403339.53</v>
      </c>
      <c r="T129" s="72">
        <v>1026</v>
      </c>
      <c r="U129" s="72">
        <v>901213.32000000007</v>
      </c>
      <c r="V129" s="72">
        <v>399662.23</v>
      </c>
      <c r="X129" s="72">
        <v>644681</v>
      </c>
      <c r="Y129" s="72">
        <v>3220</v>
      </c>
      <c r="Z129" s="72">
        <v>34859.79</v>
      </c>
      <c r="AA129" s="60">
        <f>93946.68+372239.98</f>
        <v>466186.66</v>
      </c>
      <c r="AB129" s="72">
        <v>4298073.18</v>
      </c>
      <c r="AC129" s="72">
        <v>38969284.259999998</v>
      </c>
    </row>
    <row r="130" spans="1:29" x14ac:dyDescent="0.3">
      <c r="A130" s="1">
        <v>41275</v>
      </c>
      <c r="B130">
        <v>2903199.0600000005</v>
      </c>
      <c r="C130" s="72">
        <v>1543614.6</v>
      </c>
      <c r="D130" s="72">
        <v>2643172.0700000003</v>
      </c>
      <c r="E130" s="72">
        <v>3649488.47</v>
      </c>
      <c r="F130" s="72">
        <v>706309.9</v>
      </c>
      <c r="G130" s="72">
        <v>6748574.4900000002</v>
      </c>
      <c r="J130" s="72">
        <v>9903325.8099999987</v>
      </c>
      <c r="K130" s="72">
        <v>213103.77000000002</v>
      </c>
      <c r="L130" s="72">
        <v>195.3</v>
      </c>
      <c r="M130" s="72">
        <v>56389</v>
      </c>
      <c r="N130" s="72">
        <v>1565504.17</v>
      </c>
      <c r="O130" s="72">
        <v>758187.98</v>
      </c>
      <c r="P130" s="72">
        <v>1364</v>
      </c>
      <c r="Q130" s="72">
        <v>1924711.8</v>
      </c>
      <c r="R130" s="72">
        <v>36897.75</v>
      </c>
      <c r="S130" s="72">
        <v>636340.24</v>
      </c>
      <c r="T130" s="72">
        <v>1279.8</v>
      </c>
      <c r="U130" s="72">
        <v>1070991</v>
      </c>
      <c r="V130" s="72">
        <v>416694.53</v>
      </c>
      <c r="X130" s="72">
        <v>618778</v>
      </c>
      <c r="Y130" s="72">
        <v>3220</v>
      </c>
      <c r="Z130" s="72">
        <v>38092.93</v>
      </c>
      <c r="AA130" s="60">
        <f>789168.32-372239.98</f>
        <v>416928.33999999997</v>
      </c>
      <c r="AB130" s="72">
        <v>4827271.04</v>
      </c>
      <c r="AC130" s="72">
        <v>41055874.030000001</v>
      </c>
    </row>
    <row r="131" spans="1:29" x14ac:dyDescent="0.3">
      <c r="A131" s="1">
        <v>41306</v>
      </c>
      <c r="B131" s="72">
        <v>3144798.9899999998</v>
      </c>
      <c r="C131" s="72">
        <v>1577846.9</v>
      </c>
      <c r="D131" s="72">
        <v>2911308.2300000004</v>
      </c>
      <c r="E131" s="72">
        <v>1875544.3299999996</v>
      </c>
      <c r="F131" s="72">
        <v>713234.8</v>
      </c>
      <c r="G131" s="72">
        <v>8272270.3799999999</v>
      </c>
      <c r="J131" s="72">
        <v>10842948.739999996</v>
      </c>
      <c r="K131" s="72">
        <v>190967.82</v>
      </c>
      <c r="L131" s="72">
        <v>195.3</v>
      </c>
      <c r="M131" s="72">
        <v>39618</v>
      </c>
      <c r="N131" s="72">
        <v>1570489.8499999999</v>
      </c>
      <c r="O131" s="72">
        <v>758474.58</v>
      </c>
      <c r="P131" s="72">
        <v>1364</v>
      </c>
      <c r="Q131" s="72">
        <v>2195723</v>
      </c>
      <c r="R131" s="72">
        <v>123314.36</v>
      </c>
      <c r="S131" s="72">
        <v>722320</v>
      </c>
      <c r="T131" s="72">
        <v>1171.8</v>
      </c>
      <c r="U131" s="72">
        <v>1140822.1199999999</v>
      </c>
      <c r="V131" s="72">
        <v>463424.97</v>
      </c>
      <c r="X131" s="72">
        <v>648036</v>
      </c>
      <c r="Y131" s="72">
        <v>3220</v>
      </c>
      <c r="Z131" s="72">
        <v>36889</v>
      </c>
      <c r="AA131" s="72">
        <v>457338.52</v>
      </c>
      <c r="AB131" s="72">
        <v>4757763.84</v>
      </c>
      <c r="AC131" s="72">
        <v>42449085.530000001</v>
      </c>
    </row>
    <row r="132" spans="1:29" x14ac:dyDescent="0.3">
      <c r="A132" s="1">
        <v>41334</v>
      </c>
      <c r="B132" s="72">
        <v>3295973.5999999996</v>
      </c>
      <c r="C132" s="72">
        <v>1496407.1</v>
      </c>
      <c r="D132" s="72">
        <v>3103068.32</v>
      </c>
      <c r="E132" s="72">
        <v>3488646.4400000009</v>
      </c>
      <c r="F132" s="72">
        <v>606733.80000000005</v>
      </c>
      <c r="G132" s="72">
        <v>7709337.0199999996</v>
      </c>
      <c r="J132" s="72">
        <v>10488207.42</v>
      </c>
      <c r="K132" s="72">
        <v>157038.84999999998</v>
      </c>
      <c r="L132" s="72">
        <v>176.4</v>
      </c>
      <c r="M132" s="72">
        <v>39618</v>
      </c>
      <c r="N132" s="72">
        <v>1331170.6199999999</v>
      </c>
      <c r="O132" s="72">
        <v>683563.49</v>
      </c>
      <c r="P132" s="72">
        <v>1364</v>
      </c>
      <c r="Q132" s="72">
        <v>2022356.11</v>
      </c>
      <c r="R132" s="72">
        <v>34804</v>
      </c>
      <c r="S132" s="72">
        <v>441060</v>
      </c>
      <c r="T132" s="72">
        <v>1058.4000000000001</v>
      </c>
      <c r="U132" s="72">
        <v>1005627.87</v>
      </c>
      <c r="V132" s="72">
        <v>443123.7</v>
      </c>
      <c r="X132" s="72">
        <v>627686</v>
      </c>
      <c r="Y132" s="72">
        <v>3220</v>
      </c>
      <c r="Z132" s="72">
        <v>30922.76</v>
      </c>
      <c r="AA132" s="72">
        <v>271501.2</v>
      </c>
      <c r="AB132" s="72">
        <v>4167389.16</v>
      </c>
      <c r="AC132" s="72">
        <v>41450054.260000005</v>
      </c>
    </row>
    <row r="133" spans="1:29" x14ac:dyDescent="0.3">
      <c r="A133" s="1">
        <v>41365</v>
      </c>
      <c r="B133" s="72">
        <v>2992628.5399999996</v>
      </c>
      <c r="C133" s="72">
        <v>1480363.7000000002</v>
      </c>
      <c r="D133" s="72">
        <v>2688087.1799999997</v>
      </c>
      <c r="E133" s="72">
        <v>3655882.2399999998</v>
      </c>
      <c r="F133" s="72">
        <v>673547.7</v>
      </c>
      <c r="G133" s="72">
        <v>7879024.4900000002</v>
      </c>
      <c r="J133" s="72">
        <v>9340724.9800000004</v>
      </c>
      <c r="K133" s="72">
        <v>156826.78999999998</v>
      </c>
      <c r="L133" s="72">
        <v>195.3</v>
      </c>
      <c r="M133" s="72">
        <v>40814</v>
      </c>
      <c r="N133" s="72">
        <v>1419182.17</v>
      </c>
      <c r="O133" s="72">
        <v>716036.12</v>
      </c>
      <c r="P133" s="72">
        <v>1364</v>
      </c>
      <c r="Q133" s="72">
        <v>2091528.05</v>
      </c>
      <c r="R133" s="72">
        <v>35030</v>
      </c>
      <c r="S133" s="72">
        <v>545374.24</v>
      </c>
      <c r="T133" s="72">
        <v>1171.8</v>
      </c>
      <c r="U133" s="72">
        <v>996509.80000000016</v>
      </c>
      <c r="V133" s="72">
        <v>468150.80000000005</v>
      </c>
      <c r="X133" s="72">
        <v>618846</v>
      </c>
      <c r="Y133" s="72">
        <v>3220</v>
      </c>
      <c r="Z133" s="72">
        <v>30650.5</v>
      </c>
      <c r="AA133" s="72">
        <v>312398.81</v>
      </c>
      <c r="AB133" s="72">
        <v>4567058.33</v>
      </c>
      <c r="AC133" s="72">
        <v>40714615.539999999</v>
      </c>
    </row>
    <row r="134" spans="1:29" x14ac:dyDescent="0.3">
      <c r="A134" s="1">
        <v>41395</v>
      </c>
      <c r="B134" s="72">
        <v>2669542.7300000004</v>
      </c>
      <c r="C134" s="72">
        <v>1290315.3999999999</v>
      </c>
      <c r="D134" s="72">
        <v>2531263.8899999997</v>
      </c>
      <c r="E134" s="72">
        <v>3086260.5500000003</v>
      </c>
      <c r="F134" s="72">
        <v>641030.19999999995</v>
      </c>
      <c r="G134" s="72">
        <v>8045671.7999999998</v>
      </c>
      <c r="J134" s="72">
        <v>8695713.2500000019</v>
      </c>
      <c r="K134" s="72">
        <v>133695.41999999998</v>
      </c>
      <c r="L134" s="72">
        <v>408.6</v>
      </c>
      <c r="M134" s="72">
        <v>40528</v>
      </c>
      <c r="N134" s="72">
        <v>1194981.93</v>
      </c>
      <c r="O134" s="72">
        <v>593758.56999999995</v>
      </c>
      <c r="P134" s="72">
        <v>1364</v>
      </c>
      <c r="Q134" s="72">
        <v>1522876.86</v>
      </c>
      <c r="S134" s="72">
        <v>675996.3</v>
      </c>
      <c r="T134" s="72">
        <v>1134</v>
      </c>
      <c r="U134" s="72">
        <v>852969.89</v>
      </c>
      <c r="V134" s="72">
        <v>422599.03</v>
      </c>
      <c r="X134" s="72">
        <v>552345</v>
      </c>
      <c r="Y134" s="72">
        <v>3220</v>
      </c>
      <c r="Z134" s="72">
        <v>26262.83</v>
      </c>
      <c r="AA134" s="72">
        <v>293715.8</v>
      </c>
      <c r="AB134" s="72">
        <v>4637154.2</v>
      </c>
      <c r="AC134" s="72">
        <v>37912808.250000007</v>
      </c>
    </row>
    <row r="135" spans="1:29" x14ac:dyDescent="0.3">
      <c r="A135" s="1">
        <v>41426</v>
      </c>
      <c r="B135" s="72">
        <v>2639801.9400000004</v>
      </c>
      <c r="C135" s="72">
        <v>1173517.5000000002</v>
      </c>
      <c r="D135" s="72">
        <v>2440445.88</v>
      </c>
      <c r="E135" s="72">
        <v>3785089.9</v>
      </c>
      <c r="F135" s="72">
        <v>737331.8</v>
      </c>
      <c r="G135" s="72">
        <v>8063192.8200000003</v>
      </c>
      <c r="J135" s="72">
        <v>7652144.7000000002</v>
      </c>
      <c r="K135" s="72">
        <v>124463.87</v>
      </c>
      <c r="L135" s="72">
        <v>260.77</v>
      </c>
      <c r="M135" s="72">
        <v>39826</v>
      </c>
      <c r="N135" s="72">
        <v>1167640.55</v>
      </c>
      <c r="O135" s="72">
        <v>577464.65</v>
      </c>
      <c r="P135" s="72">
        <v>1364</v>
      </c>
      <c r="Q135" s="72">
        <v>3018236.7199999997</v>
      </c>
      <c r="S135" s="72">
        <v>457320</v>
      </c>
      <c r="T135" s="72">
        <v>1171.8</v>
      </c>
      <c r="U135" s="72">
        <v>773303.78</v>
      </c>
      <c r="V135" s="72">
        <v>374818.76</v>
      </c>
      <c r="X135" s="72">
        <v>583502</v>
      </c>
      <c r="Y135" s="72">
        <v>3220</v>
      </c>
      <c r="Z135" s="72">
        <v>23453.98</v>
      </c>
      <c r="AA135" s="72">
        <v>325149.12</v>
      </c>
      <c r="AB135" s="72">
        <v>5088456.92</v>
      </c>
      <c r="AC135" s="72">
        <v>39051177.460000001</v>
      </c>
    </row>
    <row r="136" spans="1:29" x14ac:dyDescent="0.3">
      <c r="A136" s="1">
        <v>41456</v>
      </c>
      <c r="B136" s="72">
        <v>2872350.7299999995</v>
      </c>
      <c r="C136" s="72">
        <v>1228967.2</v>
      </c>
      <c r="D136" s="72">
        <v>2340195.4699999997</v>
      </c>
      <c r="E136" s="72">
        <v>4300989.6099999994</v>
      </c>
      <c r="F136" s="72">
        <v>787614.2</v>
      </c>
      <c r="G136" s="72">
        <v>7889985.79</v>
      </c>
      <c r="J136" s="72">
        <v>8559948.1400000006</v>
      </c>
      <c r="K136" s="72">
        <v>115869.3</v>
      </c>
      <c r="L136" s="72">
        <v>252.36</v>
      </c>
      <c r="M136" s="72">
        <v>39826</v>
      </c>
      <c r="N136" s="72">
        <v>1185132.8299999998</v>
      </c>
      <c r="O136" s="72">
        <v>548774.10000000009</v>
      </c>
      <c r="P136" s="72">
        <v>1364</v>
      </c>
      <c r="Q136" s="72">
        <v>2253341.37</v>
      </c>
      <c r="R136" s="72">
        <v>81563.399999999994</v>
      </c>
      <c r="S136" s="72">
        <v>445610</v>
      </c>
      <c r="T136" s="72">
        <v>1134</v>
      </c>
      <c r="U136" s="72">
        <v>832701.08000000007</v>
      </c>
      <c r="V136" s="72">
        <v>405947</v>
      </c>
      <c r="X136" s="72">
        <v>549304</v>
      </c>
      <c r="Y136" s="72">
        <v>3220</v>
      </c>
      <c r="Z136" s="72">
        <v>21336.6</v>
      </c>
      <c r="AA136" s="72">
        <v>293439.15000000002</v>
      </c>
      <c r="AB136" s="72">
        <v>4738937.59</v>
      </c>
      <c r="AC136" s="72">
        <v>39497803.920000002</v>
      </c>
    </row>
    <row r="137" spans="1:29" x14ac:dyDescent="0.3">
      <c r="A137" s="1">
        <v>41487</v>
      </c>
      <c r="B137" s="72">
        <v>3136286.8199999994</v>
      </c>
      <c r="C137" s="72">
        <v>1349310.2</v>
      </c>
      <c r="D137" s="72">
        <v>2305403.33</v>
      </c>
      <c r="E137" s="72">
        <v>3898158.6199999996</v>
      </c>
      <c r="F137" s="72">
        <v>804600.9</v>
      </c>
      <c r="G137" s="72">
        <v>6661074.7400000002</v>
      </c>
      <c r="J137" s="72">
        <v>10658443.490000002</v>
      </c>
      <c r="K137" s="72">
        <v>128071.54999999999</v>
      </c>
      <c r="L137" s="72">
        <v>260.77</v>
      </c>
      <c r="M137" s="72">
        <v>39826</v>
      </c>
      <c r="N137" s="72">
        <v>1415294.01</v>
      </c>
      <c r="O137" s="72">
        <v>610780.65</v>
      </c>
      <c r="P137" s="72">
        <v>1364</v>
      </c>
      <c r="Q137" s="72">
        <v>2432407.56</v>
      </c>
      <c r="R137" s="72">
        <v>25922.2</v>
      </c>
      <c r="S137" s="72">
        <v>468730</v>
      </c>
      <c r="T137" s="72">
        <v>1171.8</v>
      </c>
      <c r="U137" s="72">
        <v>1020631.0199999999</v>
      </c>
      <c r="V137" s="72">
        <v>438141.31000000006</v>
      </c>
      <c r="X137" s="72">
        <v>574756</v>
      </c>
      <c r="Y137" s="72">
        <v>3220</v>
      </c>
      <c r="Z137" s="72">
        <v>23507.67</v>
      </c>
      <c r="AA137" s="72">
        <v>395687.87</v>
      </c>
      <c r="AB137" s="72">
        <v>5398776.46</v>
      </c>
      <c r="AC137" s="72">
        <v>41791826.970000006</v>
      </c>
    </row>
    <row r="138" spans="1:29" x14ac:dyDescent="0.3">
      <c r="A138" s="1">
        <v>41518</v>
      </c>
      <c r="B138" s="72">
        <v>2976778.7300000009</v>
      </c>
      <c r="C138" s="72">
        <v>1291863.2000000002</v>
      </c>
      <c r="D138" s="72">
        <v>2444985.9</v>
      </c>
      <c r="E138" s="72">
        <v>4073332.17</v>
      </c>
      <c r="F138" s="72">
        <v>789541.8</v>
      </c>
      <c r="G138" s="72">
        <v>8472727.4800000004</v>
      </c>
      <c r="J138" s="72">
        <v>9378927.3400000017</v>
      </c>
      <c r="K138" s="72">
        <v>144518.28</v>
      </c>
      <c r="L138" s="72">
        <v>260.77</v>
      </c>
      <c r="M138" s="72">
        <v>39826</v>
      </c>
      <c r="N138" s="72">
        <v>1251539.06</v>
      </c>
      <c r="O138" s="72">
        <v>605089.19000000006</v>
      </c>
      <c r="P138" s="72">
        <v>1364</v>
      </c>
      <c r="Q138" s="72">
        <v>2470856.19</v>
      </c>
      <c r="R138" s="72">
        <v>29425.200000000001</v>
      </c>
      <c r="S138" s="72">
        <v>404750</v>
      </c>
      <c r="T138" s="72">
        <v>1171.8</v>
      </c>
      <c r="U138" s="72">
        <v>922634.77999999991</v>
      </c>
      <c r="V138" s="72">
        <v>431495.89</v>
      </c>
      <c r="X138" s="72">
        <v>591102</v>
      </c>
      <c r="Y138" s="72">
        <v>3220</v>
      </c>
      <c r="Z138" s="72">
        <v>27179.24</v>
      </c>
      <c r="AA138" s="72">
        <v>364125.94999999995</v>
      </c>
      <c r="AB138" s="72">
        <v>5574504.4199999999</v>
      </c>
      <c r="AC138" s="72">
        <v>42291219.390000015</v>
      </c>
    </row>
    <row r="139" spans="1:29" x14ac:dyDescent="0.3">
      <c r="A139" s="1">
        <v>41548</v>
      </c>
      <c r="B139" s="72">
        <v>2811403.6500000004</v>
      </c>
      <c r="C139" s="72">
        <v>1205108.3999999999</v>
      </c>
      <c r="D139" s="72">
        <v>2432764.0099999998</v>
      </c>
      <c r="E139" s="72">
        <v>3830595.0300000003</v>
      </c>
      <c r="F139" s="72">
        <v>710389.2</v>
      </c>
      <c r="G139" s="72">
        <v>8250794.8799999999</v>
      </c>
      <c r="J139" s="72">
        <v>8702076.0999999996</v>
      </c>
      <c r="K139" s="72">
        <v>157251.10999999999</v>
      </c>
      <c r="L139" s="72">
        <v>252.36</v>
      </c>
      <c r="M139" s="72">
        <v>39632</v>
      </c>
      <c r="N139" s="72">
        <v>1132301.6299999999</v>
      </c>
      <c r="O139" s="72">
        <v>564367.74</v>
      </c>
      <c r="P139" s="72">
        <v>1364</v>
      </c>
      <c r="Q139" s="72">
        <v>2314832.75</v>
      </c>
      <c r="R139" s="72">
        <v>31866</v>
      </c>
      <c r="S139" s="72">
        <v>432790</v>
      </c>
      <c r="T139" s="72">
        <v>1134</v>
      </c>
      <c r="U139" s="72">
        <v>798913.13</v>
      </c>
      <c r="V139" s="72">
        <v>364205.89</v>
      </c>
      <c r="X139" s="72">
        <v>640481</v>
      </c>
      <c r="Y139" s="72">
        <v>3220</v>
      </c>
      <c r="Z139" s="72">
        <v>29433.9</v>
      </c>
      <c r="AA139" s="72">
        <v>312683.71000000002</v>
      </c>
      <c r="AB139" s="72">
        <v>5361632.04</v>
      </c>
      <c r="AC139" s="72">
        <v>40129492.529999986</v>
      </c>
    </row>
    <row r="140" spans="1:29" x14ac:dyDescent="0.3">
      <c r="A140" s="1">
        <v>41579</v>
      </c>
      <c r="B140" s="72">
        <v>2659805.5299999998</v>
      </c>
      <c r="C140" s="72">
        <v>1309332.7</v>
      </c>
      <c r="D140" s="72">
        <v>2423236.3200000003</v>
      </c>
      <c r="E140" s="72">
        <v>3755855.47</v>
      </c>
      <c r="F140" s="72">
        <v>735405.8</v>
      </c>
      <c r="G140" s="72">
        <v>8159913.1399999997</v>
      </c>
      <c r="J140" s="72">
        <v>7777658.5200000023</v>
      </c>
      <c r="K140" s="72">
        <v>180700.99</v>
      </c>
      <c r="L140" s="72">
        <v>254.47</v>
      </c>
      <c r="M140" s="72">
        <v>39632</v>
      </c>
      <c r="N140" s="72">
        <v>1177383.67</v>
      </c>
      <c r="O140" s="72">
        <v>591059.43999999994</v>
      </c>
      <c r="P140" s="72">
        <v>1364</v>
      </c>
      <c r="Q140" s="72">
        <v>2364621</v>
      </c>
      <c r="R140" s="72">
        <v>37131.800000000003</v>
      </c>
      <c r="S140" s="72">
        <v>504810</v>
      </c>
      <c r="T140" s="72">
        <v>1171.8</v>
      </c>
      <c r="U140" s="72">
        <v>846499.34</v>
      </c>
      <c r="V140" s="72">
        <v>383091.56</v>
      </c>
      <c r="X140" s="72">
        <v>637979</v>
      </c>
      <c r="Y140" s="72">
        <v>3220</v>
      </c>
      <c r="Z140" s="72">
        <v>34297.58</v>
      </c>
      <c r="AA140" s="72">
        <v>360956.01</v>
      </c>
      <c r="AB140" s="72">
        <v>5118662.82</v>
      </c>
      <c r="AC140" s="72">
        <v>39104042.959999993</v>
      </c>
    </row>
    <row r="141" spans="1:29" x14ac:dyDescent="0.3">
      <c r="A141" s="1">
        <v>41609</v>
      </c>
      <c r="B141" s="72">
        <v>2946730.33</v>
      </c>
      <c r="C141" s="72">
        <f>3179270.7-1638217</f>
        <v>1541053.7000000002</v>
      </c>
      <c r="D141" s="72">
        <v>2776814.6799999997</v>
      </c>
      <c r="E141" s="72">
        <v>3433096.99</v>
      </c>
      <c r="F141" s="72">
        <v>649293.4</v>
      </c>
      <c r="G141" s="72">
        <v>8421255.7699999996</v>
      </c>
      <c r="J141" s="72">
        <v>9077697.3599999994</v>
      </c>
      <c r="K141" s="72">
        <v>181630.34000000003</v>
      </c>
      <c r="L141" s="72">
        <v>258.66000000000003</v>
      </c>
      <c r="M141" s="72">
        <v>39632</v>
      </c>
      <c r="N141" s="72">
        <v>1342670.11</v>
      </c>
      <c r="O141" s="72">
        <v>785182.97</v>
      </c>
      <c r="P141" s="72">
        <v>1364</v>
      </c>
      <c r="Q141" s="72">
        <v>2159674.7400000002</v>
      </c>
      <c r="R141" s="72">
        <v>39324</v>
      </c>
      <c r="S141" s="72">
        <v>543060</v>
      </c>
      <c r="T141" s="72">
        <v>1134</v>
      </c>
      <c r="U141" s="72">
        <v>973328.25999999989</v>
      </c>
      <c r="V141" s="72">
        <v>420853.04</v>
      </c>
      <c r="X141" s="72">
        <v>628854</v>
      </c>
      <c r="Y141" s="72">
        <v>3220</v>
      </c>
      <c r="Z141" s="72">
        <v>36322.5</v>
      </c>
      <c r="AA141" s="72">
        <v>584827.82999999996</v>
      </c>
      <c r="AB141" s="72">
        <v>4589251.16</v>
      </c>
      <c r="AC141" s="72">
        <v>50000451.060000002</v>
      </c>
    </row>
    <row r="142" spans="1:29" x14ac:dyDescent="0.3">
      <c r="A142" s="1">
        <v>41640</v>
      </c>
      <c r="B142" s="72">
        <v>3190910.8</v>
      </c>
      <c r="C142" s="72">
        <v>1638217</v>
      </c>
      <c r="D142" s="72">
        <v>2717024.89</v>
      </c>
      <c r="E142" s="72">
        <v>3336369.7600000002</v>
      </c>
      <c r="F142" s="72">
        <v>616075.9</v>
      </c>
      <c r="G142" s="72">
        <v>7145704.2199999997</v>
      </c>
      <c r="J142" s="72">
        <v>10857571.589999998</v>
      </c>
      <c r="K142" s="72">
        <v>198518.5</v>
      </c>
      <c r="L142" s="72">
        <v>260.77000000000004</v>
      </c>
      <c r="M142" s="72">
        <v>45608</v>
      </c>
      <c r="N142" s="72">
        <v>1628652.8900000001</v>
      </c>
      <c r="O142" s="72">
        <v>757938.6399999999</v>
      </c>
      <c r="P142" s="72">
        <v>1364</v>
      </c>
      <c r="Q142" s="72">
        <v>1952850.9799999997</v>
      </c>
      <c r="R142" s="72">
        <v>42736.6</v>
      </c>
      <c r="S142" s="72">
        <v>463670.52</v>
      </c>
      <c r="T142" s="72">
        <v>1171.8</v>
      </c>
      <c r="U142" s="72">
        <v>1161937.19</v>
      </c>
      <c r="V142" s="72">
        <v>473496.7</v>
      </c>
      <c r="X142" s="72">
        <v>666976</v>
      </c>
      <c r="Y142" s="72">
        <v>3220</v>
      </c>
      <c r="Z142" s="72">
        <v>39474.78</v>
      </c>
      <c r="AA142" s="72">
        <v>399646.8</v>
      </c>
      <c r="AB142" s="72">
        <v>4711134.42</v>
      </c>
      <c r="AC142" s="72">
        <v>33266611.530000001</v>
      </c>
    </row>
    <row r="143" spans="1:29" x14ac:dyDescent="0.3">
      <c r="A143" s="1">
        <v>41671</v>
      </c>
      <c r="B143" s="72">
        <v>3440727.3</v>
      </c>
      <c r="C143" s="72">
        <v>1782146.4</v>
      </c>
      <c r="D143" s="72">
        <v>2752996.5700000003</v>
      </c>
      <c r="E143" s="72">
        <v>5707192.9300000006</v>
      </c>
      <c r="F143" s="72">
        <v>678801.6</v>
      </c>
      <c r="G143" s="72">
        <v>8681190.2599999998</v>
      </c>
      <c r="J143" s="72">
        <v>11547616.580000002</v>
      </c>
      <c r="K143" s="72">
        <v>67276.429999999993</v>
      </c>
      <c r="L143" s="72">
        <v>260.77</v>
      </c>
      <c r="M143" s="72">
        <v>39669</v>
      </c>
      <c r="N143" s="72">
        <v>1692575.31</v>
      </c>
      <c r="O143" s="72">
        <v>827615.31</v>
      </c>
      <c r="P143" s="72">
        <v>1364</v>
      </c>
      <c r="Q143" s="72">
        <v>2179165.56</v>
      </c>
      <c r="R143" s="72">
        <v>42226.5</v>
      </c>
      <c r="S143" s="72">
        <v>492507.29</v>
      </c>
      <c r="T143" s="72">
        <v>1171.8</v>
      </c>
      <c r="U143" s="72">
        <v>1229488.56</v>
      </c>
      <c r="V143" s="72">
        <v>514413.3</v>
      </c>
      <c r="X143" s="72">
        <v>684822</v>
      </c>
      <c r="Y143" s="72">
        <v>3220</v>
      </c>
      <c r="Z143" s="72">
        <v>36386.25</v>
      </c>
      <c r="AA143" s="72">
        <v>362649.46</v>
      </c>
      <c r="AB143" s="72">
        <v>4976029.16</v>
      </c>
      <c r="AC143" s="72">
        <v>47741512.340000004</v>
      </c>
    </row>
    <row r="144" spans="1:29" x14ac:dyDescent="0.3">
      <c r="A144" s="1">
        <v>41699</v>
      </c>
      <c r="B144" s="72">
        <v>3317558.9200000004</v>
      </c>
      <c r="C144" s="72">
        <v>1552111.2999999998</v>
      </c>
      <c r="D144" s="72">
        <v>2775692.4299999997</v>
      </c>
      <c r="E144" s="72">
        <v>4053790.13</v>
      </c>
      <c r="F144" s="72">
        <v>605792.1</v>
      </c>
      <c r="G144" s="72">
        <v>8089472.25</v>
      </c>
      <c r="J144" s="72">
        <v>11026164.929999998</v>
      </c>
      <c r="K144" s="72">
        <v>144306.6</v>
      </c>
      <c r="L144" s="72">
        <v>235.54000000000002</v>
      </c>
      <c r="M144" s="72">
        <v>39724</v>
      </c>
      <c r="N144" s="72">
        <v>1442235.3499999999</v>
      </c>
      <c r="O144" s="72">
        <v>739343.42999999993</v>
      </c>
      <c r="P144" s="72">
        <v>1364</v>
      </c>
      <c r="Q144" s="72">
        <v>2089491.97</v>
      </c>
      <c r="R144" s="72">
        <v>34959.300000000003</v>
      </c>
      <c r="S144" s="72">
        <v>439685.25</v>
      </c>
      <c r="T144" s="72">
        <v>1058.4000000000001</v>
      </c>
      <c r="U144" s="72">
        <v>1070035.6599999999</v>
      </c>
      <c r="V144" s="72">
        <v>461535.41</v>
      </c>
      <c r="X144" s="72">
        <v>599970</v>
      </c>
      <c r="Y144" s="72">
        <v>3220</v>
      </c>
      <c r="Z144" s="72">
        <v>30126.32</v>
      </c>
      <c r="AA144" s="72">
        <v>307385.78999999998</v>
      </c>
      <c r="AB144" s="72">
        <v>4633515.68</v>
      </c>
      <c r="AC144" s="72">
        <v>43458774.75999999</v>
      </c>
    </row>
    <row r="145" spans="1:37" x14ac:dyDescent="0.3">
      <c r="A145" s="1">
        <v>41730</v>
      </c>
      <c r="B145" s="72">
        <v>2934167.9399999995</v>
      </c>
      <c r="C145" s="72">
        <v>1557780</v>
      </c>
      <c r="D145" s="72">
        <v>2468413.46</v>
      </c>
      <c r="E145" s="72">
        <v>4122351.1900000004</v>
      </c>
      <c r="F145" s="72">
        <v>613170.6</v>
      </c>
      <c r="G145" s="72">
        <v>8653933.0999999996</v>
      </c>
      <c r="J145" s="72">
        <v>9738256.5899999999</v>
      </c>
      <c r="K145" s="72">
        <v>126762.78</v>
      </c>
      <c r="L145" s="72">
        <v>260.77</v>
      </c>
      <c r="M145" s="72">
        <v>39724</v>
      </c>
      <c r="N145" s="72">
        <v>1464889.04</v>
      </c>
      <c r="O145" s="72">
        <v>742926.13</v>
      </c>
      <c r="P145" s="72">
        <v>1364</v>
      </c>
      <c r="Q145" s="72">
        <v>2331201.0700000003</v>
      </c>
      <c r="R145" s="72">
        <v>35186.54</v>
      </c>
      <c r="S145" s="72">
        <v>491262.12</v>
      </c>
      <c r="T145" s="72">
        <v>1171.8</v>
      </c>
      <c r="U145" s="72">
        <v>1073255.3700000001</v>
      </c>
      <c r="V145" s="72">
        <v>482685.77</v>
      </c>
      <c r="X145" s="72">
        <v>497600</v>
      </c>
      <c r="Y145" s="72">
        <v>3220</v>
      </c>
      <c r="Z145" s="72">
        <v>30322.03</v>
      </c>
      <c r="AA145" s="72">
        <v>466693.08999999997</v>
      </c>
      <c r="AB145" s="72">
        <v>4736158.84</v>
      </c>
      <c r="AC145" s="72">
        <v>42612756.230000004</v>
      </c>
    </row>
    <row r="146" spans="1:37" x14ac:dyDescent="0.3">
      <c r="A146" s="1">
        <v>41760</v>
      </c>
      <c r="B146" s="72">
        <v>2578798.13</v>
      </c>
      <c r="C146" s="72">
        <v>1239738.3</v>
      </c>
      <c r="D146" s="72">
        <v>1155487.2599999998</v>
      </c>
      <c r="E146" s="72">
        <v>3645317.9499999997</v>
      </c>
      <c r="F146" s="72">
        <v>5698739.6200000001</v>
      </c>
      <c r="G146" s="72">
        <v>7884298.4699999997</v>
      </c>
      <c r="J146" s="72">
        <v>8531288.0800000001</v>
      </c>
      <c r="K146" s="72">
        <v>105155.45000000001</v>
      </c>
      <c r="L146" s="72">
        <v>252.36</v>
      </c>
      <c r="M146" s="72">
        <v>39724</v>
      </c>
      <c r="N146" s="72">
        <v>1188606.25</v>
      </c>
      <c r="O146" s="72">
        <v>584159.85</v>
      </c>
      <c r="P146" s="72">
        <v>1364</v>
      </c>
      <c r="Q146" s="72">
        <v>2164927.8199999998</v>
      </c>
      <c r="R146" s="72">
        <v>29965.21</v>
      </c>
      <c r="S146" s="72">
        <v>412001.34</v>
      </c>
      <c r="T146" s="72">
        <v>1134</v>
      </c>
      <c r="U146" s="72">
        <v>844057.46</v>
      </c>
      <c r="V146" s="72">
        <v>398567.39</v>
      </c>
      <c r="X146" s="72">
        <v>459594</v>
      </c>
      <c r="Y146" s="72">
        <v>-1020</v>
      </c>
      <c r="Z146" s="72">
        <v>25822.5</v>
      </c>
      <c r="AA146" s="72">
        <v>409090.19</v>
      </c>
      <c r="AC146" s="72">
        <v>37397069.629999995</v>
      </c>
    </row>
    <row r="147" spans="1:37" x14ac:dyDescent="0.3">
      <c r="A147" s="1">
        <v>41791</v>
      </c>
      <c r="B147" s="72">
        <v>2465873.69</v>
      </c>
      <c r="C147" s="72">
        <v>1189778.1999999997</v>
      </c>
      <c r="D147" s="72">
        <v>2121465.64</v>
      </c>
      <c r="E147" s="72">
        <v>4082472.61</v>
      </c>
      <c r="F147" s="72">
        <v>6042081.7599999998</v>
      </c>
      <c r="G147" s="72">
        <v>8446977.8999999985</v>
      </c>
      <c r="J147" s="72">
        <v>7587974.6799999997</v>
      </c>
      <c r="K147" s="72">
        <v>94421.98000000001</v>
      </c>
      <c r="L147" s="72">
        <v>260.77</v>
      </c>
      <c r="M147" s="72">
        <v>39724</v>
      </c>
      <c r="N147" s="72">
        <v>1094671.5799999998</v>
      </c>
      <c r="O147" s="72">
        <v>556932.53</v>
      </c>
      <c r="P147" s="72">
        <v>1364</v>
      </c>
      <c r="Q147" s="72">
        <v>2369344.0699999998</v>
      </c>
      <c r="S147" s="72">
        <v>416996.04000000004</v>
      </c>
      <c r="T147" s="72">
        <v>1171.8</v>
      </c>
      <c r="U147" s="72">
        <v>767953.25</v>
      </c>
      <c r="V147" s="72">
        <v>376958.16000000003</v>
      </c>
      <c r="X147" s="72">
        <v>468989</v>
      </c>
      <c r="Y147" s="72">
        <v>2690</v>
      </c>
      <c r="Z147" s="72">
        <v>23651.14</v>
      </c>
      <c r="AA147" s="72">
        <v>410158.88</v>
      </c>
      <c r="AC147" s="72">
        <v>38561911.679999992</v>
      </c>
    </row>
    <row r="148" spans="1:37" x14ac:dyDescent="0.3">
      <c r="A148" s="1">
        <v>41821</v>
      </c>
      <c r="B148" s="72">
        <v>2887267.7600000002</v>
      </c>
      <c r="C148" s="72">
        <v>1235955.6000000001</v>
      </c>
      <c r="D148" s="72">
        <v>2332867.02</v>
      </c>
      <c r="E148" s="72">
        <v>4259440.58</v>
      </c>
      <c r="F148" s="72">
        <v>5537029.4199999999</v>
      </c>
      <c r="G148" s="72">
        <v>8003559.9699999997</v>
      </c>
      <c r="J148" s="72">
        <v>8654282.8900000006</v>
      </c>
      <c r="K148" s="72">
        <v>88207.8</v>
      </c>
      <c r="L148" s="72">
        <v>252.36</v>
      </c>
      <c r="M148" s="72">
        <v>39724</v>
      </c>
      <c r="N148" s="72">
        <v>1173803.47</v>
      </c>
      <c r="O148" s="72">
        <v>572829.96000000008</v>
      </c>
      <c r="P148" s="72">
        <v>1364</v>
      </c>
      <c r="Q148" s="72">
        <v>2122842.44</v>
      </c>
      <c r="R148" s="72">
        <v>51963.54</v>
      </c>
      <c r="S148" s="72">
        <v>373713.74</v>
      </c>
      <c r="T148" s="72">
        <v>1134</v>
      </c>
      <c r="U148" s="72">
        <v>832102.65</v>
      </c>
      <c r="V148" s="72">
        <v>384618.92</v>
      </c>
      <c r="X148" s="72">
        <v>518287</v>
      </c>
      <c r="Y148" s="72">
        <v>2690</v>
      </c>
      <c r="Z148" s="72">
        <v>21127.5</v>
      </c>
      <c r="AA148" s="72">
        <v>446055.74</v>
      </c>
      <c r="AC148" s="72">
        <v>39541120.360000007</v>
      </c>
    </row>
    <row r="149" spans="1:37" x14ac:dyDescent="0.3">
      <c r="A149" s="1">
        <v>41852</v>
      </c>
      <c r="B149" s="72">
        <v>2812247.9699999997</v>
      </c>
      <c r="C149" s="72">
        <v>1277565.2999999998</v>
      </c>
      <c r="D149" s="72">
        <v>2114423.39</v>
      </c>
      <c r="E149" s="72">
        <v>4157224.6100000003</v>
      </c>
      <c r="F149" s="72">
        <v>6352286.1799999997</v>
      </c>
      <c r="G149" s="72">
        <v>6572842.2400000002</v>
      </c>
      <c r="J149" s="72">
        <v>9264878.6500000004</v>
      </c>
      <c r="K149" s="72">
        <v>97811.45</v>
      </c>
      <c r="L149" s="72">
        <v>260.77</v>
      </c>
      <c r="M149" s="72">
        <v>39724</v>
      </c>
      <c r="N149" s="72">
        <v>1216600.3999999999</v>
      </c>
      <c r="O149" s="72">
        <v>603939.29</v>
      </c>
      <c r="P149" s="72">
        <v>1364</v>
      </c>
      <c r="Q149" s="72">
        <v>2333182.75</v>
      </c>
      <c r="R149" s="72">
        <v>26038.16</v>
      </c>
      <c r="S149" s="72">
        <v>356411.67</v>
      </c>
      <c r="T149" s="72">
        <v>1171.8</v>
      </c>
      <c r="U149" s="72">
        <v>866867.02</v>
      </c>
      <c r="V149" s="72">
        <v>403502.91000000003</v>
      </c>
      <c r="X149" s="72">
        <v>386631</v>
      </c>
      <c r="Y149" s="72">
        <v>2690</v>
      </c>
      <c r="Z149" s="72">
        <v>22438.11</v>
      </c>
      <c r="AA149" s="72">
        <v>454703.14</v>
      </c>
      <c r="AC149" s="72">
        <v>39364804.809999987</v>
      </c>
    </row>
    <row r="150" spans="1:37" x14ac:dyDescent="0.3">
      <c r="A150" s="1">
        <v>41883</v>
      </c>
      <c r="B150" s="72">
        <v>2901393.96</v>
      </c>
      <c r="C150" s="72">
        <v>1282604.8</v>
      </c>
      <c r="D150" s="72">
        <v>2298529.7800000003</v>
      </c>
      <c r="E150" s="72">
        <v>4326002.17</v>
      </c>
      <c r="F150" s="72">
        <v>6445144.7199999997</v>
      </c>
      <c r="G150" s="72">
        <v>8598221.7300000004</v>
      </c>
      <c r="J150" s="72">
        <v>9114623.9200000018</v>
      </c>
      <c r="K150" s="72">
        <v>110320.54000000001</v>
      </c>
      <c r="L150" s="72">
        <v>260.77</v>
      </c>
      <c r="M150" s="72">
        <v>39396</v>
      </c>
      <c r="N150" s="72">
        <v>1233282.02</v>
      </c>
      <c r="O150" s="72">
        <v>611560.32999999996</v>
      </c>
      <c r="P150" s="72">
        <v>1364</v>
      </c>
      <c r="Q150" s="72">
        <v>2234117.3899999997</v>
      </c>
      <c r="R150" s="72">
        <v>29557.47</v>
      </c>
      <c r="S150" s="72">
        <v>389816.92</v>
      </c>
      <c r="T150" s="72">
        <v>1171.8</v>
      </c>
      <c r="U150" s="72">
        <v>865759.41999999993</v>
      </c>
      <c r="V150" s="72">
        <v>393283.46</v>
      </c>
      <c r="X150" s="72">
        <v>417713</v>
      </c>
      <c r="Y150" s="72">
        <v>2690</v>
      </c>
      <c r="Z150" s="72">
        <v>25470.53</v>
      </c>
      <c r="AA150" s="72">
        <v>496800.61</v>
      </c>
      <c r="AC150" s="72">
        <v>41819085.340000004</v>
      </c>
    </row>
    <row r="151" spans="1:37" x14ac:dyDescent="0.3">
      <c r="A151" s="1">
        <v>41913</v>
      </c>
      <c r="B151" s="72">
        <v>2659487.62</v>
      </c>
      <c r="C151" s="72">
        <v>1202013.6000000001</v>
      </c>
      <c r="D151" s="72">
        <v>2300082.13</v>
      </c>
      <c r="E151" s="72">
        <v>4224695.5</v>
      </c>
      <c r="F151" s="72">
        <v>5738178.8999999994</v>
      </c>
      <c r="G151" s="72">
        <v>8745117.5700000003</v>
      </c>
      <c r="J151" s="72">
        <v>8413612.5099999979</v>
      </c>
      <c r="K151" s="72">
        <v>118032.17000000001</v>
      </c>
      <c r="L151" s="72">
        <v>252.36</v>
      </c>
      <c r="M151" s="72">
        <v>39396</v>
      </c>
      <c r="N151" s="72">
        <v>1120541.19</v>
      </c>
      <c r="O151" s="72">
        <v>577247.24</v>
      </c>
      <c r="P151" s="72">
        <v>1364</v>
      </c>
      <c r="Q151" s="72">
        <v>2288345.9700000002</v>
      </c>
      <c r="R151" s="72">
        <v>32010.19</v>
      </c>
      <c r="S151" s="72">
        <v>441043.48</v>
      </c>
      <c r="T151" s="72">
        <v>1134</v>
      </c>
      <c r="U151" s="72">
        <v>792020.25</v>
      </c>
      <c r="V151" s="72">
        <v>359868.87</v>
      </c>
      <c r="X151" s="72">
        <v>428331</v>
      </c>
      <c r="Y151" s="72">
        <v>2690</v>
      </c>
      <c r="Z151" s="72">
        <v>27583.200000000001</v>
      </c>
      <c r="AA151" s="72">
        <v>499311.01</v>
      </c>
      <c r="AC151" s="72">
        <v>40012358.75999999</v>
      </c>
    </row>
    <row r="152" spans="1:37" x14ac:dyDescent="0.3">
      <c r="A152" s="1">
        <v>41944</v>
      </c>
      <c r="B152" s="72">
        <v>2488959.61</v>
      </c>
      <c r="C152" s="72">
        <v>1218691.3999999999</v>
      </c>
      <c r="D152" s="72">
        <v>2229414.9299999997</v>
      </c>
      <c r="E152" s="72">
        <v>4492223.07</v>
      </c>
      <c r="F152" s="72">
        <v>5700081.7799999993</v>
      </c>
      <c r="G152" s="72">
        <v>8525844.6699999999</v>
      </c>
      <c r="J152" s="72">
        <v>7689077.7200000007</v>
      </c>
      <c r="K152" s="72">
        <v>135406.39999999999</v>
      </c>
      <c r="L152" s="72">
        <v>254.47</v>
      </c>
      <c r="M152" s="72">
        <v>39396</v>
      </c>
      <c r="N152" s="72">
        <v>1161239.3999999999</v>
      </c>
      <c r="O152" s="72">
        <v>571398.1399999999</v>
      </c>
      <c r="P152" s="72">
        <v>1364</v>
      </c>
      <c r="Q152" s="72">
        <v>2169777.34</v>
      </c>
      <c r="R152" s="72">
        <v>37298.26</v>
      </c>
      <c r="S152" s="72">
        <v>436034.88</v>
      </c>
      <c r="T152" s="72">
        <v>1171.8</v>
      </c>
      <c r="U152" s="72">
        <v>824320.58</v>
      </c>
      <c r="V152" s="72">
        <v>365145.73</v>
      </c>
      <c r="X152" s="72">
        <v>425586</v>
      </c>
      <c r="Y152" s="72">
        <v>2690</v>
      </c>
      <c r="Z152" s="72">
        <v>32141.42</v>
      </c>
      <c r="AA152" s="72">
        <v>521477.17999999993</v>
      </c>
      <c r="AC152" s="72">
        <v>6020419.6399999997</v>
      </c>
    </row>
    <row r="153" spans="1:37" x14ac:dyDescent="0.3">
      <c r="A153" s="1">
        <v>41974</v>
      </c>
      <c r="B153" s="72">
        <v>3276596.15</v>
      </c>
      <c r="C153" s="72">
        <v>1554852.6</v>
      </c>
      <c r="D153" s="72">
        <v>2446945.98</v>
      </c>
      <c r="E153" s="72">
        <v>4011523.6300000008</v>
      </c>
      <c r="F153" s="72">
        <v>3622214.38</v>
      </c>
      <c r="G153" s="72">
        <v>8511775.8000000007</v>
      </c>
      <c r="J153" s="72">
        <v>8960917.3700000029</v>
      </c>
      <c r="K153" s="72">
        <v>131362.9</v>
      </c>
      <c r="L153" s="72">
        <v>258.66000000000003</v>
      </c>
      <c r="M153" s="72">
        <v>39396</v>
      </c>
      <c r="N153" s="72">
        <v>1357172</v>
      </c>
      <c r="O153" s="72">
        <v>742807.52</v>
      </c>
      <c r="P153" s="72">
        <v>1364</v>
      </c>
      <c r="Q153" s="72">
        <v>2000340.48</v>
      </c>
      <c r="R153" s="72">
        <v>39502.199999999997</v>
      </c>
      <c r="S153" s="72">
        <v>457905.28</v>
      </c>
      <c r="T153" s="72">
        <v>1134</v>
      </c>
      <c r="U153" s="72">
        <v>973448</v>
      </c>
      <c r="V153" s="72">
        <v>425957.12</v>
      </c>
      <c r="X153" s="72">
        <v>437170</v>
      </c>
      <c r="Y153" s="72">
        <v>2690</v>
      </c>
      <c r="Z153" s="72">
        <v>34038.9</v>
      </c>
      <c r="AA153" s="72">
        <v>643475.55000000005</v>
      </c>
      <c r="AC153" s="72">
        <f>SUM(B153:AB153)</f>
        <v>39672848.519999996</v>
      </c>
    </row>
    <row r="154" spans="1:37" x14ac:dyDescent="0.3">
      <c r="A154" s="1">
        <v>42005</v>
      </c>
      <c r="B154" s="72">
        <v>3538854.1599999997</v>
      </c>
      <c r="C154" s="72">
        <v>1737237.6</v>
      </c>
      <c r="D154" s="72">
        <v>2374813</v>
      </c>
      <c r="E154" s="72">
        <v>3675519.69</v>
      </c>
      <c r="F154" s="72">
        <v>5982244.8200000003</v>
      </c>
      <c r="G154" s="72">
        <v>7734732.9699999997</v>
      </c>
      <c r="J154" s="72">
        <v>10192759.379999997</v>
      </c>
      <c r="K154" s="72">
        <v>149041.60000000001</v>
      </c>
      <c r="L154" s="72">
        <v>260.77000000000004</v>
      </c>
      <c r="M154" s="72">
        <v>53596</v>
      </c>
      <c r="N154" s="72">
        <v>1528079.03</v>
      </c>
      <c r="O154" s="72">
        <v>668892.75</v>
      </c>
      <c r="P154" s="72">
        <v>1364</v>
      </c>
      <c r="Q154" s="72">
        <v>1902397.33</v>
      </c>
      <c r="R154" s="72">
        <v>42927.95</v>
      </c>
      <c r="S154" s="72">
        <v>402991.89</v>
      </c>
      <c r="T154" s="72">
        <v>1171.8</v>
      </c>
      <c r="U154" s="72">
        <v>1079831.6400000001</v>
      </c>
      <c r="V154" s="72">
        <v>455348.07</v>
      </c>
      <c r="X154" s="72">
        <v>437670</v>
      </c>
      <c r="Y154" s="72">
        <v>2690</v>
      </c>
      <c r="Z154" s="72">
        <v>36992.61</v>
      </c>
      <c r="AA154" s="72">
        <v>637302.55000000005</v>
      </c>
      <c r="AC154" s="72">
        <f t="shared" ref="AC154:AC178" si="0">SUM(B154:AB154)</f>
        <v>42636719.609999999</v>
      </c>
    </row>
    <row r="155" spans="1:37" x14ac:dyDescent="0.3">
      <c r="A155" s="1">
        <v>42036</v>
      </c>
      <c r="B155" s="74">
        <v>3746665.9900000007</v>
      </c>
      <c r="C155" s="74">
        <v>1739158.5</v>
      </c>
      <c r="D155" s="74">
        <v>2258745.16</v>
      </c>
      <c r="E155" s="74">
        <v>4130276.25</v>
      </c>
      <c r="F155" s="74">
        <v>5050698.46</v>
      </c>
      <c r="G155" s="74">
        <v>8612488.6600000001</v>
      </c>
      <c r="H155" s="74"/>
      <c r="I155" s="74"/>
      <c r="J155" s="72">
        <v>11048259.15</v>
      </c>
      <c r="K155" s="72">
        <v>138946.18</v>
      </c>
      <c r="L155" s="72">
        <v>260.77</v>
      </c>
      <c r="M155" s="72">
        <v>39742</v>
      </c>
      <c r="N155" s="72">
        <v>1626351.48</v>
      </c>
      <c r="O155" s="72">
        <v>915568.47</v>
      </c>
      <c r="P155" s="72">
        <v>1364</v>
      </c>
      <c r="Q155" s="72">
        <v>2039115.04</v>
      </c>
      <c r="R155" s="72">
        <v>42223.5</v>
      </c>
      <c r="S155" s="72">
        <v>427529.43</v>
      </c>
      <c r="T155" s="72">
        <v>1171.8</v>
      </c>
      <c r="U155" s="72">
        <v>1189566.73</v>
      </c>
      <c r="V155" s="72">
        <v>520090.13</v>
      </c>
      <c r="X155" s="72">
        <v>478494</v>
      </c>
      <c r="Y155" s="72">
        <v>2690</v>
      </c>
      <c r="Z155" s="72">
        <v>36386.25</v>
      </c>
      <c r="AA155" s="72">
        <v>555630.22</v>
      </c>
      <c r="AC155" s="72">
        <f t="shared" si="0"/>
        <v>44601422.169999994</v>
      </c>
      <c r="AD155" s="64"/>
      <c r="AE155" s="64"/>
      <c r="AF155" s="64"/>
      <c r="AG155" s="64"/>
      <c r="AH155" s="64"/>
      <c r="AI155" s="64"/>
      <c r="AJ155" s="64"/>
      <c r="AK155" s="64"/>
    </row>
    <row r="156" spans="1:37" x14ac:dyDescent="0.3">
      <c r="A156" s="1">
        <v>42064</v>
      </c>
      <c r="B156" s="75">
        <v>3846157.54</v>
      </c>
      <c r="C156" s="72">
        <v>1664129.1</v>
      </c>
      <c r="D156" s="72">
        <v>2222354.9900000002</v>
      </c>
      <c r="E156" s="72">
        <v>3869991.8</v>
      </c>
      <c r="F156" s="72">
        <v>4800763.5999999996</v>
      </c>
      <c r="G156" s="72">
        <v>8295528.8300000001</v>
      </c>
      <c r="J156" s="72">
        <v>10870855.840000002</v>
      </c>
      <c r="K156" s="72">
        <v>122676.58</v>
      </c>
      <c r="L156" s="72">
        <v>235.54000000000002</v>
      </c>
      <c r="M156" s="72">
        <v>40192</v>
      </c>
      <c r="N156" s="72">
        <v>1498242.1</v>
      </c>
      <c r="O156" s="72">
        <v>775092.39</v>
      </c>
      <c r="P156" s="72">
        <v>1364</v>
      </c>
      <c r="Q156" s="72">
        <v>2007223.1</v>
      </c>
      <c r="R156" s="72">
        <v>34959.17</v>
      </c>
      <c r="S156" s="72">
        <v>384734.2</v>
      </c>
      <c r="T156" s="72">
        <v>1058.4000000000001</v>
      </c>
      <c r="U156" s="72">
        <v>1106122.7300000002</v>
      </c>
      <c r="V156" s="72">
        <v>501856.56999999995</v>
      </c>
      <c r="X156" s="72">
        <v>435770</v>
      </c>
      <c r="Y156" s="72">
        <v>2690</v>
      </c>
      <c r="Z156" s="72">
        <v>30126.32</v>
      </c>
      <c r="AA156" s="60">
        <f>251217.16+231012</f>
        <v>482229.16000000003</v>
      </c>
      <c r="AC156" s="72">
        <f t="shared" si="0"/>
        <v>42994353.960000001</v>
      </c>
      <c r="AD156" s="61"/>
    </row>
    <row r="157" spans="1:37" x14ac:dyDescent="0.3">
      <c r="A157" s="1">
        <v>42095</v>
      </c>
      <c r="B157" s="75">
        <v>3310408.1199999996</v>
      </c>
      <c r="C157" s="72">
        <v>1503926.9</v>
      </c>
      <c r="D157" s="72">
        <v>2009777.38</v>
      </c>
      <c r="E157" s="72">
        <v>3878084.1199999996</v>
      </c>
      <c r="F157" s="72">
        <v>5207145.47</v>
      </c>
      <c r="G157" s="72">
        <v>8823625.1699999999</v>
      </c>
      <c r="J157" s="72">
        <v>9453063.7799999993</v>
      </c>
      <c r="K157" s="72">
        <v>118215.44</v>
      </c>
      <c r="L157" s="72">
        <v>260.77</v>
      </c>
      <c r="M157" s="72">
        <v>40192</v>
      </c>
      <c r="N157" s="72">
        <v>1387993.08</v>
      </c>
      <c r="O157" s="72">
        <v>721162.94</v>
      </c>
      <c r="P157" s="72">
        <v>1364</v>
      </c>
      <c r="Q157" s="72">
        <v>2214250.7300000004</v>
      </c>
      <c r="R157" s="72">
        <v>35187.53</v>
      </c>
      <c r="S157" s="72">
        <v>485645.83999999997</v>
      </c>
      <c r="T157" s="72">
        <v>1171.8</v>
      </c>
      <c r="U157" s="72">
        <v>1010345.32</v>
      </c>
      <c r="V157" s="72">
        <v>478951.26</v>
      </c>
      <c r="X157" s="72">
        <v>462070</v>
      </c>
      <c r="Y157" s="72">
        <v>2690</v>
      </c>
      <c r="Z157" s="72">
        <v>30322.03</v>
      </c>
      <c r="AA157" s="60">
        <f>745077.33-231012</f>
        <v>514065.32999999996</v>
      </c>
      <c r="AC157" s="72">
        <f t="shared" si="0"/>
        <v>41689919.00999999</v>
      </c>
    </row>
    <row r="158" spans="1:37" x14ac:dyDescent="0.3">
      <c r="A158" s="1">
        <v>42125</v>
      </c>
      <c r="B158" s="75">
        <v>2847670.94</v>
      </c>
      <c r="C158" s="72">
        <v>1237955.8999999999</v>
      </c>
      <c r="D158" s="72">
        <v>1885523.01</v>
      </c>
      <c r="E158" s="72">
        <v>3558743.8600000003</v>
      </c>
      <c r="F158" s="72">
        <v>4741465.04</v>
      </c>
      <c r="G158" s="72">
        <v>8038577.0099999998</v>
      </c>
      <c r="J158" s="72">
        <v>8255623.1099999975</v>
      </c>
      <c r="K158" s="72">
        <v>100770.09</v>
      </c>
      <c r="L158" s="72">
        <v>252.36</v>
      </c>
      <c r="M158" s="72">
        <v>40192</v>
      </c>
      <c r="N158" s="72">
        <v>1145940.5899999999</v>
      </c>
      <c r="O158" s="72">
        <v>576972.09</v>
      </c>
      <c r="P158" s="72">
        <v>1364</v>
      </c>
      <c r="Q158" s="72">
        <v>2157007.1800000002</v>
      </c>
      <c r="R158" s="72">
        <v>18753.900000000001</v>
      </c>
      <c r="S158" s="72">
        <v>420950.77</v>
      </c>
      <c r="T158" s="72">
        <v>1134</v>
      </c>
      <c r="U158" s="72">
        <v>824414.16</v>
      </c>
      <c r="V158" s="72">
        <v>394410.55000000005</v>
      </c>
      <c r="X158" s="72">
        <v>426556</v>
      </c>
      <c r="Y158" s="72">
        <v>2690</v>
      </c>
      <c r="Z158" s="72">
        <v>25212</v>
      </c>
      <c r="AA158" s="72">
        <v>453834.45999999996</v>
      </c>
      <c r="AC158" s="72">
        <f t="shared" si="0"/>
        <v>37156013.019999996</v>
      </c>
    </row>
    <row r="159" spans="1:37" x14ac:dyDescent="0.3">
      <c r="A159" s="1">
        <v>42156</v>
      </c>
      <c r="B159" s="75">
        <v>2782413.4000000004</v>
      </c>
      <c r="C159" s="72">
        <v>1172731.6000000001</v>
      </c>
      <c r="D159" s="72">
        <v>1802253.63</v>
      </c>
      <c r="E159" s="72">
        <v>3943239.33</v>
      </c>
      <c r="F159" s="72">
        <v>5530987.3599999994</v>
      </c>
      <c r="G159" s="72">
        <v>8379768.7000000002</v>
      </c>
      <c r="J159" s="72">
        <v>7628876.7599999998</v>
      </c>
      <c r="K159" s="72">
        <v>93680.420000000013</v>
      </c>
      <c r="L159" s="72">
        <v>260.77</v>
      </c>
      <c r="M159" s="72">
        <v>40192</v>
      </c>
      <c r="N159" s="72">
        <v>1099319.69</v>
      </c>
      <c r="O159" s="72">
        <v>548456.29</v>
      </c>
      <c r="P159" s="72">
        <v>1364</v>
      </c>
      <c r="Q159" s="72">
        <v>2241845.27</v>
      </c>
      <c r="R159" s="72">
        <v>17176.79</v>
      </c>
      <c r="S159" s="72">
        <v>370195.33999999997</v>
      </c>
      <c r="T159" s="72">
        <v>1171.8</v>
      </c>
      <c r="U159" s="72">
        <v>772774.3</v>
      </c>
      <c r="V159" s="72">
        <v>364987.34999999992</v>
      </c>
      <c r="X159" s="72">
        <v>436908</v>
      </c>
      <c r="Y159" s="72">
        <v>2690</v>
      </c>
      <c r="Z159" s="72">
        <v>23091.9</v>
      </c>
      <c r="AA159" s="72">
        <v>449853.83</v>
      </c>
      <c r="AC159" s="72">
        <f t="shared" si="0"/>
        <v>37704238.530000001</v>
      </c>
    </row>
    <row r="160" spans="1:37" x14ac:dyDescent="0.3">
      <c r="A160" s="1">
        <v>42186</v>
      </c>
      <c r="B160" s="75">
        <v>2974889.3599999989</v>
      </c>
      <c r="C160" s="72">
        <v>1186813.6000000001</v>
      </c>
      <c r="D160" s="72">
        <v>1841986.8599999999</v>
      </c>
      <c r="E160" s="72">
        <v>3731277.5500000003</v>
      </c>
      <c r="F160" s="72">
        <v>5859943.25</v>
      </c>
      <c r="G160" s="72">
        <v>8163247.5099999998</v>
      </c>
      <c r="J160" s="72">
        <v>8320721.9799999986</v>
      </c>
      <c r="K160" s="72">
        <v>86909.06</v>
      </c>
      <c r="L160" s="72">
        <v>252.36</v>
      </c>
      <c r="M160" s="72">
        <v>40192</v>
      </c>
      <c r="N160" s="72">
        <v>1104144.67</v>
      </c>
      <c r="O160" s="72">
        <v>551920.62</v>
      </c>
      <c r="P160" s="72">
        <v>1364</v>
      </c>
      <c r="Q160" s="72">
        <v>2300221.83</v>
      </c>
      <c r="R160" s="72">
        <v>15344.1</v>
      </c>
      <c r="S160" s="72">
        <v>384051.45</v>
      </c>
      <c r="T160" s="72">
        <v>1134</v>
      </c>
      <c r="U160" s="72">
        <v>785367.64999999991</v>
      </c>
      <c r="V160" s="72">
        <v>375941.41</v>
      </c>
      <c r="X160" s="72">
        <v>430060</v>
      </c>
      <c r="Y160" s="72">
        <v>2690</v>
      </c>
      <c r="Z160" s="72">
        <v>20628</v>
      </c>
      <c r="AA160" s="60">
        <v>459838.38</v>
      </c>
      <c r="AC160" s="72">
        <f t="shared" si="0"/>
        <v>38638939.639999993</v>
      </c>
    </row>
    <row r="161" spans="1:31" x14ac:dyDescent="0.3">
      <c r="A161" s="1">
        <v>42217</v>
      </c>
      <c r="B161" s="75">
        <v>3171937.1900000009</v>
      </c>
      <c r="C161" s="72">
        <v>1325398.6000000001</v>
      </c>
      <c r="D161" s="72">
        <v>1845139.2000000002</v>
      </c>
      <c r="E161" s="72">
        <v>4019896.26</v>
      </c>
      <c r="F161" s="72">
        <v>6472316.7400000002</v>
      </c>
      <c r="G161" s="72">
        <v>7484037.6200000001</v>
      </c>
      <c r="J161" s="72">
        <v>9495686.7599999998</v>
      </c>
      <c r="K161" s="72">
        <v>95751.32</v>
      </c>
      <c r="L161" s="72">
        <v>260.77</v>
      </c>
      <c r="M161" s="72">
        <v>40192</v>
      </c>
      <c r="N161" s="72">
        <v>1346693.6099999999</v>
      </c>
      <c r="O161" s="72">
        <v>612159.11</v>
      </c>
      <c r="P161" s="72">
        <v>1364</v>
      </c>
      <c r="Q161" s="72">
        <v>2404075.69</v>
      </c>
      <c r="R161" s="72">
        <v>16296.08</v>
      </c>
      <c r="S161" s="72">
        <v>382482.77</v>
      </c>
      <c r="T161" s="72">
        <v>1171.8</v>
      </c>
      <c r="U161" s="72">
        <v>933415.65</v>
      </c>
      <c r="V161" s="72">
        <v>406828.42999999993</v>
      </c>
      <c r="X161" s="72">
        <v>415988</v>
      </c>
      <c r="Y161" s="72">
        <v>2690</v>
      </c>
      <c r="Z161" s="72">
        <v>21907.7</v>
      </c>
      <c r="AA161" s="60">
        <f>119217.41+271795.5+116110.6</f>
        <v>507123.51</v>
      </c>
      <c r="AC161" s="72">
        <f t="shared" si="0"/>
        <v>41002812.810000002</v>
      </c>
    </row>
    <row r="162" spans="1:31" x14ac:dyDescent="0.3">
      <c r="A162" s="1">
        <v>42248</v>
      </c>
      <c r="B162" s="75">
        <v>3187608.899999999</v>
      </c>
      <c r="C162" s="75">
        <v>1302854.8999999999</v>
      </c>
      <c r="D162" s="72">
        <v>2005310.5899999999</v>
      </c>
      <c r="E162" s="72">
        <v>4100578.8400000003</v>
      </c>
      <c r="F162" s="72">
        <v>6203618.3500000006</v>
      </c>
      <c r="G162" s="72">
        <v>9066720.5899999999</v>
      </c>
      <c r="J162" s="72">
        <v>10098631.419999998</v>
      </c>
      <c r="K162" s="72">
        <v>108098.84</v>
      </c>
      <c r="L162" s="72">
        <v>260.77</v>
      </c>
      <c r="M162" s="72">
        <v>40192</v>
      </c>
      <c r="N162" s="72">
        <v>1280677.29</v>
      </c>
      <c r="O162" s="72">
        <v>559172.61</v>
      </c>
      <c r="P162" s="72">
        <v>1364</v>
      </c>
      <c r="Q162" s="72">
        <v>2347562.6999999997</v>
      </c>
      <c r="R162" s="72">
        <v>18498.009999999998</v>
      </c>
      <c r="S162" s="72">
        <v>381741.11</v>
      </c>
      <c r="T162" s="72">
        <v>1171.8</v>
      </c>
      <c r="U162" s="72">
        <v>913202.83</v>
      </c>
      <c r="V162" s="72">
        <v>391574.10000000003</v>
      </c>
      <c r="X162" s="72">
        <v>406140</v>
      </c>
      <c r="Y162" s="72">
        <v>2690</v>
      </c>
      <c r="Z162" s="72">
        <v>24868.2</v>
      </c>
      <c r="AA162" s="60">
        <f>920909.42-271795.5-116110.6</f>
        <v>533003.32000000007</v>
      </c>
      <c r="AC162" s="72">
        <f t="shared" si="0"/>
        <v>42975541.170000002</v>
      </c>
    </row>
    <row r="163" spans="1:31" x14ac:dyDescent="0.3">
      <c r="A163" s="1">
        <v>42278</v>
      </c>
      <c r="B163" s="75">
        <v>3046772.5499999993</v>
      </c>
      <c r="C163" s="72">
        <v>1277904.2</v>
      </c>
      <c r="D163" s="72">
        <v>2016173.75</v>
      </c>
      <c r="E163" s="72">
        <v>4154852.63</v>
      </c>
      <c r="F163" s="72">
        <v>5465572.4299999997</v>
      </c>
      <c r="G163" s="72">
        <v>8448350.4700000007</v>
      </c>
      <c r="J163" s="72">
        <v>9096079.5299999993</v>
      </c>
      <c r="K163" s="72">
        <v>117578.59</v>
      </c>
      <c r="L163" s="72">
        <v>252.36</v>
      </c>
      <c r="M163" s="72">
        <v>40192</v>
      </c>
      <c r="N163" s="72">
        <v>1208335.69</v>
      </c>
      <c r="O163" s="72">
        <v>548454.91</v>
      </c>
      <c r="P163" s="72">
        <v>1364</v>
      </c>
      <c r="Q163" s="72">
        <v>2408707.0799999996</v>
      </c>
      <c r="R163" s="72">
        <v>20032.5</v>
      </c>
      <c r="S163" s="72">
        <v>419768.17</v>
      </c>
      <c r="T163" s="72">
        <v>1134</v>
      </c>
      <c r="U163" s="72">
        <v>852142.58</v>
      </c>
      <c r="V163" s="72">
        <v>375588.24</v>
      </c>
      <c r="X163" s="72">
        <v>449004</v>
      </c>
      <c r="Y163" s="72">
        <v>2690</v>
      </c>
      <c r="Z163" s="72">
        <v>26931</v>
      </c>
      <c r="AA163" s="72">
        <v>546266.17999999993</v>
      </c>
      <c r="AC163" s="72">
        <f t="shared" si="0"/>
        <v>40524146.859999999</v>
      </c>
    </row>
    <row r="164" spans="1:31" x14ac:dyDescent="0.3">
      <c r="A164" s="1">
        <v>42309</v>
      </c>
      <c r="B164" s="75">
        <v>2693361.18</v>
      </c>
      <c r="C164" s="72">
        <v>1382120</v>
      </c>
      <c r="D164" s="72">
        <v>1992356.38</v>
      </c>
      <c r="E164" s="72">
        <v>3912107.5499999989</v>
      </c>
      <c r="F164" s="72">
        <v>3601733.39</v>
      </c>
      <c r="G164" s="72">
        <v>8591356.2799999993</v>
      </c>
      <c r="J164" s="72">
        <v>7480535.7700000014</v>
      </c>
      <c r="K164" s="72">
        <v>135263.09</v>
      </c>
      <c r="L164" s="72">
        <v>252.36</v>
      </c>
      <c r="M164" s="72">
        <v>40192</v>
      </c>
      <c r="N164" s="72">
        <v>1146812.3399999999</v>
      </c>
      <c r="O164" s="72">
        <v>548811.53</v>
      </c>
      <c r="P164" s="72">
        <v>1364</v>
      </c>
      <c r="Q164" s="72">
        <v>2247696.23</v>
      </c>
      <c r="R164" s="72">
        <v>23342.69</v>
      </c>
      <c r="S164" s="72">
        <v>453376.9</v>
      </c>
      <c r="T164" s="72">
        <v>1171.8</v>
      </c>
      <c r="U164" s="72">
        <v>817747.39</v>
      </c>
      <c r="V164" s="72">
        <v>354641.79</v>
      </c>
      <c r="X164" s="72">
        <v>426145</v>
      </c>
      <c r="Y164" s="72">
        <v>2690</v>
      </c>
      <c r="Z164" s="72">
        <v>31381.3</v>
      </c>
      <c r="AA164" s="72">
        <v>689007.31</v>
      </c>
      <c r="AC164" s="72">
        <f t="shared" si="0"/>
        <v>36573466.279999994</v>
      </c>
    </row>
    <row r="165" spans="1:31" x14ac:dyDescent="0.3">
      <c r="A165" s="1">
        <v>42339</v>
      </c>
      <c r="B165" s="75">
        <v>2884472.3599999994</v>
      </c>
      <c r="C165" s="72">
        <v>1331818</v>
      </c>
      <c r="D165" s="72">
        <v>2101372.08</v>
      </c>
      <c r="E165" s="72">
        <v>3901052.79</v>
      </c>
      <c r="F165" s="72">
        <v>5551032.7400000002</v>
      </c>
      <c r="G165" s="72">
        <v>8608677.9000000004</v>
      </c>
      <c r="J165" s="72">
        <v>8232249.0899999989</v>
      </c>
      <c r="K165" s="72">
        <v>141237.38999999998</v>
      </c>
      <c r="L165" s="72">
        <v>260.77</v>
      </c>
      <c r="M165" s="72">
        <v>39978</v>
      </c>
      <c r="N165" s="72">
        <v>1201960.45</v>
      </c>
      <c r="O165" s="72">
        <v>589193.27</v>
      </c>
      <c r="P165" s="72">
        <v>1364</v>
      </c>
      <c r="Q165" s="72">
        <v>2193688.63</v>
      </c>
      <c r="R165" s="72">
        <v>16530</v>
      </c>
      <c r="S165" s="72">
        <v>432080.16000000003</v>
      </c>
      <c r="T165" s="72">
        <v>1134</v>
      </c>
      <c r="U165" s="72">
        <v>860638.23</v>
      </c>
      <c r="V165" s="72">
        <v>380226.27999999997</v>
      </c>
      <c r="X165" s="72">
        <v>446472</v>
      </c>
      <c r="Y165" s="72">
        <v>2690</v>
      </c>
      <c r="Z165" s="72">
        <v>33234</v>
      </c>
      <c r="AA165" s="72">
        <v>671148.83</v>
      </c>
      <c r="AC165" s="72">
        <f t="shared" si="0"/>
        <v>39622510.969999999</v>
      </c>
    </row>
    <row r="166" spans="1:31" x14ac:dyDescent="0.3">
      <c r="A166" s="68">
        <v>42370</v>
      </c>
      <c r="B166" s="72">
        <v>3000935.29</v>
      </c>
      <c r="C166" s="72">
        <v>1369552.7000000002</v>
      </c>
      <c r="D166" s="72">
        <v>1981330.08</v>
      </c>
      <c r="E166" s="72">
        <v>3480114.8600000003</v>
      </c>
      <c r="F166" s="72">
        <v>3641481.25</v>
      </c>
      <c r="G166" s="72">
        <v>8163675.9800000004</v>
      </c>
      <c r="J166" s="72">
        <v>9199155.7299999986</v>
      </c>
      <c r="K166" s="72">
        <v>149760.79999999999</v>
      </c>
      <c r="L166" s="72">
        <v>260.77</v>
      </c>
      <c r="M166" s="72">
        <v>46055</v>
      </c>
      <c r="N166" s="72">
        <v>1423437.77</v>
      </c>
      <c r="O166" s="72">
        <v>623850.2300000001</v>
      </c>
      <c r="P166" s="72">
        <f>2463-1099</f>
        <v>1364</v>
      </c>
      <c r="Q166" s="72">
        <v>2029127.6099999999</v>
      </c>
      <c r="R166" s="72">
        <v>17964.5</v>
      </c>
      <c r="S166" s="72">
        <v>417784.22</v>
      </c>
      <c r="T166" s="72">
        <v>1171.8</v>
      </c>
      <c r="U166" s="72">
        <v>997463.03</v>
      </c>
      <c r="V166" s="72">
        <v>410752.72</v>
      </c>
      <c r="X166" s="72">
        <v>451147</v>
      </c>
      <c r="Y166" s="60">
        <v>4433</v>
      </c>
      <c r="Z166" s="72">
        <v>36118.1</v>
      </c>
      <c r="AA166" s="72">
        <v>577839.91</v>
      </c>
      <c r="AC166" s="72">
        <f t="shared" si="0"/>
        <v>38024776.349999994</v>
      </c>
      <c r="AD166" s="72"/>
      <c r="AE166" s="62"/>
    </row>
    <row r="167" spans="1:31" x14ac:dyDescent="0.3">
      <c r="A167" s="68">
        <v>42401</v>
      </c>
      <c r="B167" s="72">
        <v>3422664.1800000006</v>
      </c>
      <c r="C167" s="72">
        <v>1558765.0999999999</v>
      </c>
      <c r="D167" s="72">
        <v>2085490.8900000001</v>
      </c>
      <c r="E167" s="72">
        <v>4132897.28</v>
      </c>
      <c r="F167" s="72">
        <v>4952065.95</v>
      </c>
      <c r="G167" s="72">
        <v>9014314.8599999994</v>
      </c>
      <c r="J167" s="72">
        <v>10058613.719999997</v>
      </c>
      <c r="K167" s="72">
        <v>145165.81</v>
      </c>
      <c r="L167" s="72">
        <v>260.77</v>
      </c>
      <c r="M167" s="72">
        <v>39978</v>
      </c>
      <c r="N167" s="72">
        <v>1514310.51</v>
      </c>
      <c r="O167" s="72">
        <v>679145.81</v>
      </c>
      <c r="P167" s="72">
        <v>1364</v>
      </c>
      <c r="Q167" s="72">
        <v>2129675.36</v>
      </c>
      <c r="R167" s="72">
        <v>17670</v>
      </c>
      <c r="S167" s="72">
        <v>461053.58999999997</v>
      </c>
      <c r="T167" s="72">
        <v>1060.2</v>
      </c>
      <c r="U167" s="72">
        <v>1086961</v>
      </c>
      <c r="V167" s="72">
        <v>474311.99</v>
      </c>
      <c r="X167" s="72">
        <v>482184</v>
      </c>
      <c r="Y167" s="72">
        <v>2690</v>
      </c>
      <c r="Z167" s="72">
        <v>33414.9</v>
      </c>
      <c r="AA167" s="72">
        <v>625348.58000000007</v>
      </c>
      <c r="AC167" s="72">
        <f t="shared" si="0"/>
        <v>42919406.500000007</v>
      </c>
      <c r="AD167" s="72"/>
    </row>
    <row r="168" spans="1:31" x14ac:dyDescent="0.3">
      <c r="A168" s="68">
        <v>42430</v>
      </c>
      <c r="B168" s="72">
        <v>3276013.4599999995</v>
      </c>
      <c r="C168" s="72">
        <v>1414777.9</v>
      </c>
      <c r="D168" s="72">
        <v>2060256.31</v>
      </c>
      <c r="E168" s="72">
        <v>3731557.0399999996</v>
      </c>
      <c r="F168" s="72">
        <v>4160796.17</v>
      </c>
      <c r="G168" s="72">
        <v>8822381.9900000002</v>
      </c>
      <c r="J168" s="72">
        <v>9552000.5500000026</v>
      </c>
      <c r="K168" s="72">
        <v>126187.78</v>
      </c>
      <c r="L168" s="72">
        <v>243.95</v>
      </c>
      <c r="M168" s="72">
        <v>33408</v>
      </c>
      <c r="N168" s="72">
        <v>1340408.0899999999</v>
      </c>
      <c r="O168" s="72">
        <v>625462.14</v>
      </c>
      <c r="P168" s="72">
        <v>1364</v>
      </c>
      <c r="Q168" s="72">
        <v>2085972.15</v>
      </c>
      <c r="R168" s="72">
        <v>15152.5</v>
      </c>
      <c r="S168" s="72">
        <v>442856.01</v>
      </c>
      <c r="T168" s="72">
        <v>991.8</v>
      </c>
      <c r="U168" s="72">
        <v>946950.77</v>
      </c>
      <c r="V168" s="72">
        <v>426770.58999999997</v>
      </c>
      <c r="X168" s="72">
        <v>449395</v>
      </c>
      <c r="Y168" s="72">
        <v>2690</v>
      </c>
      <c r="Z168" s="72">
        <v>28654.03</v>
      </c>
      <c r="AA168" s="72">
        <v>472917.82000000007</v>
      </c>
      <c r="AC168" s="72">
        <f t="shared" si="0"/>
        <v>40017208.050000004</v>
      </c>
      <c r="AD168" s="72"/>
    </row>
    <row r="169" spans="1:31" x14ac:dyDescent="0.3">
      <c r="A169" s="68">
        <v>42461</v>
      </c>
      <c r="B169" s="72">
        <v>3001175.6400000015</v>
      </c>
      <c r="C169" s="72">
        <v>1294519.2999999998</v>
      </c>
      <c r="D169" s="72">
        <v>1930481.6199999999</v>
      </c>
      <c r="E169" s="72">
        <v>3786858.0999999996</v>
      </c>
      <c r="F169" s="72">
        <v>3771463.08</v>
      </c>
      <c r="G169" s="72">
        <v>9020659.8000000007</v>
      </c>
      <c r="J169" s="72">
        <v>8624661.3100000005</v>
      </c>
      <c r="K169" s="72">
        <v>121598.96</v>
      </c>
      <c r="L169" s="72">
        <v>260.77</v>
      </c>
      <c r="M169" s="72">
        <v>38664</v>
      </c>
      <c r="N169" s="72">
        <v>1294565.02</v>
      </c>
      <c r="O169" s="72">
        <v>675846</v>
      </c>
      <c r="P169" s="72">
        <v>1364</v>
      </c>
      <c r="Q169" s="72">
        <v>2148763.92</v>
      </c>
      <c r="R169" s="72">
        <v>14725</v>
      </c>
      <c r="S169" s="72">
        <v>464851.5</v>
      </c>
      <c r="T169" s="72">
        <v>1387.8000000000002</v>
      </c>
      <c r="U169" s="72">
        <v>909890.53999999992</v>
      </c>
      <c r="V169" s="72">
        <v>422737.9</v>
      </c>
      <c r="X169" s="72">
        <v>458040</v>
      </c>
      <c r="Y169" s="72">
        <v>2690</v>
      </c>
      <c r="Z169" s="72">
        <v>27845.439999999999</v>
      </c>
      <c r="AA169" s="72">
        <v>535956.86</v>
      </c>
      <c r="AC169" s="72">
        <f t="shared" si="0"/>
        <v>38549006.559999995</v>
      </c>
      <c r="AD169" s="72"/>
    </row>
    <row r="170" spans="1:31" x14ac:dyDescent="0.3">
      <c r="A170" s="68">
        <v>42491</v>
      </c>
      <c r="B170" s="72">
        <v>2872207.52</v>
      </c>
      <c r="C170" s="72">
        <v>1214155.8999999999</v>
      </c>
      <c r="D170" s="72">
        <v>1902526.6099999999</v>
      </c>
      <c r="E170" s="72">
        <v>3587983.3499999996</v>
      </c>
      <c r="F170" s="72">
        <v>3683605.3</v>
      </c>
      <c r="G170" s="72">
        <v>9111774.5700000003</v>
      </c>
      <c r="J170" s="72">
        <v>8151147.2200000007</v>
      </c>
      <c r="K170" s="72">
        <v>103654.20999999999</v>
      </c>
      <c r="L170" s="72">
        <v>252.36</v>
      </c>
      <c r="M170" s="72">
        <v>38664</v>
      </c>
      <c r="N170" s="72">
        <v>1173654.3599999999</v>
      </c>
      <c r="O170" s="72">
        <v>565893.16</v>
      </c>
      <c r="P170" s="72">
        <v>1364</v>
      </c>
      <c r="Q170" s="72">
        <v>2097678.6799999997</v>
      </c>
      <c r="R170" s="72">
        <v>12540</v>
      </c>
      <c r="S170" s="72">
        <v>413830.78</v>
      </c>
      <c r="T170" s="72">
        <v>1134</v>
      </c>
      <c r="U170" s="72">
        <v>829629.97000000009</v>
      </c>
      <c r="V170" s="72">
        <v>390341.14</v>
      </c>
      <c r="X170" s="72">
        <v>448452</v>
      </c>
      <c r="Y170" s="72">
        <v>2690</v>
      </c>
      <c r="Z170" s="72">
        <v>23713.8</v>
      </c>
      <c r="AA170" s="72">
        <v>462487.52</v>
      </c>
      <c r="AC170" s="72">
        <f t="shared" si="0"/>
        <v>37089380.449999996</v>
      </c>
      <c r="AD170" s="72"/>
    </row>
    <row r="171" spans="1:31" x14ac:dyDescent="0.3">
      <c r="A171" s="68">
        <v>42522</v>
      </c>
      <c r="B171" s="72">
        <v>2748367.56</v>
      </c>
      <c r="C171" s="72">
        <v>1169987.7</v>
      </c>
      <c r="D171" s="72">
        <v>1858454.32</v>
      </c>
      <c r="E171" s="72">
        <v>4094105.45</v>
      </c>
      <c r="F171" s="72">
        <v>4098158.63</v>
      </c>
      <c r="G171" s="72">
        <v>9010441.2200000007</v>
      </c>
      <c r="J171" s="72">
        <v>7518560.0199999986</v>
      </c>
      <c r="K171" s="72">
        <v>96361.64</v>
      </c>
      <c r="L171" s="72">
        <v>260.77</v>
      </c>
      <c r="M171" s="72">
        <v>38664</v>
      </c>
      <c r="N171" s="72">
        <v>1131369.9100000001</v>
      </c>
      <c r="O171" s="72">
        <v>525870.24</v>
      </c>
      <c r="P171" s="72">
        <v>1364</v>
      </c>
      <c r="Q171" s="72">
        <v>2188461.2000000002</v>
      </c>
      <c r="R171" s="72">
        <v>11485.5</v>
      </c>
      <c r="S171" s="72">
        <v>375411.36</v>
      </c>
      <c r="T171" s="72">
        <v>1171.8</v>
      </c>
      <c r="U171" s="72">
        <v>771896.60000000009</v>
      </c>
      <c r="V171" s="72">
        <v>362173.64999999997</v>
      </c>
      <c r="X171" s="72">
        <v>461157</v>
      </c>
      <c r="Y171" s="72">
        <v>2690</v>
      </c>
      <c r="Z171" s="72">
        <v>21719.53</v>
      </c>
      <c r="AA171" s="60">
        <f>100543.44+277274.25</f>
        <v>377817.69</v>
      </c>
      <c r="AC171" s="72">
        <f t="shared" si="0"/>
        <v>36865949.789999999</v>
      </c>
      <c r="AD171" s="72"/>
    </row>
    <row r="172" spans="1:31" x14ac:dyDescent="0.3">
      <c r="A172" s="68">
        <v>42552</v>
      </c>
      <c r="B172" s="72">
        <v>3019997.169999999</v>
      </c>
      <c r="C172" s="72">
        <v>1237452.1000000001</v>
      </c>
      <c r="D172" s="72">
        <v>1940962.46</v>
      </c>
      <c r="E172" s="72">
        <v>3810911.62</v>
      </c>
      <c r="F172" s="72">
        <v>4980445.41</v>
      </c>
      <c r="G172" s="72">
        <v>9475526.5899999999</v>
      </c>
      <c r="J172" s="72">
        <v>8809927.5100000016</v>
      </c>
      <c r="K172" s="72">
        <v>89396.760000000009</v>
      </c>
      <c r="L172" s="72">
        <v>252.36</v>
      </c>
      <c r="M172" s="72">
        <v>38664</v>
      </c>
      <c r="N172" s="72">
        <v>1194364.4000000001</v>
      </c>
      <c r="O172" s="72">
        <v>541210.32000000007</v>
      </c>
      <c r="P172" s="72">
        <v>1364</v>
      </c>
      <c r="Q172" s="72">
        <v>2213875.19</v>
      </c>
      <c r="R172" s="72">
        <v>10260</v>
      </c>
      <c r="S172" s="72">
        <v>356510.81</v>
      </c>
      <c r="T172" s="72">
        <v>1134</v>
      </c>
      <c r="U172" s="72">
        <v>805526.06</v>
      </c>
      <c r="V172" s="72">
        <v>361393.73</v>
      </c>
      <c r="X172" s="72">
        <v>464236</v>
      </c>
      <c r="Y172" s="72">
        <v>2690</v>
      </c>
      <c r="Z172" s="72">
        <v>19402.2</v>
      </c>
      <c r="AA172" s="60">
        <f>850713.04-277274.25</f>
        <v>573438.79</v>
      </c>
      <c r="AC172" s="72">
        <f t="shared" si="0"/>
        <v>39948941.480000004</v>
      </c>
      <c r="AD172" s="72"/>
    </row>
    <row r="173" spans="1:31" x14ac:dyDescent="0.3">
      <c r="A173" s="71">
        <v>42583</v>
      </c>
      <c r="B173" s="72">
        <v>3283704.93</v>
      </c>
      <c r="C173" s="72">
        <v>1368148.6</v>
      </c>
      <c r="D173" s="72">
        <v>1958817.19</v>
      </c>
      <c r="E173" s="72">
        <v>3903075.11</v>
      </c>
      <c r="F173" s="72">
        <v>5145020.62</v>
      </c>
      <c r="G173" s="72">
        <v>7152375.2699999996</v>
      </c>
      <c r="J173" s="72">
        <v>10779746.369999999</v>
      </c>
      <c r="K173" s="72">
        <v>98492.28</v>
      </c>
      <c r="L173" s="72">
        <v>260.77</v>
      </c>
      <c r="M173" s="72">
        <v>37876</v>
      </c>
      <c r="N173" s="72">
        <v>1472446.81</v>
      </c>
      <c r="O173" s="78">
        <v>-29324.5</v>
      </c>
      <c r="P173" s="72">
        <v>1364</v>
      </c>
      <c r="Q173" s="72">
        <v>2209397.9700000002</v>
      </c>
      <c r="R173" s="72">
        <v>10896.5</v>
      </c>
      <c r="S173" s="78">
        <v>2477626</v>
      </c>
      <c r="T173" s="72">
        <v>1171.8</v>
      </c>
      <c r="U173" s="72">
        <v>1020786.55</v>
      </c>
      <c r="V173" s="72">
        <v>410187.62</v>
      </c>
      <c r="X173" s="72">
        <v>476843</v>
      </c>
      <c r="Y173" s="72">
        <v>2690</v>
      </c>
      <c r="Z173" s="72">
        <f>43995.82/2</f>
        <v>21997.91</v>
      </c>
      <c r="AA173" s="72">
        <v>429887.25</v>
      </c>
      <c r="AC173" s="72">
        <f t="shared" si="0"/>
        <v>42233488.04999999</v>
      </c>
      <c r="AE173" s="73"/>
    </row>
    <row r="174" spans="1:31" x14ac:dyDescent="0.3">
      <c r="A174" s="71">
        <v>42614</v>
      </c>
      <c r="B174" s="72">
        <v>3492326.28</v>
      </c>
      <c r="C174" s="72">
        <v>1494670.7</v>
      </c>
      <c r="D174" s="72">
        <v>2109432.88</v>
      </c>
      <c r="E174" s="72">
        <v>4491815.5599999996</v>
      </c>
      <c r="F174" s="72">
        <v>4911391.5599999996</v>
      </c>
      <c r="G174" s="72">
        <v>9979632.3699999992</v>
      </c>
      <c r="J174" s="72">
        <v>11785759</v>
      </c>
      <c r="K174" s="72">
        <v>111192.69</v>
      </c>
      <c r="L174" s="72">
        <v>260.77</v>
      </c>
      <c r="M174" s="72">
        <v>37876</v>
      </c>
      <c r="N174" s="72">
        <v>1528739.2</v>
      </c>
      <c r="O174" s="72">
        <v>606285.18000000005</v>
      </c>
      <c r="P174" s="72">
        <v>1364</v>
      </c>
      <c r="Q174" s="72">
        <v>2405797.62</v>
      </c>
      <c r="R174" s="72">
        <v>12369</v>
      </c>
      <c r="S174" s="72">
        <v>485257.27</v>
      </c>
      <c r="T174" s="72">
        <v>1171.8</v>
      </c>
      <c r="U174" s="72">
        <v>1066743.0900000001</v>
      </c>
      <c r="V174" s="72">
        <v>422407.64</v>
      </c>
      <c r="X174" s="72">
        <v>508513</v>
      </c>
      <c r="Y174" s="72">
        <v>2690</v>
      </c>
      <c r="Z174" s="72">
        <v>21998</v>
      </c>
      <c r="AA174" s="72">
        <v>687926.83</v>
      </c>
      <c r="AC174" s="72">
        <f t="shared" si="0"/>
        <v>46165620.439999998</v>
      </c>
    </row>
    <row r="175" spans="1:31" x14ac:dyDescent="0.3">
      <c r="A175" s="71">
        <v>42644</v>
      </c>
      <c r="B175" s="72">
        <v>3845904.47</v>
      </c>
      <c r="C175" s="72">
        <v>1239135.1000000001</v>
      </c>
      <c r="D175" s="72">
        <v>2919486.69</v>
      </c>
      <c r="E175" s="72">
        <v>6913289.7400000002</v>
      </c>
      <c r="F175" s="72">
        <v>4404402.76</v>
      </c>
      <c r="G175" s="72">
        <v>9133211.5099999998</v>
      </c>
      <c r="J175" s="72">
        <v>11389349</v>
      </c>
      <c r="K175" s="72">
        <v>159669.01999999999</v>
      </c>
      <c r="L175" s="72">
        <v>1386.36</v>
      </c>
      <c r="M175" s="72">
        <v>41930</v>
      </c>
      <c r="AC175" s="72">
        <f t="shared" si="0"/>
        <v>40047764.649999999</v>
      </c>
    </row>
    <row r="176" spans="1:31" x14ac:dyDescent="0.3">
      <c r="A176" s="71">
        <v>42675</v>
      </c>
      <c r="B176" s="72">
        <v>3756685.85</v>
      </c>
      <c r="C176" s="72">
        <v>1283127.1000000001</v>
      </c>
      <c r="D176" s="72">
        <v>2962090.46</v>
      </c>
      <c r="E176" s="72">
        <v>6906324.1500000004</v>
      </c>
      <c r="F176" s="72">
        <v>4233433.8</v>
      </c>
      <c r="G176" s="72">
        <v>9055905.3200000003</v>
      </c>
      <c r="J176" s="72">
        <v>9444102.8300000001</v>
      </c>
      <c r="K176" s="72">
        <v>184258.65</v>
      </c>
      <c r="L176" s="72">
        <v>1426.27</v>
      </c>
      <c r="M176" s="72">
        <v>42421</v>
      </c>
      <c r="P176" s="60"/>
      <c r="AC176" s="72">
        <f t="shared" si="0"/>
        <v>37869775.43</v>
      </c>
    </row>
    <row r="177" spans="1:29" x14ac:dyDescent="0.3">
      <c r="A177" s="71">
        <v>42705</v>
      </c>
      <c r="B177" s="72">
        <v>3787617.57</v>
      </c>
      <c r="C177" s="72">
        <v>1378033.2</v>
      </c>
      <c r="D177" s="72">
        <v>3120557.14</v>
      </c>
      <c r="E177" s="72">
        <v>6544769.3700000001</v>
      </c>
      <c r="F177" s="72">
        <v>3833361.72</v>
      </c>
      <c r="G177" s="72">
        <v>9459819.7200000007</v>
      </c>
      <c r="J177" s="72">
        <v>9990809.4399999995</v>
      </c>
      <c r="K177" s="72">
        <v>193068.75</v>
      </c>
      <c r="L177" s="72">
        <v>1373.76</v>
      </c>
      <c r="M177" s="72">
        <v>41930</v>
      </c>
      <c r="AC177" s="72">
        <f t="shared" si="0"/>
        <v>38351340.669999994</v>
      </c>
    </row>
    <row r="178" spans="1:29" x14ac:dyDescent="0.3">
      <c r="A178" s="71">
        <v>42736</v>
      </c>
      <c r="B178" s="72">
        <v>4533901.96</v>
      </c>
      <c r="C178" s="72">
        <v>1596039.4</v>
      </c>
      <c r="D178" s="72">
        <v>3237796.04</v>
      </c>
      <c r="E178" s="72">
        <v>6343954.5800000001</v>
      </c>
      <c r="F178" s="72">
        <v>3615219.1</v>
      </c>
      <c r="G178" s="72">
        <v>8789568.1699999999</v>
      </c>
      <c r="J178" s="72">
        <v>12477258.369999999</v>
      </c>
      <c r="K178" s="72">
        <v>205983.76</v>
      </c>
      <c r="L178" s="72">
        <v>1451.47</v>
      </c>
      <c r="M178" s="72">
        <v>41930</v>
      </c>
      <c r="N178" s="72">
        <v>889</v>
      </c>
      <c r="O178" s="72">
        <v>1961</v>
      </c>
      <c r="AC178" s="72">
        <f t="shared" si="0"/>
        <v>40845952.849999994</v>
      </c>
    </row>
    <row r="179" spans="1:29" x14ac:dyDescent="0.3"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</row>
  </sheetData>
  <sortState ref="A2:AC152">
    <sortCondition ref="A2:A152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C17" sqref="C17"/>
    </sheetView>
  </sheetViews>
  <sheetFormatPr defaultColWidth="9.109375" defaultRowHeight="13.2" x14ac:dyDescent="0.25"/>
  <cols>
    <col min="1" max="1" width="11" style="16" bestFit="1" customWidth="1"/>
    <col min="2" max="2" width="24.5546875" style="16" bestFit="1" customWidth="1"/>
    <col min="3" max="3" width="10" style="16" bestFit="1" customWidth="1"/>
    <col min="4" max="4" width="15.6640625" style="16" bestFit="1" customWidth="1"/>
    <col min="5" max="5" width="14.88671875" style="16" bestFit="1" customWidth="1"/>
    <col min="6" max="6" width="12.77734375" style="16" bestFit="1" customWidth="1"/>
    <col min="7" max="7" width="6.77734375" style="16" bestFit="1" customWidth="1"/>
    <col min="8" max="8" width="11" style="16" bestFit="1" customWidth="1"/>
    <col min="9" max="9" width="14.33203125" style="16" customWidth="1"/>
    <col min="10" max="10" width="11.44140625" style="16" bestFit="1" customWidth="1"/>
    <col min="11" max="11" width="10.21875" style="16" bestFit="1" customWidth="1"/>
    <col min="12" max="12" width="13.33203125" style="16" bestFit="1" customWidth="1"/>
    <col min="13" max="13" width="10.88671875" style="16" bestFit="1" customWidth="1"/>
    <col min="14" max="14" width="5" style="16" customWidth="1"/>
    <col min="15" max="15" width="12.44140625" style="16" bestFit="1" customWidth="1"/>
    <col min="16" max="16" width="5.6640625" style="16" bestFit="1" customWidth="1"/>
    <col min="17" max="16384" width="9.109375" style="16"/>
  </cols>
  <sheetData>
    <row r="3" spans="1:13" x14ac:dyDescent="0.25">
      <c r="C3" s="16" t="s">
        <v>225</v>
      </c>
      <c r="F3" s="121"/>
      <c r="G3" s="147" t="s">
        <v>128</v>
      </c>
      <c r="H3" s="148"/>
      <c r="I3" s="147" t="s">
        <v>221</v>
      </c>
      <c r="J3" s="148"/>
    </row>
    <row r="4" spans="1:13" ht="14.4" x14ac:dyDescent="0.3">
      <c r="B4" s="84" t="s">
        <v>195</v>
      </c>
      <c r="C4" s="84">
        <v>27630</v>
      </c>
      <c r="F4" s="125" t="s">
        <v>224</v>
      </c>
      <c r="G4" s="126" t="s">
        <v>222</v>
      </c>
      <c r="H4" s="127" t="s">
        <v>223</v>
      </c>
      <c r="I4" s="127" t="s">
        <v>222</v>
      </c>
      <c r="J4" s="128" t="s">
        <v>223</v>
      </c>
    </row>
    <row r="5" spans="1:13" ht="14.4" x14ac:dyDescent="0.3">
      <c r="B5" s="84" t="s">
        <v>196</v>
      </c>
      <c r="C5" s="84">
        <v>5180.1769999999997</v>
      </c>
      <c r="E5" s="115">
        <v>2016</v>
      </c>
      <c r="F5" s="122">
        <f>C7*1000</f>
        <v>4489964.6000000006</v>
      </c>
      <c r="G5" s="115">
        <v>0.5</v>
      </c>
      <c r="H5" s="120">
        <f>F5*G5</f>
        <v>2244982.3000000003</v>
      </c>
      <c r="I5" s="115">
        <v>1</v>
      </c>
      <c r="J5" s="120">
        <f>I5*F5</f>
        <v>4489964.6000000006</v>
      </c>
    </row>
    <row r="6" spans="1:13" ht="14.4" x14ac:dyDescent="0.3">
      <c r="B6" s="84" t="s">
        <v>197</v>
      </c>
      <c r="C6" s="84">
        <f>C4-C5</f>
        <v>22449.823</v>
      </c>
      <c r="E6" s="116">
        <v>2017</v>
      </c>
      <c r="F6" s="123">
        <f>F5</f>
        <v>4489964.6000000006</v>
      </c>
      <c r="G6" s="116">
        <v>1</v>
      </c>
      <c r="H6" s="117">
        <f t="shared" ref="H6:H7" si="0">F6*G6</f>
        <v>4489964.6000000006</v>
      </c>
      <c r="I6" s="116">
        <v>1</v>
      </c>
      <c r="J6" s="117">
        <f t="shared" ref="J6:J7" si="1">I6*F6</f>
        <v>4489964.6000000006</v>
      </c>
    </row>
    <row r="7" spans="1:13" ht="14.4" x14ac:dyDescent="0.3">
      <c r="B7" s="84" t="s">
        <v>218</v>
      </c>
      <c r="C7" s="84">
        <f>C6/5</f>
        <v>4489.9646000000002</v>
      </c>
      <c r="E7" s="118">
        <v>2018</v>
      </c>
      <c r="F7" s="124">
        <f>F6</f>
        <v>4489964.6000000006</v>
      </c>
      <c r="G7" s="118">
        <v>0.5</v>
      </c>
      <c r="H7" s="119">
        <f t="shared" si="0"/>
        <v>2244982.3000000003</v>
      </c>
      <c r="I7" s="118">
        <v>1</v>
      </c>
      <c r="J7" s="119">
        <f t="shared" si="1"/>
        <v>4489964.6000000006</v>
      </c>
    </row>
    <row r="8" spans="1:13" x14ac:dyDescent="0.25">
      <c r="E8" s="118" t="s">
        <v>121</v>
      </c>
      <c r="F8" s="124"/>
      <c r="G8" s="118"/>
      <c r="H8" s="119">
        <f>SUM(H5:H7)</f>
        <v>8979929.2000000011</v>
      </c>
      <c r="I8" s="118"/>
      <c r="J8" s="119">
        <f>SUM(J5:J7)</f>
        <v>13469893.800000001</v>
      </c>
    </row>
    <row r="9" spans="1:13" x14ac:dyDescent="0.25">
      <c r="H9" s="114"/>
    </row>
    <row r="10" spans="1:13" ht="52.8" x14ac:dyDescent="0.25">
      <c r="B10" s="95" t="s">
        <v>219</v>
      </c>
      <c r="C10" s="95" t="s">
        <v>220</v>
      </c>
      <c r="D10" s="95" t="s">
        <v>128</v>
      </c>
      <c r="E10" s="95" t="s">
        <v>221</v>
      </c>
      <c r="F10" s="94"/>
      <c r="G10" s="94"/>
      <c r="H10" s="94"/>
      <c r="I10" s="129" t="s">
        <v>226</v>
      </c>
      <c r="J10" s="129" t="s">
        <v>128</v>
      </c>
      <c r="K10" s="129" t="s">
        <v>227</v>
      </c>
      <c r="L10" s="129" t="s">
        <v>228</v>
      </c>
      <c r="M10" s="129" t="s">
        <v>128</v>
      </c>
    </row>
    <row r="11" spans="1:13" x14ac:dyDescent="0.25">
      <c r="A11" s="16" t="s">
        <v>29</v>
      </c>
      <c r="B11" s="113">
        <f>'Historic CDM'!K90*2000</f>
        <v>743198.69448576635</v>
      </c>
      <c r="C11" s="112">
        <f>B11/$B$16</f>
        <v>0.13996963626449233</v>
      </c>
      <c r="D11" s="114">
        <f>D$16*C11</f>
        <v>1256917.4238048936</v>
      </c>
      <c r="E11" s="114">
        <f>E$16*C11</f>
        <v>1885376.1357073404</v>
      </c>
      <c r="H11" s="16" t="s">
        <v>30</v>
      </c>
      <c r="I11" s="31">
        <f ca="1">'Summary Tables'!C18</f>
        <v>113115018.58532715</v>
      </c>
      <c r="J11" s="114">
        <f>E13</f>
        <v>4194548.9821006441</v>
      </c>
      <c r="K11" s="112">
        <f ca="1">J11/I11</f>
        <v>3.708215791819483E-2</v>
      </c>
      <c r="L11" s="31">
        <f ca="1">'Summary Tables'!C39</f>
        <v>320078.16746539378</v>
      </c>
      <c r="M11" s="31">
        <f ca="1">K11*L11</f>
        <v>11869.189152118142</v>
      </c>
    </row>
    <row r="12" spans="1:13" x14ac:dyDescent="0.25">
      <c r="A12" s="16" t="s">
        <v>22</v>
      </c>
      <c r="B12" s="113">
        <f>'Historic CDM'!K106*2000</f>
        <v>675321.85803849983</v>
      </c>
      <c r="C12" s="112">
        <f t="shared" ref="C12:C15" si="2">B12/$B$16</f>
        <v>0.12718611527770957</v>
      </c>
      <c r="D12" s="114">
        <f t="shared" ref="D12:D15" si="3">D$16*C12</f>
        <v>1142122.3104168703</v>
      </c>
      <c r="E12" s="114">
        <f t="shared" ref="E12:E15" si="4">E$16*C12</f>
        <v>1713183.4656253054</v>
      </c>
      <c r="H12" s="16" t="s">
        <v>36</v>
      </c>
      <c r="I12" s="31">
        <f ca="1">'Summary Tables'!C19</f>
        <v>54466921.777334087</v>
      </c>
      <c r="J12" s="114">
        <f t="shared" ref="J12:J13" si="5">E14</f>
        <v>2279528.4516382157</v>
      </c>
      <c r="K12" s="112">
        <f t="shared" ref="K12:K13" ca="1" si="6">J12/I12</f>
        <v>4.1851611533274137E-2</v>
      </c>
      <c r="L12" s="31">
        <f ca="1">'Summary Tables'!C40</f>
        <v>119149.4228587157</v>
      </c>
      <c r="M12" s="31">
        <f t="shared" ref="M12:M13" ca="1" si="7">K12*L12</f>
        <v>4986.5953598967826</v>
      </c>
    </row>
    <row r="13" spans="1:13" x14ac:dyDescent="0.25">
      <c r="A13" s="16" t="s">
        <v>30</v>
      </c>
      <c r="B13" s="113">
        <f>'Historic CDM'!K120*2000</f>
        <v>1653454.3258574998</v>
      </c>
      <c r="C13" s="112">
        <f t="shared" si="2"/>
        <v>0.31140178566965715</v>
      </c>
      <c r="D13" s="114">
        <f t="shared" si="3"/>
        <v>2796365.9880670961</v>
      </c>
      <c r="E13" s="114">
        <f t="shared" si="4"/>
        <v>4194548.9821006441</v>
      </c>
      <c r="H13" s="16" t="s">
        <v>154</v>
      </c>
      <c r="I13" s="31">
        <f ca="1">'Summary Tables'!C20</f>
        <v>99199237.296813443</v>
      </c>
      <c r="J13" s="114">
        <f t="shared" si="5"/>
        <v>3397256.764928495</v>
      </c>
      <c r="K13" s="112">
        <f t="shared" ca="1" si="6"/>
        <v>3.4246803276960523E-2</v>
      </c>
      <c r="L13" s="31">
        <f ca="1">'Summary Tables'!C41</f>
        <v>172130.49669534602</v>
      </c>
      <c r="M13" s="31">
        <f t="shared" ca="1" si="7"/>
        <v>5894.9192582910191</v>
      </c>
    </row>
    <row r="14" spans="1:13" x14ac:dyDescent="0.25">
      <c r="A14" s="16" t="s">
        <v>36</v>
      </c>
      <c r="B14" s="113">
        <f>'Historic CDM'!K134*2000</f>
        <v>898570.07162397727</v>
      </c>
      <c r="C14" s="112">
        <f t="shared" si="2"/>
        <v>0.16923136035699224</v>
      </c>
      <c r="D14" s="114">
        <f t="shared" si="3"/>
        <v>1519685.6344254771</v>
      </c>
      <c r="E14" s="114">
        <f t="shared" si="4"/>
        <v>2279528.4516382157</v>
      </c>
      <c r="H14" s="16" t="s">
        <v>121</v>
      </c>
      <c r="I14" s="31">
        <f ca="1">SUM(I11:I13)</f>
        <v>266781177.65947467</v>
      </c>
      <c r="J14" s="31">
        <f t="shared" ref="J14:M14" si="8">SUM(J11:J13)</f>
        <v>9871334.1986673549</v>
      </c>
      <c r="K14" s="31">
        <f t="shared" ca="1" si="8"/>
        <v>0.11318057272842949</v>
      </c>
      <c r="L14" s="31">
        <f t="shared" ca="1" si="8"/>
        <v>611358.0870194555</v>
      </c>
      <c r="M14" s="31">
        <f t="shared" ca="1" si="8"/>
        <v>22750.703770305943</v>
      </c>
    </row>
    <row r="15" spans="1:13" x14ac:dyDescent="0.25">
      <c r="A15" s="16" t="s">
        <v>154</v>
      </c>
      <c r="B15" s="113">
        <f>'Historic CDM'!K148*2000</f>
        <v>1339168.7444800225</v>
      </c>
      <c r="C15" s="112">
        <f t="shared" si="2"/>
        <v>0.25221110243114869</v>
      </c>
      <c r="D15" s="114">
        <f t="shared" si="3"/>
        <v>2264837.8432856635</v>
      </c>
      <c r="E15" s="114">
        <f t="shared" si="4"/>
        <v>3397256.764928495</v>
      </c>
    </row>
    <row r="16" spans="1:13" x14ac:dyDescent="0.25">
      <c r="A16" s="16" t="s">
        <v>121</v>
      </c>
      <c r="B16" s="113">
        <f>SUM(B11:B15)</f>
        <v>5309713.6944857659</v>
      </c>
      <c r="C16" s="34">
        <f>SUM(C11:C15)</f>
        <v>1</v>
      </c>
      <c r="D16" s="114">
        <f>H8</f>
        <v>8979929.2000000011</v>
      </c>
      <c r="E16" s="114">
        <f>J8</f>
        <v>13469893.800000001</v>
      </c>
    </row>
  </sheetData>
  <mergeCells count="2">
    <mergeCell ref="G3:H3"/>
    <mergeCell ref="I3:J3"/>
  </mergeCell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topLeftCell="A37" workbookViewId="0">
      <selection activeCell="L59" sqref="L59"/>
    </sheetView>
  </sheetViews>
  <sheetFormatPr defaultColWidth="9.109375" defaultRowHeight="13.2" x14ac:dyDescent="0.25"/>
  <cols>
    <col min="1" max="1" width="3" style="131" customWidth="1"/>
    <col min="2" max="2" width="25.5546875" style="131" bestFit="1" customWidth="1"/>
    <col min="3" max="3" width="13.109375" style="131" bestFit="1" customWidth="1"/>
    <col min="4" max="7" width="11.109375" style="131" bestFit="1" customWidth="1"/>
    <col min="8" max="8" width="15.44140625" style="131" bestFit="1" customWidth="1"/>
    <col min="9" max="10" width="13.33203125" style="131" bestFit="1" customWidth="1"/>
    <col min="11" max="16384" width="9.109375" style="131"/>
  </cols>
  <sheetData>
    <row r="1" spans="2:10" ht="16.2" thickBot="1" x14ac:dyDescent="0.35">
      <c r="B1" s="130" t="s">
        <v>122</v>
      </c>
    </row>
    <row r="2" spans="2:10" x14ac:dyDescent="0.25">
      <c r="B2" s="48" t="s">
        <v>123</v>
      </c>
      <c r="C2" s="49" t="s">
        <v>216</v>
      </c>
      <c r="D2" s="49" t="s">
        <v>124</v>
      </c>
      <c r="E2" s="49" t="s">
        <v>125</v>
      </c>
      <c r="F2" s="49" t="s">
        <v>215</v>
      </c>
      <c r="G2" s="49" t="s">
        <v>214</v>
      </c>
      <c r="H2" s="49" t="s">
        <v>213</v>
      </c>
      <c r="I2" s="49" t="s">
        <v>212</v>
      </c>
      <c r="J2" s="50" t="s">
        <v>211</v>
      </c>
    </row>
    <row r="3" spans="2:10" x14ac:dyDescent="0.25">
      <c r="B3" s="132" t="s">
        <v>29</v>
      </c>
      <c r="C3" s="133">
        <f ca="1">OFFSET('Normalized Annual Summary'!$C$10,COLUMN(F3)-COLUMN($F3),0)</f>
        <v>136951769.39000002</v>
      </c>
      <c r="D3" s="133">
        <f ca="1">OFFSET('Normalized Annual Summary'!$C$10,COLUMN(G3)-COLUMN($F3),0)</f>
        <v>139174379.21000001</v>
      </c>
      <c r="E3" s="133">
        <f ca="1">OFFSET('Normalized Annual Summary'!$C$10,COLUMN(H3)-COLUMN($F3),0)</f>
        <v>137614288.20000002</v>
      </c>
      <c r="F3" s="133">
        <f ca="1">OFFSET('Normalized Annual Summary'!$C$10,COLUMN(I3)-COLUMN($F3),0)</f>
        <v>135712848.27999997</v>
      </c>
      <c r="G3" s="133">
        <f ca="1">OFFSET('Normalized Annual Summary'!$C$10,COLUMN(J3)-COLUMN($F3),0)</f>
        <v>136671067.22</v>
      </c>
      <c r="H3" s="133">
        <f ca="1">OFFSET('Normalized Annual Summary'!$I$14,COLUMN(H3)-COLUMN($H3),0)</f>
        <v>134543557.04788288</v>
      </c>
      <c r="I3" s="133">
        <f ca="1">OFFSET('Normalized Annual Summary'!$I$14,COLUMN(I3)-COLUMN($H3),0)</f>
        <v>133927948.82067271</v>
      </c>
      <c r="J3" s="134">
        <f ca="1">OFFSET('Normalized Annual Summary'!$I$14,COLUMN(J3)-COLUMN($H3),0)</f>
        <v>133312340.59346245</v>
      </c>
    </row>
    <row r="4" spans="2:10" x14ac:dyDescent="0.25">
      <c r="B4" s="135" t="s">
        <v>22</v>
      </c>
      <c r="C4" s="133">
        <f ca="1">OFFSET('Normalized Annual Summary'!$L$10,COLUMN(F4)-COLUMN($F4),0)</f>
        <v>47672678.809999987</v>
      </c>
      <c r="D4" s="133">
        <f ca="1">OFFSET('Normalized Annual Summary'!$L$10,COLUMN(G4)-COLUMN($F4),0)</f>
        <v>48218851.180000007</v>
      </c>
      <c r="E4" s="133">
        <f ca="1">OFFSET('Normalized Annual Summary'!$L$10,COLUMN(H4)-COLUMN($F4),0)</f>
        <v>48123470.799999997</v>
      </c>
      <c r="F4" s="133">
        <f ca="1">OFFSET('Normalized Annual Summary'!$L$10,COLUMN(I4)-COLUMN($F4),0)</f>
        <v>50019956.109999992</v>
      </c>
      <c r="G4" s="133">
        <f ca="1">OFFSET('Normalized Annual Summary'!$L$10,COLUMN(J4)-COLUMN($F4),0)</f>
        <v>48503240.200000003</v>
      </c>
      <c r="H4" s="133">
        <f ca="1">OFFSET('Normalized Annual Summary'!$R$14,COLUMN(H4)-COLUMN($H4),0)</f>
        <v>48633326.550014913</v>
      </c>
      <c r="I4" s="133">
        <f ca="1">OFFSET('Normalized Annual Summary'!$R$14,COLUMN(I4)-COLUMN($H4),0)</f>
        <v>48915619.318365961</v>
      </c>
      <c r="J4" s="134">
        <f ca="1">OFFSET('Normalized Annual Summary'!$R$14,COLUMN(J4)-COLUMN($H4),0)</f>
        <v>49204000.429687276</v>
      </c>
    </row>
    <row r="5" spans="2:10" x14ac:dyDescent="0.25">
      <c r="B5" s="135" t="s">
        <v>30</v>
      </c>
      <c r="C5" s="133">
        <f ca="1">OFFSET('Normalized Annual Summary'!$U$10,COLUMN(F5)-COLUMN($F5),0)</f>
        <v>125014555.19064774</v>
      </c>
      <c r="D5" s="133">
        <f ca="1">OFFSET('Normalized Annual Summary'!$U$10,COLUMN(G5)-COLUMN($F5),0)</f>
        <v>122356888.60887052</v>
      </c>
      <c r="E5" s="133">
        <f ca="1">OFFSET('Normalized Annual Summary'!$U$10,COLUMN(H5)-COLUMN($F5),0)</f>
        <v>126877352.03978811</v>
      </c>
      <c r="F5" s="133">
        <f ca="1">OFFSET('Normalized Annual Summary'!$U$10,COLUMN(I5)-COLUMN($F5),0)</f>
        <v>122207045.09129581</v>
      </c>
      <c r="G5" s="133">
        <f ca="1">OFFSET('Normalized Annual Summary'!$U$10,COLUMN(J5)-COLUMN($F5),0)</f>
        <v>126567690.95211552</v>
      </c>
      <c r="H5" s="133">
        <f ca="1">OFFSET('Normalized Annual Summary'!$Z$14,COLUMN(H5)-COLUMN($H5),0)</f>
        <v>117205514.71000001</v>
      </c>
      <c r="I5" s="133">
        <f ca="1">OFFSET('Normalized Annual Summary'!$Z$14,COLUMN(I5)-COLUMN($H5),0)</f>
        <v>114652868.05518615</v>
      </c>
      <c r="J5" s="134">
        <f ca="1">OFFSET('Normalized Annual Summary'!$Z$14,COLUMN(J5)-COLUMN($H5),0)</f>
        <v>113115018.58532715</v>
      </c>
    </row>
    <row r="6" spans="2:10" x14ac:dyDescent="0.25">
      <c r="B6" s="135" t="s">
        <v>36</v>
      </c>
      <c r="C6" s="133">
        <f ca="1">OFFSET('Normalized Annual Summary'!$AC$10,COLUMN(F6)-COLUMN($F6),0)</f>
        <v>69565629.094174489</v>
      </c>
      <c r="D6" s="133">
        <f ca="1">OFFSET('Normalized Annual Summary'!$AC$10,COLUMN(G6)-COLUMN($F6),0)</f>
        <v>69417978.539750859</v>
      </c>
      <c r="E6" s="133">
        <f ca="1">OFFSET('Normalized Annual Summary'!$AC$10,COLUMN(H6)-COLUMN($F6),0)</f>
        <v>70641461.082503021</v>
      </c>
      <c r="F6" s="133">
        <f ca="1">OFFSET('Normalized Annual Summary'!$AC$10,COLUMN(I6)-COLUMN($F6),0)</f>
        <v>66642313.038291335</v>
      </c>
      <c r="G6" s="133">
        <f ca="1">OFFSET('Normalized Annual Summary'!$AC$10,COLUMN(J6)-COLUMN($F6),0)</f>
        <v>56877240.580695152</v>
      </c>
      <c r="H6" s="133">
        <f ca="1">OFFSET('Normalized Annual Summary'!$AJ$14,COLUMN(H6)-COLUMN($H6),0)</f>
        <v>51789364.099999994</v>
      </c>
      <c r="I6" s="133">
        <f ca="1">OFFSET('Normalized Annual Summary'!$AJ$14,COLUMN(I6)-COLUMN($H6),0)</f>
        <v>62080888.985526435</v>
      </c>
      <c r="J6" s="134">
        <f ca="1">OFFSET('Normalized Annual Summary'!$AJ$14,COLUMN(J6)-COLUMN($H6),0)</f>
        <v>54466921.777334087</v>
      </c>
    </row>
    <row r="7" spans="2:10" x14ac:dyDescent="0.25">
      <c r="B7" s="135" t="s">
        <v>34</v>
      </c>
      <c r="C7" s="133">
        <f ca="1">OFFSET('Normalized Annual Summary'!$AM$10,COLUMN(F7)-COLUMN($F7),0)</f>
        <v>96186938.487998307</v>
      </c>
      <c r="D7" s="133">
        <f ca="1">OFFSET('Normalized Annual Summary'!$AM$10,COLUMN(G7)-COLUMN($F7),0)</f>
        <v>98312961.495549217</v>
      </c>
      <c r="E7" s="133">
        <f ca="1">OFFSET('Normalized Annual Summary'!$AM$10,COLUMN(H7)-COLUMN($F7),0)</f>
        <v>103336246.95156476</v>
      </c>
      <c r="F7" s="133">
        <f ca="1">OFFSET('Normalized Annual Summary'!$AM$10,COLUMN(I7)-COLUMN($F7),0)</f>
        <v>107405735.86016604</v>
      </c>
      <c r="G7" s="133">
        <f ca="1">OFFSET('Normalized Annual Summary'!$AM$10,COLUMN(J7)-COLUMN($F7),0)</f>
        <v>115608242.25417729</v>
      </c>
      <c r="H7" s="133">
        <f ca="1">OFFSET('Normalized Annual Summary'!$AR$14,COLUMN(H7)-COLUMN($H7),0)</f>
        <v>108025611.39</v>
      </c>
      <c r="I7" s="133">
        <f ca="1">OFFSET('Normalized Annual Summary'!$AR$14,COLUMN(I7)-COLUMN($H7),0)</f>
        <v>98980671.312047407</v>
      </c>
      <c r="J7" s="134">
        <f ca="1">OFFSET('Normalized Annual Summary'!$AR$14,COLUMN(J7)-COLUMN($H7),0)</f>
        <v>99199237.296813443</v>
      </c>
    </row>
    <row r="8" spans="2:10" x14ac:dyDescent="0.25">
      <c r="B8" s="135" t="s">
        <v>107</v>
      </c>
      <c r="C8" s="133">
        <f ca="1">OFFSET('Normalized Annual Summary'!$BM$10,COLUMN(F8)-COLUMN($F8),0)</f>
        <v>15488406.9</v>
      </c>
      <c r="D8" s="133">
        <f ca="1">OFFSET('Normalized Annual Summary'!$BM$10,COLUMN(G8)-COLUMN($F8),0)</f>
        <v>15613194.549999999</v>
      </c>
      <c r="E8" s="133">
        <f ca="1">OFFSET('Normalized Annual Summary'!$BM$10,COLUMN(H8)-COLUMN($F8),0)</f>
        <v>16830475.099999998</v>
      </c>
      <c r="F8" s="133">
        <f ca="1">OFFSET('Normalized Annual Summary'!$BM$10,COLUMN(I8)-COLUMN($F8),0)</f>
        <v>16494364</v>
      </c>
      <c r="G8" s="133">
        <f ca="1">OFFSET('Normalized Annual Summary'!$BM$10,COLUMN(J8)-COLUMN($F8),0)</f>
        <v>16248812.099999998</v>
      </c>
      <c r="H8" s="133">
        <f ca="1">OFFSET('Normalized Annual Summary'!$BO$14,COLUMN(H8)-COLUMN($H8),0)</f>
        <v>16106610.137499999</v>
      </c>
      <c r="I8" s="133">
        <f ca="1">OFFSET('Normalized Annual Summary'!$BO$14,COLUMN(I8)-COLUMN($H8),0)</f>
        <v>16296711.4375</v>
      </c>
      <c r="J8" s="134">
        <f ca="1">OFFSET('Normalized Annual Summary'!$BO$14,COLUMN(J8)-COLUMN($H8),0)</f>
        <v>16296711.4375</v>
      </c>
    </row>
    <row r="9" spans="2:10" x14ac:dyDescent="0.25">
      <c r="B9" s="135" t="s">
        <v>32</v>
      </c>
      <c r="C9" s="133">
        <f ca="1">OFFSET('Normalized Annual Summary'!$AU$10,COLUMN(F9)-COLUMN($F9),0)</f>
        <v>3484987.18</v>
      </c>
      <c r="D9" s="133">
        <f ca="1">OFFSET('Normalized Annual Summary'!$AU$10,COLUMN(G9)-COLUMN($F9),0)</f>
        <v>2710401.7199999997</v>
      </c>
      <c r="E9" s="133">
        <f ca="1">OFFSET('Normalized Annual Summary'!$AU$10,COLUMN(H9)-COLUMN($F9),0)</f>
        <v>2115841.9300000002</v>
      </c>
      <c r="F9" s="133">
        <f ca="1">OFFSET('Normalized Annual Summary'!$AU$10,COLUMN(I9)-COLUMN($F9),0)</f>
        <v>2025403.37</v>
      </c>
      <c r="G9" s="133">
        <f ca="1">OFFSET('Normalized Annual Summary'!$AU$10,COLUMN(J9)-COLUMN($F9),0)</f>
        <v>1938874.6199999999</v>
      </c>
      <c r="H9" s="133">
        <f ca="1">OFFSET('Normalized Annual Summary'!$AX$14,COLUMN(H9)-COLUMN($H9),0)</f>
        <v>1938874.6199999999</v>
      </c>
      <c r="I9" s="133">
        <f ca="1">OFFSET('Normalized Annual Summary'!$AX$14,COLUMN(I9)-COLUMN($H9),0)</f>
        <v>1962132.4431208181</v>
      </c>
      <c r="J9" s="134">
        <f ca="1">OFFSET('Normalized Annual Summary'!$AX$14,COLUMN(J9)-COLUMN($H9),0)</f>
        <v>1985669.2560900459</v>
      </c>
    </row>
    <row r="10" spans="2:10" x14ac:dyDescent="0.25">
      <c r="B10" s="135" t="s">
        <v>120</v>
      </c>
      <c r="C10" s="133">
        <f ca="1">OFFSET('Normalized Annual Summary'!$BA$10,COLUMN(F10)-COLUMN($F10),0)</f>
        <v>280909.51</v>
      </c>
      <c r="D10" s="133">
        <f ca="1">OFFSET('Normalized Annual Summary'!$BA$10,COLUMN(G10)-COLUMN($F10),0)</f>
        <v>272741.7</v>
      </c>
      <c r="E10" s="133">
        <f ca="1">OFFSET('Normalized Annual Summary'!$BA$10,COLUMN(H10)-COLUMN($F10),0)</f>
        <v>266366.21000000002</v>
      </c>
      <c r="F10" s="133">
        <f ca="1">OFFSET('Normalized Annual Summary'!$BA$10,COLUMN(I10)-COLUMN($F10),0)</f>
        <v>246527.76</v>
      </c>
      <c r="G10" s="133">
        <f ca="1">OFFSET('Normalized Annual Summary'!$BA$10,COLUMN(J10)-COLUMN($F10),0)</f>
        <v>231256.11</v>
      </c>
      <c r="H10" s="133">
        <f ca="1">OFFSET('Normalized Annual Summary'!$BD$14,COLUMN(H10)-COLUMN($H10),0)</f>
        <v>231256.11</v>
      </c>
      <c r="I10" s="133">
        <f ca="1">OFFSET('Normalized Annual Summary'!$BD$14,COLUMN(I10)-COLUMN($H10),0)</f>
        <v>226332.60681422742</v>
      </c>
      <c r="J10" s="134">
        <f ca="1">OFFSET('Normalized Annual Summary'!$BD$14,COLUMN(J10)-COLUMN($H10),0)</f>
        <v>221513.9263015523</v>
      </c>
    </row>
    <row r="11" spans="2:10" x14ac:dyDescent="0.25">
      <c r="B11" s="135" t="s">
        <v>33</v>
      </c>
      <c r="C11" s="133">
        <f ca="1">OFFSET('Normalized Annual Summary'!$BG$10,COLUMN(F11)-COLUMN($F11),0)</f>
        <v>513343</v>
      </c>
      <c r="D11" s="133">
        <f ca="1">OFFSET('Normalized Annual Summary'!$BG$10,COLUMN(G11)-COLUMN($F11),0)</f>
        <v>539394</v>
      </c>
      <c r="E11" s="133">
        <f ca="1">OFFSET('Normalized Annual Summary'!$BG$10,COLUMN(H11)-COLUMN($F11),0)</f>
        <v>535721</v>
      </c>
      <c r="F11" s="133">
        <f ca="1">OFFSET('Normalized Annual Summary'!$BG$10,COLUMN(I11)-COLUMN($F11),0)</f>
        <v>537894</v>
      </c>
      <c r="G11" s="133">
        <f ca="1">OFFSET('Normalized Annual Summary'!$BG$10,COLUMN(J11)-COLUMN($F11),0)</f>
        <v>504437</v>
      </c>
      <c r="H11" s="133">
        <f ca="1">OFFSET('Normalized Annual Summary'!$BJ$14,COLUMN(H11)-COLUMN($H11),0)</f>
        <v>504437</v>
      </c>
      <c r="I11" s="133">
        <f ca="1">OFFSET('Normalized Annual Summary'!$BJ$14,COLUMN(I11)-COLUMN($H11),0)</f>
        <v>510974.44680553611</v>
      </c>
      <c r="J11" s="134">
        <f ca="1">OFFSET('Normalized Annual Summary'!$BJ$14,COLUMN(J11)-COLUMN($H11),0)</f>
        <v>517596.61818665901</v>
      </c>
    </row>
    <row r="12" spans="2:10" ht="13.8" thickBot="1" x14ac:dyDescent="0.3">
      <c r="B12" s="51" t="s">
        <v>121</v>
      </c>
      <c r="C12" s="52">
        <f t="shared" ref="C12:E12" ca="1" si="0">SUM(C3:C11)</f>
        <v>495159217.56282049</v>
      </c>
      <c r="D12" s="52">
        <f t="shared" ca="1" si="0"/>
        <v>496616791.00417066</v>
      </c>
      <c r="E12" s="52">
        <f t="shared" ca="1" si="0"/>
        <v>506341223.31385589</v>
      </c>
      <c r="F12" s="52">
        <f ca="1">SUM(F3:F11)</f>
        <v>501292087.50975311</v>
      </c>
      <c r="G12" s="52">
        <f ca="1">SUM(G3:G11)</f>
        <v>503150861.03698802</v>
      </c>
      <c r="H12" s="52">
        <f ca="1">SUM(H3:H11)</f>
        <v>478978551.66539782</v>
      </c>
      <c r="I12" s="52">
        <f ca="1">SUM(I3:I11)</f>
        <v>477554147.42603928</v>
      </c>
      <c r="J12" s="105">
        <f ca="1">SUM(J3:J11)</f>
        <v>468319009.92070264</v>
      </c>
    </row>
    <row r="14" spans="2:10" ht="16.2" thickBot="1" x14ac:dyDescent="0.35">
      <c r="B14" s="130" t="s">
        <v>126</v>
      </c>
    </row>
    <row r="15" spans="2:10" ht="39.6" x14ac:dyDescent="0.25">
      <c r="B15" s="48" t="s">
        <v>123</v>
      </c>
      <c r="C15" s="54" t="s">
        <v>127</v>
      </c>
      <c r="D15" s="54" t="s">
        <v>128</v>
      </c>
      <c r="E15" s="55" t="s">
        <v>129</v>
      </c>
    </row>
    <row r="16" spans="2:10" x14ac:dyDescent="0.25">
      <c r="B16" s="132" t="str">
        <f>B3</f>
        <v>Residential</v>
      </c>
      <c r="C16" s="133">
        <f ca="1">J3</f>
        <v>133312340.59346245</v>
      </c>
      <c r="D16" s="133">
        <f>'CDM Adjustments'!D11</f>
        <v>1256917.4238048936</v>
      </c>
      <c r="E16" s="134">
        <f ca="1">C16-D16</f>
        <v>132055423.16965756</v>
      </c>
    </row>
    <row r="17" spans="2:10" x14ac:dyDescent="0.25">
      <c r="B17" s="135" t="str">
        <f t="shared" ref="B17:B24" si="1">B4</f>
        <v>GS &lt; 50</v>
      </c>
      <c r="C17" s="133">
        <f ca="1">J4</f>
        <v>49204000.429687276</v>
      </c>
      <c r="D17" s="133">
        <f>'CDM Adjustments'!D12</f>
        <v>1142122.3104168703</v>
      </c>
      <c r="E17" s="134">
        <f ca="1">C17-D17</f>
        <v>48061878.119270407</v>
      </c>
    </row>
    <row r="18" spans="2:10" x14ac:dyDescent="0.25">
      <c r="B18" s="135" t="str">
        <f t="shared" si="1"/>
        <v>GS &gt; 50</v>
      </c>
      <c r="C18" s="133">
        <f ca="1">J5</f>
        <v>113115018.58532715</v>
      </c>
      <c r="D18" s="133">
        <f>'CDM Adjustments'!D13</f>
        <v>2796365.9880670961</v>
      </c>
      <c r="E18" s="134">
        <f t="shared" ref="E18:E24" ca="1" si="2">C18-D18</f>
        <v>110318652.59726006</v>
      </c>
    </row>
    <row r="19" spans="2:10" x14ac:dyDescent="0.25">
      <c r="B19" s="135" t="str">
        <f t="shared" si="1"/>
        <v>Intermediate</v>
      </c>
      <c r="C19" s="133">
        <f t="shared" ref="C19:C20" ca="1" si="3">J6</f>
        <v>54466921.777334087</v>
      </c>
      <c r="D19" s="133">
        <f>'CDM Adjustments'!D14</f>
        <v>1519685.6344254771</v>
      </c>
      <c r="E19" s="134">
        <f t="shared" ca="1" si="2"/>
        <v>52947236.14290861</v>
      </c>
    </row>
    <row r="20" spans="2:10" x14ac:dyDescent="0.25">
      <c r="B20" s="135" t="str">
        <f t="shared" si="1"/>
        <v>Large User</v>
      </c>
      <c r="C20" s="133">
        <f t="shared" ca="1" si="3"/>
        <v>99199237.296813443</v>
      </c>
      <c r="D20" s="133">
        <f>'CDM Adjustments'!D15</f>
        <v>2264837.8432856635</v>
      </c>
      <c r="E20" s="134">
        <f t="shared" ca="1" si="2"/>
        <v>96934399.453527778</v>
      </c>
    </row>
    <row r="21" spans="2:10" x14ac:dyDescent="0.25">
      <c r="B21" s="135" t="str">
        <f t="shared" si="1"/>
        <v>Embedded Distributor</v>
      </c>
      <c r="C21" s="133">
        <f ca="1">J8</f>
        <v>16296711.4375</v>
      </c>
      <c r="D21" s="133">
        <v>0</v>
      </c>
      <c r="E21" s="134">
        <f t="shared" ca="1" si="2"/>
        <v>16296711.4375</v>
      </c>
    </row>
    <row r="22" spans="2:10" x14ac:dyDescent="0.25">
      <c r="B22" s="135" t="str">
        <f t="shared" si="1"/>
        <v>Street Light</v>
      </c>
      <c r="C22" s="133">
        <f ca="1">J9</f>
        <v>1985669.2560900459</v>
      </c>
      <c r="D22" s="133">
        <v>0</v>
      </c>
      <c r="E22" s="134">
        <f t="shared" ca="1" si="2"/>
        <v>1985669.2560900459</v>
      </c>
    </row>
    <row r="23" spans="2:10" x14ac:dyDescent="0.25">
      <c r="B23" s="135" t="str">
        <f t="shared" si="1"/>
        <v>Sentinel Light</v>
      </c>
      <c r="C23" s="133">
        <f ca="1">J10</f>
        <v>221513.9263015523</v>
      </c>
      <c r="D23" s="133">
        <v>0</v>
      </c>
      <c r="E23" s="134">
        <f t="shared" ca="1" si="2"/>
        <v>221513.9263015523</v>
      </c>
    </row>
    <row r="24" spans="2:10" x14ac:dyDescent="0.25">
      <c r="B24" s="135" t="str">
        <f t="shared" si="1"/>
        <v>USL</v>
      </c>
      <c r="C24" s="133">
        <f ca="1">J11</f>
        <v>517596.61818665901</v>
      </c>
      <c r="D24" s="133">
        <v>0</v>
      </c>
      <c r="E24" s="134">
        <f t="shared" ca="1" si="2"/>
        <v>517596.61818665901</v>
      </c>
    </row>
    <row r="25" spans="2:10" ht="13.8" thickBot="1" x14ac:dyDescent="0.3">
      <c r="B25" s="51" t="s">
        <v>121</v>
      </c>
      <c r="C25" s="52">
        <f ca="1">SUM(C16:C24)</f>
        <v>468319009.92070264</v>
      </c>
      <c r="D25" s="52">
        <f>SUM(D16:D24)</f>
        <v>8979929.2000000011</v>
      </c>
      <c r="E25" s="53">
        <f ca="1">SUM(E16:E24)</f>
        <v>459339080.72070265</v>
      </c>
    </row>
    <row r="27" spans="2:10" ht="16.2" thickBot="1" x14ac:dyDescent="0.35">
      <c r="B27" s="130" t="s">
        <v>122</v>
      </c>
    </row>
    <row r="28" spans="2:10" x14ac:dyDescent="0.25">
      <c r="B28" s="48" t="s">
        <v>119</v>
      </c>
      <c r="C28" s="49" t="s">
        <v>216</v>
      </c>
      <c r="D28" s="49" t="s">
        <v>124</v>
      </c>
      <c r="E28" s="49" t="s">
        <v>125</v>
      </c>
      <c r="F28" s="49" t="s">
        <v>215</v>
      </c>
      <c r="G28" s="49" t="s">
        <v>214</v>
      </c>
      <c r="H28" s="49" t="s">
        <v>213</v>
      </c>
      <c r="I28" s="49" t="s">
        <v>212</v>
      </c>
      <c r="J28" s="50" t="s">
        <v>211</v>
      </c>
    </row>
    <row r="29" spans="2:10" x14ac:dyDescent="0.25">
      <c r="B29" s="135" t="s">
        <v>30</v>
      </c>
      <c r="C29" s="133">
        <f ca="1">OFFSET('kW Forecast'!$E$10,COLUMN()-COLUMN($C29),0)</f>
        <v>368506.88999999996</v>
      </c>
      <c r="D29" s="133">
        <f ca="1">OFFSET('kW Forecast'!$E$10,COLUMN()-COLUMN($C29),0)</f>
        <v>345792.2</v>
      </c>
      <c r="E29" s="133">
        <f ca="1">OFFSET('kW Forecast'!$E$10,COLUMN()-COLUMN($C29),0)</f>
        <v>350962.41000000003</v>
      </c>
      <c r="F29" s="133">
        <f ca="1">OFFSET('kW Forecast'!$E$10,COLUMN()-COLUMN($C29),0)</f>
        <v>252229.96999999997</v>
      </c>
      <c r="G29" s="133">
        <f ca="1">OFFSET('kW Forecast'!$E$10,COLUMN()-COLUMN($C29),0)</f>
        <v>329499.34999999998</v>
      </c>
      <c r="H29" s="133">
        <f ca="1">OFFSET('kW Forecast'!$E$18,COLUMN()-COLUMN($H29),0)</f>
        <v>331652.92137503438</v>
      </c>
      <c r="I29" s="133">
        <f ca="1">OFFSET('kW Forecast'!$E$18,COLUMN()-COLUMN($H29),0)</f>
        <v>324429.77387722308</v>
      </c>
      <c r="J29" s="134">
        <f ca="1">OFFSET('kW Forecast'!$E$18,COLUMN()-COLUMN($H29),0)</f>
        <v>320078.16746539378</v>
      </c>
    </row>
    <row r="30" spans="2:10" x14ac:dyDescent="0.25">
      <c r="B30" s="135" t="str">
        <f>B19</f>
        <v>Intermediate</v>
      </c>
      <c r="C30" s="133">
        <f ca="1">OFFSET('kW Forecast'!$L$10,COLUMN()-COLUMN($C30),0)</f>
        <v>139938.53</v>
      </c>
      <c r="D30" s="133">
        <f ca="1">OFFSET('kW Forecast'!$L$10,COLUMN()-COLUMN($C30),0)</f>
        <v>140014.74</v>
      </c>
      <c r="E30" s="133">
        <f ca="1">OFFSET('kW Forecast'!$L$10,COLUMN()-COLUMN($C30),0)</f>
        <v>128434.75</v>
      </c>
      <c r="F30" s="133">
        <f ca="1">OFFSET('kW Forecast'!$L$10,COLUMN()-COLUMN($C30),0)</f>
        <v>158508.72</v>
      </c>
      <c r="G30" s="133">
        <f ca="1">OFFSET('kW Forecast'!$L$10,COLUMN()-COLUMN($C30),0)</f>
        <v>141886.85</v>
      </c>
      <c r="H30" s="133">
        <f ca="1">OFFSET('kW Forecast'!$L$18,COLUMN()-COLUMN($H30),0)</f>
        <v>114709.62239736135</v>
      </c>
      <c r="I30" s="133">
        <f ca="1">OFFSET('kW Forecast'!$L$18,COLUMN()-COLUMN($H30),0)</f>
        <v>137504.59109464617</v>
      </c>
      <c r="J30" s="134">
        <f ca="1">OFFSET('kW Forecast'!$L$18,COLUMN()-COLUMN($H30),0)</f>
        <v>119149.4228587157</v>
      </c>
    </row>
    <row r="31" spans="2:10" x14ac:dyDescent="0.25">
      <c r="B31" s="135" t="str">
        <f>B20</f>
        <v>Large User</v>
      </c>
      <c r="C31" s="133">
        <f ca="1">OFFSET('kW Forecast'!$Q$10,COLUMN()-COLUMN($C31),0)</f>
        <v>160411.85999999999</v>
      </c>
      <c r="D31" s="133">
        <f ca="1">OFFSET('kW Forecast'!$Q$10,COLUMN()-COLUMN($C31),0)</f>
        <v>163429.90000000002</v>
      </c>
      <c r="E31" s="133">
        <f ca="1">OFFSET('kW Forecast'!$Q$10,COLUMN()-COLUMN($C31),0)</f>
        <v>178918.34</v>
      </c>
      <c r="F31" s="133">
        <f ca="1">OFFSET('kW Forecast'!$Q$10,COLUMN()-COLUMN($C31),0)</f>
        <v>169422.23999999996</v>
      </c>
      <c r="G31" s="133">
        <f ca="1">OFFSET('kW Forecast'!$Q$10,COLUMN()-COLUMN($C31),0)</f>
        <v>177133.62</v>
      </c>
      <c r="H31" s="133">
        <f ca="1">OFFSET('kW Forecast'!$Q$18,COLUMN()-COLUMN($H31),0)</f>
        <v>187446.01925458992</v>
      </c>
      <c r="I31" s="133">
        <f ca="1">OFFSET('kW Forecast'!$Q$18,COLUMN()-COLUMN($H31),0)</f>
        <v>171751.24104234218</v>
      </c>
      <c r="J31" s="134">
        <f ca="1">OFFSET('kW Forecast'!$Q$18,COLUMN()-COLUMN($H31),0)</f>
        <v>172130.49669534602</v>
      </c>
    </row>
    <row r="32" spans="2:10" x14ac:dyDescent="0.25">
      <c r="B32" s="135" t="s">
        <v>107</v>
      </c>
      <c r="C32" s="133">
        <f ca="1">OFFSET('kW Forecast'!$V$10,COLUMN()-COLUMN($C32),0)</f>
        <v>36021.499999999993</v>
      </c>
      <c r="D32" s="133">
        <f ca="1">OFFSET('kW Forecast'!$V$10,COLUMN()-COLUMN($C32),0)</f>
        <v>36253.199999999997</v>
      </c>
      <c r="E32" s="133">
        <f ca="1">OFFSET('kW Forecast'!$V$10,COLUMN()-COLUMN($C32),0)</f>
        <v>36008.5</v>
      </c>
      <c r="F32" s="133">
        <f ca="1">OFFSET('kW Forecast'!$V$10,COLUMN()-COLUMN($C32),0)</f>
        <v>35856</v>
      </c>
      <c r="G32" s="133">
        <f ca="1">OFFSET('kW Forecast'!$V$10,COLUMN()-COLUMN($C32),0)</f>
        <v>36389.200000000004</v>
      </c>
      <c r="H32" s="133">
        <f ca="1">OFFSET('kW Forecast'!$V$18,COLUMN()-COLUMN($H32),0)</f>
        <v>34449.798066012052</v>
      </c>
      <c r="I32" s="133">
        <f ca="1">OFFSET('kW Forecast'!$V$18,COLUMN()-COLUMN($H32),0)</f>
        <v>34856.398296673804</v>
      </c>
      <c r="J32" s="134">
        <f ca="1">OFFSET('kW Forecast'!$V$18,COLUMN()-COLUMN($H32),0)</f>
        <v>34856.398296673804</v>
      </c>
    </row>
    <row r="33" spans="2:10" x14ac:dyDescent="0.25">
      <c r="B33" s="135" t="s">
        <v>32</v>
      </c>
      <c r="C33" s="133">
        <f ca="1">OFFSET('kW Forecast'!$AA$10,COLUMN()-COLUMN($C33),0)</f>
        <v>9969.1499999999978</v>
      </c>
      <c r="D33" s="133">
        <f ca="1">OFFSET('kW Forecast'!$AA$10,COLUMN()-COLUMN($C33),0)</f>
        <v>7517.93</v>
      </c>
      <c r="E33" s="133">
        <f ca="1">OFFSET('kW Forecast'!$AA$10,COLUMN()-COLUMN($C33),0)</f>
        <v>5900.04</v>
      </c>
      <c r="F33" s="133">
        <f ca="1">OFFSET('kW Forecast'!$AA$10,COLUMN()-COLUMN($C33),0)</f>
        <v>5564.23</v>
      </c>
      <c r="G33" s="133">
        <f ca="1">OFFSET('kW Forecast'!$AA$10,COLUMN()-COLUMN($C33),0)</f>
        <v>5228.83</v>
      </c>
      <c r="H33" s="133">
        <f ca="1">OFFSET('kW Forecast'!$AA$18,COLUMN()-COLUMN($H33),0)</f>
        <v>5320.6372832046945</v>
      </c>
      <c r="I33" s="133">
        <f ca="1">OFFSET('kW Forecast'!$AA$18,COLUMN()-COLUMN($H33),0)</f>
        <v>5384.4611321252642</v>
      </c>
      <c r="J33" s="134">
        <f ca="1">OFFSET('kW Forecast'!$AA$18,COLUMN()-COLUMN($H33),0)</f>
        <v>5449.0505817575922</v>
      </c>
    </row>
    <row r="34" spans="2:10" x14ac:dyDescent="0.25">
      <c r="B34" s="135" t="s">
        <v>120</v>
      </c>
      <c r="C34" s="133">
        <f ca="1">OFFSET('kW Forecast'!$AF$10,COLUMN()-COLUMN($C34),0)</f>
        <v>643</v>
      </c>
      <c r="D34" s="133">
        <f ca="1">OFFSET('kW Forecast'!$AF$10,COLUMN()-COLUMN($C34),0)</f>
        <v>647</v>
      </c>
      <c r="E34" s="133">
        <f ca="1">OFFSET('kW Forecast'!$AF$10,COLUMN()-COLUMN($C34),0)</f>
        <v>657</v>
      </c>
      <c r="F34" s="133">
        <f ca="1">OFFSET('kW Forecast'!$AF$10,COLUMN()-COLUMN($C34),0)</f>
        <v>653</v>
      </c>
      <c r="G34" s="133">
        <f ca="1">OFFSET('kW Forecast'!$AF$10,COLUMN()-COLUMN($C34),0)</f>
        <v>615</v>
      </c>
      <c r="H34" s="133">
        <f ca="1">OFFSET('kW Forecast'!$AF$18,COLUMN()-COLUMN($H34),0)</f>
        <v>599.31618012255922</v>
      </c>
      <c r="I34" s="133">
        <f ca="1">OFFSET('kW Forecast'!$AF$18,COLUMN()-COLUMN($H34),0)</f>
        <v>586.55658158862866</v>
      </c>
      <c r="J34" s="134">
        <f ca="1">OFFSET('kW Forecast'!$AF$18,COLUMN()-COLUMN($H34),0)</f>
        <v>574.06863825131552</v>
      </c>
    </row>
    <row r="35" spans="2:10" ht="13.8" thickBot="1" x14ac:dyDescent="0.3">
      <c r="B35" s="51" t="s">
        <v>121</v>
      </c>
      <c r="C35" s="107">
        <f t="shared" ref="C35" ca="1" si="4">SUM(C26:C34)</f>
        <v>715490.92999999993</v>
      </c>
      <c r="D35" s="107">
        <f t="shared" ref="D35" ca="1" si="5">SUM(D26:D34)</f>
        <v>693654.97000000009</v>
      </c>
      <c r="E35" s="107">
        <f t="shared" ref="E35" ca="1" si="6">SUM(E26:E34)</f>
        <v>700881.04</v>
      </c>
      <c r="F35" s="107">
        <f ca="1">SUM(F26:F34)</f>
        <v>622234.15999999992</v>
      </c>
      <c r="G35" s="107">
        <f ca="1">SUM(G26:G34)</f>
        <v>690752.84999999986</v>
      </c>
      <c r="H35" s="107">
        <f ca="1">SUM(H26:H34)</f>
        <v>674178.31455632497</v>
      </c>
      <c r="I35" s="107">
        <f ca="1">SUM(I26:I34)</f>
        <v>674513.02202459902</v>
      </c>
      <c r="J35" s="105">
        <f ca="1">SUM(J26:J34)</f>
        <v>652237.60453613813</v>
      </c>
    </row>
    <row r="37" spans="2:10" ht="16.2" thickBot="1" x14ac:dyDescent="0.35">
      <c r="B37" s="130" t="s">
        <v>126</v>
      </c>
    </row>
    <row r="38" spans="2:10" ht="39.6" x14ac:dyDescent="0.25">
      <c r="B38" s="48" t="s">
        <v>119</v>
      </c>
      <c r="C38" s="54" t="s">
        <v>127</v>
      </c>
      <c r="D38" s="54" t="s">
        <v>128</v>
      </c>
      <c r="E38" s="55" t="s">
        <v>129</v>
      </c>
    </row>
    <row r="39" spans="2:10" x14ac:dyDescent="0.25">
      <c r="B39" s="135" t="str">
        <f>B29</f>
        <v>GS &gt; 50</v>
      </c>
      <c r="C39" s="133">
        <f ca="1">J29</f>
        <v>320078.16746539378</v>
      </c>
      <c r="D39" s="133">
        <f ca="1">'CDM Adjustments'!M11</f>
        <v>11869.189152118142</v>
      </c>
      <c r="E39" s="134">
        <f ca="1">C39-D39</f>
        <v>308208.97831327561</v>
      </c>
    </row>
    <row r="40" spans="2:10" x14ac:dyDescent="0.25">
      <c r="B40" s="135" t="str">
        <f t="shared" ref="B40:B44" si="7">B30</f>
        <v>Intermediate</v>
      </c>
      <c r="C40" s="133">
        <f t="shared" ref="C40:C44" ca="1" si="8">J30</f>
        <v>119149.4228587157</v>
      </c>
      <c r="D40" s="133">
        <f ca="1">'CDM Adjustments'!M12</f>
        <v>4986.5953598967826</v>
      </c>
      <c r="E40" s="134">
        <f t="shared" ref="E40:E41" ca="1" si="9">C40-D40</f>
        <v>114162.82749881892</v>
      </c>
    </row>
    <row r="41" spans="2:10" x14ac:dyDescent="0.25">
      <c r="B41" s="135" t="str">
        <f t="shared" si="7"/>
        <v>Large User</v>
      </c>
      <c r="C41" s="133">
        <f t="shared" ca="1" si="8"/>
        <v>172130.49669534602</v>
      </c>
      <c r="D41" s="133">
        <f ca="1">'CDM Adjustments'!M13</f>
        <v>5894.9192582910191</v>
      </c>
      <c r="E41" s="134">
        <f t="shared" ca="1" si="9"/>
        <v>166235.57743705501</v>
      </c>
    </row>
    <row r="42" spans="2:10" x14ac:dyDescent="0.25">
      <c r="B42" s="135" t="str">
        <f t="shared" si="7"/>
        <v>Embedded Distributor</v>
      </c>
      <c r="C42" s="133">
        <f t="shared" ca="1" si="8"/>
        <v>34856.398296673804</v>
      </c>
      <c r="D42" s="133">
        <v>0</v>
      </c>
      <c r="E42" s="134">
        <f t="shared" ref="E42:E44" ca="1" si="10">C42-D42</f>
        <v>34856.398296673804</v>
      </c>
    </row>
    <row r="43" spans="2:10" x14ac:dyDescent="0.25">
      <c r="B43" s="135" t="str">
        <f t="shared" si="7"/>
        <v>Street Light</v>
      </c>
      <c r="C43" s="133">
        <f t="shared" ca="1" si="8"/>
        <v>5449.0505817575922</v>
      </c>
      <c r="D43" s="133">
        <v>0</v>
      </c>
      <c r="E43" s="134">
        <f t="shared" ca="1" si="10"/>
        <v>5449.0505817575922</v>
      </c>
    </row>
    <row r="44" spans="2:10" x14ac:dyDescent="0.25">
      <c r="B44" s="135" t="str">
        <f t="shared" si="7"/>
        <v>Sentinel Light</v>
      </c>
      <c r="C44" s="133">
        <f t="shared" ca="1" si="8"/>
        <v>574.06863825131552</v>
      </c>
      <c r="D44" s="133">
        <v>0</v>
      </c>
      <c r="E44" s="134">
        <f t="shared" ca="1" si="10"/>
        <v>574.06863825131552</v>
      </c>
    </row>
    <row r="45" spans="2:10" ht="13.8" thickBot="1" x14ac:dyDescent="0.3">
      <c r="B45" s="51" t="s">
        <v>121</v>
      </c>
      <c r="C45" s="52">
        <f ca="1">SUM(C39:C44)</f>
        <v>652237.60453613813</v>
      </c>
      <c r="D45" s="52">
        <f ca="1">SUM(D39:D44)</f>
        <v>22750.703770305943</v>
      </c>
      <c r="E45" s="53">
        <f ca="1">SUM(E39:E44)</f>
        <v>629486.90076583216</v>
      </c>
    </row>
    <row r="47" spans="2:10" ht="16.2" thickBot="1" x14ac:dyDescent="0.35">
      <c r="B47" s="130" t="s">
        <v>130</v>
      </c>
    </row>
    <row r="48" spans="2:10" x14ac:dyDescent="0.25">
      <c r="B48" s="48" t="s">
        <v>119</v>
      </c>
      <c r="C48" s="49" t="s">
        <v>216</v>
      </c>
      <c r="D48" s="49" t="s">
        <v>124</v>
      </c>
      <c r="E48" s="49" t="s">
        <v>125</v>
      </c>
      <c r="F48" s="49" t="s">
        <v>215</v>
      </c>
      <c r="G48" s="49" t="s">
        <v>214</v>
      </c>
      <c r="H48" s="49" t="s">
        <v>212</v>
      </c>
      <c r="I48" s="50" t="s">
        <v>211</v>
      </c>
    </row>
    <row r="49" spans="2:9" x14ac:dyDescent="0.25">
      <c r="B49" s="132" t="str">
        <f>B3</f>
        <v>Residential</v>
      </c>
      <c r="C49" s="133">
        <f ca="1">OFFSET('Connection count '!$C$9,COLUMN()-COLUMN($C49),0)</f>
        <v>16236.25</v>
      </c>
      <c r="D49" s="133">
        <f ca="1">OFFSET('Connection count '!$C$9,COLUMN()-COLUMN($C49),0)</f>
        <v>16383</v>
      </c>
      <c r="E49" s="133">
        <f ca="1">OFFSET('Connection count '!$C$9,COLUMN()-COLUMN($C49),0)</f>
        <v>16515.916666666668</v>
      </c>
      <c r="F49" s="133">
        <f ca="1">OFFSET('Connection count '!$C$9,COLUMN()-COLUMN($C49),0)</f>
        <v>16667.416666666668</v>
      </c>
      <c r="G49" s="133">
        <f ca="1">OFFSET('Connection count '!$C$9,COLUMN()-COLUMN($C49),0)</f>
        <v>16855.083333333332</v>
      </c>
      <c r="H49" s="133">
        <f ca="1">OFFSET('Connection count '!$C$9,COLUMN()-COLUMN($C49),0)</f>
        <v>16986.648595616094</v>
      </c>
      <c r="I49" s="134">
        <f ca="1">OFFSET('Connection count '!$C$9,COLUMN()-COLUMN($C49),0)</f>
        <v>17119.240813262837</v>
      </c>
    </row>
    <row r="50" spans="2:9" x14ac:dyDescent="0.25">
      <c r="B50" s="135" t="str">
        <f t="shared" ref="B50:B57" si="11">B4</f>
        <v>GS &lt; 50</v>
      </c>
      <c r="C50" s="133">
        <f ca="1">OFFSET('Connection count '!$G$9,COLUMN()-COLUMN($C50),0)</f>
        <v>1921</v>
      </c>
      <c r="D50" s="133">
        <f ca="1">OFFSET('Connection count '!$G$9,COLUMN()-COLUMN($C50),0)</f>
        <v>1940</v>
      </c>
      <c r="E50" s="133">
        <f ca="1">OFFSET('Connection count '!$G$9,COLUMN()-COLUMN($C50),0)</f>
        <v>1952.9166666666667</v>
      </c>
      <c r="F50" s="133">
        <f ca="1">OFFSET('Connection count '!$G$9,COLUMN()-COLUMN($C50),0)</f>
        <v>1989.3333333333333</v>
      </c>
      <c r="G50" s="133">
        <f ca="1">OFFSET('Connection count '!$G$9,COLUMN()-COLUMN($C50),0)</f>
        <v>1993.3333333333333</v>
      </c>
      <c r="H50" s="133">
        <f ca="1">OFFSET('Connection count '!$G$9,COLUMN()-COLUMN($C50),0)</f>
        <v>2005.7581747453632</v>
      </c>
      <c r="I50" s="134">
        <f ca="1">OFFSET('Connection count '!$G$9,COLUMN()-COLUMN($C50),0)</f>
        <v>2018.2604626544405</v>
      </c>
    </row>
    <row r="51" spans="2:9" x14ac:dyDescent="0.25">
      <c r="B51" s="135" t="str">
        <f t="shared" si="11"/>
        <v>GS &gt; 50</v>
      </c>
      <c r="C51" s="133">
        <f ca="1">OFFSET('Connection count '!$K$9,COLUMN()-COLUMN($C51),0)</f>
        <v>189.33333333333334</v>
      </c>
      <c r="D51" s="133">
        <f ca="1">OFFSET('Connection count '!$K$9,COLUMN()-COLUMN($C51),0)</f>
        <v>187.41666666666666</v>
      </c>
      <c r="E51" s="133">
        <f ca="1">OFFSET('Connection count '!$K$9,COLUMN()-COLUMN($C51),0)</f>
        <v>182.66666666666666</v>
      </c>
      <c r="F51" s="133">
        <f ca="1">OFFSET('Connection count '!$K$9,COLUMN()-COLUMN($C51),0)</f>
        <v>157.25</v>
      </c>
      <c r="G51" s="133">
        <f ca="1">OFFSET('Connection count '!$K$9,COLUMN()-COLUMN($C51),0)</f>
        <v>159.75</v>
      </c>
      <c r="H51" s="133">
        <f ca="1">OFFSET('Connection count '!$K$9,COLUMN()-COLUMN($C51),0)</f>
        <v>157.41214581971806</v>
      </c>
      <c r="I51" s="134">
        <f ca="1">OFFSET('Connection count '!$K$9,COLUMN()-COLUMN($C51),0)</f>
        <v>155.10850486114668</v>
      </c>
    </row>
    <row r="52" spans="2:9" x14ac:dyDescent="0.25">
      <c r="B52" s="135" t="str">
        <f t="shared" si="11"/>
        <v>Intermediate</v>
      </c>
      <c r="C52" s="133">
        <f ca="1">OFFSET('Connection count '!$O$9,COLUMN()-COLUMN($C52),0)</f>
        <v>5</v>
      </c>
      <c r="D52" s="133">
        <f ca="1">OFFSET('Connection count '!$O$9,COLUMN()-COLUMN($C52),0)</f>
        <v>5</v>
      </c>
      <c r="E52" s="133">
        <f ca="1">OFFSET('Connection count '!$O$9,COLUMN()-COLUMN($C52),0)</f>
        <v>5</v>
      </c>
      <c r="F52" s="133">
        <f ca="1">OFFSET('Connection count '!$O$9,COLUMN()-COLUMN($C52),0)</f>
        <v>5</v>
      </c>
      <c r="G52" s="133">
        <f ca="1">OFFSET('Connection count '!$O$9,COLUMN()-COLUMN($C52),0)</f>
        <v>5</v>
      </c>
      <c r="H52" s="133">
        <f ca="1">OFFSET('Connection count '!$O$9,COLUMN()-COLUMN($C52),0)</f>
        <v>5</v>
      </c>
      <c r="I52" s="134">
        <f ca="1">OFFSET('Connection count '!$O$9,COLUMN()-COLUMN($C52),0)</f>
        <v>4</v>
      </c>
    </row>
    <row r="53" spans="2:9" x14ac:dyDescent="0.25">
      <c r="B53" s="135" t="str">
        <f t="shared" si="11"/>
        <v>Large User</v>
      </c>
      <c r="C53" s="133">
        <f ca="1">OFFSET('Connection count '!$S$9,COLUMN()-COLUMN($C53),0)</f>
        <v>1</v>
      </c>
      <c r="D53" s="133">
        <f ca="1">OFFSET('Connection count '!$S$9,COLUMN()-COLUMN($C53),0)</f>
        <v>1</v>
      </c>
      <c r="E53" s="133">
        <f ca="1">OFFSET('Connection count '!$S$9,COLUMN()-COLUMN($C53),0)</f>
        <v>1</v>
      </c>
      <c r="F53" s="133">
        <f ca="1">OFFSET('Connection count '!$S$9,COLUMN()-COLUMN($C53),0)</f>
        <v>1</v>
      </c>
      <c r="G53" s="133">
        <f ca="1">OFFSET('Connection count '!$S$9,COLUMN()-COLUMN($C53),0)</f>
        <v>1</v>
      </c>
      <c r="H53" s="133">
        <f ca="1">OFFSET('Connection count '!$S$9,COLUMN()-COLUMN($C53),0)</f>
        <v>1</v>
      </c>
      <c r="I53" s="134">
        <f ca="1">OFFSET('Connection count '!$S$9,COLUMN()-COLUMN($C53),0)</f>
        <v>1</v>
      </c>
    </row>
    <row r="54" spans="2:9" x14ac:dyDescent="0.25">
      <c r="B54" s="135" t="str">
        <f t="shared" si="11"/>
        <v>Embedded Distributor</v>
      </c>
      <c r="C54" s="133">
        <f ca="1">OFFSET('Connection count '!$AI$9,COLUMN()-COLUMN($C54),0)</f>
        <v>3</v>
      </c>
      <c r="D54" s="133">
        <f ca="1">OFFSET('Connection count '!$AI$9,COLUMN()-COLUMN($C54),0)</f>
        <v>4</v>
      </c>
      <c r="E54" s="133">
        <f ca="1">OFFSET('Connection count '!$AI$9,COLUMN()-COLUMN($C54),0)</f>
        <v>4</v>
      </c>
      <c r="F54" s="133">
        <f ca="1">OFFSET('Connection count '!$AI$9,COLUMN()-COLUMN($C54),0)</f>
        <v>4</v>
      </c>
      <c r="G54" s="133">
        <f ca="1">OFFSET('Connection count '!$AI$9,COLUMN()-COLUMN($C54),0)</f>
        <v>4</v>
      </c>
      <c r="H54" s="133">
        <f ca="1">OFFSET('Connection count '!$AI$9,COLUMN()-COLUMN($C54),0)</f>
        <v>4</v>
      </c>
      <c r="I54" s="134">
        <f ca="1">OFFSET('Connection count '!$AI$9,COLUMN()-COLUMN($C54),0)</f>
        <v>4</v>
      </c>
    </row>
    <row r="55" spans="2:9" x14ac:dyDescent="0.25">
      <c r="B55" s="135" t="str">
        <f t="shared" si="11"/>
        <v>Street Light</v>
      </c>
      <c r="C55" s="133">
        <f ca="1">OFFSET('Connection count '!$AE$9,COLUMN()-COLUMN($C55),0)</f>
        <v>4283</v>
      </c>
      <c r="D55" s="133">
        <f ca="1">OFFSET('Connection count '!$AE$9,COLUMN()-COLUMN($C55),0)</f>
        <v>4498</v>
      </c>
      <c r="E55" s="133">
        <f ca="1">OFFSET('Connection count '!$AE$9,COLUMN()-COLUMN($C55),0)</f>
        <v>4498</v>
      </c>
      <c r="F55" s="133">
        <f ca="1">OFFSET('Connection count '!$AE$9,COLUMN()-COLUMN($C55),0)</f>
        <v>4617.083333333333</v>
      </c>
      <c r="G55" s="133">
        <f ca="1">OFFSET('Connection count '!$AE$9,COLUMN()-COLUMN($C55),0)</f>
        <v>5927</v>
      </c>
      <c r="H55" s="133">
        <f ca="1">OFFSET('Connection count '!$AE$9,COLUMN()-COLUMN($C55),0)</f>
        <v>5998.0974893451794</v>
      </c>
      <c r="I55" s="134">
        <f ca="1">OFFSET('Connection count '!$AE$9,COLUMN()-COLUMN($C55),0)</f>
        <v>6070.0478305532215</v>
      </c>
    </row>
    <row r="56" spans="2:9" x14ac:dyDescent="0.25">
      <c r="B56" s="135" t="str">
        <f t="shared" si="11"/>
        <v>Sentinel Light</v>
      </c>
      <c r="C56" s="133">
        <f ca="1">OFFSET('Connection count '!$AA$9,COLUMN()-COLUMN($C56),0)</f>
        <v>301</v>
      </c>
      <c r="D56" s="133">
        <f ca="1">OFFSET('Connection count '!$AA$9,COLUMN()-COLUMN($C56),0)</f>
        <v>248</v>
      </c>
      <c r="E56" s="133">
        <f ca="1">OFFSET('Connection count '!$AA$9,COLUMN()-COLUMN($C56),0)</f>
        <v>248</v>
      </c>
      <c r="F56" s="133">
        <f ca="1">OFFSET('Connection count '!$AA$9,COLUMN()-COLUMN($C56),0)</f>
        <v>248</v>
      </c>
      <c r="G56" s="133">
        <f ca="1">OFFSET('Connection count '!$AA$9,COLUMN()-COLUMN($C56),0)</f>
        <v>248</v>
      </c>
      <c r="H56" s="133">
        <f ca="1">OFFSET('Connection count '!$AA$9,COLUMN()-COLUMN($C56),0)</f>
        <v>242.72001500815873</v>
      </c>
      <c r="I56" s="134">
        <f ca="1">OFFSET('Connection count '!$AA$9,COLUMN()-COLUMN($C56),0)</f>
        <v>237.5524422804871</v>
      </c>
    </row>
    <row r="57" spans="2:9" x14ac:dyDescent="0.25">
      <c r="B57" s="135" t="str">
        <f t="shared" si="11"/>
        <v>USL</v>
      </c>
      <c r="C57" s="133">
        <f ca="1">OFFSET('Connection count '!$W$9,COLUMN()-COLUMN($C57),0)</f>
        <v>119.66666666666667</v>
      </c>
      <c r="D57" s="133">
        <f ca="1">OFFSET('Connection count '!$W$9,COLUMN()-COLUMN($C57),0)</f>
        <v>123.66666666666667</v>
      </c>
      <c r="E57" s="133">
        <f ca="1">OFFSET('Connection count '!$W$9,COLUMN()-COLUMN($C57),0)</f>
        <v>120.91666666666667</v>
      </c>
      <c r="F57" s="133">
        <f ca="1">OFFSET('Connection count '!$W$9,COLUMN()-COLUMN($C57),0)</f>
        <v>127.66666666666667</v>
      </c>
      <c r="G57" s="133">
        <f ca="1">OFFSET('Connection count '!$W$9,COLUMN()-COLUMN($C57),0)</f>
        <v>126.41666666666667</v>
      </c>
      <c r="H57" s="133">
        <f ca="1">OFFSET('Connection count '!$W$9,COLUMN()-COLUMN($C57),0)</f>
        <v>128.05501245348748</v>
      </c>
      <c r="I57" s="134">
        <f ca="1">OFFSET('Connection count '!$W$9,COLUMN()-COLUMN($C57),0)</f>
        <v>129.71459101750429</v>
      </c>
    </row>
    <row r="58" spans="2:9" ht="13.8" thickBot="1" x14ac:dyDescent="0.3">
      <c r="B58" s="51" t="s">
        <v>121</v>
      </c>
      <c r="C58" s="107">
        <f ca="1">SUM(C49:C57)</f>
        <v>23059.25</v>
      </c>
      <c r="D58" s="107">
        <f t="shared" ref="D58:I58" ca="1" si="12">SUM(D49:D57)</f>
        <v>23390.083333333336</v>
      </c>
      <c r="E58" s="107">
        <f t="shared" ca="1" si="12"/>
        <v>23528.416666666672</v>
      </c>
      <c r="F58" s="107">
        <f t="shared" ca="1" si="12"/>
        <v>23816.75</v>
      </c>
      <c r="G58" s="107">
        <f t="shared" ca="1" si="12"/>
        <v>25319.583333333332</v>
      </c>
      <c r="H58" s="107">
        <f t="shared" ca="1" si="12"/>
        <v>25528.691432987998</v>
      </c>
      <c r="I58" s="105">
        <f t="shared" ca="1" si="12"/>
        <v>25738.924644629642</v>
      </c>
    </row>
    <row r="60" spans="2:9" x14ac:dyDescent="0.25">
      <c r="C60" s="149">
        <f t="shared" ref="C60:H60" ca="1" si="13">C58-C55</f>
        <v>18776.25</v>
      </c>
      <c r="D60" s="149">
        <f t="shared" ca="1" si="13"/>
        <v>18892.083333333336</v>
      </c>
      <c r="E60" s="149">
        <f t="shared" ca="1" si="13"/>
        <v>19030.416666666672</v>
      </c>
      <c r="F60" s="149">
        <f t="shared" ca="1" si="13"/>
        <v>19199.666666666668</v>
      </c>
      <c r="G60" s="149">
        <f t="shared" ca="1" si="13"/>
        <v>19392.583333333332</v>
      </c>
      <c r="H60" s="149">
        <f t="shared" ca="1" si="13"/>
        <v>19530.59394364282</v>
      </c>
      <c r="I60" s="149">
        <f ca="1">I58-I55</f>
        <v>19668.876814076422</v>
      </c>
    </row>
    <row r="61" spans="2:9" x14ac:dyDescent="0.25">
      <c r="C61" s="149">
        <f t="shared" ref="C61:H61" ca="1" si="14">C60+8</f>
        <v>18784.25</v>
      </c>
      <c r="D61" s="149">
        <f t="shared" ca="1" si="14"/>
        <v>18900.083333333336</v>
      </c>
      <c r="E61" s="149">
        <f t="shared" ca="1" si="14"/>
        <v>19038.416666666672</v>
      </c>
      <c r="F61" s="149">
        <f t="shared" ca="1" si="14"/>
        <v>19207.666666666668</v>
      </c>
      <c r="G61" s="149">
        <f t="shared" ca="1" si="14"/>
        <v>19400.583333333332</v>
      </c>
      <c r="H61" s="149">
        <f t="shared" ca="1" si="14"/>
        <v>19538.59394364282</v>
      </c>
      <c r="I61" s="149">
        <f ca="1">I60+8</f>
        <v>19676.876814076422</v>
      </c>
    </row>
    <row r="63" spans="2:9" x14ac:dyDescent="0.25">
      <c r="D63" s="149">
        <f ca="1">D61-C61</f>
        <v>115.83333333333576</v>
      </c>
      <c r="E63" s="149">
        <f t="shared" ref="E63:I63" ca="1" si="15">E61-D61</f>
        <v>138.33333333333576</v>
      </c>
      <c r="F63" s="149">
        <f t="shared" ca="1" si="15"/>
        <v>169.24999999999636</v>
      </c>
      <c r="G63" s="149">
        <f t="shared" ca="1" si="15"/>
        <v>192.91666666666424</v>
      </c>
      <c r="H63" s="149">
        <f t="shared" ca="1" si="15"/>
        <v>138.01061030948767</v>
      </c>
      <c r="I63" s="149">
        <f t="shared" ca="1" si="15"/>
        <v>138.28287043360251</v>
      </c>
    </row>
    <row r="64" spans="2:9" x14ac:dyDescent="0.25">
      <c r="D64" s="150">
        <f ca="1">D63/C61</f>
        <v>6.1665136129116548E-3</v>
      </c>
      <c r="E64" s="150">
        <f t="shared" ref="E64:I64" ca="1" si="16">E63/D61</f>
        <v>7.3191917143223748E-3</v>
      </c>
      <c r="F64" s="150">
        <f t="shared" ca="1" si="16"/>
        <v>8.8899199425720617E-3</v>
      </c>
      <c r="G64" s="150">
        <f t="shared" ca="1" si="16"/>
        <v>1.0043732537354749E-2</v>
      </c>
      <c r="H64" s="150">
        <f t="shared" ca="1" si="16"/>
        <v>7.1137350840561157E-3</v>
      </c>
      <c r="I64" s="150">
        <f t="shared" ca="1" si="16"/>
        <v>7.0774217854399375E-3</v>
      </c>
    </row>
    <row r="66" spans="4:9" x14ac:dyDescent="0.25">
      <c r="D66" s="131">
        <f ca="1">D63*42</f>
        <v>4865.0000000001019</v>
      </c>
      <c r="E66" s="131">
        <f t="shared" ref="E66:I66" ca="1" si="17">E63*42</f>
        <v>5810.0000000001019</v>
      </c>
      <c r="F66" s="131">
        <f t="shared" ca="1" si="17"/>
        <v>7108.4999999998472</v>
      </c>
      <c r="G66" s="131">
        <f t="shared" ca="1" si="17"/>
        <v>8102.4999999998981</v>
      </c>
      <c r="H66" s="131">
        <f t="shared" ca="1" si="17"/>
        <v>5796.4456329984823</v>
      </c>
      <c r="I66" s="131">
        <f t="shared" ca="1" si="17"/>
        <v>5807.8805582113055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9"/>
  <sheetViews>
    <sheetView workbookViewId="0">
      <pane ySplit="1" topLeftCell="A2" activePane="bottomLeft" state="frozen"/>
      <selection activeCell="F161" sqref="F161"/>
      <selection pane="bottomLeft" activeCell="B2" sqref="B2"/>
    </sheetView>
  </sheetViews>
  <sheetFormatPr defaultRowHeight="14.4" x14ac:dyDescent="0.3"/>
  <cols>
    <col min="1" max="1" width="10.6640625" bestFit="1" customWidth="1"/>
    <col min="2" max="2" width="14.33203125" style="69" bestFit="1" customWidth="1"/>
    <col min="3" max="4" width="14" customWidth="1"/>
    <col min="5" max="5" width="15.88671875" customWidth="1"/>
    <col min="6" max="6" width="12.5546875" customWidth="1"/>
    <col min="7" max="7" width="12.109375" customWidth="1"/>
    <col min="8" max="8" width="10.5546875" bestFit="1" customWidth="1"/>
    <col min="9" max="9" width="9.44140625" customWidth="1"/>
    <col min="10" max="10" width="12.5546875" bestFit="1" customWidth="1"/>
    <col min="11" max="11" width="8.33203125" bestFit="1" customWidth="1"/>
    <col min="12" max="12" width="13.33203125" customWidth="1"/>
    <col min="15" max="15" width="11.44140625" style="5" customWidth="1"/>
  </cols>
  <sheetData>
    <row r="1" spans="1:18" x14ac:dyDescent="0.3">
      <c r="A1" t="s">
        <v>21</v>
      </c>
      <c r="B1" s="69" t="s">
        <v>29</v>
      </c>
      <c r="C1" t="s">
        <v>22</v>
      </c>
      <c r="D1" t="s">
        <v>30</v>
      </c>
      <c r="E1" t="s">
        <v>36</v>
      </c>
      <c r="F1" t="s">
        <v>34</v>
      </c>
      <c r="G1" t="s">
        <v>32</v>
      </c>
      <c r="H1" t="s">
        <v>31</v>
      </c>
      <c r="I1" t="s">
        <v>33</v>
      </c>
      <c r="J1" t="s">
        <v>35</v>
      </c>
      <c r="K1" t="s">
        <v>37</v>
      </c>
      <c r="L1" t="s">
        <v>38</v>
      </c>
      <c r="M1" t="s">
        <v>39</v>
      </c>
      <c r="N1" t="s">
        <v>40</v>
      </c>
      <c r="O1" s="5" t="s">
        <v>132</v>
      </c>
      <c r="P1" t="s">
        <v>41</v>
      </c>
      <c r="Q1" t="s">
        <v>42</v>
      </c>
      <c r="R1" t="s">
        <v>43</v>
      </c>
    </row>
    <row r="2" spans="1:18" x14ac:dyDescent="0.3">
      <c r="A2" s="1">
        <f>Sheet1!A10</f>
        <v>37622</v>
      </c>
      <c r="B2" s="69">
        <f>Sheet1!J11+Sheet1!N11+Sheet1!U11</f>
        <v>14681506.199999999</v>
      </c>
      <c r="C2">
        <f>Sheet1!B11+Sheet1!O11+Sheet1!V11</f>
        <v>4625400.2</v>
      </c>
      <c r="D2">
        <f>Sheet1!D11+Sheet1!E11+Sheet1!S11+Sheet1!Q11+Sheet1!X11+Sheet1!AA11</f>
        <v>7489783.8999999994</v>
      </c>
      <c r="E2">
        <f>Sheet1!F11+Sheet1!AB11</f>
        <v>3212529.84</v>
      </c>
      <c r="F2">
        <f>Sheet1!G11+Sheet1!H11</f>
        <v>4427749.83</v>
      </c>
      <c r="G2">
        <f>Sheet1!K11+Sheet1!R11+Sheet1!Z11</f>
        <v>623769.63</v>
      </c>
      <c r="H2">
        <f>Sheet1!L11+Sheet1!W11+Sheet1!T11</f>
        <v>0</v>
      </c>
      <c r="I2">
        <f>Sheet1!M11+Sheet1!Y11+Sheet1!P11</f>
        <v>58013</v>
      </c>
      <c r="J2">
        <f>Sheet1!C11</f>
        <v>0</v>
      </c>
      <c r="K2">
        <f>Sheet1!I11</f>
        <v>1815797.84</v>
      </c>
      <c r="P2">
        <v>0</v>
      </c>
      <c r="Q2">
        <v>0</v>
      </c>
      <c r="R2">
        <v>0</v>
      </c>
    </row>
    <row r="3" spans="1:18" x14ac:dyDescent="0.3">
      <c r="A3" s="1">
        <f>Sheet1!A11</f>
        <v>37653</v>
      </c>
      <c r="B3" s="69">
        <f>Sheet1!J12+Sheet1!N12+Sheet1!U12</f>
        <v>11068138.52</v>
      </c>
      <c r="C3">
        <f>Sheet1!B12+Sheet1!O12+Sheet1!V12</f>
        <v>4073282.8</v>
      </c>
      <c r="D3">
        <f>Sheet1!D12+Sheet1!E12+Sheet1!S12+Sheet1!Q12+Sheet1!X12+Sheet1!AA12</f>
        <v>6986957.0299999993</v>
      </c>
      <c r="E3">
        <f>Sheet1!F12+Sheet1!AB12</f>
        <v>3100887.95</v>
      </c>
      <c r="F3">
        <f>Sheet1!G12+Sheet1!H12</f>
        <v>5568524.9299999997</v>
      </c>
      <c r="G3">
        <f>Sheet1!K12+Sheet1!R12+Sheet1!Z12</f>
        <v>255425.08</v>
      </c>
      <c r="H3">
        <f>Sheet1!L12+Sheet1!W12+Sheet1!T12</f>
        <v>0</v>
      </c>
      <c r="I3">
        <f>Sheet1!M12+Sheet1!Y12+Sheet1!P12</f>
        <v>39872</v>
      </c>
      <c r="J3">
        <f>Sheet1!C12</f>
        <v>0</v>
      </c>
      <c r="K3">
        <f>Sheet1!I12</f>
        <v>1583625.22</v>
      </c>
      <c r="P3">
        <v>0</v>
      </c>
      <c r="Q3">
        <v>0</v>
      </c>
      <c r="R3">
        <v>0</v>
      </c>
    </row>
    <row r="4" spans="1:18" x14ac:dyDescent="0.3">
      <c r="A4" s="1">
        <f>Sheet1!A12</f>
        <v>37681</v>
      </c>
      <c r="B4" s="69">
        <f>Sheet1!J13+Sheet1!N13+Sheet1!U13</f>
        <v>8995864.8000000007</v>
      </c>
      <c r="C4">
        <f>Sheet1!B13+Sheet1!O13+Sheet1!V13</f>
        <v>3438809.88</v>
      </c>
      <c r="D4">
        <f>Sheet1!D13+Sheet1!E13+Sheet1!S13+Sheet1!Q13+Sheet1!X13+Sheet1!AA13</f>
        <v>6661180.0899999999</v>
      </c>
      <c r="E4">
        <f>Sheet1!F13+Sheet1!AB13</f>
        <v>3483539.9699999997</v>
      </c>
      <c r="F4">
        <f>Sheet1!G13+Sheet1!H13</f>
        <v>5804641.46</v>
      </c>
      <c r="G4">
        <f>Sheet1!K13+Sheet1!R13+Sheet1!Z13</f>
        <v>224839.84</v>
      </c>
      <c r="H4">
        <f>Sheet1!L13+Sheet1!W13+Sheet1!T13</f>
        <v>0</v>
      </c>
      <c r="I4">
        <f>Sheet1!M13+Sheet1!Y13+Sheet1!P13</f>
        <v>36573</v>
      </c>
      <c r="J4">
        <f>Sheet1!C13</f>
        <v>0</v>
      </c>
      <c r="K4">
        <f>Sheet1!I13</f>
        <v>1414571.91</v>
      </c>
      <c r="P4">
        <v>1</v>
      </c>
      <c r="Q4">
        <v>1</v>
      </c>
      <c r="R4">
        <v>0</v>
      </c>
    </row>
    <row r="5" spans="1:18" x14ac:dyDescent="0.3">
      <c r="A5" s="1">
        <f>Sheet1!A13</f>
        <v>37712</v>
      </c>
      <c r="B5" s="69">
        <f>Sheet1!J14+Sheet1!N14+Sheet1!U14</f>
        <v>9044750.4000000004</v>
      </c>
      <c r="C5">
        <f>Sheet1!B14+Sheet1!O14+Sheet1!V14</f>
        <v>3605898.12</v>
      </c>
      <c r="D5">
        <f>Sheet1!D14+Sheet1!E14+Sheet1!S14+Sheet1!Q14+Sheet1!X14+Sheet1!AA14</f>
        <v>7444875.870000001</v>
      </c>
      <c r="E5">
        <f>Sheet1!F14+Sheet1!AB14</f>
        <v>2751745.56</v>
      </c>
      <c r="F5">
        <f>Sheet1!G14+Sheet1!H14</f>
        <v>4749057.41</v>
      </c>
      <c r="G5">
        <f>Sheet1!K14+Sheet1!R14+Sheet1!Z14</f>
        <v>246607.03</v>
      </c>
      <c r="H5">
        <f>Sheet1!L14+Sheet1!W14+Sheet1!T14</f>
        <v>0</v>
      </c>
      <c r="I5">
        <f>Sheet1!M14+Sheet1!Y14+Sheet1!P14</f>
        <v>43171</v>
      </c>
      <c r="J5">
        <f>Sheet1!C14</f>
        <v>0</v>
      </c>
      <c r="K5">
        <f>Sheet1!I14</f>
        <v>1407297.93</v>
      </c>
      <c r="P5">
        <v>1</v>
      </c>
      <c r="Q5">
        <v>1</v>
      </c>
      <c r="R5">
        <v>0</v>
      </c>
    </row>
    <row r="6" spans="1:18" x14ac:dyDescent="0.3">
      <c r="A6" s="1">
        <f>Sheet1!A14</f>
        <v>37742</v>
      </c>
      <c r="B6" s="69">
        <f>Sheet1!J15+Sheet1!N15+Sheet1!U15</f>
        <v>7136755</v>
      </c>
      <c r="C6">
        <f>Sheet1!B15+Sheet1!O15+Sheet1!V15</f>
        <v>2788238.2800000003</v>
      </c>
      <c r="D6">
        <f>Sheet1!D15+Sheet1!E15+Sheet1!S15+Sheet1!Q15+Sheet1!X15+Sheet1!AA15</f>
        <v>7021403.9900000002</v>
      </c>
      <c r="E6">
        <f>Sheet1!F15+Sheet1!AB15</f>
        <v>3104098.06</v>
      </c>
      <c r="F6">
        <f>Sheet1!G15+Sheet1!H15</f>
        <v>5883380.0999999996</v>
      </c>
      <c r="G6">
        <f>Sheet1!K15+Sheet1!R15+Sheet1!Z15</f>
        <v>206873.68</v>
      </c>
      <c r="H6">
        <f>Sheet1!L15+Sheet1!W15+Sheet1!T15</f>
        <v>0</v>
      </c>
      <c r="I6">
        <f>Sheet1!M15+Sheet1!Y15+Sheet1!P15</f>
        <v>36573</v>
      </c>
      <c r="J6">
        <f>Sheet1!C15</f>
        <v>0</v>
      </c>
      <c r="K6">
        <f>Sheet1!I15</f>
        <v>1148253.6100000001</v>
      </c>
      <c r="P6">
        <v>1</v>
      </c>
      <c r="Q6">
        <v>1</v>
      </c>
      <c r="R6">
        <v>0</v>
      </c>
    </row>
    <row r="7" spans="1:18" x14ac:dyDescent="0.3">
      <c r="A7" s="1">
        <f>Sheet1!A15</f>
        <v>37773</v>
      </c>
      <c r="B7" s="69">
        <f>Sheet1!J16+Sheet1!N16+Sheet1!U16</f>
        <v>9262729.5999999996</v>
      </c>
      <c r="C7">
        <f>Sheet1!B16+Sheet1!O16+Sheet1!V16</f>
        <v>3708091</v>
      </c>
      <c r="D7">
        <f>Sheet1!D16+Sheet1!E16+Sheet1!S16+Sheet1!Q16+Sheet1!X16+Sheet1!AA16</f>
        <v>6105878.6500000004</v>
      </c>
      <c r="E7">
        <f>Sheet1!F16+Sheet1!AB16</f>
        <v>3073865.24</v>
      </c>
      <c r="F7">
        <f>Sheet1!G16+Sheet1!H16</f>
        <v>4844505.41</v>
      </c>
      <c r="G7">
        <f>Sheet1!K16+Sheet1!R16+Sheet1!Z16</f>
        <v>198430.07999999999</v>
      </c>
      <c r="H7">
        <f>Sheet1!L16+Sheet1!W16+Sheet1!T16</f>
        <v>0</v>
      </c>
      <c r="I7">
        <f>Sheet1!M16+Sheet1!Y16+Sheet1!P16</f>
        <v>43171</v>
      </c>
      <c r="J7">
        <f>Sheet1!C16</f>
        <v>0</v>
      </c>
      <c r="K7">
        <f>Sheet1!I16</f>
        <v>1277792.98</v>
      </c>
      <c r="P7">
        <v>0</v>
      </c>
      <c r="Q7">
        <v>0</v>
      </c>
      <c r="R7">
        <v>0</v>
      </c>
    </row>
    <row r="8" spans="1:18" x14ac:dyDescent="0.3">
      <c r="A8" s="1">
        <f>Sheet1!A16</f>
        <v>37803</v>
      </c>
      <c r="B8" s="69">
        <f>Sheet1!J17+Sheet1!N17+Sheet1!U17</f>
        <v>9150879.1999999993</v>
      </c>
      <c r="C8">
        <f>Sheet1!B17+Sheet1!O17+Sheet1!V17</f>
        <v>3537399.2</v>
      </c>
      <c r="D8">
        <f>Sheet1!D17+Sheet1!E17+Sheet1!S17+Sheet1!Q17+Sheet1!X17+Sheet1!AA17</f>
        <v>6510189.0099999998</v>
      </c>
      <c r="E8">
        <f>Sheet1!F17+Sheet1!AB17</f>
        <v>3054928.76</v>
      </c>
      <c r="F8">
        <f>Sheet1!G17+Sheet1!H17</f>
        <v>6722382.9500000002</v>
      </c>
      <c r="G8">
        <f>Sheet1!K17+Sheet1!R17+Sheet1!Z17</f>
        <v>212326.66</v>
      </c>
      <c r="H8">
        <f>Sheet1!L17+Sheet1!W17+Sheet1!T17</f>
        <v>0</v>
      </c>
      <c r="I8">
        <f>Sheet1!M17+Sheet1!Y17+Sheet1!P17</f>
        <v>39872</v>
      </c>
      <c r="J8">
        <f>Sheet1!C17</f>
        <v>0</v>
      </c>
      <c r="K8">
        <f>Sheet1!I17</f>
        <v>1259976.18</v>
      </c>
      <c r="P8">
        <v>0</v>
      </c>
      <c r="Q8">
        <v>0</v>
      </c>
      <c r="R8">
        <v>0</v>
      </c>
    </row>
    <row r="9" spans="1:18" x14ac:dyDescent="0.3">
      <c r="A9" s="1">
        <f>Sheet1!A17</f>
        <v>37834</v>
      </c>
      <c r="B9" s="69">
        <f>Sheet1!J18+Sheet1!N18+Sheet1!U18</f>
        <v>9668691</v>
      </c>
      <c r="C9">
        <f>Sheet1!B18+Sheet1!O18+Sheet1!V18</f>
        <v>3509608.8</v>
      </c>
      <c r="D9">
        <f>Sheet1!D18+Sheet1!E18+Sheet1!S18+Sheet1!Q18+Sheet1!X18+Sheet1!AA18</f>
        <v>9094170.7200000007</v>
      </c>
      <c r="E9">
        <f>Sheet1!F18+Sheet1!AB18</f>
        <v>3041057.34</v>
      </c>
      <c r="F9">
        <f>Sheet1!G18+Sheet1!H18</f>
        <v>5615815.1600000001</v>
      </c>
      <c r="G9">
        <f>Sheet1!K18+Sheet1!R18+Sheet1!Z18</f>
        <v>256128.68</v>
      </c>
      <c r="H9">
        <f>Sheet1!L18+Sheet1!W18+Sheet1!T18</f>
        <v>0</v>
      </c>
      <c r="I9">
        <f>Sheet1!M18+Sheet1!Y18+Sheet1!P18</f>
        <v>39872</v>
      </c>
      <c r="J9">
        <f>Sheet1!C18</f>
        <v>0</v>
      </c>
      <c r="K9">
        <f>Sheet1!I18</f>
        <v>1419923.01</v>
      </c>
      <c r="P9">
        <v>0</v>
      </c>
      <c r="Q9">
        <v>0</v>
      </c>
      <c r="R9">
        <v>0</v>
      </c>
    </row>
    <row r="10" spans="1:18" x14ac:dyDescent="0.3">
      <c r="A10" s="1">
        <f>Sheet1!A18</f>
        <v>37865</v>
      </c>
      <c r="B10" s="69">
        <f>Sheet1!J19+Sheet1!N19+Sheet1!U19</f>
        <v>7757890</v>
      </c>
      <c r="C10">
        <f>Sheet1!B19+Sheet1!O19+Sheet1!V19</f>
        <v>2964231.92</v>
      </c>
      <c r="D10">
        <f>Sheet1!D19+Sheet1!E19+Sheet1!S19+Sheet1!Q19+Sheet1!X19+Sheet1!AA19</f>
        <v>7299846.1999999993</v>
      </c>
      <c r="E10">
        <f>Sheet1!F19+Sheet1!AB19</f>
        <v>2773667.56</v>
      </c>
      <c r="F10">
        <f>Sheet1!G19+Sheet1!H19</f>
        <v>5464087.96</v>
      </c>
      <c r="G10">
        <f>Sheet1!K19+Sheet1!R19+Sheet1!Z19</f>
        <v>262813.58</v>
      </c>
      <c r="H10">
        <f>Sheet1!L19+Sheet1!W19+Sheet1!T19</f>
        <v>0</v>
      </c>
      <c r="I10">
        <f>Sheet1!M19+Sheet1!Y19+Sheet1!P19</f>
        <v>36573</v>
      </c>
      <c r="J10">
        <f>Sheet1!C19</f>
        <v>0</v>
      </c>
      <c r="K10">
        <f>Sheet1!I19</f>
        <v>1405566.48</v>
      </c>
      <c r="P10">
        <v>1</v>
      </c>
      <c r="Q10">
        <v>0</v>
      </c>
      <c r="R10">
        <v>1</v>
      </c>
    </row>
    <row r="11" spans="1:18" x14ac:dyDescent="0.3">
      <c r="A11" s="1">
        <f>Sheet1!A19</f>
        <v>37895</v>
      </c>
      <c r="B11" s="69">
        <f>Sheet1!J20+Sheet1!N20+Sheet1!U20</f>
        <v>8535552.1999999993</v>
      </c>
      <c r="C11">
        <f>Sheet1!B20+Sheet1!O20+Sheet1!V20</f>
        <v>3458356.08</v>
      </c>
      <c r="D11">
        <f>Sheet1!D20+Sheet1!E20+Sheet1!S20+Sheet1!Q20+Sheet1!X20+Sheet1!AA20</f>
        <v>6649537.1299999999</v>
      </c>
      <c r="E11">
        <f>Sheet1!F20+Sheet1!AB20</f>
        <v>3641980.8200000003</v>
      </c>
      <c r="F11">
        <f>Sheet1!G20+Sheet1!H20</f>
        <v>6341347.4000000004</v>
      </c>
      <c r="G11">
        <f>Sheet1!K20+Sheet1!R20+Sheet1!Z20</f>
        <v>280932.81</v>
      </c>
      <c r="H11">
        <f>Sheet1!L20+Sheet1!W20+Sheet1!T20</f>
        <v>0</v>
      </c>
      <c r="I11">
        <f>Sheet1!M20+Sheet1!Y20+Sheet1!P20</f>
        <v>39872</v>
      </c>
      <c r="J11">
        <f>Sheet1!C20</f>
        <v>0</v>
      </c>
      <c r="K11">
        <f>Sheet1!I20</f>
        <v>1585582.56</v>
      </c>
      <c r="P11">
        <v>1</v>
      </c>
      <c r="Q11">
        <v>0</v>
      </c>
      <c r="R11">
        <v>1</v>
      </c>
    </row>
    <row r="12" spans="1:18" x14ac:dyDescent="0.3">
      <c r="A12" s="1">
        <f>Sheet1!A20</f>
        <v>37926</v>
      </c>
      <c r="B12" s="69">
        <f>Sheet1!J21+Sheet1!N21+Sheet1!U21</f>
        <v>7812288.4000000004</v>
      </c>
      <c r="C12">
        <f>Sheet1!B21+Sheet1!O21+Sheet1!V21</f>
        <v>3751572.2800000003</v>
      </c>
      <c r="D12">
        <f>Sheet1!D21+Sheet1!E21+Sheet1!S21+Sheet1!Q21+Sheet1!X21+Sheet1!AA21</f>
        <v>2249648.6</v>
      </c>
      <c r="E12">
        <f>Sheet1!F21+Sheet1!AB21</f>
        <v>153256.46999999997</v>
      </c>
      <c r="F12">
        <f>Sheet1!G21+Sheet1!H21</f>
        <v>848754.25000000023</v>
      </c>
      <c r="G12">
        <f>Sheet1!K21+Sheet1!R21+Sheet1!Z21</f>
        <v>0</v>
      </c>
      <c r="H12">
        <f>Sheet1!L21+Sheet1!W21+Sheet1!T21</f>
        <v>0</v>
      </c>
      <c r="I12">
        <f>Sheet1!M21+Sheet1!Y21+Sheet1!P21</f>
        <v>48868</v>
      </c>
      <c r="J12">
        <f>Sheet1!C21</f>
        <v>0</v>
      </c>
      <c r="K12">
        <f>Sheet1!I21</f>
        <v>1714872.8</v>
      </c>
      <c r="P12">
        <v>1</v>
      </c>
      <c r="Q12">
        <v>0</v>
      </c>
      <c r="R12">
        <v>1</v>
      </c>
    </row>
    <row r="13" spans="1:18" x14ac:dyDescent="0.3">
      <c r="A13" s="1">
        <f>Sheet1!A21</f>
        <v>37956</v>
      </c>
      <c r="B13" s="69">
        <f>Sheet1!J22+Sheet1!N22+Sheet1!U22</f>
        <v>9114939.5999999996</v>
      </c>
      <c r="C13">
        <f>Sheet1!B22+Sheet1!O22+Sheet1!V22</f>
        <v>2798150.2</v>
      </c>
      <c r="D13">
        <f>Sheet1!D22+Sheet1!E22+Sheet1!S22+Sheet1!Q22+Sheet1!X22+Sheet1!AA22</f>
        <v>10335069.49</v>
      </c>
      <c r="E13">
        <f>Sheet1!F22+Sheet1!AB22</f>
        <v>7810321.5800000001</v>
      </c>
      <c r="F13">
        <f>Sheet1!G22+Sheet1!H22</f>
        <v>12960911.52</v>
      </c>
      <c r="G13">
        <f>Sheet1!K22+Sheet1!R22+Sheet1!Z22</f>
        <v>664070.97</v>
      </c>
      <c r="H13">
        <f>Sheet1!L22+Sheet1!W22+Sheet1!T22</f>
        <v>0</v>
      </c>
      <c r="I13">
        <f>Sheet1!M22+Sheet1!Y22+Sheet1!P22</f>
        <v>21173</v>
      </c>
      <c r="J13">
        <f>Sheet1!C22</f>
        <v>0</v>
      </c>
      <c r="K13">
        <f>Sheet1!I22</f>
        <v>1427911.56</v>
      </c>
      <c r="P13">
        <v>0</v>
      </c>
      <c r="Q13">
        <v>0</v>
      </c>
      <c r="R13">
        <v>0</v>
      </c>
    </row>
    <row r="14" spans="1:18" x14ac:dyDescent="0.3">
      <c r="A14" s="1">
        <f>Sheet1!A22</f>
        <v>37987</v>
      </c>
      <c r="B14" s="69">
        <f>Sheet1!J23+Sheet1!N23+Sheet1!U23</f>
        <v>14814820</v>
      </c>
      <c r="C14">
        <f>Sheet1!B23+Sheet1!O23+Sheet1!V23</f>
        <v>5172968.5199999996</v>
      </c>
      <c r="D14">
        <f>Sheet1!D23+Sheet1!E23+Sheet1!S23+Sheet1!Q23+Sheet1!X23+Sheet1!AA23</f>
        <v>7885341.4199999999</v>
      </c>
      <c r="E14">
        <f>Sheet1!F23+Sheet1!AB23</f>
        <v>2553177.56</v>
      </c>
      <c r="F14">
        <f>Sheet1!G23+Sheet1!H23</f>
        <v>5763569.7599999998</v>
      </c>
      <c r="G14">
        <f>Sheet1!K23+Sheet1!R23+Sheet1!Z23</f>
        <v>295533.65999999997</v>
      </c>
      <c r="H14">
        <f>Sheet1!L23+Sheet1!W23+Sheet1!T23</f>
        <v>0</v>
      </c>
      <c r="I14">
        <f>Sheet1!M23+Sheet1!Y23+Sheet1!P23</f>
        <v>70936</v>
      </c>
      <c r="J14">
        <f>Sheet1!C23</f>
        <v>0</v>
      </c>
      <c r="K14">
        <f>Sheet1!I23</f>
        <v>2412683.96</v>
      </c>
      <c r="P14" s="5">
        <v>0</v>
      </c>
      <c r="Q14" s="5">
        <v>0</v>
      </c>
      <c r="R14" s="5">
        <v>0</v>
      </c>
    </row>
    <row r="15" spans="1:18" x14ac:dyDescent="0.3">
      <c r="A15" s="1">
        <f>Sheet1!A23</f>
        <v>38018</v>
      </c>
      <c r="B15" s="69">
        <f>Sheet1!J24+Sheet1!N24+Sheet1!U24</f>
        <v>12824998.6</v>
      </c>
      <c r="C15">
        <f>Sheet1!B24+Sheet1!O24+Sheet1!V24</f>
        <v>3688622.4</v>
      </c>
      <c r="D15">
        <f>Sheet1!D24+Sheet1!E24+Sheet1!S24+Sheet1!Q24+Sheet1!X24+Sheet1!AA24</f>
        <v>7436593.8599999994</v>
      </c>
      <c r="E15">
        <f>Sheet1!F24+Sheet1!AB24</f>
        <v>3372179.74</v>
      </c>
      <c r="F15">
        <f>Sheet1!G24+Sheet1!H24</f>
        <v>6557483.5199999996</v>
      </c>
      <c r="G15">
        <f>Sheet1!K24+Sheet1!R24+Sheet1!Z24</f>
        <v>278821.46000000002</v>
      </c>
      <c r="H15">
        <f>Sheet1!L24+Sheet1!W24+Sheet1!T24</f>
        <v>0</v>
      </c>
      <c r="I15">
        <f>Sheet1!M24+Sheet1!Y24+Sheet1!P24</f>
        <v>45664</v>
      </c>
      <c r="J15">
        <f>Sheet1!C24</f>
        <v>0</v>
      </c>
      <c r="K15">
        <f>Sheet1!I24</f>
        <v>1906910.08</v>
      </c>
      <c r="P15" s="5">
        <v>0</v>
      </c>
      <c r="Q15" s="5">
        <v>0</v>
      </c>
      <c r="R15" s="5">
        <v>0</v>
      </c>
    </row>
    <row r="16" spans="1:18" x14ac:dyDescent="0.3">
      <c r="A16" s="1">
        <f>Sheet1!A24</f>
        <v>38047</v>
      </c>
      <c r="B16" s="69">
        <f>Sheet1!J25+Sheet1!N25+Sheet1!U25</f>
        <v>6839609.4000000004</v>
      </c>
      <c r="C16">
        <f>Sheet1!B25+Sheet1!O25+Sheet1!V25</f>
        <v>3259328.8</v>
      </c>
      <c r="D16">
        <f>Sheet1!D25+Sheet1!E25+Sheet1!S25+Sheet1!Q25+Sheet1!X25+Sheet1!AA25</f>
        <v>7099014.6500000004</v>
      </c>
      <c r="E16">
        <f>Sheet1!F25+Sheet1!AB25</f>
        <v>3474282.88</v>
      </c>
      <c r="F16">
        <f>Sheet1!G25+Sheet1!H25</f>
        <v>7413402.2400000002</v>
      </c>
      <c r="G16">
        <f>Sheet1!K25+Sheet1!R25+Sheet1!Z25</f>
        <v>266683.68</v>
      </c>
      <c r="H16">
        <f>Sheet1!L25+Sheet1!W25+Sheet1!T25</f>
        <v>0</v>
      </c>
      <c r="I16">
        <f>Sheet1!M25+Sheet1!Y25+Sheet1!P25</f>
        <v>36858</v>
      </c>
      <c r="J16">
        <f>Sheet1!C25</f>
        <v>0</v>
      </c>
      <c r="K16">
        <f>Sheet1!I25</f>
        <v>1689854.53</v>
      </c>
      <c r="P16" s="5">
        <v>1</v>
      </c>
      <c r="Q16" s="5">
        <v>1</v>
      </c>
      <c r="R16" s="5">
        <v>0</v>
      </c>
    </row>
    <row r="17" spans="1:18" x14ac:dyDescent="0.3">
      <c r="A17" s="1">
        <f>Sheet1!A25</f>
        <v>38078</v>
      </c>
      <c r="B17" s="69">
        <f>Sheet1!J26+Sheet1!N26+Sheet1!U26</f>
        <v>9697861</v>
      </c>
      <c r="C17">
        <f>Sheet1!B26+Sheet1!O26+Sheet1!V26</f>
        <v>3340558.6</v>
      </c>
      <c r="D17">
        <f>Sheet1!D26+Sheet1!E26+Sheet1!S26+Sheet1!Q26+Sheet1!X26+Sheet1!AA26</f>
        <v>3926230.5100000002</v>
      </c>
      <c r="E17">
        <f>Sheet1!F26+Sheet1!AB26</f>
        <v>6532815.75</v>
      </c>
      <c r="F17">
        <f>Sheet1!G26+Sheet1!H26</f>
        <v>6647931.3600000003</v>
      </c>
      <c r="G17">
        <f>Sheet1!K26+Sheet1!R26+Sheet1!Z26</f>
        <v>206170.08</v>
      </c>
      <c r="H17">
        <f>Sheet1!L26+Sheet1!W26+Sheet1!T26</f>
        <v>0</v>
      </c>
      <c r="I17">
        <f>Sheet1!M26+Sheet1!Y26+Sheet1!P26</f>
        <v>40157</v>
      </c>
      <c r="J17">
        <f>Sheet1!C26</f>
        <v>0</v>
      </c>
      <c r="K17">
        <f>Sheet1!I26</f>
        <v>1638930.6</v>
      </c>
      <c r="P17" s="5">
        <v>1</v>
      </c>
      <c r="Q17" s="5">
        <v>1</v>
      </c>
      <c r="R17" s="5">
        <v>0</v>
      </c>
    </row>
    <row r="18" spans="1:18" x14ac:dyDescent="0.3">
      <c r="A18" s="1">
        <f>Sheet1!A26</f>
        <v>38108</v>
      </c>
      <c r="B18" s="69">
        <f>Sheet1!J27+Sheet1!N27+Sheet1!U27</f>
        <v>8754908</v>
      </c>
      <c r="C18">
        <f>Sheet1!B27+Sheet1!O27+Sheet1!V27</f>
        <v>2700463.6799999997</v>
      </c>
      <c r="D18">
        <f>Sheet1!D27+Sheet1!E27+Sheet1!S27+Sheet1!Q27+Sheet1!X27+Sheet1!AA27</f>
        <v>3809704.2199999997</v>
      </c>
      <c r="E18">
        <f>Sheet1!F27+Sheet1!AB27</f>
        <v>7472488.8799999999</v>
      </c>
      <c r="F18">
        <f>Sheet1!G27+Sheet1!H27</f>
        <v>7780618.0800000001</v>
      </c>
      <c r="G18">
        <f>Sheet1!K27+Sheet1!R27+Sheet1!Z27</f>
        <v>212678.84</v>
      </c>
      <c r="H18">
        <f>Sheet1!L27+Sheet1!W27+Sheet1!T27</f>
        <v>0</v>
      </c>
      <c r="I18">
        <f>Sheet1!M27+Sheet1!Y27+Sheet1!P27</f>
        <v>40157</v>
      </c>
      <c r="J18">
        <f>Sheet1!C27</f>
        <v>0</v>
      </c>
      <c r="K18">
        <f>Sheet1!I27</f>
        <v>1459007.72</v>
      </c>
      <c r="P18" s="5">
        <v>1</v>
      </c>
      <c r="Q18" s="5">
        <v>1</v>
      </c>
      <c r="R18" s="5">
        <v>0</v>
      </c>
    </row>
    <row r="19" spans="1:18" x14ac:dyDescent="0.3">
      <c r="A19" s="1">
        <f>Sheet1!A27</f>
        <v>38139</v>
      </c>
      <c r="B19" s="69">
        <f>Sheet1!J28+Sheet1!N28+Sheet1!U28</f>
        <v>6375018</v>
      </c>
      <c r="C19">
        <f>Sheet1!B28+Sheet1!O28+Sheet1!V28</f>
        <v>2806017.46</v>
      </c>
      <c r="D19">
        <f>Sheet1!D28+Sheet1!E28+Sheet1!S28+Sheet1!Q28+Sheet1!X28+Sheet1!AA28</f>
        <v>3666961</v>
      </c>
      <c r="E19">
        <f>Sheet1!F28+Sheet1!AB28</f>
        <v>6841500.7999999998</v>
      </c>
      <c r="F19">
        <f>Sheet1!G28+Sheet1!H28</f>
        <v>6272933.7599999998</v>
      </c>
      <c r="G19">
        <f>Sheet1!K28+Sheet1!R28+Sheet1!Z28</f>
        <v>198781.88</v>
      </c>
      <c r="H19">
        <f>Sheet1!L28+Sheet1!W28+Sheet1!T28</f>
        <v>0</v>
      </c>
      <c r="I19">
        <f>Sheet1!M28+Sheet1!Y28+Sheet1!P28</f>
        <v>40157</v>
      </c>
      <c r="J19">
        <f>Sheet1!C28</f>
        <v>0</v>
      </c>
      <c r="K19">
        <f>Sheet1!I28</f>
        <v>1471449.37</v>
      </c>
      <c r="P19" s="5">
        <v>0</v>
      </c>
      <c r="Q19" s="5">
        <v>0</v>
      </c>
      <c r="R19" s="5">
        <v>0</v>
      </c>
    </row>
    <row r="20" spans="1:18" x14ac:dyDescent="0.3">
      <c r="A20" s="1">
        <f>Sheet1!A28</f>
        <v>38169</v>
      </c>
      <c r="B20" s="69">
        <f>Sheet1!J29+Sheet1!N29+Sheet1!U29</f>
        <v>9652316</v>
      </c>
      <c r="C20">
        <f>Sheet1!B29+Sheet1!O29+Sheet1!V29</f>
        <v>3465396.26</v>
      </c>
      <c r="D20">
        <f>Sheet1!D29+Sheet1!E29+Sheet1!S29+Sheet1!Q29+Sheet1!X29+Sheet1!AA29</f>
        <v>4004937.45</v>
      </c>
      <c r="E20">
        <f>Sheet1!F29+Sheet1!AB29</f>
        <v>6892945.8500000006</v>
      </c>
      <c r="F20">
        <f>Sheet1!G29+Sheet1!H29</f>
        <v>7012607.04</v>
      </c>
      <c r="G20">
        <f>Sheet1!K29+Sheet1!R29+Sheet1!Z29</f>
        <v>199309.1</v>
      </c>
      <c r="H20">
        <f>Sheet1!L29+Sheet1!W29+Sheet1!T29</f>
        <v>0</v>
      </c>
      <c r="I20">
        <f>Sheet1!M29+Sheet1!Y29+Sheet1!P29</f>
        <v>40157</v>
      </c>
      <c r="J20">
        <f>Sheet1!C29</f>
        <v>0</v>
      </c>
      <c r="K20">
        <f>Sheet1!I29</f>
        <v>1630525.82</v>
      </c>
      <c r="P20" s="5">
        <v>0</v>
      </c>
      <c r="Q20" s="5">
        <v>0</v>
      </c>
      <c r="R20" s="5">
        <v>0</v>
      </c>
    </row>
    <row r="21" spans="1:18" x14ac:dyDescent="0.3">
      <c r="A21" s="1">
        <f>Sheet1!A29</f>
        <v>38200</v>
      </c>
      <c r="B21" s="69">
        <f>Sheet1!J30+Sheet1!N30+Sheet1!U30</f>
        <v>9023941</v>
      </c>
      <c r="C21">
        <f>Sheet1!B30+Sheet1!O30+Sheet1!V30</f>
        <v>3122347.4</v>
      </c>
      <c r="D21">
        <f>Sheet1!D30+Sheet1!E30+Sheet1!S30+Sheet1!Q30+Sheet1!X30+Sheet1!AA30</f>
        <v>521547.83000000007</v>
      </c>
      <c r="E21">
        <f>Sheet1!F30+Sheet1!AB30</f>
        <v>6659736.2000000002</v>
      </c>
      <c r="F21">
        <f>Sheet1!G30+Sheet1!H30</f>
        <v>7616439.8700000001</v>
      </c>
      <c r="G21">
        <f>Sheet1!K30+Sheet1!R30+Sheet1!Z30</f>
        <v>239939.36</v>
      </c>
      <c r="H21">
        <f>Sheet1!L30+Sheet1!W30+Sheet1!T30</f>
        <v>0</v>
      </c>
      <c r="I21">
        <f>Sheet1!M30+Sheet1!Y30+Sheet1!P30</f>
        <v>40157</v>
      </c>
      <c r="J21">
        <f>Sheet1!C30</f>
        <v>0</v>
      </c>
      <c r="K21">
        <f>Sheet1!I30</f>
        <v>1412506.67</v>
      </c>
      <c r="P21" s="5">
        <v>0</v>
      </c>
      <c r="Q21" s="5">
        <v>0</v>
      </c>
      <c r="R21" s="5">
        <v>0</v>
      </c>
    </row>
    <row r="22" spans="1:18" x14ac:dyDescent="0.3">
      <c r="A22" s="1">
        <f>Sheet1!A30</f>
        <v>38231</v>
      </c>
      <c r="B22" s="69">
        <f>Sheet1!J31+Sheet1!N31+Sheet1!U31</f>
        <v>8103294</v>
      </c>
      <c r="C22">
        <f>Sheet1!B31+Sheet1!O31+Sheet1!V31</f>
        <v>2783085.2</v>
      </c>
      <c r="D22">
        <f>Sheet1!D31+Sheet1!E31+Sheet1!S31+Sheet1!Q31+Sheet1!X31+Sheet1!AA31</f>
        <v>8713775.25</v>
      </c>
      <c r="E22">
        <f>Sheet1!F31+Sheet1!AB31</f>
        <v>7336064.5100000007</v>
      </c>
      <c r="F22">
        <f>Sheet1!G31+Sheet1!H31</f>
        <v>7978507.3600000003</v>
      </c>
      <c r="G22">
        <f>Sheet1!K31+Sheet1!R31+Sheet1!Z31</f>
        <v>280318.2</v>
      </c>
      <c r="H22">
        <f>Sheet1!L31+Sheet1!W31+Sheet1!T31</f>
        <v>0</v>
      </c>
      <c r="I22">
        <f>Sheet1!M31+Sheet1!Y31+Sheet1!P31</f>
        <v>40157</v>
      </c>
      <c r="J22">
        <f>Sheet1!C31</f>
        <v>0</v>
      </c>
      <c r="K22">
        <f>Sheet1!I31</f>
        <v>1508113.37</v>
      </c>
      <c r="P22" s="5">
        <v>1</v>
      </c>
      <c r="Q22" s="5">
        <v>0</v>
      </c>
      <c r="R22" s="5">
        <v>1</v>
      </c>
    </row>
    <row r="23" spans="1:18" x14ac:dyDescent="0.3">
      <c r="A23" s="1">
        <f>Sheet1!A31</f>
        <v>38261</v>
      </c>
      <c r="B23" s="69">
        <f>Sheet1!J32+Sheet1!N32+Sheet1!U32</f>
        <v>8201508</v>
      </c>
      <c r="C23">
        <f>Sheet1!B32+Sheet1!O32+Sheet1!V32</f>
        <v>2932928.8</v>
      </c>
      <c r="D23">
        <f>Sheet1!D32+Sheet1!E32+Sheet1!S32+Sheet1!Q32+Sheet1!X32+Sheet1!AA32</f>
        <v>4991780.7200000007</v>
      </c>
      <c r="E23">
        <f>Sheet1!F32+Sheet1!AB32</f>
        <v>8224688.7999999998</v>
      </c>
      <c r="F23">
        <f>Sheet1!G32+Sheet1!H32</f>
        <v>7591294.2300000004</v>
      </c>
      <c r="G23">
        <f>Sheet1!K32+Sheet1!R32+Sheet1!Z32</f>
        <v>302383.83</v>
      </c>
      <c r="H23">
        <f>Sheet1!L32+Sheet1!W32+Sheet1!T32</f>
        <v>0</v>
      </c>
      <c r="I23">
        <f>Sheet1!M32+Sheet1!Y32+Sheet1!P32</f>
        <v>40157</v>
      </c>
      <c r="J23">
        <f>Sheet1!C32</f>
        <v>0</v>
      </c>
      <c r="K23">
        <f>Sheet1!I32</f>
        <v>1751478.09</v>
      </c>
      <c r="P23" s="5">
        <v>1</v>
      </c>
      <c r="Q23" s="5">
        <v>0</v>
      </c>
      <c r="R23" s="5">
        <v>1</v>
      </c>
    </row>
    <row r="24" spans="1:18" x14ac:dyDescent="0.3">
      <c r="A24" s="1">
        <f>Sheet1!A32</f>
        <v>38292</v>
      </c>
      <c r="B24" s="69">
        <f>Sheet1!J33+Sheet1!N33+Sheet1!U33</f>
        <v>8194934.8399999999</v>
      </c>
      <c r="C24">
        <f>Sheet1!B33+Sheet1!O33+Sheet1!V33</f>
        <v>2899666.5900000003</v>
      </c>
      <c r="D24">
        <f>Sheet1!D33+Sheet1!E33+Sheet1!S33+Sheet1!Q33+Sheet1!X33+Sheet1!AA33</f>
        <v>4288694.01</v>
      </c>
      <c r="E24">
        <f>Sheet1!F33+Sheet1!AB33</f>
        <v>7389229.2699999996</v>
      </c>
      <c r="F24">
        <f>Sheet1!G33+Sheet1!H33</f>
        <v>7275909.8499999996</v>
      </c>
      <c r="G24">
        <f>Sheet1!K33+Sheet1!R33+Sheet1!Z33</f>
        <v>314563.90000000002</v>
      </c>
      <c r="H24">
        <f>Sheet1!L33+Sheet1!W33+Sheet1!T33</f>
        <v>0</v>
      </c>
      <c r="I24">
        <f>Sheet1!M33+Sheet1!Y33+Sheet1!P33</f>
        <v>48297</v>
      </c>
      <c r="J24">
        <f>Sheet1!C33</f>
        <v>0</v>
      </c>
      <c r="K24">
        <f>Sheet1!I33</f>
        <v>1688366.12</v>
      </c>
      <c r="P24" s="5">
        <v>1</v>
      </c>
      <c r="Q24" s="5">
        <v>0</v>
      </c>
      <c r="R24" s="5">
        <v>1</v>
      </c>
    </row>
    <row r="25" spans="1:18" x14ac:dyDescent="0.3">
      <c r="A25" s="1">
        <f>Sheet1!A33</f>
        <v>38322</v>
      </c>
      <c r="B25" s="69">
        <f>Sheet1!J34+Sheet1!N34+Sheet1!U34</f>
        <v>12040350.4</v>
      </c>
      <c r="C25">
        <f>Sheet1!B34+Sheet1!O34+Sheet1!V34</f>
        <v>3611561.71</v>
      </c>
      <c r="D25">
        <f>Sheet1!D34+Sheet1!E34+Sheet1!S34+Sheet1!Q34+Sheet1!X34+Sheet1!AA34</f>
        <v>3890363.07</v>
      </c>
      <c r="E25">
        <f>Sheet1!F34+Sheet1!AB34</f>
        <v>6555714.3399999999</v>
      </c>
      <c r="F25">
        <f>Sheet1!G34+Sheet1!H34</f>
        <v>6226285</v>
      </c>
      <c r="G25">
        <f>Sheet1!K34+Sheet1!R34+Sheet1!Z34</f>
        <v>320742.07</v>
      </c>
      <c r="H25">
        <f>Sheet1!L34+Sheet1!W34+Sheet1!T34</f>
        <v>0</v>
      </c>
      <c r="I25">
        <f>Sheet1!M34+Sheet1!Y34+Sheet1!P34</f>
        <v>49977</v>
      </c>
      <c r="J25">
        <f>Sheet1!C34</f>
        <v>0</v>
      </c>
      <c r="K25">
        <f>Sheet1!I34</f>
        <v>1975844.96</v>
      </c>
      <c r="P25" s="5">
        <v>0</v>
      </c>
      <c r="Q25" s="5">
        <v>0</v>
      </c>
      <c r="R25" s="5">
        <v>0</v>
      </c>
    </row>
    <row r="26" spans="1:18" x14ac:dyDescent="0.3">
      <c r="A26" s="1">
        <f>Sheet1!A34</f>
        <v>38353</v>
      </c>
      <c r="B26" s="69">
        <f>Sheet1!J35+Sheet1!N35+Sheet1!U35</f>
        <v>12124967.84</v>
      </c>
      <c r="C26">
        <f>Sheet1!B35+Sheet1!O35+Sheet1!V35</f>
        <v>3605720.47</v>
      </c>
      <c r="D26">
        <f>Sheet1!D35+Sheet1!E35+Sheet1!S35+Sheet1!Q35+Sheet1!X35+Sheet1!AA35</f>
        <v>3771313.09</v>
      </c>
      <c r="E26">
        <f>Sheet1!F35+Sheet1!AB35</f>
        <v>6614038.5</v>
      </c>
      <c r="F26">
        <f>Sheet1!G35+Sheet1!H35</f>
        <v>6683076.1399999997</v>
      </c>
      <c r="G26">
        <f>Sheet1!K35+Sheet1!R35+Sheet1!Z35</f>
        <v>287732.44</v>
      </c>
      <c r="H26">
        <f>Sheet1!L35+Sheet1!W35+Sheet1!T35</f>
        <v>0</v>
      </c>
      <c r="I26">
        <f>Sheet1!M35+Sheet1!Y35+Sheet1!P35</f>
        <v>48777</v>
      </c>
      <c r="J26">
        <f>Sheet1!C35</f>
        <v>0</v>
      </c>
      <c r="K26">
        <f>Sheet1!I35</f>
        <v>2063755.6900000002</v>
      </c>
      <c r="P26">
        <v>0</v>
      </c>
      <c r="Q26" s="5">
        <v>0</v>
      </c>
      <c r="R26" s="5">
        <v>0</v>
      </c>
    </row>
    <row r="27" spans="1:18" x14ac:dyDescent="0.3">
      <c r="A27" s="1">
        <f>Sheet1!A35</f>
        <v>38384</v>
      </c>
      <c r="B27" s="69">
        <f>Sheet1!J36+Sheet1!N36+Sheet1!U36</f>
        <v>10819547</v>
      </c>
      <c r="C27">
        <f>Sheet1!B36+Sheet1!O36+Sheet1!V36</f>
        <v>3417269.36</v>
      </c>
      <c r="D27">
        <f>Sheet1!D36+Sheet1!E36+Sheet1!S36+Sheet1!Q36+Sheet1!X36+Sheet1!AA36</f>
        <v>4784431.46</v>
      </c>
      <c r="E27">
        <f>Sheet1!F36+Sheet1!AB36</f>
        <v>7028121.1899999995</v>
      </c>
      <c r="F27">
        <f>Sheet1!G36+Sheet1!H36</f>
        <v>7116452.7000000002</v>
      </c>
      <c r="G27">
        <f>Sheet1!K36+Sheet1!R36+Sheet1!Z36</f>
        <v>290380</v>
      </c>
      <c r="H27">
        <f>Sheet1!L36+Sheet1!W36+Sheet1!T36</f>
        <v>0</v>
      </c>
      <c r="I27">
        <f>Sheet1!M36+Sheet1!Y36+Sheet1!P36</f>
        <v>74889</v>
      </c>
      <c r="J27">
        <f>Sheet1!C36</f>
        <v>0</v>
      </c>
      <c r="K27">
        <f>Sheet1!I36</f>
        <v>2030840.07</v>
      </c>
      <c r="P27">
        <v>0</v>
      </c>
      <c r="Q27" s="5">
        <v>0</v>
      </c>
      <c r="R27" s="5">
        <v>0</v>
      </c>
    </row>
    <row r="28" spans="1:18" x14ac:dyDescent="0.3">
      <c r="A28" s="1">
        <f>Sheet1!A36</f>
        <v>38412</v>
      </c>
      <c r="B28" s="69">
        <f>Sheet1!J37+Sheet1!N37+Sheet1!U37</f>
        <v>9979627</v>
      </c>
      <c r="C28">
        <f>Sheet1!B37+Sheet1!O37+Sheet1!V37</f>
        <v>3178657.19</v>
      </c>
      <c r="D28">
        <f>Sheet1!D37+Sheet1!E37+Sheet1!S37+Sheet1!Q37+Sheet1!X37+Sheet1!AA37</f>
        <v>4018420.95</v>
      </c>
      <c r="E28">
        <f>Sheet1!F37+Sheet1!AB37</f>
        <v>6480595.3900000006</v>
      </c>
      <c r="F28">
        <f>Sheet1!G37+Sheet1!H37</f>
        <v>6772168.8399999999</v>
      </c>
      <c r="G28">
        <f>Sheet1!K37+Sheet1!R37+Sheet1!Z37</f>
        <v>253133.69</v>
      </c>
      <c r="H28">
        <f>Sheet1!L37+Sheet1!W37+Sheet1!T37</f>
        <v>0</v>
      </c>
      <c r="I28">
        <f>Sheet1!M37+Sheet1!Y37+Sheet1!P37</f>
        <v>49257</v>
      </c>
      <c r="J28">
        <f>Sheet1!C37</f>
        <v>0</v>
      </c>
      <c r="K28">
        <f>Sheet1!I37</f>
        <v>1834878.76</v>
      </c>
      <c r="P28">
        <v>1</v>
      </c>
      <c r="Q28" s="5">
        <v>1</v>
      </c>
      <c r="R28" s="5">
        <v>0</v>
      </c>
    </row>
    <row r="29" spans="1:18" x14ac:dyDescent="0.3">
      <c r="A29" s="1">
        <f>Sheet1!A37</f>
        <v>38443</v>
      </c>
      <c r="B29" s="69">
        <f>Sheet1!J38+Sheet1!N38+Sheet1!U38</f>
        <v>8310890.2000000002</v>
      </c>
      <c r="C29">
        <f>Sheet1!B38+Sheet1!O38+Sheet1!V38</f>
        <v>2770703.44</v>
      </c>
      <c r="D29">
        <f>Sheet1!D38+Sheet1!E38+Sheet1!S38+Sheet1!Q38+Sheet1!X38+Sheet1!AA38</f>
        <v>3897955.1500000004</v>
      </c>
      <c r="E29">
        <f>Sheet1!F38+Sheet1!AB38</f>
        <v>7017745.7000000002</v>
      </c>
      <c r="F29">
        <f>Sheet1!G38+Sheet1!H38</f>
        <v>6687824.2300000004</v>
      </c>
      <c r="G29">
        <f>Sheet1!K38+Sheet1!R38+Sheet1!Z38</f>
        <v>216417.28</v>
      </c>
      <c r="H29">
        <f>Sheet1!L38+Sheet1!W38+Sheet1!T38</f>
        <v>0</v>
      </c>
      <c r="I29">
        <f>Sheet1!M38+Sheet1!Y38+Sheet1!P38</f>
        <v>47577</v>
      </c>
      <c r="J29">
        <f>Sheet1!C38</f>
        <v>0</v>
      </c>
      <c r="K29">
        <f>Sheet1!I38</f>
        <v>1563208.3</v>
      </c>
      <c r="L29" s="3">
        <v>310.3</v>
      </c>
      <c r="M29" s="3">
        <v>0</v>
      </c>
      <c r="N29" s="6">
        <v>30</v>
      </c>
      <c r="P29" s="6">
        <v>1</v>
      </c>
      <c r="Q29" s="5">
        <v>1</v>
      </c>
      <c r="R29" s="5">
        <v>0</v>
      </c>
    </row>
    <row r="30" spans="1:18" x14ac:dyDescent="0.3">
      <c r="A30" s="1">
        <f>Sheet1!A38</f>
        <v>38473</v>
      </c>
      <c r="B30" s="69">
        <f>Sheet1!J39+Sheet1!N39+Sheet1!U39</f>
        <v>7849390.7999999998</v>
      </c>
      <c r="C30">
        <f>Sheet1!B39+Sheet1!O39+Sheet1!V39</f>
        <v>2753246.12</v>
      </c>
      <c r="D30">
        <f>Sheet1!D39+Sheet1!E39+Sheet1!S39+Sheet1!Q39+Sheet1!X39+Sheet1!AA39</f>
        <v>3383453.7800000003</v>
      </c>
      <c r="E30">
        <f>Sheet1!F39+Sheet1!AB39</f>
        <v>6221867.04</v>
      </c>
      <c r="F30">
        <f>Sheet1!G39+Sheet1!H39</f>
        <v>7850961.6399999997</v>
      </c>
      <c r="G30">
        <f>Sheet1!K39+Sheet1!R39+Sheet1!Z39</f>
        <v>220830.27</v>
      </c>
      <c r="H30">
        <f>Sheet1!L39+Sheet1!W39+Sheet1!T39</f>
        <v>0</v>
      </c>
      <c r="I30">
        <f>Sheet1!M39+Sheet1!Y39+Sheet1!P39</f>
        <v>48297</v>
      </c>
      <c r="J30">
        <f>Sheet1!C39</f>
        <v>0</v>
      </c>
      <c r="K30">
        <f>Sheet1!I39</f>
        <v>1491570.07</v>
      </c>
      <c r="L30" s="3">
        <v>198.5</v>
      </c>
      <c r="M30" s="3">
        <v>0</v>
      </c>
      <c r="N30" s="6">
        <v>31</v>
      </c>
      <c r="P30" s="6">
        <v>1</v>
      </c>
      <c r="Q30" s="5">
        <v>1</v>
      </c>
      <c r="R30" s="5">
        <v>0</v>
      </c>
    </row>
    <row r="31" spans="1:18" x14ac:dyDescent="0.3">
      <c r="A31" s="1">
        <f>Sheet1!A39</f>
        <v>38504</v>
      </c>
      <c r="B31" s="69">
        <f>Sheet1!J40+Sheet1!N40+Sheet1!U40</f>
        <v>10480924</v>
      </c>
      <c r="C31">
        <f>Sheet1!B40+Sheet1!O40+Sheet1!V40</f>
        <v>3330120.51</v>
      </c>
      <c r="D31">
        <f>Sheet1!D40+Sheet1!E40+Sheet1!S40+Sheet1!Q40+Sheet1!X40+Sheet1!AA40</f>
        <v>4979755.57</v>
      </c>
      <c r="E31">
        <f>Sheet1!F40+Sheet1!AB40</f>
        <v>8787462.4199999999</v>
      </c>
      <c r="F31">
        <f>Sheet1!G40+Sheet1!H40</f>
        <v>6902965.6900000004</v>
      </c>
      <c r="G31">
        <f>Sheet1!K40+Sheet1!R40+Sheet1!Z40</f>
        <v>192763.32</v>
      </c>
      <c r="H31">
        <f>Sheet1!L40+Sheet1!W40+Sheet1!T40</f>
        <v>0</v>
      </c>
      <c r="I31">
        <f>Sheet1!M40+Sheet1!Y40+Sheet1!P40</f>
        <v>47337</v>
      </c>
      <c r="J31">
        <f>Sheet1!C40</f>
        <v>0</v>
      </c>
      <c r="K31">
        <f>Sheet1!I40</f>
        <v>1416063.06</v>
      </c>
      <c r="L31" s="3">
        <v>11.4</v>
      </c>
      <c r="M31" s="3">
        <v>121.1</v>
      </c>
      <c r="N31" s="6">
        <v>30</v>
      </c>
      <c r="P31" s="6">
        <v>0</v>
      </c>
      <c r="Q31" s="5">
        <v>0</v>
      </c>
      <c r="R31" s="5">
        <v>0</v>
      </c>
    </row>
    <row r="32" spans="1:18" x14ac:dyDescent="0.3">
      <c r="A32" s="1">
        <f>Sheet1!A40</f>
        <v>38534</v>
      </c>
      <c r="B32" s="69">
        <f>Sheet1!J41+Sheet1!N41+Sheet1!U41</f>
        <v>12549490</v>
      </c>
      <c r="C32">
        <f>Sheet1!B41+Sheet1!O41+Sheet1!V41</f>
        <v>3793399.5</v>
      </c>
      <c r="D32">
        <f>Sheet1!D41+Sheet1!E41+Sheet1!S41+Sheet1!Q41+Sheet1!X41+Sheet1!AA41</f>
        <v>4863232.46</v>
      </c>
      <c r="E32">
        <f>Sheet1!F41+Sheet1!AB41</f>
        <v>7481298.3600000003</v>
      </c>
      <c r="F32">
        <f>Sheet1!G41+Sheet1!H41</f>
        <v>8672861.4499999993</v>
      </c>
      <c r="G32">
        <f>Sheet1!K41+Sheet1!R41+Sheet1!Z41</f>
        <v>220477</v>
      </c>
      <c r="H32">
        <f>Sheet1!L41+Sheet1!W41+Sheet1!T41</f>
        <v>0</v>
      </c>
      <c r="I32">
        <f>Sheet1!M41+Sheet1!Y41+Sheet1!P41</f>
        <v>49497</v>
      </c>
      <c r="J32">
        <f>Sheet1!C41</f>
        <v>0</v>
      </c>
      <c r="K32">
        <f>Sheet1!I41</f>
        <v>1698203.84</v>
      </c>
      <c r="L32" s="3">
        <v>1.5</v>
      </c>
      <c r="M32" s="3">
        <v>137.5</v>
      </c>
      <c r="N32" s="6">
        <v>31</v>
      </c>
      <c r="P32" s="6">
        <v>0</v>
      </c>
      <c r="Q32" s="5">
        <v>0</v>
      </c>
      <c r="R32" s="5">
        <v>0</v>
      </c>
    </row>
    <row r="33" spans="1:18" x14ac:dyDescent="0.3">
      <c r="A33" s="1">
        <f>Sheet1!A41</f>
        <v>38565</v>
      </c>
      <c r="B33" s="69">
        <f>Sheet1!J42+Sheet1!N42+Sheet1!U42</f>
        <v>10359802</v>
      </c>
      <c r="C33">
        <f>Sheet1!B42+Sheet1!O42+Sheet1!V42</f>
        <v>3362692.13</v>
      </c>
      <c r="D33">
        <f>Sheet1!D42+Sheet1!E42+Sheet1!S42+Sheet1!Q42+Sheet1!X42+Sheet1!AA42</f>
        <v>4613392.6099999994</v>
      </c>
      <c r="E33">
        <f>Sheet1!F42+Sheet1!AB42</f>
        <v>7827894.6200000001</v>
      </c>
      <c r="F33">
        <f>Sheet1!G42+Sheet1!H42</f>
        <v>8479564.0299999993</v>
      </c>
      <c r="G33">
        <f>Sheet1!K42+Sheet1!R42+Sheet1!Z42</f>
        <v>241306.51</v>
      </c>
      <c r="H33">
        <f>Sheet1!L42+Sheet1!W42+Sheet1!T42</f>
        <v>0</v>
      </c>
      <c r="I33">
        <f>Sheet1!M42+Sheet1!Y42+Sheet1!P42</f>
        <v>50037</v>
      </c>
      <c r="J33">
        <f>Sheet1!C42</f>
        <v>0</v>
      </c>
      <c r="K33">
        <f>Sheet1!I42</f>
        <v>1352139.96</v>
      </c>
      <c r="L33" s="3">
        <v>4.5</v>
      </c>
      <c r="M33" s="3">
        <v>106.3</v>
      </c>
      <c r="N33" s="6">
        <v>31</v>
      </c>
      <c r="P33" s="6">
        <v>0</v>
      </c>
      <c r="Q33" s="5">
        <v>0</v>
      </c>
      <c r="R33" s="5">
        <v>0</v>
      </c>
    </row>
    <row r="34" spans="1:18" x14ac:dyDescent="0.3">
      <c r="A34" s="1">
        <f>Sheet1!A42</f>
        <v>38596</v>
      </c>
      <c r="B34" s="69">
        <f>Sheet1!J43+Sheet1!N43+Sheet1!U43</f>
        <v>9073072.1999999993</v>
      </c>
      <c r="C34">
        <f>Sheet1!B43+Sheet1!O43+Sheet1!V43</f>
        <v>3177684.7399999998</v>
      </c>
      <c r="D34">
        <f>Sheet1!D43+Sheet1!E43+Sheet1!S43+Sheet1!Q43+Sheet1!X43+Sheet1!AA43</f>
        <v>4413152.84</v>
      </c>
      <c r="E34">
        <f>Sheet1!F43+Sheet1!AB43</f>
        <v>6936597.8399999999</v>
      </c>
      <c r="F34">
        <f>Sheet1!G43+Sheet1!H43</f>
        <v>8057037.2800000003</v>
      </c>
      <c r="G34">
        <f>Sheet1!K43+Sheet1!R43+Sheet1!Z43</f>
        <v>253310.21</v>
      </c>
      <c r="H34">
        <f>Sheet1!L43+Sheet1!W43+Sheet1!T43</f>
        <v>0</v>
      </c>
      <c r="I34">
        <f>Sheet1!M43+Sheet1!Y43+Sheet1!P43</f>
        <v>45905</v>
      </c>
      <c r="J34">
        <f>Sheet1!C43</f>
        <v>0</v>
      </c>
      <c r="K34">
        <f>Sheet1!I43</f>
        <v>1594012.03</v>
      </c>
      <c r="L34" s="3">
        <v>30.5</v>
      </c>
      <c r="M34" s="3">
        <v>34.700000000000003</v>
      </c>
      <c r="N34" s="6">
        <v>30</v>
      </c>
      <c r="P34" s="6">
        <v>1</v>
      </c>
      <c r="Q34" s="5">
        <v>0</v>
      </c>
      <c r="R34" s="5">
        <v>1</v>
      </c>
    </row>
    <row r="35" spans="1:18" x14ac:dyDescent="0.3">
      <c r="A35" s="1">
        <f>Sheet1!A43</f>
        <v>38626</v>
      </c>
      <c r="B35" s="69">
        <f>Sheet1!J44+Sheet1!N44+Sheet1!U44</f>
        <v>7161578.2000000002</v>
      </c>
      <c r="C35">
        <f>Sheet1!B44+Sheet1!O44+Sheet1!V44</f>
        <v>2606564.29</v>
      </c>
      <c r="D35">
        <f>Sheet1!D44+Sheet1!E44+Sheet1!S44+Sheet1!Q44+Sheet1!X44+Sheet1!AA44</f>
        <v>4448673.66</v>
      </c>
      <c r="E35">
        <f>Sheet1!F44+Sheet1!AB44</f>
        <v>7178581.9199999999</v>
      </c>
      <c r="F35">
        <f>Sheet1!G44+Sheet1!H44</f>
        <v>8818541.7100000009</v>
      </c>
      <c r="G35">
        <f>Sheet1!K44+Sheet1!R44+Sheet1!Z44</f>
        <v>300618.57</v>
      </c>
      <c r="H35">
        <f>Sheet1!L44+Sheet1!W44+Sheet1!T44</f>
        <v>0</v>
      </c>
      <c r="I35">
        <f>Sheet1!M44+Sheet1!Y44+Sheet1!P44</f>
        <v>47157</v>
      </c>
      <c r="J35">
        <f>Sheet1!C44</f>
        <v>0</v>
      </c>
      <c r="K35">
        <f>Sheet1!I44</f>
        <v>1660006.1800000002</v>
      </c>
      <c r="L35" s="3">
        <v>228.3</v>
      </c>
      <c r="M35" s="3">
        <v>8.6999999999999993</v>
      </c>
      <c r="N35" s="6">
        <v>31</v>
      </c>
      <c r="P35" s="6">
        <v>1</v>
      </c>
      <c r="Q35" s="5">
        <v>0</v>
      </c>
      <c r="R35" s="5">
        <v>1</v>
      </c>
    </row>
    <row r="36" spans="1:18" x14ac:dyDescent="0.3">
      <c r="A36" s="1">
        <f>Sheet1!A44</f>
        <v>38657</v>
      </c>
      <c r="B36" s="69">
        <f>Sheet1!J45+Sheet1!N45+Sheet1!U45</f>
        <v>8844050.1999999993</v>
      </c>
      <c r="C36">
        <f>Sheet1!B45+Sheet1!O45+Sheet1!V45</f>
        <v>2852831.4</v>
      </c>
      <c r="D36">
        <f>Sheet1!D45+Sheet1!E45+Sheet1!S45+Sheet1!Q45+Sheet1!X45+Sheet1!AA45</f>
        <v>4155272.49</v>
      </c>
      <c r="E36">
        <f>Sheet1!F45+Sheet1!AB45</f>
        <v>6676471.4799999995</v>
      </c>
      <c r="F36">
        <f>Sheet1!G45+Sheet1!H45</f>
        <v>8179480.6100000003</v>
      </c>
      <c r="G36">
        <f>Sheet1!K45+Sheet1!R45+Sheet1!Z45</f>
        <v>302736.90999999997</v>
      </c>
      <c r="H36">
        <f>Sheet1!L45+Sheet1!W45+Sheet1!T45</f>
        <v>0</v>
      </c>
      <c r="I36">
        <f>Sheet1!M45+Sheet1!Y45+Sheet1!P45</f>
        <v>49077</v>
      </c>
      <c r="J36">
        <f>Sheet1!C45</f>
        <v>0</v>
      </c>
      <c r="K36">
        <f>Sheet1!I45</f>
        <v>1571630.0800000001</v>
      </c>
      <c r="L36" s="3">
        <v>392.7</v>
      </c>
      <c r="M36" s="3">
        <v>0</v>
      </c>
      <c r="N36" s="6">
        <v>30</v>
      </c>
      <c r="P36" s="6">
        <v>1</v>
      </c>
      <c r="Q36" s="5">
        <v>0</v>
      </c>
      <c r="R36" s="5">
        <v>1</v>
      </c>
    </row>
    <row r="37" spans="1:18" x14ac:dyDescent="0.3">
      <c r="A37" s="1">
        <f>Sheet1!A45</f>
        <v>38687</v>
      </c>
      <c r="B37" s="69">
        <f>Sheet1!J46+Sheet1!N46+Sheet1!U46</f>
        <v>12166728.200000001</v>
      </c>
      <c r="C37">
        <f>Sheet1!B46+Sheet1!O46+Sheet1!V46</f>
        <v>3777851.36</v>
      </c>
      <c r="D37">
        <f>Sheet1!D46+Sheet1!E46+Sheet1!S46+Sheet1!Q46+Sheet1!X46+Sheet1!AA46</f>
        <v>4517701.4000000004</v>
      </c>
      <c r="E37">
        <f>Sheet1!F46+Sheet1!AB46</f>
        <v>5916972.8799999999</v>
      </c>
      <c r="F37">
        <f>Sheet1!G46+Sheet1!H46</f>
        <v>7954019.0099999998</v>
      </c>
      <c r="G37">
        <f>Sheet1!K46+Sheet1!R46+Sheet1!Z46</f>
        <v>363332</v>
      </c>
      <c r="H37">
        <f>Sheet1!L46+Sheet1!W46+Sheet1!T46</f>
        <v>0</v>
      </c>
      <c r="I37">
        <f>Sheet1!M46+Sheet1!Y46+Sheet1!P46</f>
        <v>49317</v>
      </c>
      <c r="J37">
        <f>Sheet1!C46</f>
        <v>1845357.3099999998</v>
      </c>
      <c r="K37">
        <f>Sheet1!I46</f>
        <v>2504557.6599999997</v>
      </c>
      <c r="L37" s="3">
        <v>702.3</v>
      </c>
      <c r="M37" s="3">
        <v>0</v>
      </c>
      <c r="N37" s="6">
        <v>31</v>
      </c>
      <c r="P37" s="6">
        <v>0</v>
      </c>
      <c r="Q37" s="5">
        <v>0</v>
      </c>
      <c r="R37" s="5">
        <v>0</v>
      </c>
    </row>
    <row r="38" spans="1:18" x14ac:dyDescent="0.3">
      <c r="A38" s="1">
        <f>Sheet1!A46</f>
        <v>38718</v>
      </c>
      <c r="B38" s="69">
        <f>Sheet1!J47+Sheet1!N47+Sheet1!U47</f>
        <v>11102284.200000001</v>
      </c>
      <c r="C38">
        <f>Sheet1!B47+Sheet1!O47+Sheet1!V47</f>
        <v>3026028.16</v>
      </c>
      <c r="D38">
        <f>Sheet1!D47+Sheet1!E47+Sheet1!S47+Sheet1!Q47+Sheet1!X47+Sheet1!AA47</f>
        <v>3569897.37</v>
      </c>
      <c r="E38">
        <f>Sheet1!F47+Sheet1!AB47</f>
        <v>5872356.2399999993</v>
      </c>
      <c r="F38">
        <f>Sheet1!G47+Sheet1!H47</f>
        <v>7639770.6200000001</v>
      </c>
      <c r="G38">
        <f>Sheet1!K47+Sheet1!R47+Sheet1!Z47</f>
        <v>285799.8</v>
      </c>
      <c r="H38">
        <f>Sheet1!L47+Sheet1!W47+Sheet1!T47</f>
        <v>0</v>
      </c>
      <c r="I38">
        <f>Sheet1!M47+Sheet1!Y47+Sheet1!P47</f>
        <v>50037</v>
      </c>
      <c r="J38">
        <f>Sheet1!C47</f>
        <v>1691637.08</v>
      </c>
      <c r="K38">
        <f>Sheet1!I47</f>
        <v>1751532.15</v>
      </c>
      <c r="L38" s="3">
        <v>554.70000000000005</v>
      </c>
      <c r="M38" s="3">
        <v>0</v>
      </c>
      <c r="N38" s="6">
        <v>31</v>
      </c>
      <c r="O38" s="2">
        <v>21</v>
      </c>
      <c r="P38" s="6">
        <v>0</v>
      </c>
      <c r="Q38" s="5">
        <v>0</v>
      </c>
      <c r="R38" s="5">
        <v>0</v>
      </c>
    </row>
    <row r="39" spans="1:18" x14ac:dyDescent="0.3">
      <c r="A39" s="1">
        <f>Sheet1!A47</f>
        <v>38749</v>
      </c>
      <c r="B39" s="69">
        <f>Sheet1!J48+Sheet1!N48+Sheet1!U48</f>
        <v>10449743</v>
      </c>
      <c r="C39">
        <f>Sheet1!B48+Sheet1!O48+Sheet1!V48</f>
        <v>3419372.2700000005</v>
      </c>
      <c r="D39">
        <f>Sheet1!D48+Sheet1!E48+Sheet1!S48+Sheet1!Q48+Sheet1!X48+Sheet1!AA48</f>
        <v>5026493.8499999996</v>
      </c>
      <c r="E39">
        <f>Sheet1!F48+Sheet1!AB48</f>
        <v>8097816.4699999997</v>
      </c>
      <c r="F39">
        <f>Sheet1!G48+Sheet1!H48</f>
        <v>6532548.5300000003</v>
      </c>
      <c r="G39">
        <f>Sheet1!K48+Sheet1!R48+Sheet1!Z48</f>
        <v>271908.34999999998</v>
      </c>
      <c r="H39">
        <f>Sheet1!L48+Sheet1!W48+Sheet1!T48</f>
        <v>0</v>
      </c>
      <c r="I39">
        <f>Sheet1!M48+Sheet1!Y48+Sheet1!P48</f>
        <v>70942</v>
      </c>
      <c r="J39">
        <f>Sheet1!C48</f>
        <v>1623407.8900000001</v>
      </c>
      <c r="K39">
        <f>Sheet1!I48</f>
        <v>2057830.4899999998</v>
      </c>
      <c r="L39" s="3">
        <v>609.29999999999995</v>
      </c>
      <c r="M39" s="3">
        <v>0</v>
      </c>
      <c r="N39" s="6">
        <v>28</v>
      </c>
      <c r="O39" s="2">
        <v>20</v>
      </c>
      <c r="P39" s="6">
        <v>0</v>
      </c>
      <c r="Q39" s="5">
        <v>0</v>
      </c>
      <c r="R39" s="5">
        <v>0</v>
      </c>
    </row>
    <row r="40" spans="1:18" x14ac:dyDescent="0.3">
      <c r="A40" s="1">
        <f>Sheet1!A48</f>
        <v>38777</v>
      </c>
      <c r="B40" s="69">
        <f>Sheet1!J49+Sheet1!N49+Sheet1!U49</f>
        <v>9792241</v>
      </c>
      <c r="C40">
        <f>Sheet1!B49+Sheet1!O49+Sheet1!V49</f>
        <v>3043048.56</v>
      </c>
      <c r="D40">
        <f>Sheet1!D49+Sheet1!E49+Sheet1!S49+Sheet1!Q49+Sheet1!X49+Sheet1!AA49</f>
        <v>3619655.8699999996</v>
      </c>
      <c r="E40">
        <f>Sheet1!F49+Sheet1!AB49</f>
        <v>7124760.8499999996</v>
      </c>
      <c r="F40">
        <f>Sheet1!G49+Sheet1!H49</f>
        <v>6507788.8300000001</v>
      </c>
      <c r="G40">
        <f>Sheet1!K49+Sheet1!R49+Sheet1!Z49</f>
        <v>255402.76</v>
      </c>
      <c r="H40">
        <f>Sheet1!L49+Sheet1!W49+Sheet1!T49</f>
        <v>0</v>
      </c>
      <c r="I40">
        <f>Sheet1!M49+Sheet1!Y49+Sheet1!P49</f>
        <v>47877</v>
      </c>
      <c r="J40">
        <f>Sheet1!C49</f>
        <v>1643600.64</v>
      </c>
      <c r="K40">
        <f>Sheet1!I49</f>
        <v>1912877.18</v>
      </c>
      <c r="L40" s="3">
        <v>545.70000000000005</v>
      </c>
      <c r="M40" s="3">
        <v>0</v>
      </c>
      <c r="N40" s="6">
        <v>31</v>
      </c>
      <c r="O40" s="2">
        <v>23</v>
      </c>
      <c r="P40" s="6">
        <v>1</v>
      </c>
      <c r="Q40" s="5">
        <v>1</v>
      </c>
      <c r="R40" s="5">
        <v>0</v>
      </c>
    </row>
    <row r="41" spans="1:18" x14ac:dyDescent="0.3">
      <c r="A41" s="1">
        <f>Sheet1!A49</f>
        <v>38808</v>
      </c>
      <c r="B41" s="69">
        <f>Sheet1!J50+Sheet1!N50+Sheet1!U50</f>
        <v>8536857.9999999981</v>
      </c>
      <c r="C41">
        <f>Sheet1!B50+Sheet1!O50+Sheet1!V50</f>
        <v>2784086.4299999997</v>
      </c>
      <c r="D41">
        <f>Sheet1!D50+Sheet1!E50+Sheet1!S50+Sheet1!Q50+Sheet1!X50+Sheet1!AA50</f>
        <v>4824508.08</v>
      </c>
      <c r="E41">
        <f>Sheet1!F50+Sheet1!AB50</f>
        <v>6729843.2400000002</v>
      </c>
      <c r="F41">
        <f>Sheet1!G50+Sheet1!H50</f>
        <v>6904130.4199999999</v>
      </c>
      <c r="G41">
        <f>Sheet1!K50+Sheet1!R50+Sheet1!Z50</f>
        <v>218356.68</v>
      </c>
      <c r="H41">
        <f>Sheet1!L50+Sheet1!W50+Sheet1!T50</f>
        <v>0</v>
      </c>
      <c r="I41">
        <f>Sheet1!M50+Sheet1!Y50+Sheet1!P50</f>
        <v>34345</v>
      </c>
      <c r="J41">
        <f>Sheet1!C50</f>
        <v>1331111.28</v>
      </c>
      <c r="K41">
        <f>Sheet1!I50</f>
        <v>1526978.13</v>
      </c>
      <c r="L41" s="3">
        <v>286.10000000000002</v>
      </c>
      <c r="M41" s="3">
        <v>0</v>
      </c>
      <c r="N41" s="6">
        <v>30</v>
      </c>
      <c r="O41" s="2">
        <v>18</v>
      </c>
      <c r="P41" s="6">
        <v>1</v>
      </c>
      <c r="Q41" s="5">
        <v>1</v>
      </c>
      <c r="R41" s="5">
        <v>0</v>
      </c>
    </row>
    <row r="42" spans="1:18" x14ac:dyDescent="0.3">
      <c r="A42" s="1">
        <f>Sheet1!A50</f>
        <v>38838</v>
      </c>
      <c r="B42" s="69">
        <f>Sheet1!J51+Sheet1!N51+Sheet1!U51</f>
        <v>7885355.9999999991</v>
      </c>
      <c r="C42">
        <f>Sheet1!B51+Sheet1!O51+Sheet1!V51</f>
        <v>2706044.2200000007</v>
      </c>
      <c r="D42">
        <f>Sheet1!D51+Sheet1!E51+Sheet1!S51+Sheet1!Q51+Sheet1!X51+Sheet1!AA51</f>
        <v>3962363.27</v>
      </c>
      <c r="E42">
        <f>Sheet1!F51+Sheet1!AB51</f>
        <v>7332364.3999999994</v>
      </c>
      <c r="F42">
        <f>Sheet1!G51+Sheet1!H51</f>
        <v>12286878.539999999</v>
      </c>
      <c r="G42">
        <f>Sheet1!K51+Sheet1!R51+Sheet1!Z51</f>
        <v>222809.25</v>
      </c>
      <c r="H42">
        <f>Sheet1!L51+Sheet1!W51+Sheet1!T51</f>
        <v>0</v>
      </c>
      <c r="I42">
        <f>Sheet1!M51+Sheet1!Y51+Sheet1!P51</f>
        <v>33625</v>
      </c>
      <c r="J42">
        <f>Sheet1!C51</f>
        <v>1316272.68</v>
      </c>
      <c r="K42">
        <f>Sheet1!I51</f>
        <v>1547964.66</v>
      </c>
      <c r="L42" s="3">
        <v>151.9</v>
      </c>
      <c r="M42" s="3">
        <v>22.9</v>
      </c>
      <c r="N42" s="6">
        <v>31</v>
      </c>
      <c r="O42" s="2">
        <v>22</v>
      </c>
      <c r="P42" s="6">
        <v>1</v>
      </c>
      <c r="Q42" s="5">
        <v>1</v>
      </c>
      <c r="R42" s="5">
        <v>0</v>
      </c>
    </row>
    <row r="43" spans="1:18" x14ac:dyDescent="0.3">
      <c r="A43" s="1">
        <f>Sheet1!A51</f>
        <v>38869</v>
      </c>
      <c r="B43" s="69">
        <f>Sheet1!J52+Sheet1!N52+Sheet1!U52</f>
        <v>8837551</v>
      </c>
      <c r="C43">
        <f>Sheet1!B52+Sheet1!O52+Sheet1!V52</f>
        <v>2946063.49</v>
      </c>
      <c r="D43">
        <f>Sheet1!D52+Sheet1!E52+Sheet1!S52+Sheet1!Q52+Sheet1!X52+Sheet1!AA52</f>
        <v>5639719.3000000007</v>
      </c>
      <c r="E43">
        <f>Sheet1!F52+Sheet1!AB52</f>
        <v>7192594.8399999999</v>
      </c>
      <c r="F43">
        <f>Sheet1!G52+Sheet1!H52</f>
        <v>7016951.8300000001</v>
      </c>
      <c r="G43">
        <f>Sheet1!K52+Sheet1!R52+Sheet1!Z52</f>
        <v>194490.72</v>
      </c>
      <c r="H43">
        <f>Sheet1!L52+Sheet1!W52+Sheet1!T52</f>
        <v>0</v>
      </c>
      <c r="I43">
        <f>Sheet1!M52+Sheet1!Y52+Sheet1!P52</f>
        <v>34585</v>
      </c>
      <c r="J43">
        <f>Sheet1!C52</f>
        <v>1479023.1099999999</v>
      </c>
      <c r="K43">
        <f>Sheet1!I52</f>
        <v>1534718.17</v>
      </c>
      <c r="L43" s="3">
        <v>26.7</v>
      </c>
      <c r="M43" s="3">
        <v>44.4</v>
      </c>
      <c r="N43" s="6">
        <v>30</v>
      </c>
      <c r="O43" s="2">
        <v>22</v>
      </c>
      <c r="P43" s="6">
        <v>0</v>
      </c>
      <c r="Q43" s="5">
        <v>0</v>
      </c>
      <c r="R43" s="5">
        <v>0</v>
      </c>
    </row>
    <row r="44" spans="1:18" x14ac:dyDescent="0.3">
      <c r="A44" s="1">
        <f>Sheet1!A52</f>
        <v>38899</v>
      </c>
      <c r="B44" s="69">
        <f>Sheet1!J53+Sheet1!N53+Sheet1!U53</f>
        <v>11101620</v>
      </c>
      <c r="C44">
        <f>Sheet1!B53+Sheet1!O53+Sheet1!V53</f>
        <v>3304881.4499999993</v>
      </c>
      <c r="D44">
        <f>Sheet1!D53+Sheet1!E53+Sheet1!S53+Sheet1!Q53+Sheet1!X53+Sheet1!AA53</f>
        <v>4507333.87</v>
      </c>
      <c r="E44">
        <f>Sheet1!F53+Sheet1!AB53</f>
        <v>7012895.1899999995</v>
      </c>
      <c r="F44">
        <f>Sheet1!G53+Sheet1!H53</f>
        <v>8327951.0800000001</v>
      </c>
      <c r="G44">
        <f>Sheet1!K53+Sheet1!R53+Sheet1!Z53</f>
        <v>214972.95</v>
      </c>
      <c r="H44">
        <f>Sheet1!L53+Sheet1!W53+Sheet1!T53</f>
        <v>0</v>
      </c>
      <c r="I44">
        <f>Sheet1!M53+Sheet1!Y53+Sheet1!P53</f>
        <v>37705</v>
      </c>
      <c r="J44">
        <f>Sheet1!C53</f>
        <v>1756171.97</v>
      </c>
      <c r="K44">
        <f>Sheet1!I53</f>
        <v>1516596.8</v>
      </c>
      <c r="L44" s="3">
        <v>3.3</v>
      </c>
      <c r="M44" s="3">
        <v>133.69999999999999</v>
      </c>
      <c r="N44" s="6">
        <v>31</v>
      </c>
      <c r="O44" s="2">
        <v>20</v>
      </c>
      <c r="P44" s="6">
        <v>0</v>
      </c>
      <c r="Q44" s="5">
        <v>0</v>
      </c>
      <c r="R44" s="5">
        <v>0</v>
      </c>
    </row>
    <row r="45" spans="1:18" x14ac:dyDescent="0.3">
      <c r="A45" s="1">
        <f>Sheet1!A53</f>
        <v>38930</v>
      </c>
      <c r="B45" s="69">
        <f>Sheet1!J54+Sheet1!N54+Sheet1!U54</f>
        <v>10553631.999999998</v>
      </c>
      <c r="C45">
        <f>Sheet1!B54+Sheet1!O54+Sheet1!V54</f>
        <v>3274281.22</v>
      </c>
      <c r="D45">
        <f>Sheet1!D54+Sheet1!E54+Sheet1!S54+Sheet1!Q54+Sheet1!X54+Sheet1!AA54</f>
        <v>4946690.0999999996</v>
      </c>
      <c r="E45">
        <f>Sheet1!F54+Sheet1!AB54</f>
        <v>6821435.540000001</v>
      </c>
      <c r="F45">
        <f>Sheet1!G54+Sheet1!H54</f>
        <v>8166908.3399999999</v>
      </c>
      <c r="G45">
        <f>Sheet1!K54+Sheet1!R54+Sheet1!Z54</f>
        <v>234208.21</v>
      </c>
      <c r="H45">
        <f>Sheet1!L54+Sheet1!W54+Sheet1!T54</f>
        <v>0</v>
      </c>
      <c r="I45">
        <f>Sheet1!M54+Sheet1!Y54+Sheet1!P54</f>
        <v>50397</v>
      </c>
      <c r="J45">
        <f>Sheet1!C54</f>
        <v>1676126.54</v>
      </c>
      <c r="K45">
        <f>Sheet1!I54</f>
        <v>1578489.6199999999</v>
      </c>
      <c r="L45" s="3">
        <v>5.3</v>
      </c>
      <c r="M45" s="3">
        <v>68.2</v>
      </c>
      <c r="N45" s="6">
        <v>31</v>
      </c>
      <c r="O45" s="2">
        <v>22</v>
      </c>
      <c r="P45" s="6">
        <v>0</v>
      </c>
      <c r="Q45" s="5">
        <v>0</v>
      </c>
      <c r="R45" s="5">
        <v>0</v>
      </c>
    </row>
    <row r="46" spans="1:18" x14ac:dyDescent="0.3">
      <c r="A46" s="1">
        <f>Sheet1!A54</f>
        <v>38961</v>
      </c>
      <c r="B46" s="69">
        <f>Sheet1!J55+Sheet1!N55+Sheet1!U55</f>
        <v>8196272.9999999981</v>
      </c>
      <c r="C46">
        <f>Sheet1!B55+Sheet1!O55+Sheet1!V55</f>
        <v>2502655.3199999998</v>
      </c>
      <c r="D46">
        <f>Sheet1!D55+Sheet1!E55+Sheet1!S55+Sheet1!Q55+Sheet1!X55+Sheet1!AA55</f>
        <v>4663173.1500000004</v>
      </c>
      <c r="E46">
        <f>Sheet1!F55+Sheet1!AB55</f>
        <v>7857720.6099999994</v>
      </c>
      <c r="F46">
        <f>Sheet1!G55+Sheet1!H55</f>
        <v>8567835.1699999999</v>
      </c>
      <c r="G46">
        <f>Sheet1!K55+Sheet1!R55+Sheet1!Z55</f>
        <v>291201.65000000002</v>
      </c>
      <c r="H46">
        <f>Sheet1!L55+Sheet1!W55+Sheet1!T55</f>
        <v>0</v>
      </c>
      <c r="I46">
        <f>Sheet1!M55+Sheet1!Y55+Sheet1!P55-45000</f>
        <v>53869</v>
      </c>
      <c r="J46">
        <f>Sheet1!C55</f>
        <v>1429170.1900000002</v>
      </c>
      <c r="K46">
        <f>Sheet1!I55</f>
        <v>1768840.88</v>
      </c>
      <c r="L46" s="3">
        <v>98.5</v>
      </c>
      <c r="M46" s="3">
        <v>5</v>
      </c>
      <c r="N46" s="6">
        <v>30</v>
      </c>
      <c r="O46" s="2">
        <v>20</v>
      </c>
      <c r="P46" s="6">
        <v>1</v>
      </c>
      <c r="Q46" s="5">
        <v>0</v>
      </c>
      <c r="R46" s="5">
        <v>1</v>
      </c>
    </row>
    <row r="47" spans="1:18" x14ac:dyDescent="0.3">
      <c r="A47" s="1">
        <f>Sheet1!A55</f>
        <v>38991</v>
      </c>
      <c r="B47" s="69">
        <f>Sheet1!J56+Sheet1!N56+Sheet1!U56</f>
        <v>9665578.9999999981</v>
      </c>
      <c r="C47">
        <f>Sheet1!B56+Sheet1!O56+Sheet1!V56</f>
        <v>3359060.8</v>
      </c>
      <c r="D47">
        <f>Sheet1!D56+Sheet1!E56+Sheet1!S56+Sheet1!Q56+Sheet1!X56+Sheet1!AA56</f>
        <v>7261671.3899999997</v>
      </c>
      <c r="E47">
        <f>Sheet1!F56+Sheet1!AB56</f>
        <v>5827641.0099999998</v>
      </c>
      <c r="F47">
        <f>Sheet1!G56+Sheet1!H56</f>
        <v>8052790.46</v>
      </c>
      <c r="G47">
        <f>Sheet1!K56+Sheet1!R56+Sheet1!Z56</f>
        <v>333899.75</v>
      </c>
      <c r="H47">
        <f>Sheet1!L56+Sheet1!W56+Sheet1!T56</f>
        <v>711</v>
      </c>
      <c r="I47">
        <f>Sheet1!M56+Sheet1!Y56+Sheet1!P56</f>
        <v>48823</v>
      </c>
      <c r="J47">
        <f>Sheet1!C56</f>
        <v>1546357.86</v>
      </c>
      <c r="K47">
        <f>Sheet1!I56</f>
        <v>1695081.38</v>
      </c>
      <c r="L47" s="3">
        <v>307.89999999999998</v>
      </c>
      <c r="M47" s="3">
        <v>0.7</v>
      </c>
      <c r="N47" s="6">
        <v>31</v>
      </c>
      <c r="O47" s="2">
        <v>21</v>
      </c>
      <c r="P47" s="6">
        <v>1</v>
      </c>
      <c r="Q47" s="5">
        <v>0</v>
      </c>
      <c r="R47" s="5">
        <v>1</v>
      </c>
    </row>
    <row r="48" spans="1:18" x14ac:dyDescent="0.3">
      <c r="A48" s="1">
        <f>Sheet1!A56</f>
        <v>39022</v>
      </c>
      <c r="B48" s="69">
        <f>Sheet1!J57+Sheet1!N57+Sheet1!U57</f>
        <v>11559259.999999998</v>
      </c>
      <c r="C48">
        <f>Sheet1!B57+Sheet1!O57+Sheet1!V57</f>
        <v>3936958.1200000006</v>
      </c>
      <c r="D48">
        <f>Sheet1!D57+Sheet1!E57+Sheet1!S57+Sheet1!Q57+Sheet1!X57+Sheet1!AA57</f>
        <v>7993548.2000000002</v>
      </c>
      <c r="E48">
        <f>Sheet1!F57+Sheet1!AB57</f>
        <v>5688024.8600000003</v>
      </c>
      <c r="F48">
        <f>Sheet1!G57+Sheet1!H57</f>
        <v>7973436.8300000001</v>
      </c>
      <c r="G48">
        <f>Sheet1!K57+Sheet1!R57+Sheet1!Z57</f>
        <v>358566.55000000005</v>
      </c>
      <c r="H48">
        <f>Sheet1!L57+Sheet1!W57+Sheet1!T57</f>
        <v>2035.5</v>
      </c>
      <c r="I48">
        <f>Sheet1!M57+Sheet1!Y57+Sheet1!P57</f>
        <v>48343</v>
      </c>
      <c r="J48">
        <f>Sheet1!C57</f>
        <v>0</v>
      </c>
      <c r="K48">
        <f>Sheet1!I57</f>
        <v>1714912.1899999997</v>
      </c>
      <c r="L48" s="3">
        <v>383.4</v>
      </c>
      <c r="M48" s="3">
        <v>0</v>
      </c>
      <c r="N48" s="6">
        <v>30</v>
      </c>
      <c r="O48" s="2">
        <v>22</v>
      </c>
      <c r="P48" s="6">
        <v>1</v>
      </c>
      <c r="Q48" s="5">
        <v>0</v>
      </c>
      <c r="R48" s="5">
        <v>1</v>
      </c>
    </row>
    <row r="49" spans="1:18" x14ac:dyDescent="0.3">
      <c r="A49" s="1">
        <f>Sheet1!A57</f>
        <v>39052</v>
      </c>
      <c r="B49" s="69">
        <f>Sheet1!J58+Sheet1!N58+Sheet1!U58</f>
        <v>13600763.4</v>
      </c>
      <c r="C49">
        <f>Sheet1!B58+Sheet1!O58+Sheet1!V58</f>
        <v>4729673.4800000004</v>
      </c>
      <c r="D49">
        <f>Sheet1!D58+Sheet1!E58+Sheet1!S58+Sheet1!Q58+Sheet1!X58+Sheet1!AA58</f>
        <v>8234802</v>
      </c>
      <c r="E49">
        <f>Sheet1!F58+Sheet1!AB58</f>
        <v>7669329.370000001</v>
      </c>
      <c r="F49">
        <f>Sheet1!G58+Sheet1!H58</f>
        <v>4939156.9800000004</v>
      </c>
      <c r="G49">
        <f>Sheet1!K58+Sheet1!R58+Sheet1!Z58</f>
        <v>379400.43000000005</v>
      </c>
      <c r="H49">
        <v>4202</v>
      </c>
      <c r="I49">
        <f>Sheet1!M58+Sheet1!Y58+Sheet1!P58</f>
        <v>58825</v>
      </c>
      <c r="J49">
        <f>Sheet1!C58</f>
        <v>3375920.9099999997</v>
      </c>
      <c r="K49">
        <f>Sheet1!I58</f>
        <v>2307225.85</v>
      </c>
      <c r="L49" s="3">
        <v>511.9</v>
      </c>
      <c r="M49" s="3">
        <v>0</v>
      </c>
      <c r="N49" s="6">
        <v>31</v>
      </c>
      <c r="O49" s="2">
        <v>19</v>
      </c>
      <c r="P49" s="6">
        <v>0</v>
      </c>
      <c r="Q49" s="5">
        <v>0</v>
      </c>
      <c r="R49" s="5">
        <v>0</v>
      </c>
    </row>
    <row r="50" spans="1:18" x14ac:dyDescent="0.3">
      <c r="A50" s="1">
        <f>Sheet1!A58</f>
        <v>39083</v>
      </c>
      <c r="B50" s="69">
        <f>Sheet1!J59+Sheet1!N59+Sheet1!U59</f>
        <v>14570006.6</v>
      </c>
      <c r="C50">
        <f>Sheet1!B59+Sheet1!O59+Sheet1!V59</f>
        <v>4551370.07</v>
      </c>
      <c r="D50">
        <f>Sheet1!D59+Sheet1!E59+Sheet1!S59+Sheet1!Q59+Sheet1!X59+Sheet1!AA59</f>
        <v>9301934.1500000004</v>
      </c>
      <c r="E50">
        <f>Sheet1!F59+Sheet1!AB59</f>
        <v>7271823.0800000001</v>
      </c>
      <c r="F50">
        <f>Sheet1!G59+Sheet1!H59</f>
        <v>7473074.0999999996</v>
      </c>
      <c r="G50">
        <f>Sheet1!K59+Sheet1!R59+Sheet1!Z59</f>
        <v>333552.49</v>
      </c>
      <c r="H50">
        <v>4325</v>
      </c>
      <c r="I50">
        <f>Sheet1!M59+Sheet1!Y59+Sheet1!P59-42000</f>
        <v>43910</v>
      </c>
      <c r="J50">
        <f>Sheet1!C59</f>
        <v>1318340.3</v>
      </c>
      <c r="K50">
        <f>Sheet1!I59</f>
        <v>1912309.6299999997</v>
      </c>
      <c r="L50" s="3">
        <v>655.6</v>
      </c>
      <c r="M50" s="3">
        <v>0</v>
      </c>
      <c r="N50" s="6">
        <v>31</v>
      </c>
      <c r="O50" s="2">
        <v>22</v>
      </c>
      <c r="P50" s="6">
        <v>0</v>
      </c>
      <c r="Q50" s="5">
        <v>0</v>
      </c>
      <c r="R50" s="5">
        <v>0</v>
      </c>
    </row>
    <row r="51" spans="1:18" x14ac:dyDescent="0.3">
      <c r="A51" s="1">
        <f>Sheet1!A59</f>
        <v>39114</v>
      </c>
      <c r="B51" s="69">
        <f>Sheet1!J60+Sheet1!N60+Sheet1!U60</f>
        <v>14888745</v>
      </c>
      <c r="C51">
        <f>Sheet1!B60+Sheet1!O60+Sheet1!V60</f>
        <v>5120408.84</v>
      </c>
      <c r="D51">
        <f>Sheet1!D60+Sheet1!E60+Sheet1!S60+Sheet1!Q60+Sheet1!X60+Sheet1!AA60</f>
        <v>11201030.559999999</v>
      </c>
      <c r="E51">
        <f>Sheet1!F60+Sheet1!AB60</f>
        <v>7908904.5500000007</v>
      </c>
      <c r="F51">
        <f>Sheet1!G60+Sheet1!H60</f>
        <v>6614409.1299999999</v>
      </c>
      <c r="G51">
        <f>Sheet1!K60+Sheet1!R60+Sheet1!Z60</f>
        <v>596501.58000000007</v>
      </c>
      <c r="H51">
        <v>4075</v>
      </c>
      <c r="I51">
        <f>Sheet1!M60+Sheet1!Y60+Sheet1!P60</f>
        <v>55413</v>
      </c>
      <c r="J51">
        <f>Sheet1!C60</f>
        <v>0</v>
      </c>
      <c r="K51">
        <f>Sheet1!I60</f>
        <v>1355946.2</v>
      </c>
      <c r="L51" s="3">
        <v>758.7</v>
      </c>
      <c r="M51" s="3">
        <v>0</v>
      </c>
      <c r="N51" s="6">
        <v>28</v>
      </c>
      <c r="O51" s="2">
        <v>20</v>
      </c>
      <c r="P51" s="6">
        <v>0</v>
      </c>
      <c r="Q51" s="5">
        <v>0</v>
      </c>
      <c r="R51" s="5">
        <v>0</v>
      </c>
    </row>
    <row r="52" spans="1:18" x14ac:dyDescent="0.3">
      <c r="A52" s="1">
        <f>Sheet1!A60</f>
        <v>39142</v>
      </c>
      <c r="B52" s="69">
        <f>Sheet1!J61+Sheet1!N61+Sheet1!U61</f>
        <v>13254840.999999998</v>
      </c>
      <c r="C52">
        <f>Sheet1!B61+Sheet1!O61+Sheet1!V61</f>
        <v>4399997.75</v>
      </c>
      <c r="D52">
        <f>Sheet1!D61+Sheet1!E61+Sheet1!S61+Sheet1!Q61+Sheet1!X61+Sheet1!AA61</f>
        <v>9810527.4300000016</v>
      </c>
      <c r="E52">
        <f>Sheet1!F61+Sheet1!AB61</f>
        <v>4399824.68</v>
      </c>
      <c r="F52">
        <f>Sheet1!G61+Sheet1!H61</f>
        <v>6914475.6200000001</v>
      </c>
      <c r="G52">
        <f>Sheet1!K61+Sheet1!R61+Sheet1!Z61</f>
        <v>316691.77</v>
      </c>
      <c r="H52">
        <v>4387</v>
      </c>
      <c r="I52">
        <f>Sheet1!M61+Sheet1!Y61+Sheet1!P61+42000+45000</f>
        <v>47053</v>
      </c>
      <c r="J52">
        <f>Sheet1!C61</f>
        <v>1609279.5999999999</v>
      </c>
      <c r="K52">
        <f>Sheet1!I61</f>
        <v>0</v>
      </c>
      <c r="L52" s="3">
        <v>527</v>
      </c>
      <c r="M52" s="3">
        <v>0</v>
      </c>
      <c r="N52" s="6">
        <v>31</v>
      </c>
      <c r="O52" s="2">
        <v>22</v>
      </c>
      <c r="P52" s="6">
        <v>1</v>
      </c>
      <c r="Q52" s="5">
        <v>1</v>
      </c>
      <c r="R52" s="5">
        <v>0</v>
      </c>
    </row>
    <row r="53" spans="1:18" x14ac:dyDescent="0.3">
      <c r="A53" s="1">
        <f>Sheet1!A61</f>
        <v>39173</v>
      </c>
      <c r="B53" s="69">
        <f>Sheet1!J62+Sheet1!N62+Sheet1!U62</f>
        <v>11356300</v>
      </c>
      <c r="C53">
        <f>Sheet1!B62+Sheet1!O62+Sheet1!V62</f>
        <v>4341235.1899999995</v>
      </c>
      <c r="D53">
        <f>Sheet1!D62+Sheet1!E62+Sheet1!S62+Sheet1!Q62+Sheet1!X62+Sheet1!AA62</f>
        <v>11500074.82</v>
      </c>
      <c r="E53">
        <f>Sheet1!F62+Sheet1!AB62</f>
        <v>8414010.7300000004</v>
      </c>
      <c r="F53">
        <f>Sheet1!G62+Sheet1!H62</f>
        <v>6765942.96</v>
      </c>
      <c r="G53">
        <f>Sheet1!K62+Sheet1!R62+Sheet1!Z62</f>
        <v>301359.46000000002</v>
      </c>
      <c r="H53">
        <v>4407</v>
      </c>
      <c r="I53">
        <f>Sheet1!M62+Sheet1!Y62+Sheet1!P62</f>
        <v>54145</v>
      </c>
      <c r="J53">
        <f>Sheet1!C62</f>
        <v>1417922.4</v>
      </c>
      <c r="K53">
        <f>Sheet1!I62</f>
        <v>0</v>
      </c>
      <c r="L53" s="3">
        <v>371.1</v>
      </c>
      <c r="M53" s="3">
        <v>0</v>
      </c>
      <c r="N53" s="6">
        <v>30</v>
      </c>
      <c r="O53" s="2">
        <v>19</v>
      </c>
      <c r="P53" s="6">
        <v>1</v>
      </c>
      <c r="Q53" s="5">
        <v>1</v>
      </c>
      <c r="R53" s="5">
        <v>0</v>
      </c>
    </row>
    <row r="54" spans="1:18" x14ac:dyDescent="0.3">
      <c r="A54" s="1">
        <f>Sheet1!A62</f>
        <v>39203</v>
      </c>
      <c r="B54" s="69">
        <f>Sheet1!J63+Sheet1!N63+Sheet1!U63</f>
        <v>10560117</v>
      </c>
      <c r="C54">
        <f>Sheet1!B63+Sheet1!O63+Sheet1!V63</f>
        <v>4007019.49</v>
      </c>
      <c r="D54">
        <f>Sheet1!D63+Sheet1!E63+Sheet1!S63+Sheet1!Q63+Sheet1!X63+Sheet1!AA63</f>
        <v>12795762.370000001</v>
      </c>
      <c r="E54">
        <f>Sheet1!F63+Sheet1!AB63</f>
        <v>8164629.3499999996</v>
      </c>
      <c r="F54">
        <f>Sheet1!G63+Sheet1!H63</f>
        <v>10968279.75</v>
      </c>
      <c r="G54">
        <f>Sheet1!K63+Sheet1!R63+Sheet1!Z63</f>
        <v>291896.86</v>
      </c>
      <c r="H54">
        <v>4289</v>
      </c>
      <c r="I54">
        <f>Sheet1!M63+Sheet1!Y63+Sheet1!P63</f>
        <v>43699</v>
      </c>
      <c r="J54">
        <f>Sheet1!C63</f>
        <v>1306635.1000000001</v>
      </c>
      <c r="K54">
        <f>Sheet1!I63</f>
        <v>0</v>
      </c>
      <c r="L54" s="3">
        <v>131.9</v>
      </c>
      <c r="M54" s="3">
        <v>22.7</v>
      </c>
      <c r="N54" s="6">
        <v>31</v>
      </c>
      <c r="O54" s="2">
        <v>22</v>
      </c>
      <c r="P54" s="6">
        <v>1</v>
      </c>
      <c r="Q54" s="5">
        <v>1</v>
      </c>
      <c r="R54" s="5">
        <v>0</v>
      </c>
    </row>
    <row r="55" spans="1:18" x14ac:dyDescent="0.3">
      <c r="A55" s="1">
        <f>Sheet1!A63</f>
        <v>39234</v>
      </c>
      <c r="B55" s="69">
        <f>Sheet1!J64+Sheet1!N64+Sheet1!U64</f>
        <v>12196801</v>
      </c>
      <c r="C55">
        <f>Sheet1!B64+Sheet1!O64+Sheet1!V64</f>
        <v>4297146.54</v>
      </c>
      <c r="D55">
        <f>Sheet1!D64+Sheet1!E64+Sheet1!S64+Sheet1!Q64+Sheet1!X64+Sheet1!AA64</f>
        <v>10519544.48</v>
      </c>
      <c r="E55">
        <f>Sheet1!F64+Sheet1!AB64</f>
        <v>5372134.5600000005</v>
      </c>
      <c r="F55">
        <f>Sheet1!G64+Sheet1!H64</f>
        <v>6043355.2599999998</v>
      </c>
      <c r="G55">
        <f>Sheet1!K64+Sheet1!R64+Sheet1!Z64</f>
        <v>239177.89</v>
      </c>
      <c r="H55">
        <f>Sheet1!L64+Sheet1!W64+Sheet1!T64</f>
        <v>4229.9400000000005</v>
      </c>
      <c r="I55">
        <f>Sheet1!M64+Sheet1!Y64+Sheet1!P64</f>
        <v>38999</v>
      </c>
      <c r="J55">
        <f>Sheet1!C64</f>
        <v>1424457.9</v>
      </c>
      <c r="K55">
        <f>Sheet1!I64</f>
        <v>0</v>
      </c>
      <c r="L55" s="3">
        <v>23.2</v>
      </c>
      <c r="M55" s="3">
        <v>70.2</v>
      </c>
      <c r="N55" s="6">
        <v>30</v>
      </c>
      <c r="O55" s="2">
        <v>21</v>
      </c>
      <c r="P55" s="6">
        <v>0</v>
      </c>
      <c r="Q55" s="5">
        <v>0</v>
      </c>
      <c r="R55" s="5">
        <v>0</v>
      </c>
    </row>
    <row r="56" spans="1:18" x14ac:dyDescent="0.3">
      <c r="A56" s="1">
        <f>Sheet1!A64</f>
        <v>39264</v>
      </c>
      <c r="B56" s="69">
        <f>Sheet1!J65+Sheet1!N65+Sheet1!U65</f>
        <v>12672844</v>
      </c>
      <c r="C56">
        <f>Sheet1!B65+Sheet1!O65+Sheet1!V65</f>
        <v>4462181.9800000004</v>
      </c>
      <c r="D56">
        <f>Sheet1!D65+Sheet1!E65+Sheet1!S65+Sheet1!Q65+Sheet1!X65+Sheet1!AA65</f>
        <v>10765772.560000001</v>
      </c>
      <c r="E56">
        <f>Sheet1!F65+Sheet1!AB65</f>
        <v>7331509.4099999992</v>
      </c>
      <c r="F56">
        <f>Sheet1!G65+Sheet1!H65</f>
        <v>8074530.0700000003</v>
      </c>
      <c r="G56">
        <f>Sheet1!K65+Sheet1!R65+Sheet1!Z65</f>
        <v>282367.7</v>
      </c>
      <c r="H56">
        <f>Sheet1!L65+Sheet1!W65+Sheet1!T65</f>
        <v>4232.88</v>
      </c>
      <c r="I56">
        <f>Sheet1!M65+Sheet1!Y65+Sheet1!P65</f>
        <v>39725</v>
      </c>
      <c r="J56">
        <f>Sheet1!C65</f>
        <v>1481509.8</v>
      </c>
      <c r="K56">
        <f>Sheet1!I65</f>
        <v>0</v>
      </c>
      <c r="L56" s="3">
        <v>11.3</v>
      </c>
      <c r="M56" s="3">
        <v>71.599999999999994</v>
      </c>
      <c r="N56" s="6">
        <v>31</v>
      </c>
      <c r="O56" s="2">
        <v>21</v>
      </c>
      <c r="P56" s="6">
        <v>0</v>
      </c>
      <c r="Q56" s="5">
        <v>0</v>
      </c>
      <c r="R56" s="5">
        <v>0</v>
      </c>
    </row>
    <row r="57" spans="1:18" x14ac:dyDescent="0.3">
      <c r="A57" s="1">
        <f>Sheet1!A65</f>
        <v>39295</v>
      </c>
      <c r="B57" s="69">
        <f>Sheet1!J66+Sheet1!N66+Sheet1!U66</f>
        <v>12040944</v>
      </c>
      <c r="C57">
        <f>Sheet1!B66+Sheet1!O66+Sheet1!V66</f>
        <v>3946060.3</v>
      </c>
      <c r="D57">
        <f>Sheet1!D66+Sheet1!E66+Sheet1!S66+Sheet1!Q66+Sheet1!X66+Sheet1!AA66</f>
        <v>10389502.199999999</v>
      </c>
      <c r="E57">
        <f>Sheet1!F66+Sheet1!AB66</f>
        <v>6262610.1899999995</v>
      </c>
      <c r="F57">
        <f>Sheet1!G66+Sheet1!H66</f>
        <v>7580525.8899999997</v>
      </c>
      <c r="G57">
        <f>Sheet1!K66+Sheet1!R66+Sheet1!Z66</f>
        <v>233226.56</v>
      </c>
      <c r="H57">
        <f>Sheet1!L66+Sheet1!W66+Sheet1!T66</f>
        <v>3931.6800000000003</v>
      </c>
      <c r="I57">
        <f>Sheet1!M66+Sheet1!Y66+Sheet1!P66</f>
        <v>39695</v>
      </c>
      <c r="J57">
        <f>Sheet1!C66</f>
        <v>1613818.2</v>
      </c>
      <c r="K57">
        <f>Sheet1!I66</f>
        <v>0</v>
      </c>
      <c r="L57" s="3">
        <v>11.5</v>
      </c>
      <c r="M57" s="3">
        <v>89.1</v>
      </c>
      <c r="N57" s="6">
        <v>31</v>
      </c>
      <c r="O57" s="2">
        <v>22</v>
      </c>
      <c r="P57" s="6">
        <v>0</v>
      </c>
      <c r="Q57" s="5">
        <v>0</v>
      </c>
      <c r="R57" s="5">
        <v>0</v>
      </c>
    </row>
    <row r="58" spans="1:18" x14ac:dyDescent="0.3">
      <c r="A58" s="1">
        <f>Sheet1!A66</f>
        <v>39326</v>
      </c>
      <c r="B58" s="69">
        <f>Sheet1!J67+Sheet1!N67+Sheet1!U67</f>
        <v>10134882</v>
      </c>
      <c r="C58">
        <f>Sheet1!B67+Sheet1!O67+Sheet1!V67</f>
        <v>3887365.9499999997</v>
      </c>
      <c r="D58">
        <f>Sheet1!D67+Sheet1!E67+Sheet1!S67+Sheet1!Q67+Sheet1!X67+Sheet1!AA67</f>
        <v>10696902.349999998</v>
      </c>
      <c r="E58">
        <f>Sheet1!F67+Sheet1!AB67</f>
        <v>5491172.8300000001</v>
      </c>
      <c r="F58">
        <f>Sheet1!G67+Sheet1!H67</f>
        <v>7282604.2200000007</v>
      </c>
      <c r="G58">
        <f>Sheet1!K67+Sheet1!R67+Sheet1!Z67</f>
        <v>361386.83</v>
      </c>
      <c r="H58">
        <f>Sheet1!L67+Sheet1!W67+Sheet1!T67</f>
        <v>5050.5</v>
      </c>
      <c r="I58">
        <f>Sheet1!M67+Sheet1!Y67+Sheet1!P67</f>
        <v>29300</v>
      </c>
      <c r="J58">
        <f>Sheet1!C67</f>
        <v>1435950.5</v>
      </c>
      <c r="K58">
        <f>Sheet1!I67</f>
        <v>0</v>
      </c>
      <c r="L58" s="3">
        <v>61</v>
      </c>
      <c r="M58" s="3">
        <v>35</v>
      </c>
      <c r="N58" s="6">
        <v>30</v>
      </c>
      <c r="O58" s="2">
        <v>19</v>
      </c>
      <c r="P58" s="6">
        <v>1</v>
      </c>
      <c r="Q58" s="5">
        <v>0</v>
      </c>
      <c r="R58" s="5">
        <v>1</v>
      </c>
    </row>
    <row r="59" spans="1:18" x14ac:dyDescent="0.3">
      <c r="A59" s="1">
        <f>Sheet1!A67</f>
        <v>39356</v>
      </c>
      <c r="B59" s="69">
        <f>Sheet1!J68+Sheet1!N68+Sheet1!U68</f>
        <v>10478667</v>
      </c>
      <c r="C59">
        <f>Sheet1!B68+Sheet1!O68+Sheet1!V68</f>
        <v>4070148.59</v>
      </c>
      <c r="D59">
        <f>Sheet1!D68+Sheet1!E68+Sheet1!S68+Sheet1!Q68+Sheet1!X68+Sheet1!AA68</f>
        <v>11375322.620000001</v>
      </c>
      <c r="E59">
        <f>Sheet1!F68+Sheet1!AB68</f>
        <v>6422987.6699999999</v>
      </c>
      <c r="F59">
        <f>Sheet1!G68+Sheet1!H68</f>
        <v>6977893.8499999996</v>
      </c>
      <c r="G59">
        <f>Sheet1!K68+Sheet1!R68+Sheet1!Z68</f>
        <v>358132.04000000004</v>
      </c>
      <c r="H59">
        <f>Sheet1!L68+Sheet1!W68+Sheet1!T68</f>
        <v>4384.0200000000004</v>
      </c>
      <c r="I59">
        <f>Sheet1!M68+Sheet1!Y68+Sheet1!P68</f>
        <v>48092</v>
      </c>
      <c r="J59">
        <f>Sheet1!C68</f>
        <v>2088978.4000000001</v>
      </c>
      <c r="K59">
        <f>Sheet1!I68</f>
        <v>0</v>
      </c>
      <c r="L59" s="3">
        <v>149.9</v>
      </c>
      <c r="M59" s="3">
        <v>21.5</v>
      </c>
      <c r="N59" s="6">
        <v>31</v>
      </c>
      <c r="O59" s="2">
        <v>22</v>
      </c>
      <c r="P59" s="6">
        <v>1</v>
      </c>
      <c r="Q59" s="5">
        <v>0</v>
      </c>
      <c r="R59" s="5">
        <v>1</v>
      </c>
    </row>
    <row r="60" spans="1:18" x14ac:dyDescent="0.3">
      <c r="A60" s="1">
        <f>Sheet1!A68</f>
        <v>39387</v>
      </c>
      <c r="B60" s="69">
        <f>Sheet1!J69+Sheet1!N69+Sheet1!U69</f>
        <v>11362641</v>
      </c>
      <c r="C60">
        <f>Sheet1!B69+Sheet1!O69+Sheet1!V69</f>
        <v>4094562.73</v>
      </c>
      <c r="D60">
        <f>Sheet1!D69+Sheet1!E69+Sheet1!S69+Sheet1!Q69+Sheet1!X69+Sheet1!AA69</f>
        <v>10923417.359999999</v>
      </c>
      <c r="E60">
        <f>Sheet1!F69+Sheet1!AB69</f>
        <v>7120092.96</v>
      </c>
      <c r="F60">
        <f>Sheet1!G69+Sheet1!H69</f>
        <v>7425348.7999999998</v>
      </c>
      <c r="G60">
        <f>Sheet1!K69+Sheet1!R69+Sheet1!Z69</f>
        <v>409890.3</v>
      </c>
      <c r="H60">
        <f>Sheet1!L69+Sheet1!W69+Sheet1!T69</f>
        <v>4535.9400000000005</v>
      </c>
      <c r="I60">
        <f>Sheet1!M69+Sheet1!Y69+Sheet1!P69</f>
        <v>38999</v>
      </c>
      <c r="J60">
        <f>Sheet1!C69</f>
        <v>922176.20000000007</v>
      </c>
      <c r="K60">
        <f>Sheet1!I69</f>
        <v>0</v>
      </c>
      <c r="L60" s="3">
        <v>468.7</v>
      </c>
      <c r="M60" s="3">
        <v>0</v>
      </c>
      <c r="N60" s="6">
        <v>30</v>
      </c>
      <c r="O60" s="2">
        <v>21</v>
      </c>
      <c r="P60" s="6">
        <v>1</v>
      </c>
      <c r="Q60" s="5">
        <v>0</v>
      </c>
      <c r="R60" s="5">
        <v>1</v>
      </c>
    </row>
    <row r="61" spans="1:18" x14ac:dyDescent="0.3">
      <c r="A61" s="1">
        <f>Sheet1!A69</f>
        <v>39417</v>
      </c>
      <c r="B61" s="69">
        <f>Sheet1!J70+Sheet1!N70+Sheet1!U70</f>
        <v>14338292</v>
      </c>
      <c r="C61">
        <f>Sheet1!B70+Sheet1!O70+Sheet1!V70</f>
        <v>4771462.6500000004</v>
      </c>
      <c r="D61">
        <f>Sheet1!D70+Sheet1!E70+Sheet1!S70+Sheet1!Q70+Sheet1!X70+Sheet1!AA70</f>
        <v>10230663.479999999</v>
      </c>
      <c r="E61">
        <f>Sheet1!F70+Sheet1!AB70</f>
        <v>5228233.63</v>
      </c>
      <c r="F61">
        <f>Sheet1!G70+Sheet1!H70</f>
        <v>5148978.18</v>
      </c>
      <c r="G61">
        <f>Sheet1!K70+Sheet1!R70+Sheet1!Z70</f>
        <v>419755.49</v>
      </c>
      <c r="H61">
        <f>Sheet1!L70+Sheet1!W70+Sheet1!T70</f>
        <v>4301.3999999999996</v>
      </c>
      <c r="I61">
        <f>Sheet1!M70+Sheet1!Y70+Sheet1!P70</f>
        <v>60306</v>
      </c>
      <c r="J61">
        <f>Sheet1!C70</f>
        <v>1756456.7</v>
      </c>
      <c r="K61">
        <f>Sheet1!I70</f>
        <v>0</v>
      </c>
      <c r="L61" s="3">
        <v>657</v>
      </c>
      <c r="M61" s="3">
        <v>0</v>
      </c>
      <c r="N61" s="6">
        <v>31</v>
      </c>
      <c r="O61" s="2">
        <v>19</v>
      </c>
      <c r="P61" s="6">
        <v>0</v>
      </c>
      <c r="Q61" s="5">
        <v>0</v>
      </c>
      <c r="R61" s="5">
        <v>0</v>
      </c>
    </row>
    <row r="62" spans="1:18" x14ac:dyDescent="0.3">
      <c r="A62" s="1">
        <f>Sheet1!A70</f>
        <v>39448</v>
      </c>
      <c r="B62" s="69">
        <f>Sheet1!J71+Sheet1!N71+Sheet1!U71</f>
        <v>13653982.24</v>
      </c>
      <c r="C62">
        <f>Sheet1!B71+Sheet1!O71+Sheet1!V71</f>
        <v>4375030.8599999994</v>
      </c>
      <c r="D62">
        <f>Sheet1!D71+Sheet1!E71+Sheet1!S71+Sheet1!Q71+Sheet1!X71+Sheet1!AA71</f>
        <v>9777139.2699999996</v>
      </c>
      <c r="E62">
        <f>Sheet1!F71+Sheet1!AB71</f>
        <v>3009155.89</v>
      </c>
      <c r="F62">
        <f>Sheet1!G71+Sheet1!H71</f>
        <v>7659318.5499999998</v>
      </c>
      <c r="G62">
        <f>Sheet1!K71+Sheet1!R71+Sheet1!Z71</f>
        <v>345005.74</v>
      </c>
      <c r="H62">
        <f>Sheet1!L71+Sheet1!W71+Sheet1!T71</f>
        <v>4197.8999999999996</v>
      </c>
      <c r="I62">
        <f>Sheet1!M71+Sheet1!Y71+Sheet1!P71</f>
        <v>39756</v>
      </c>
      <c r="J62">
        <f>Sheet1!C71</f>
        <v>1800940.9</v>
      </c>
      <c r="K62">
        <f>Sheet1!I71</f>
        <v>0</v>
      </c>
      <c r="L62" s="3">
        <v>639</v>
      </c>
      <c r="M62" s="3">
        <v>0</v>
      </c>
      <c r="N62" s="6">
        <v>31</v>
      </c>
      <c r="O62" s="2">
        <v>22</v>
      </c>
      <c r="P62" s="6">
        <v>0</v>
      </c>
      <c r="Q62" s="5">
        <v>0</v>
      </c>
      <c r="R62" s="5">
        <v>0</v>
      </c>
    </row>
    <row r="63" spans="1:18" x14ac:dyDescent="0.3">
      <c r="A63" s="1">
        <f>Sheet1!A71</f>
        <v>39479</v>
      </c>
      <c r="B63" s="69">
        <f>Sheet1!J72+Sheet1!N72+Sheet1!U72</f>
        <v>13751883.719999999</v>
      </c>
      <c r="C63">
        <f>Sheet1!B72+Sheet1!O72+Sheet1!V72</f>
        <v>4605320.59</v>
      </c>
      <c r="D63">
        <f>Sheet1!D72+Sheet1!E72+Sheet1!S72+Sheet1!Q72+Sheet1!X72+Sheet1!AA72</f>
        <v>10796563.600000001</v>
      </c>
      <c r="E63">
        <f>Sheet1!F72+Sheet1!AB72</f>
        <v>6637122.8899999997</v>
      </c>
      <c r="F63">
        <f>Sheet1!G72+Sheet1!H72</f>
        <v>10469998.17</v>
      </c>
      <c r="G63">
        <f>Sheet1!K72+Sheet1!R72+Sheet1!Z72</f>
        <v>332897.54000000004</v>
      </c>
      <c r="H63">
        <f>Sheet1!L72+Sheet1!W72+Sheet1!T72</f>
        <v>4448.1000000000004</v>
      </c>
      <c r="I63">
        <f>Sheet1!M72+Sheet1!Y72+Sheet1!P72</f>
        <v>40194</v>
      </c>
      <c r="J63">
        <f>Sheet1!C72</f>
        <v>1770399</v>
      </c>
      <c r="K63">
        <f>Sheet1!I72</f>
        <v>0</v>
      </c>
      <c r="L63" s="3">
        <v>692.5</v>
      </c>
      <c r="M63" s="3">
        <v>0</v>
      </c>
      <c r="N63" s="6">
        <v>29</v>
      </c>
      <c r="O63" s="2">
        <v>20</v>
      </c>
      <c r="P63" s="6">
        <v>0</v>
      </c>
      <c r="Q63" s="5">
        <v>0</v>
      </c>
      <c r="R63" s="5">
        <v>0</v>
      </c>
    </row>
    <row r="64" spans="1:18" x14ac:dyDescent="0.3">
      <c r="A64" s="1">
        <f>Sheet1!A72</f>
        <v>39508</v>
      </c>
      <c r="B64" s="69">
        <f>Sheet1!J73+Sheet1!N73+Sheet1!U73</f>
        <v>12610124</v>
      </c>
      <c r="C64">
        <f>Sheet1!B73+Sheet1!O73+Sheet1!V73</f>
        <v>4401905.55</v>
      </c>
      <c r="D64">
        <f>Sheet1!D73+Sheet1!E73+Sheet1!S73+Sheet1!Q73+Sheet1!X73+Sheet1!AA73</f>
        <v>10814152.91</v>
      </c>
      <c r="E64">
        <f>Sheet1!F73+Sheet1!AB73</f>
        <v>6985973.9499999993</v>
      </c>
      <c r="F64">
        <f>Sheet1!G73+Sheet1!H73</f>
        <v>7147593.46</v>
      </c>
      <c r="G64">
        <f>Sheet1!K73+Sheet1!R73+Sheet1!Z73</f>
        <v>347133.92000000004</v>
      </c>
      <c r="H64">
        <f>Sheet1!L73+Sheet1!W73+Sheet1!T73</f>
        <v>5051.7</v>
      </c>
      <c r="I64">
        <f>Sheet1!M73+Sheet1!Y73+Sheet1!P73</f>
        <v>41387</v>
      </c>
      <c r="J64">
        <f>Sheet1!C73</f>
        <v>1887019.5999999999</v>
      </c>
      <c r="K64">
        <f>Sheet1!I73</f>
        <v>0</v>
      </c>
      <c r="L64" s="3">
        <v>627.29999999999995</v>
      </c>
      <c r="M64" s="3">
        <v>0</v>
      </c>
      <c r="N64" s="6">
        <v>31</v>
      </c>
      <c r="O64" s="2">
        <v>19</v>
      </c>
      <c r="P64" s="6">
        <v>1</v>
      </c>
      <c r="Q64" s="5">
        <v>1</v>
      </c>
      <c r="R64" s="5">
        <v>0</v>
      </c>
    </row>
    <row r="65" spans="1:18" x14ac:dyDescent="0.3">
      <c r="A65" s="1">
        <f>Sheet1!A73</f>
        <v>39539</v>
      </c>
      <c r="B65" s="69">
        <f>Sheet1!J74+Sheet1!N74+Sheet1!U74</f>
        <v>10178344.4</v>
      </c>
      <c r="C65">
        <f>Sheet1!B74+Sheet1!O74+Sheet1!V74</f>
        <v>3736819.29</v>
      </c>
      <c r="D65">
        <f>Sheet1!D74+Sheet1!E74+Sheet1!S74+Sheet1!Q74+Sheet1!X74+Sheet1!AA74</f>
        <v>9851810.5599999987</v>
      </c>
      <c r="E65">
        <f>Sheet1!F74+Sheet1!AB74</f>
        <v>6061720.8799999999</v>
      </c>
      <c r="F65">
        <f>Sheet1!G74+Sheet1!H74</f>
        <v>7515953.3300000001</v>
      </c>
      <c r="G65">
        <f>Sheet1!K74+Sheet1!R74+Sheet1!Z74</f>
        <v>291704.21000000002</v>
      </c>
      <c r="H65">
        <f>Sheet1!L74+Sheet1!W74+Sheet1!T74</f>
        <v>4451.1000000000004</v>
      </c>
      <c r="I65">
        <f>Sheet1!M74+Sheet1!Y74+Sheet1!P74</f>
        <v>42669</v>
      </c>
      <c r="J65">
        <f>Sheet1!C74</f>
        <v>1506449.8</v>
      </c>
      <c r="K65">
        <f>Sheet1!I74</f>
        <v>0</v>
      </c>
      <c r="L65" s="3">
        <v>265</v>
      </c>
      <c r="M65" s="3">
        <v>0</v>
      </c>
      <c r="N65" s="6">
        <v>30</v>
      </c>
      <c r="O65" s="2">
        <v>22</v>
      </c>
      <c r="P65" s="6">
        <v>1</v>
      </c>
      <c r="Q65" s="5">
        <v>1</v>
      </c>
      <c r="R65" s="5">
        <v>0</v>
      </c>
    </row>
    <row r="66" spans="1:18" x14ac:dyDescent="0.3">
      <c r="A66" s="1">
        <f>Sheet1!A74</f>
        <v>39569</v>
      </c>
      <c r="B66" s="69">
        <f>Sheet1!J75+Sheet1!N75+Sheet1!U75</f>
        <v>10245917.199999999</v>
      </c>
      <c r="C66">
        <f>Sheet1!B75+Sheet1!O75+Sheet1!V75</f>
        <v>3693141.03</v>
      </c>
      <c r="D66">
        <f>Sheet1!D75+Sheet1!E75+Sheet1!S75+Sheet1!Q75+Sheet1!X75+Sheet1!AA75</f>
        <v>10138237.800000001</v>
      </c>
      <c r="E66">
        <f>Sheet1!F75+Sheet1!AB75</f>
        <v>5574174.3100000005</v>
      </c>
      <c r="F66">
        <f>Sheet1!G75+Sheet1!H75</f>
        <v>6769505.1500000004</v>
      </c>
      <c r="G66">
        <f>Sheet1!K75+Sheet1!R75+Sheet1!Z75</f>
        <v>269263.97000000003</v>
      </c>
      <c r="H66">
        <f>Sheet1!L75+Sheet1!W75+Sheet1!T75</f>
        <v>4495.5</v>
      </c>
      <c r="I66">
        <f>Sheet1!M75+Sheet1!Y75+Sheet1!P75</f>
        <v>47559</v>
      </c>
      <c r="J66">
        <f>Sheet1!C75</f>
        <v>1179509.3999999999</v>
      </c>
      <c r="K66">
        <f>Sheet1!I75</f>
        <v>0</v>
      </c>
      <c r="L66" s="3">
        <v>208.8</v>
      </c>
      <c r="M66" s="3">
        <v>2.1</v>
      </c>
      <c r="N66" s="6">
        <v>31</v>
      </c>
      <c r="O66" s="2">
        <v>21</v>
      </c>
      <c r="P66" s="6">
        <v>1</v>
      </c>
      <c r="Q66" s="5">
        <v>1</v>
      </c>
      <c r="R66" s="5">
        <v>0</v>
      </c>
    </row>
    <row r="67" spans="1:18" x14ac:dyDescent="0.3">
      <c r="A67" s="1">
        <f>Sheet1!A75</f>
        <v>39600</v>
      </c>
      <c r="B67" s="69">
        <f>Sheet1!J76+Sheet1!N76+Sheet1!U76</f>
        <v>10837201</v>
      </c>
      <c r="C67">
        <f>Sheet1!B76+Sheet1!O76+Sheet1!V76</f>
        <v>3797962.59</v>
      </c>
      <c r="D67">
        <f>Sheet1!D76+Sheet1!E76+Sheet1!S76+Sheet1!Q76+Sheet1!X76+Sheet1!AA76</f>
        <v>9819626.4499999993</v>
      </c>
      <c r="E67">
        <f>Sheet1!F76+Sheet1!AB76</f>
        <v>5149002.87</v>
      </c>
      <c r="F67">
        <f>Sheet1!G76+Sheet1!H76</f>
        <v>5177615.3899999997</v>
      </c>
      <c r="G67">
        <f>Sheet1!K76+Sheet1!R76+Sheet1!Z76</f>
        <v>231630.37</v>
      </c>
      <c r="H67">
        <f>Sheet1!L76+Sheet1!W76+Sheet1!T76</f>
        <v>4585.8</v>
      </c>
      <c r="I67">
        <f>Sheet1!M76+Sheet1!Y76+Sheet1!P76</f>
        <v>45093</v>
      </c>
      <c r="J67">
        <f>Sheet1!C76</f>
        <v>881308.10000000009</v>
      </c>
      <c r="K67">
        <f>Sheet1!I76</f>
        <v>0</v>
      </c>
      <c r="L67" s="3">
        <v>24.1</v>
      </c>
      <c r="M67" s="3">
        <v>66.400000000000006</v>
      </c>
      <c r="N67" s="6">
        <v>30</v>
      </c>
      <c r="O67" s="2">
        <v>21</v>
      </c>
      <c r="P67" s="6">
        <v>0</v>
      </c>
      <c r="Q67" s="5">
        <v>0</v>
      </c>
      <c r="R67" s="5">
        <v>0</v>
      </c>
    </row>
    <row r="68" spans="1:18" x14ac:dyDescent="0.3">
      <c r="A68" s="1">
        <f>Sheet1!A76</f>
        <v>39630</v>
      </c>
      <c r="B68" s="69">
        <f>Sheet1!J77+Sheet1!N77+Sheet1!U77</f>
        <v>12386350</v>
      </c>
      <c r="C68">
        <f>Sheet1!B77+Sheet1!O77+Sheet1!V77</f>
        <v>4260389.2699999996</v>
      </c>
      <c r="D68">
        <f>Sheet1!D77+Sheet1!E77+Sheet1!S77+Sheet1!Q77+Sheet1!X77+Sheet1!AA77</f>
        <v>9570269.2799999993</v>
      </c>
      <c r="E68">
        <f>Sheet1!F77+Sheet1!AB77</f>
        <v>5567603.9499999993</v>
      </c>
      <c r="F68">
        <f>Sheet1!G77+Sheet1!H77</f>
        <v>6850946.6100000003</v>
      </c>
      <c r="G68">
        <f>Sheet1!K77+Sheet1!R77+Sheet1!Z77</f>
        <v>255025.9</v>
      </c>
      <c r="H68">
        <f>Sheet1!L77+Sheet1!W77+Sheet1!T77</f>
        <v>4506.6000000000004</v>
      </c>
      <c r="I68">
        <f>Sheet1!M77+Sheet1!Y77+Sheet1!P77</f>
        <v>45093</v>
      </c>
      <c r="J68">
        <f>Sheet1!C77</f>
        <v>999418.5</v>
      </c>
      <c r="K68">
        <f>Sheet1!I77</f>
        <v>0</v>
      </c>
      <c r="L68" s="3">
        <v>4</v>
      </c>
      <c r="M68" s="3">
        <v>97</v>
      </c>
      <c r="N68" s="6">
        <v>31</v>
      </c>
      <c r="O68" s="2">
        <v>22</v>
      </c>
      <c r="P68" s="6">
        <v>0</v>
      </c>
      <c r="Q68" s="5">
        <v>0</v>
      </c>
      <c r="R68" s="5">
        <v>0</v>
      </c>
    </row>
    <row r="69" spans="1:18" x14ac:dyDescent="0.3">
      <c r="A69" s="1">
        <f>Sheet1!A77</f>
        <v>39661</v>
      </c>
      <c r="B69" s="69">
        <f>Sheet1!J78+Sheet1!N78+Sheet1!U78</f>
        <v>12035581</v>
      </c>
      <c r="C69">
        <f>Sheet1!B78+Sheet1!O78+Sheet1!V78</f>
        <v>3994040.9299999997</v>
      </c>
      <c r="D69">
        <f>Sheet1!D78+Sheet1!E78+Sheet1!S78+Sheet1!Q78+Sheet1!X78+Sheet1!AA78</f>
        <v>10241738.41</v>
      </c>
      <c r="E69">
        <f>Sheet1!F78+Sheet1!AB78</f>
        <v>5509839.0199999996</v>
      </c>
      <c r="F69">
        <f>Sheet1!G78+Sheet1!H78</f>
        <v>7293198.8099999996</v>
      </c>
      <c r="G69">
        <f>Sheet1!K78+Sheet1!R78+Sheet1!Z78</f>
        <v>302811.95</v>
      </c>
      <c r="H69">
        <f>Sheet1!L78+Sheet1!W78+Sheet1!T78</f>
        <v>4407.8999999999996</v>
      </c>
      <c r="I69">
        <f>Sheet1!M78+Sheet1!Y78+Sheet1!P78</f>
        <v>48367</v>
      </c>
      <c r="J69">
        <f>Sheet1!C78</f>
        <v>866875.10000000009</v>
      </c>
      <c r="K69">
        <f>Sheet1!I78</f>
        <v>0</v>
      </c>
      <c r="L69" s="3">
        <v>12.4</v>
      </c>
      <c r="M69" s="3">
        <v>53.2</v>
      </c>
      <c r="N69" s="6">
        <v>31</v>
      </c>
      <c r="O69" s="2">
        <v>20</v>
      </c>
      <c r="P69" s="6">
        <v>0</v>
      </c>
      <c r="Q69" s="5">
        <v>0</v>
      </c>
      <c r="R69" s="5">
        <v>0</v>
      </c>
    </row>
    <row r="70" spans="1:18" x14ac:dyDescent="0.3">
      <c r="A70" s="1">
        <f>Sheet1!A78</f>
        <v>39692</v>
      </c>
      <c r="B70" s="69">
        <f>Sheet1!J79+Sheet1!N79+Sheet1!U79</f>
        <v>9788869</v>
      </c>
      <c r="C70">
        <f>Sheet1!B79+Sheet1!O79+Sheet1!V79</f>
        <v>3862690.59</v>
      </c>
      <c r="D70">
        <f>Sheet1!D79+Sheet1!E79+Sheet1!S79+Sheet1!Q79+Sheet1!X79+Sheet1!AA79</f>
        <v>9155910.6899999995</v>
      </c>
      <c r="E70">
        <f>Sheet1!F79+Sheet1!AB79</f>
        <v>4935965.4000000004</v>
      </c>
      <c r="F70">
        <f>Sheet1!G79+Sheet1!H79</f>
        <v>6618937.8200000003</v>
      </c>
      <c r="G70">
        <f>Sheet1!K79+Sheet1!R79+Sheet1!Z79</f>
        <v>322445.44</v>
      </c>
      <c r="H70">
        <f>Sheet1!L79+Sheet1!W79+Sheet1!T79</f>
        <v>4203</v>
      </c>
      <c r="I70">
        <f>Sheet1!M79+Sheet1!Y79+Sheet1!P79</f>
        <v>47255</v>
      </c>
      <c r="J70">
        <f>Sheet1!C79</f>
        <v>851311.2</v>
      </c>
      <c r="K70">
        <f>Sheet1!I79</f>
        <v>0</v>
      </c>
      <c r="L70" s="3">
        <v>56.7</v>
      </c>
      <c r="M70" s="3">
        <v>21.4</v>
      </c>
      <c r="N70" s="6">
        <v>30</v>
      </c>
      <c r="O70" s="2">
        <v>21</v>
      </c>
      <c r="P70" s="6">
        <v>1</v>
      </c>
      <c r="Q70" s="5">
        <v>0</v>
      </c>
      <c r="R70" s="5">
        <v>1</v>
      </c>
    </row>
    <row r="71" spans="1:18" x14ac:dyDescent="0.3">
      <c r="A71" s="1">
        <f>Sheet1!A79</f>
        <v>39722</v>
      </c>
      <c r="B71" s="69">
        <f>Sheet1!J80+Sheet1!N80+Sheet1!U80</f>
        <v>10018484</v>
      </c>
      <c r="C71">
        <f>Sheet1!B80+Sheet1!O80+Sheet1!V80</f>
        <v>3734902.08</v>
      </c>
      <c r="D71">
        <f>Sheet1!D80+Sheet1!E80+Sheet1!S80+Sheet1!Q80+Sheet1!X80+Sheet1!AA80</f>
        <v>10248761.92</v>
      </c>
      <c r="E71">
        <f>Sheet1!F80+Sheet1!AB80</f>
        <v>5055625</v>
      </c>
      <c r="F71">
        <f>Sheet1!G80+Sheet1!H80</f>
        <v>6357381.8700000001</v>
      </c>
      <c r="G71">
        <f>Sheet1!K80+Sheet1!R80+Sheet1!Z80</f>
        <v>370632.62</v>
      </c>
      <c r="H71">
        <f>Sheet1!L80+Sheet1!W80+Sheet1!T80</f>
        <v>6979.2000000000007</v>
      </c>
      <c r="I71">
        <f>Sheet1!M80+Sheet1!Y80+Sheet1!P80</f>
        <v>47255</v>
      </c>
      <c r="J71">
        <f>Sheet1!C80</f>
        <v>914410.6</v>
      </c>
      <c r="K71">
        <f>Sheet1!I80</f>
        <v>0</v>
      </c>
      <c r="L71" s="3">
        <v>286.8</v>
      </c>
      <c r="M71" s="3">
        <v>0</v>
      </c>
      <c r="N71" s="6">
        <v>31</v>
      </c>
      <c r="O71" s="2">
        <v>22</v>
      </c>
      <c r="P71" s="6">
        <v>1</v>
      </c>
      <c r="Q71" s="5">
        <v>0</v>
      </c>
      <c r="R71" s="5">
        <v>1</v>
      </c>
    </row>
    <row r="72" spans="1:18" x14ac:dyDescent="0.3">
      <c r="A72" s="1">
        <f>Sheet1!A80</f>
        <v>39753</v>
      </c>
      <c r="B72" s="69">
        <f>Sheet1!J81+Sheet1!N81+Sheet1!U81</f>
        <v>11069387</v>
      </c>
      <c r="C72">
        <f>Sheet1!B81+Sheet1!O81+Sheet1!V81</f>
        <v>3837921.6999999997</v>
      </c>
      <c r="D72">
        <f>Sheet1!D81+Sheet1!E81+Sheet1!S81+Sheet1!Q81+Sheet1!X81+Sheet1!AA81</f>
        <v>9417064.8900000006</v>
      </c>
      <c r="E72">
        <f>Sheet1!F81+Sheet1!AB81</f>
        <v>4344233.5199999996</v>
      </c>
      <c r="F72">
        <f>Sheet1!G81+Sheet1!H81</f>
        <v>6845092.6399999997</v>
      </c>
      <c r="G72">
        <f>Sheet1!K81+Sheet1!R81+Sheet1!Z81</f>
        <v>376949.12999999995</v>
      </c>
      <c r="H72">
        <f>Sheet1!L81+Sheet1!W81+Sheet1!T81</f>
        <v>4472.1000000000004</v>
      </c>
      <c r="I72">
        <f>Sheet1!M81+Sheet1!Y81+Sheet1!P81</f>
        <v>42585</v>
      </c>
      <c r="J72">
        <f>Sheet1!C81</f>
        <v>1488516.8</v>
      </c>
      <c r="K72">
        <f>Sheet1!I81</f>
        <v>0</v>
      </c>
      <c r="L72" s="3">
        <v>468.3</v>
      </c>
      <c r="M72" s="3">
        <v>0</v>
      </c>
      <c r="N72" s="6">
        <v>30</v>
      </c>
      <c r="O72" s="2">
        <v>20</v>
      </c>
      <c r="P72" s="6">
        <v>1</v>
      </c>
      <c r="Q72" s="5">
        <v>0</v>
      </c>
      <c r="R72" s="5">
        <v>1</v>
      </c>
    </row>
    <row r="73" spans="1:18" x14ac:dyDescent="0.3">
      <c r="A73" s="1">
        <f>Sheet1!A81</f>
        <v>39783</v>
      </c>
      <c r="B73" s="69">
        <f>Sheet1!J82+Sheet1!N82+Sheet1!U82</f>
        <v>14717497</v>
      </c>
      <c r="C73">
        <f>Sheet1!B82+Sheet1!O82+Sheet1!V82</f>
        <v>4501129.0999999996</v>
      </c>
      <c r="D73">
        <f>Sheet1!D82+Sheet1!E82+Sheet1!S82+Sheet1!Q82+Sheet1!X82+Sheet1!AA82</f>
        <v>9177579.2200000007</v>
      </c>
      <c r="E73">
        <f>Sheet1!F82+Sheet1!AB82</f>
        <v>2931100.9000000004</v>
      </c>
      <c r="F73">
        <f>Sheet1!G82+Sheet1!H82</f>
        <v>5859572.5999999996</v>
      </c>
      <c r="G73">
        <f>Sheet1!K82+Sheet1!R82+Sheet1!Z82</f>
        <v>190864.89</v>
      </c>
      <c r="H73">
        <f>Sheet1!L82+Sheet1!W82+Sheet1!T82</f>
        <v>4538.1000000000004</v>
      </c>
      <c r="I73">
        <f>Sheet1!M82+Sheet1!Y82+Sheet1!P82</f>
        <v>51925</v>
      </c>
      <c r="J73">
        <f>Sheet1!C82</f>
        <v>1749111.0999999999</v>
      </c>
      <c r="K73">
        <f>Sheet1!I82</f>
        <v>-84220</v>
      </c>
      <c r="L73" s="3">
        <v>671</v>
      </c>
      <c r="M73" s="3">
        <v>0</v>
      </c>
      <c r="N73" s="6">
        <v>31</v>
      </c>
      <c r="O73" s="2">
        <v>21</v>
      </c>
      <c r="P73" s="6">
        <v>0</v>
      </c>
      <c r="Q73" s="5">
        <v>0</v>
      </c>
      <c r="R73" s="5">
        <v>0</v>
      </c>
    </row>
    <row r="74" spans="1:18" x14ac:dyDescent="0.3">
      <c r="A74" s="1">
        <f>Sheet1!A82</f>
        <v>39814</v>
      </c>
      <c r="B74" s="69">
        <f>Sheet1!J83+Sheet1!N83+Sheet1!U83</f>
        <v>14920261</v>
      </c>
      <c r="C74">
        <f>Sheet1!B83+Sheet1!O83+Sheet1!V83</f>
        <v>5238899.08</v>
      </c>
      <c r="D74">
        <f>Sheet1!D83+Sheet1!E83+Sheet1!S83+Sheet1!Q83+Sheet1!X83+Sheet1!AA83</f>
        <v>10051855.389999999</v>
      </c>
      <c r="E74">
        <f>Sheet1!F83+Sheet1!AB83</f>
        <v>-349758.16000000015</v>
      </c>
      <c r="F74">
        <f>Sheet1!G83+Sheet1!H83</f>
        <v>11338835.469999999</v>
      </c>
      <c r="G74">
        <f>Sheet1!K83+Sheet1!R83+Sheet1!Z83</f>
        <v>402652.34000000008</v>
      </c>
      <c r="H74">
        <f>Sheet1!L83+Sheet1!W83+Sheet1!T83</f>
        <v>4614.8999999999996</v>
      </c>
      <c r="I74">
        <f>Sheet1!M83+Sheet1!Y83+Sheet1!P83</f>
        <v>67159</v>
      </c>
      <c r="J74">
        <f>Sheet1!C83</f>
        <v>1853565.9</v>
      </c>
      <c r="K74">
        <f>Sheet1!I83</f>
        <v>0</v>
      </c>
      <c r="L74" s="3">
        <v>849.6</v>
      </c>
      <c r="M74" s="3">
        <v>0</v>
      </c>
      <c r="N74" s="6">
        <v>31</v>
      </c>
      <c r="O74" s="5">
        <v>21</v>
      </c>
      <c r="P74" s="6">
        <v>0</v>
      </c>
      <c r="Q74" s="5">
        <v>0</v>
      </c>
      <c r="R74" s="5">
        <v>0</v>
      </c>
    </row>
    <row r="75" spans="1:18" x14ac:dyDescent="0.3">
      <c r="A75" s="1">
        <f>Sheet1!A83</f>
        <v>39845</v>
      </c>
      <c r="B75" s="69">
        <f>Sheet1!J84+Sheet1!N84+Sheet1!U84</f>
        <v>13800243</v>
      </c>
      <c r="C75">
        <f>Sheet1!B84+Sheet1!O84+Sheet1!V84</f>
        <v>4400973.78</v>
      </c>
      <c r="D75">
        <f>Sheet1!D84+Sheet1!E84+Sheet1!S84+Sheet1!Q84+Sheet1!X84+Sheet1!AA84</f>
        <v>9462428.6400000006</v>
      </c>
      <c r="E75">
        <f>Sheet1!F84+Sheet1!AB84</f>
        <v>8826346.4299999997</v>
      </c>
      <c r="F75">
        <f>Sheet1!G84+Sheet1!H84</f>
        <v>7401739.6100000003</v>
      </c>
      <c r="G75">
        <f>Sheet1!K84+Sheet1!R84+Sheet1!Z84</f>
        <v>351224.01999999996</v>
      </c>
      <c r="H75">
        <v>3444.92</v>
      </c>
      <c r="I75">
        <f>Sheet1!M84+Sheet1!Y84+Sheet1!P84</f>
        <v>48720</v>
      </c>
      <c r="J75">
        <f>Sheet1!C84</f>
        <v>1539591.0999999996</v>
      </c>
      <c r="K75">
        <f>Sheet1!I84</f>
        <v>0</v>
      </c>
      <c r="L75" s="3">
        <v>612.70000000000005</v>
      </c>
      <c r="M75" s="3">
        <v>0</v>
      </c>
      <c r="N75" s="6">
        <v>28</v>
      </c>
      <c r="O75" s="5">
        <v>19</v>
      </c>
      <c r="P75" s="6">
        <v>0</v>
      </c>
      <c r="Q75" s="5">
        <v>0</v>
      </c>
      <c r="R75" s="5">
        <v>0</v>
      </c>
    </row>
    <row r="76" spans="1:18" x14ac:dyDescent="0.3">
      <c r="A76" s="1">
        <f>Sheet1!A84</f>
        <v>39873</v>
      </c>
      <c r="B76" s="69">
        <f>Sheet1!J85+Sheet1!N85+Sheet1!U85</f>
        <v>11761386</v>
      </c>
      <c r="C76">
        <f>Sheet1!B85+Sheet1!O85+Sheet1!V85</f>
        <v>4182026.88</v>
      </c>
      <c r="D76">
        <f>Sheet1!D85+Sheet1!E85+Sheet1!S85+Sheet1!Q85+Sheet1!X85+Sheet1!AA85</f>
        <v>10161836.199999999</v>
      </c>
      <c r="E76">
        <f>Sheet1!F85+Sheet1!AB85</f>
        <v>5200062.0199999996</v>
      </c>
      <c r="F76">
        <f>Sheet1!G85+Sheet1!H85</f>
        <v>8135046.0300000003</v>
      </c>
      <c r="G76">
        <f>Sheet1!K85+Sheet1!R85+Sheet1!Z85</f>
        <v>502673.67</v>
      </c>
      <c r="H76">
        <f>Sheet1!L85+Sheet1!W85+Sheet1!T85+1000</f>
        <v>-1337.6</v>
      </c>
      <c r="I76">
        <f>Sheet1!M85+Sheet1!Y85+Sheet1!P85</f>
        <v>45790</v>
      </c>
      <c r="J76">
        <f>Sheet1!C85</f>
        <v>1569951</v>
      </c>
      <c r="K76">
        <f>Sheet1!I85</f>
        <v>0</v>
      </c>
      <c r="L76" s="3">
        <v>533.29999999999995</v>
      </c>
      <c r="M76" s="3">
        <v>0</v>
      </c>
      <c r="N76" s="6">
        <v>31</v>
      </c>
      <c r="O76" s="5">
        <v>22</v>
      </c>
      <c r="P76" s="6">
        <v>1</v>
      </c>
      <c r="Q76" s="5">
        <v>1</v>
      </c>
      <c r="R76" s="5">
        <v>0</v>
      </c>
    </row>
    <row r="77" spans="1:18" x14ac:dyDescent="0.3">
      <c r="A77" s="1">
        <f>Sheet1!A85</f>
        <v>39904</v>
      </c>
      <c r="B77" s="69">
        <f>Sheet1!J86+Sheet1!N86+Sheet1!U86</f>
        <v>11296306</v>
      </c>
      <c r="C77">
        <f>Sheet1!B86+Sheet1!O86+Sheet1!V86</f>
        <v>3890106.5700000003</v>
      </c>
      <c r="D77">
        <f>Sheet1!D86+Sheet1!E86+Sheet1!S86+Sheet1!Q86+Sheet1!X86+Sheet1!AA86</f>
        <v>9143833.6099999994</v>
      </c>
      <c r="E77">
        <f>Sheet1!F86+Sheet1!AB86</f>
        <v>4419702.63</v>
      </c>
      <c r="F77">
        <f>Sheet1!G86+Sheet1!H86</f>
        <v>7557916.0099999998</v>
      </c>
      <c r="G77">
        <f>Sheet1!K86+Sheet1!R86+Sheet1!Z86</f>
        <v>287156.21999999997</v>
      </c>
      <c r="H77">
        <v>3806.3</v>
      </c>
      <c r="I77">
        <f>Sheet1!M86+Sheet1!Y86+Sheet1!P86</f>
        <v>47255</v>
      </c>
      <c r="J77">
        <f>Sheet1!C86</f>
        <v>1325732.8999999999</v>
      </c>
      <c r="K77">
        <f>Sheet1!I86</f>
        <v>0</v>
      </c>
      <c r="L77" s="3">
        <v>307</v>
      </c>
      <c r="M77" s="3">
        <v>3.2</v>
      </c>
      <c r="N77" s="6">
        <v>30</v>
      </c>
      <c r="O77" s="5">
        <v>20</v>
      </c>
      <c r="P77" s="6">
        <v>1</v>
      </c>
      <c r="Q77" s="5">
        <v>1</v>
      </c>
      <c r="R77" s="5">
        <v>0</v>
      </c>
    </row>
    <row r="78" spans="1:18" x14ac:dyDescent="0.3">
      <c r="A78" s="1">
        <f>Sheet1!A86</f>
        <v>39934</v>
      </c>
      <c r="B78" s="69">
        <f>Sheet1!J87+Sheet1!N87+Sheet1!U87</f>
        <v>9038913.8000000007</v>
      </c>
      <c r="C78">
        <f>Sheet1!B87+Sheet1!O87+Sheet1!V87</f>
        <v>3316250.84</v>
      </c>
      <c r="D78">
        <f>Sheet1!D87+Sheet1!E87+Sheet1!S87+Sheet1!Q87+Sheet1!X87+Sheet1!AA87</f>
        <v>8756900.0899999999</v>
      </c>
      <c r="E78">
        <f>Sheet1!F87+Sheet1!AB87</f>
        <v>4827752.5999999996</v>
      </c>
      <c r="F78">
        <f>Sheet1!G87+Sheet1!H87</f>
        <v>8326649.0599999996</v>
      </c>
      <c r="G78">
        <f>Sheet1!K87+Sheet1!R87+Sheet1!Z87</f>
        <v>271788.79000000004</v>
      </c>
      <c r="H78">
        <f>Sheet1!L87+Sheet1!W87+Sheet1!T87</f>
        <v>3993.3</v>
      </c>
      <c r="I78">
        <f>Sheet1!M87+Sheet1!Y87+Sheet1!P87</f>
        <v>47255</v>
      </c>
      <c r="J78">
        <f>Sheet1!C87</f>
        <v>1225176.2</v>
      </c>
      <c r="K78">
        <f>Sheet1!I87</f>
        <v>0</v>
      </c>
      <c r="L78" s="3">
        <v>156.9</v>
      </c>
      <c r="M78" s="3">
        <v>3.1</v>
      </c>
      <c r="N78" s="6">
        <v>31</v>
      </c>
      <c r="O78" s="5">
        <v>20</v>
      </c>
      <c r="P78" s="6">
        <v>1</v>
      </c>
      <c r="Q78" s="5">
        <v>1</v>
      </c>
      <c r="R78" s="5">
        <v>0</v>
      </c>
    </row>
    <row r="79" spans="1:18" x14ac:dyDescent="0.3">
      <c r="A79" s="1">
        <f>Sheet1!A87</f>
        <v>39965</v>
      </c>
      <c r="B79" s="69">
        <f>Sheet1!J88+Sheet1!N88+Sheet1!U88</f>
        <v>9952825.1999999993</v>
      </c>
      <c r="C79">
        <f>Sheet1!B88+Sheet1!O88+Sheet1!V88</f>
        <v>3634312.5</v>
      </c>
      <c r="D79">
        <f>Sheet1!D88+Sheet1!E88+Sheet1!S88+Sheet1!Q88+Sheet1!X88+Sheet1!AA88</f>
        <v>8257084.7700000005</v>
      </c>
      <c r="E79">
        <f>Sheet1!F88+Sheet1!AB88</f>
        <v>3733755.7199999997</v>
      </c>
      <c r="F79">
        <f>Sheet1!G88+Sheet1!H88</f>
        <v>7696425.7199999997</v>
      </c>
      <c r="G79">
        <f>Sheet1!K88+Sheet1!R88+Sheet1!Z88</f>
        <v>247175.73</v>
      </c>
      <c r="H79">
        <f>Sheet1!L88+Sheet1!W88+Sheet1!T88</f>
        <v>4909.7999999999993</v>
      </c>
      <c r="I79">
        <f>Sheet1!M88+Sheet1!Y88+Sheet1!P88</f>
        <v>47255</v>
      </c>
      <c r="J79">
        <f>Sheet1!C88</f>
        <v>1229186.1000000001</v>
      </c>
      <c r="K79">
        <f>Sheet1!I88</f>
        <v>0</v>
      </c>
      <c r="L79" s="3">
        <v>49.7</v>
      </c>
      <c r="M79" s="3">
        <v>35.5</v>
      </c>
      <c r="N79" s="6">
        <v>30</v>
      </c>
      <c r="O79" s="5">
        <v>22</v>
      </c>
      <c r="P79" s="6">
        <v>0</v>
      </c>
      <c r="Q79" s="5">
        <v>0</v>
      </c>
      <c r="R79" s="5">
        <v>0</v>
      </c>
    </row>
    <row r="80" spans="1:18" x14ac:dyDescent="0.3">
      <c r="A80" s="1">
        <f>Sheet1!A88</f>
        <v>39995</v>
      </c>
      <c r="B80" s="69">
        <f>Sheet1!J89+Sheet1!N89+Sheet1!U89</f>
        <v>11096498</v>
      </c>
      <c r="C80">
        <f>Sheet1!B89+Sheet1!O89+Sheet1!V89</f>
        <v>3944998.11</v>
      </c>
      <c r="D80">
        <f>Sheet1!D89+Sheet1!E89+Sheet1!S89+Sheet1!Q89+Sheet1!X89+Sheet1!AA89</f>
        <v>9338664.8699999992</v>
      </c>
      <c r="E80">
        <f>Sheet1!F89+Sheet1!AB89</f>
        <v>5691131.2800000003</v>
      </c>
      <c r="F80">
        <f>Sheet1!G89+Sheet1!H89</f>
        <v>8558274.1999999993</v>
      </c>
      <c r="G80">
        <f>Sheet1!K89+Sheet1!R89+Sheet1!Z89</f>
        <v>164829.65</v>
      </c>
      <c r="H80">
        <f>Sheet1!L89+Sheet1!W89+Sheet1!T89</f>
        <v>4505.1000000000004</v>
      </c>
      <c r="I80">
        <f>Sheet1!M89+Sheet1!Y89+Sheet1!P89</f>
        <v>47255</v>
      </c>
      <c r="J80">
        <f>Sheet1!C89</f>
        <v>1287926.1000000001</v>
      </c>
      <c r="K80">
        <f>Sheet1!I89</f>
        <v>0</v>
      </c>
      <c r="L80" s="3">
        <v>20.2</v>
      </c>
      <c r="M80" s="3">
        <v>29.4</v>
      </c>
      <c r="N80" s="6">
        <v>31</v>
      </c>
      <c r="O80" s="5">
        <v>22</v>
      </c>
      <c r="P80" s="6">
        <v>0</v>
      </c>
      <c r="Q80" s="5">
        <v>0</v>
      </c>
      <c r="R80" s="5">
        <v>0</v>
      </c>
    </row>
    <row r="81" spans="1:18" x14ac:dyDescent="0.3">
      <c r="A81" s="1">
        <f>Sheet1!A89</f>
        <v>40026</v>
      </c>
      <c r="B81" s="69">
        <f>Sheet1!J90+Sheet1!N90+Sheet1!U90</f>
        <v>11691672</v>
      </c>
      <c r="C81">
        <f>Sheet1!B90+Sheet1!O90+Sheet1!V90</f>
        <v>3906352.95</v>
      </c>
      <c r="D81">
        <f>Sheet1!D90+Sheet1!E90+Sheet1!S90+Sheet1!Q90+Sheet1!X90+Sheet1!AA90</f>
        <v>8758140.8800000008</v>
      </c>
      <c r="E81">
        <f>Sheet1!F90+Sheet1!AB90</f>
        <v>3440451.8000000003</v>
      </c>
      <c r="F81">
        <f>Sheet1!G90+Sheet1!H90</f>
        <v>9131741.2300000004</v>
      </c>
      <c r="G81">
        <f>Sheet1!K90+Sheet1!R90+Sheet1!Z90</f>
        <v>220919.61</v>
      </c>
      <c r="H81">
        <f>Sheet1!L90+Sheet1!W90+Sheet1!T90</f>
        <v>5307</v>
      </c>
      <c r="I81">
        <f>Sheet1!M90+Sheet1!Y90+Sheet1!P90</f>
        <v>47255</v>
      </c>
      <c r="J81">
        <f>Sheet1!C90</f>
        <v>1345225.4</v>
      </c>
      <c r="K81">
        <f>Sheet1!I90</f>
        <v>0</v>
      </c>
      <c r="L81" s="3">
        <v>17.899999999999999</v>
      </c>
      <c r="M81" s="3">
        <v>71.900000000000006</v>
      </c>
      <c r="N81" s="6">
        <v>31</v>
      </c>
      <c r="O81" s="5">
        <v>20</v>
      </c>
      <c r="P81" s="6">
        <v>0</v>
      </c>
      <c r="Q81" s="5">
        <v>0</v>
      </c>
      <c r="R81" s="5">
        <v>0</v>
      </c>
    </row>
    <row r="82" spans="1:18" x14ac:dyDescent="0.3">
      <c r="A82" s="1">
        <f>Sheet1!A90</f>
        <v>40057</v>
      </c>
      <c r="B82" s="69">
        <f>Sheet1!J91+Sheet1!N91+Sheet1!U91</f>
        <v>10398945</v>
      </c>
      <c r="C82">
        <f>Sheet1!B91+Sheet1!O91+Sheet1!V91</f>
        <v>3489287.5300000003</v>
      </c>
      <c r="D82">
        <f>Sheet1!D91+Sheet1!E91+Sheet1!S91+Sheet1!Q91+Sheet1!X91+Sheet1!AA91</f>
        <v>9509597.6500000004</v>
      </c>
      <c r="E82">
        <f>Sheet1!F91+Sheet1!AB91</f>
        <v>4499909.47</v>
      </c>
      <c r="F82">
        <f>Sheet1!G91+Sheet1!H91</f>
        <v>8946185.5299999993</v>
      </c>
      <c r="G82">
        <f>Sheet1!K91+Sheet1!R91+Sheet1!Z91</f>
        <v>211675.31</v>
      </c>
      <c r="H82">
        <f>Sheet1!L91+Sheet1!W91+Sheet1!T91</f>
        <v>4234.8</v>
      </c>
      <c r="I82">
        <f>Sheet1!M91+Sheet1!Y91+Sheet1!P91</f>
        <v>45790</v>
      </c>
      <c r="J82">
        <f>Sheet1!C91</f>
        <v>1288906.5</v>
      </c>
      <c r="K82">
        <f>Sheet1!I91</f>
        <v>0</v>
      </c>
      <c r="L82" s="3">
        <v>71.2</v>
      </c>
      <c r="M82" s="3">
        <v>15.9</v>
      </c>
      <c r="N82" s="6">
        <v>30</v>
      </c>
      <c r="O82" s="5">
        <v>21</v>
      </c>
      <c r="P82" s="6">
        <v>1</v>
      </c>
      <c r="Q82" s="5">
        <v>0</v>
      </c>
      <c r="R82" s="5">
        <v>1</v>
      </c>
    </row>
    <row r="83" spans="1:18" x14ac:dyDescent="0.3">
      <c r="A83" s="1">
        <f>Sheet1!A91</f>
        <v>40087</v>
      </c>
      <c r="B83" s="69">
        <f>Sheet1!J92+Sheet1!N92+Sheet1!U92</f>
        <v>10628111</v>
      </c>
      <c r="C83">
        <f>Sheet1!B92+Sheet1!O92+Sheet1!V92</f>
        <v>3446029.4000000004</v>
      </c>
      <c r="D83">
        <f>Sheet1!D92+Sheet1!E92+Sheet1!S92+Sheet1!Q92+Sheet1!X92+Sheet1!AA92</f>
        <v>10340361.159999998</v>
      </c>
      <c r="E83">
        <f>Sheet1!F92+Sheet1!AB92</f>
        <v>5020154.1100000003</v>
      </c>
      <c r="F83">
        <f>Sheet1!G92+Sheet1!H92</f>
        <v>8777689.7799999993</v>
      </c>
      <c r="G83">
        <f>Sheet1!K92+Sheet1!R92+Sheet1!Z92</f>
        <v>299388.34999999998</v>
      </c>
      <c r="H83">
        <f>Sheet1!L92+Sheet1!W92+Sheet1!T92</f>
        <v>3571.2</v>
      </c>
      <c r="I83">
        <f>Sheet1!M92+Sheet1!Y92+Sheet1!P92</f>
        <v>48720</v>
      </c>
      <c r="J83">
        <f>Sheet1!C92</f>
        <v>1367776.7</v>
      </c>
      <c r="K83">
        <f>Sheet1!I92</f>
        <v>0</v>
      </c>
      <c r="L83" s="3">
        <v>301.2</v>
      </c>
      <c r="M83" s="3">
        <v>0</v>
      </c>
      <c r="N83" s="6">
        <v>31</v>
      </c>
      <c r="O83" s="5">
        <v>21</v>
      </c>
      <c r="P83" s="6">
        <v>1</v>
      </c>
      <c r="Q83" s="5">
        <v>0</v>
      </c>
      <c r="R83" s="5">
        <v>1</v>
      </c>
    </row>
    <row r="84" spans="1:18" x14ac:dyDescent="0.3">
      <c r="A84" s="1">
        <f>Sheet1!A92</f>
        <v>40118</v>
      </c>
      <c r="B84" s="69">
        <f>Sheet1!J93+Sheet1!N93+Sheet1!U93</f>
        <v>10870503</v>
      </c>
      <c r="C84">
        <f>Sheet1!B93+Sheet1!O93+Sheet1!V93</f>
        <v>3848688.12</v>
      </c>
      <c r="D84">
        <f>Sheet1!D93+Sheet1!E93+Sheet1!S93+Sheet1!Q93+Sheet1!X93+Sheet1!AA93</f>
        <v>10357485.379999999</v>
      </c>
      <c r="E84">
        <f>Sheet1!F93+Sheet1!AB93</f>
        <v>4073053.4099999997</v>
      </c>
      <c r="F84">
        <f>Sheet1!G93+Sheet1!H93</f>
        <v>9501660.2100000009</v>
      </c>
      <c r="G84">
        <f>Sheet1!K93+Sheet1!R93+Sheet1!Z93</f>
        <v>255870.15</v>
      </c>
      <c r="H84">
        <f>Sheet1!L93+Sheet1!W93+Sheet1!T93</f>
        <v>3551.4</v>
      </c>
      <c r="I84">
        <f>Sheet1!M93+Sheet1!Y93+Sheet1!P93</f>
        <v>47255</v>
      </c>
      <c r="J84">
        <f>Sheet1!C93</f>
        <v>2041943.1</v>
      </c>
      <c r="K84">
        <f>Sheet1!I93</f>
        <v>0</v>
      </c>
      <c r="L84" s="3">
        <v>356.7</v>
      </c>
      <c r="M84" s="3">
        <v>0</v>
      </c>
      <c r="N84" s="6">
        <v>30</v>
      </c>
      <c r="O84" s="5">
        <v>21</v>
      </c>
      <c r="P84" s="6">
        <v>1</v>
      </c>
      <c r="Q84" s="5">
        <v>0</v>
      </c>
      <c r="R84" s="5">
        <v>1</v>
      </c>
    </row>
    <row r="85" spans="1:18" x14ac:dyDescent="0.3">
      <c r="A85" s="1">
        <f>Sheet1!A93</f>
        <v>40148</v>
      </c>
      <c r="B85" s="69">
        <f>Sheet1!J94+Sheet1!N94+Sheet1!U94</f>
        <v>13830231.199999999</v>
      </c>
      <c r="C85">
        <f>Sheet1!B94+Sheet1!O94+Sheet1!V94</f>
        <v>4432506.74</v>
      </c>
      <c r="D85">
        <f>Sheet1!D94+Sheet1!E94+Sheet1!S94+Sheet1!Q94+Sheet1!X94+Sheet1!AA94</f>
        <v>10296962.220000001</v>
      </c>
      <c r="E85">
        <f>Sheet1!F94+Sheet1!AB94</f>
        <v>3774513.06</v>
      </c>
      <c r="F85">
        <f>Sheet1!G94+Sheet1!H94</f>
        <v>12097956.289999999</v>
      </c>
      <c r="G85">
        <f>Sheet1!K94+Sheet1!R94+Sheet1!Z94</f>
        <v>274268.68</v>
      </c>
      <c r="H85">
        <v>4527</v>
      </c>
      <c r="I85">
        <f>Sheet1!M94+Sheet1!Y94+Sheet1!P94</f>
        <v>65657</v>
      </c>
      <c r="J85">
        <f>Sheet1!C94</f>
        <v>1206100</v>
      </c>
      <c r="K85">
        <f>Sheet1!I94</f>
        <v>0</v>
      </c>
      <c r="L85" s="3">
        <v>637.29999999999995</v>
      </c>
      <c r="M85" s="3">
        <v>0</v>
      </c>
      <c r="N85" s="6">
        <v>31</v>
      </c>
      <c r="O85" s="5">
        <v>21</v>
      </c>
      <c r="P85" s="6">
        <v>0</v>
      </c>
      <c r="Q85" s="5">
        <v>0</v>
      </c>
      <c r="R85" s="5">
        <v>0</v>
      </c>
    </row>
    <row r="86" spans="1:18" x14ac:dyDescent="0.3">
      <c r="A86" s="1">
        <f>Sheet1!A94</f>
        <v>40179</v>
      </c>
      <c r="B86" s="69">
        <f>Sheet1!J95+Sheet1!N95+Sheet1!U95</f>
        <v>14604688</v>
      </c>
      <c r="C86">
        <f>Sheet1!B95+Sheet1!O95+Sheet1!V95</f>
        <v>4656687.08</v>
      </c>
      <c r="D86">
        <f>Sheet1!D95+Sheet1!E95+Sheet1!S95+Sheet1!Q95+Sheet1!X95+Sheet1!AA95</f>
        <v>8889983.0300000012</v>
      </c>
      <c r="E86">
        <f>Sheet1!F95+Sheet1!AB95</f>
        <v>2680469.63</v>
      </c>
      <c r="F86">
        <f>Sheet1!G95+Sheet1!H95</f>
        <v>9253883.1199999992</v>
      </c>
      <c r="G86">
        <f>Sheet1!K95+Sheet1!R95+Sheet1!Z95</f>
        <v>523295.18000000005</v>
      </c>
      <c r="H86">
        <v>4527</v>
      </c>
      <c r="I86">
        <f>Sheet1!M95+Sheet1!Y95+Sheet1!P95</f>
        <v>47255</v>
      </c>
      <c r="J86">
        <f>Sheet1!C95</f>
        <v>1744187.4000000001</v>
      </c>
      <c r="K86">
        <f>Sheet1!I95</f>
        <v>0</v>
      </c>
      <c r="L86" s="3">
        <v>733.1</v>
      </c>
      <c r="M86" s="3">
        <v>0</v>
      </c>
      <c r="N86" s="6">
        <v>31</v>
      </c>
      <c r="O86" s="5">
        <v>20</v>
      </c>
      <c r="P86" s="6">
        <v>0</v>
      </c>
      <c r="Q86" s="5">
        <v>0</v>
      </c>
      <c r="R86" s="5">
        <v>0</v>
      </c>
    </row>
    <row r="87" spans="1:18" x14ac:dyDescent="0.3">
      <c r="A87" s="1">
        <f>Sheet1!A95</f>
        <v>40210</v>
      </c>
      <c r="B87" s="69">
        <f>Sheet1!J96+Sheet1!N96+Sheet1!U96</f>
        <v>14262717</v>
      </c>
      <c r="C87">
        <f>Sheet1!B96+Sheet1!O96+Sheet1!V96</f>
        <v>4967804.55</v>
      </c>
      <c r="D87">
        <f>Sheet1!D96+Sheet1!E96+Sheet1!S96+Sheet1!Q96+Sheet1!X96+Sheet1!AA96</f>
        <v>11138859.5</v>
      </c>
      <c r="E87">
        <f>Sheet1!F96+Sheet1!AB96</f>
        <v>4885436.54</v>
      </c>
      <c r="F87">
        <f>Sheet1!G96+Sheet1!H96</f>
        <v>11763503.26</v>
      </c>
      <c r="G87">
        <f>Sheet1!K96+Sheet1!R96+Sheet1!Z96</f>
        <v>849428</v>
      </c>
      <c r="H87">
        <f>Sheet1!L96+Sheet1!W96+Sheet1!T96</f>
        <v>5478.2999999999993</v>
      </c>
      <c r="I87">
        <f>Sheet1!M96+Sheet1!Y96+Sheet1!P96</f>
        <v>48444</v>
      </c>
      <c r="J87">
        <f>Sheet1!C96</f>
        <v>1524585.2999999998</v>
      </c>
      <c r="K87">
        <f>Sheet1!I96</f>
        <v>0</v>
      </c>
      <c r="L87" s="3">
        <v>633.4</v>
      </c>
      <c r="M87" s="3">
        <v>0</v>
      </c>
      <c r="N87" s="6">
        <v>28</v>
      </c>
      <c r="O87" s="5">
        <v>19</v>
      </c>
      <c r="P87" s="6">
        <v>0</v>
      </c>
      <c r="Q87" s="5">
        <v>0</v>
      </c>
      <c r="R87" s="5">
        <v>0</v>
      </c>
    </row>
    <row r="88" spans="1:18" x14ac:dyDescent="0.3">
      <c r="A88" s="1">
        <f>Sheet1!A96</f>
        <v>40238</v>
      </c>
      <c r="B88" s="69">
        <f>Sheet1!J97+Sheet1!N97+Sheet1!U97</f>
        <v>10600890</v>
      </c>
      <c r="C88">
        <f>Sheet1!B97+Sheet1!O97+Sheet1!V97</f>
        <v>3532953.6100000003</v>
      </c>
      <c r="D88">
        <f>Sheet1!D97+Sheet1!E97+Sheet1!S97+Sheet1!Q97+Sheet1!X97+Sheet1!AA97</f>
        <v>9547870.5300000012</v>
      </c>
      <c r="E88">
        <f>Sheet1!F97+Sheet1!AB97</f>
        <v>5703948.8200000003</v>
      </c>
      <c r="F88">
        <f>Sheet1!G97+Sheet1!H97</f>
        <v>7145379.0099999998</v>
      </c>
      <c r="G88">
        <f>Sheet1!K97+Sheet1!R97+Sheet1!Z97</f>
        <v>321792.84999999998</v>
      </c>
      <c r="H88">
        <f>Sheet1!L97+Sheet1!W97+Sheet1!T97</f>
        <v>3623.1</v>
      </c>
      <c r="I88">
        <f>Sheet1!M97+Sheet1!Y97+Sheet1!P97</f>
        <v>45716</v>
      </c>
      <c r="J88">
        <f>Sheet1!C97</f>
        <v>1454039.1</v>
      </c>
      <c r="K88">
        <f>Sheet1!I97</f>
        <v>0</v>
      </c>
      <c r="L88" s="3">
        <v>450.2</v>
      </c>
      <c r="M88" s="3">
        <v>0</v>
      </c>
      <c r="N88" s="6">
        <v>31</v>
      </c>
      <c r="O88" s="5">
        <v>23</v>
      </c>
      <c r="P88" s="6">
        <v>1</v>
      </c>
      <c r="Q88" s="5">
        <v>1</v>
      </c>
      <c r="R88" s="5">
        <v>0</v>
      </c>
    </row>
    <row r="89" spans="1:18" x14ac:dyDescent="0.3">
      <c r="A89" s="1">
        <f>Sheet1!A97</f>
        <v>40269</v>
      </c>
      <c r="B89" s="69">
        <f>Sheet1!J98+Sheet1!N98+Sheet1!U98</f>
        <v>10078900</v>
      </c>
      <c r="C89">
        <f>Sheet1!B98+Sheet1!O98+Sheet1!V98</f>
        <v>3549477.45</v>
      </c>
      <c r="D89">
        <f>Sheet1!D98+Sheet1!E98+Sheet1!S98+Sheet1!Q98+Sheet1!X98+Sheet1!AA98</f>
        <v>8839561.5500000007</v>
      </c>
      <c r="E89">
        <f>Sheet1!F98+Sheet1!AB98</f>
        <v>4506823.4400000004</v>
      </c>
      <c r="F89">
        <f>Sheet1!G98+Sheet1!H98</f>
        <v>7884834.3200000003</v>
      </c>
      <c r="G89">
        <f>Sheet1!K98+Sheet1!R98+Sheet1!Z98</f>
        <v>130634.41</v>
      </c>
      <c r="H89">
        <f>Sheet1!L98+Sheet1!W98+Sheet1!T98</f>
        <v>4247.7</v>
      </c>
      <c r="I89">
        <f>Sheet1!M98+Sheet1!Y98+Sheet1!P98</f>
        <v>47080</v>
      </c>
      <c r="J89">
        <f>Sheet1!C98</f>
        <v>1224093.1000000001</v>
      </c>
      <c r="K89">
        <f>Sheet1!I98</f>
        <v>0</v>
      </c>
      <c r="L89" s="3">
        <v>236.4</v>
      </c>
      <c r="M89" s="3">
        <v>0</v>
      </c>
      <c r="N89" s="6">
        <v>30</v>
      </c>
      <c r="O89" s="5">
        <v>20</v>
      </c>
      <c r="P89" s="6">
        <v>1</v>
      </c>
      <c r="Q89" s="5">
        <v>1</v>
      </c>
      <c r="R89" s="5">
        <v>0</v>
      </c>
    </row>
    <row r="90" spans="1:18" x14ac:dyDescent="0.3">
      <c r="A90" s="1">
        <f>Sheet1!A98</f>
        <v>40299</v>
      </c>
      <c r="B90" s="69">
        <f>Sheet1!J99+Sheet1!N99+Sheet1!U99</f>
        <v>10065783</v>
      </c>
      <c r="C90">
        <f>Sheet1!B99+Sheet1!O99+Sheet1!V99</f>
        <v>3717991.33</v>
      </c>
      <c r="D90">
        <f>Sheet1!D99+Sheet1!E99+Sheet1!S99+Sheet1!Q99+Sheet1!X99+Sheet1!AA99</f>
        <v>10253777.959999999</v>
      </c>
      <c r="E90">
        <f>Sheet1!F99+Sheet1!AB99</f>
        <v>8108002.4500000002</v>
      </c>
      <c r="F90">
        <f>Sheet1!G99+Sheet1!H99</f>
        <v>7948455.4400000004</v>
      </c>
      <c r="G90">
        <f>Sheet1!K99+Sheet1!R99+Sheet1!Z99</f>
        <v>421669.67000000004</v>
      </c>
      <c r="H90">
        <f>Sheet1!L99+Sheet1!W99+Sheet1!T99</f>
        <v>4059</v>
      </c>
      <c r="I90">
        <f>Sheet1!M99+Sheet1!Y99+Sheet1!P99</f>
        <v>45615</v>
      </c>
      <c r="J90">
        <f>Sheet1!C99</f>
        <v>1286981.1000000001</v>
      </c>
      <c r="K90">
        <f>Sheet1!I99</f>
        <v>0</v>
      </c>
      <c r="L90" s="3">
        <v>121.1</v>
      </c>
      <c r="M90" s="3">
        <v>34.9</v>
      </c>
      <c r="N90" s="6">
        <v>31</v>
      </c>
      <c r="O90" s="5">
        <v>20</v>
      </c>
      <c r="P90" s="6">
        <v>1</v>
      </c>
      <c r="Q90" s="5">
        <v>1</v>
      </c>
      <c r="R90" s="5">
        <v>0</v>
      </c>
    </row>
    <row r="91" spans="1:18" x14ac:dyDescent="0.3">
      <c r="A91" s="1">
        <f>Sheet1!A99</f>
        <v>40330</v>
      </c>
      <c r="B91" s="69">
        <f>Sheet1!J100+Sheet1!N100+Sheet1!U100</f>
        <v>12037293</v>
      </c>
      <c r="C91">
        <f>Sheet1!B100+Sheet1!O100+Sheet1!V100</f>
        <v>4248521.58</v>
      </c>
      <c r="D91">
        <f>Sheet1!D100+Sheet1!E100+Sheet1!S100+Sheet1!Q100+Sheet1!X100+Sheet1!AA100</f>
        <v>9644090.0299999993</v>
      </c>
      <c r="E91">
        <f>Sheet1!F100+Sheet1!AB100</f>
        <v>6632444.040000001</v>
      </c>
      <c r="F91">
        <f>Sheet1!G100+Sheet1!H100</f>
        <v>6771554.7699999996</v>
      </c>
      <c r="G91">
        <f>Sheet1!K100+Sheet1!R100+Sheet1!Z100</f>
        <v>242566.30000000002</v>
      </c>
      <c r="H91">
        <f>Sheet1!L100+Sheet1!W100+Sheet1!T100</f>
        <v>5630.4000000000005</v>
      </c>
      <c r="I91">
        <f>Sheet1!M100+Sheet1!Y100+Sheet1!P100</f>
        <v>47537</v>
      </c>
      <c r="J91">
        <f>Sheet1!C100</f>
        <v>1312244.1000000001</v>
      </c>
      <c r="K91">
        <f>Sheet1!I100</f>
        <v>0</v>
      </c>
      <c r="L91" s="3">
        <v>23.6</v>
      </c>
      <c r="M91" s="3">
        <v>57.5</v>
      </c>
      <c r="N91" s="6">
        <v>30</v>
      </c>
      <c r="O91" s="5">
        <v>22</v>
      </c>
      <c r="P91" s="6">
        <v>0</v>
      </c>
      <c r="Q91" s="5">
        <v>0</v>
      </c>
      <c r="R91" s="5">
        <v>0</v>
      </c>
    </row>
    <row r="92" spans="1:18" x14ac:dyDescent="0.3">
      <c r="A92" s="1">
        <f>Sheet1!A100</f>
        <v>40360</v>
      </c>
      <c r="B92" s="69">
        <f>Sheet1!J101+Sheet1!N101+Sheet1!U101</f>
        <v>13106361</v>
      </c>
      <c r="C92">
        <f>Sheet1!B101+Sheet1!O101+Sheet1!V101</f>
        <v>4278117</v>
      </c>
      <c r="D92">
        <f>Sheet1!D101+Sheet1!E101+Sheet1!S101+Sheet1!Q101+Sheet1!X101+Sheet1!AA101</f>
        <v>9803256.379999999</v>
      </c>
      <c r="E92">
        <f>Sheet1!F101+Sheet1!AB101</f>
        <v>7132432.5499999989</v>
      </c>
      <c r="F92">
        <f>Sheet1!G101+Sheet1!H101</f>
        <v>8656995.2800000012</v>
      </c>
      <c r="G92">
        <f>Sheet1!K101+Sheet1!R101+Sheet1!Z101</f>
        <v>259919.28</v>
      </c>
      <c r="H92">
        <f>Sheet1!L101+Sheet1!W101+Sheet1!T101</f>
        <v>3958.2000000000003</v>
      </c>
      <c r="I92">
        <f>Sheet1!M101+Sheet1!Y101+Sheet1!P101</f>
        <v>46623</v>
      </c>
      <c r="J92">
        <f>Sheet1!C101</f>
        <v>1546767.7</v>
      </c>
      <c r="K92">
        <f>Sheet1!I101</f>
        <v>0</v>
      </c>
      <c r="L92" s="3">
        <v>5.6</v>
      </c>
      <c r="M92" s="3">
        <v>129.69999999999999</v>
      </c>
      <c r="N92" s="6">
        <v>31</v>
      </c>
      <c r="O92" s="5">
        <v>21</v>
      </c>
      <c r="P92" s="6">
        <v>0</v>
      </c>
      <c r="Q92" s="5">
        <v>0</v>
      </c>
      <c r="R92" s="5">
        <v>0</v>
      </c>
    </row>
    <row r="93" spans="1:18" x14ac:dyDescent="0.3">
      <c r="A93" s="1">
        <f>Sheet1!A101</f>
        <v>40391</v>
      </c>
      <c r="B93" s="69">
        <f>Sheet1!J102+Sheet1!N102+Sheet1!U102</f>
        <v>12999826</v>
      </c>
      <c r="C93">
        <f>Sheet1!B102+Sheet1!O102+Sheet1!V102</f>
        <v>4250032.07</v>
      </c>
      <c r="D93">
        <f>Sheet1!D102+Sheet1!E102+Sheet1!S102+Sheet1!Q102+Sheet1!X102+Sheet1!AA102</f>
        <v>9891903.6799999997</v>
      </c>
      <c r="E93">
        <f>Sheet1!F102+Sheet1!AB102</f>
        <v>7064086.9800000004</v>
      </c>
      <c r="F93">
        <f>Sheet1!G102+Sheet1!H102</f>
        <v>8110245.0899999999</v>
      </c>
      <c r="G93">
        <f>Sheet1!K102+Sheet1!R102+Sheet1!Z102</f>
        <v>133420.9</v>
      </c>
      <c r="H93">
        <f>Sheet1!L102+Sheet1!W102+Sheet1!T102</f>
        <v>5013.8999999999996</v>
      </c>
      <c r="I93">
        <f>Sheet1!M102+Sheet1!Y102+Sheet1!P102</f>
        <v>48545</v>
      </c>
      <c r="J93">
        <f>Sheet1!C102</f>
        <v>1496775.8</v>
      </c>
      <c r="K93">
        <f>Sheet1!I102</f>
        <v>0</v>
      </c>
      <c r="L93" s="3">
        <v>6</v>
      </c>
      <c r="M93" s="3">
        <v>121.7</v>
      </c>
      <c r="N93" s="6">
        <v>31</v>
      </c>
      <c r="O93" s="5">
        <v>21</v>
      </c>
      <c r="P93" s="6">
        <v>0</v>
      </c>
      <c r="Q93" s="5">
        <v>0</v>
      </c>
      <c r="R93" s="5">
        <v>0</v>
      </c>
    </row>
    <row r="94" spans="1:18" x14ac:dyDescent="0.3">
      <c r="A94" s="1">
        <f>Sheet1!A102</f>
        <v>40422</v>
      </c>
      <c r="B94" s="69">
        <f>Sheet1!J103+Sheet1!N103+Sheet1!U103</f>
        <v>10483298</v>
      </c>
      <c r="C94">
        <f>Sheet1!B103+Sheet1!O103+Sheet1!V103</f>
        <v>3706394.13</v>
      </c>
      <c r="D94">
        <f>Sheet1!D103+Sheet1!E103+Sheet1!S103+Sheet1!Q103+Sheet1!X103+Sheet1!AA103</f>
        <v>10968219.35</v>
      </c>
      <c r="E94">
        <f>Sheet1!F103+Sheet1!AB103</f>
        <v>6026915.8700000001</v>
      </c>
      <c r="F94">
        <f>Sheet1!G103+Sheet1!H103</f>
        <v>7775055.25</v>
      </c>
      <c r="G94">
        <f>Sheet1!K103+Sheet1!R103+Sheet1!Z103</f>
        <v>495047.14999999997</v>
      </c>
      <c r="H94">
        <f>Sheet1!L103+Sheet1!W103+Sheet1!T103</f>
        <v>4452.3</v>
      </c>
      <c r="I94">
        <f>Sheet1!M103+Sheet1!Y103+Sheet1!P103</f>
        <v>47080</v>
      </c>
      <c r="J94">
        <f>Sheet1!C103</f>
        <v>1261330.8999999999</v>
      </c>
      <c r="K94">
        <f>Sheet1!I103</f>
        <v>0</v>
      </c>
      <c r="L94" s="3">
        <v>87.9</v>
      </c>
      <c r="M94" s="3">
        <v>24.1</v>
      </c>
      <c r="N94" s="6">
        <v>30</v>
      </c>
      <c r="O94" s="5">
        <v>21</v>
      </c>
      <c r="P94" s="6">
        <v>1</v>
      </c>
      <c r="Q94" s="5">
        <v>0</v>
      </c>
      <c r="R94" s="5">
        <v>1</v>
      </c>
    </row>
    <row r="95" spans="1:18" x14ac:dyDescent="0.3">
      <c r="A95" s="1">
        <f>Sheet1!A103</f>
        <v>40452</v>
      </c>
      <c r="B95" s="69">
        <f>Sheet1!J104+Sheet1!N104+Sheet1!U104</f>
        <v>9828580.1999999993</v>
      </c>
      <c r="C95">
        <f>Sheet1!B104+Sheet1!O104+Sheet1!V104</f>
        <v>3599656.7199999997</v>
      </c>
      <c r="D95">
        <f>Sheet1!D104+Sheet1!E104+Sheet1!S104+Sheet1!Q104+Sheet1!X104+Sheet1!AA104</f>
        <v>10425749.689999999</v>
      </c>
      <c r="E95">
        <f>Sheet1!F104+Sheet1!AB104</f>
        <v>6413714.9100000001</v>
      </c>
      <c r="F95">
        <f>Sheet1!G104+Sheet1!H104</f>
        <v>8732267.8599999994</v>
      </c>
      <c r="G95">
        <f>Sheet1!K104+Sheet1!R104+Sheet1!Z104</f>
        <v>388279.37</v>
      </c>
      <c r="H95">
        <f>Sheet1!L104+Sheet1!W104+Sheet1!T104</f>
        <v>4021.2000000000003</v>
      </c>
      <c r="I95">
        <f>Sheet1!M104+Sheet1!Y104+Sheet1!P104</f>
        <v>47080</v>
      </c>
      <c r="J95">
        <f>Sheet1!C104</f>
        <v>1396956.8</v>
      </c>
      <c r="K95">
        <f>Sheet1!I104</f>
        <v>0</v>
      </c>
      <c r="L95" s="3">
        <v>239.5</v>
      </c>
      <c r="M95" s="3">
        <v>0</v>
      </c>
      <c r="N95" s="6">
        <v>31</v>
      </c>
      <c r="O95" s="5">
        <v>20</v>
      </c>
      <c r="P95" s="6">
        <v>1</v>
      </c>
      <c r="Q95" s="5">
        <v>0</v>
      </c>
      <c r="R95" s="5">
        <v>1</v>
      </c>
    </row>
    <row r="96" spans="1:18" x14ac:dyDescent="0.3">
      <c r="A96" s="1">
        <f>Sheet1!A104</f>
        <v>40483</v>
      </c>
      <c r="B96" s="69">
        <f>Sheet1!J105+Sheet1!N105+Sheet1!U105</f>
        <v>11291499.800000001</v>
      </c>
      <c r="C96">
        <f>Sheet1!B105+Sheet1!O105+Sheet1!V105</f>
        <v>3990579.01</v>
      </c>
      <c r="D96">
        <f>Sheet1!D105+Sheet1!E105+Sheet1!S105+Sheet1!Q105+Sheet1!X105+Sheet1!AA105</f>
        <v>10179593.299999999</v>
      </c>
      <c r="E96">
        <f>Sheet1!F105+Sheet1!AB105</f>
        <v>6067975.9800000004</v>
      </c>
      <c r="F96">
        <f>Sheet1!G105+Sheet1!H105</f>
        <v>8312015.1699999999</v>
      </c>
      <c r="G96">
        <f>Sheet1!K105+Sheet1!R105+Sheet1!Z105</f>
        <v>396929.52999999997</v>
      </c>
      <c r="H96">
        <f>Sheet1!L105+Sheet1!W105+Sheet1!T105</f>
        <v>4774.5</v>
      </c>
      <c r="I96">
        <f>Sheet1!M105+Sheet1!Y105+Sheet1!P105</f>
        <v>47031</v>
      </c>
      <c r="J96">
        <f>Sheet1!C105</f>
        <v>1414703.9</v>
      </c>
      <c r="K96">
        <f>Sheet1!I105</f>
        <v>0</v>
      </c>
      <c r="L96" s="3">
        <v>413.6</v>
      </c>
      <c r="M96" s="3">
        <v>0</v>
      </c>
      <c r="N96" s="6">
        <v>30</v>
      </c>
      <c r="O96" s="5">
        <v>22</v>
      </c>
      <c r="P96" s="6">
        <v>1</v>
      </c>
      <c r="Q96" s="5">
        <v>0</v>
      </c>
      <c r="R96" s="5">
        <v>1</v>
      </c>
    </row>
    <row r="97" spans="1:18" x14ac:dyDescent="0.3">
      <c r="A97" s="1">
        <f>Sheet1!A105</f>
        <v>40513</v>
      </c>
      <c r="B97" s="69">
        <f>Sheet1!J106+Sheet1!N106+Sheet1!U106</f>
        <v>14370356</v>
      </c>
      <c r="C97">
        <f>Sheet1!B106+Sheet1!O106+Sheet1!V106</f>
        <v>4629210.9499999993</v>
      </c>
      <c r="D97">
        <f>Sheet1!D106+Sheet1!E106+Sheet1!S106+Sheet1!Q106+Sheet1!X106+Sheet1!AA106</f>
        <v>9572313.120000001</v>
      </c>
      <c r="E97">
        <f>Sheet1!F106+Sheet1!AB106</f>
        <v>5854203.75</v>
      </c>
      <c r="F97">
        <f>Sheet1!G106+Sheet1!H106</f>
        <v>3416578.39</v>
      </c>
      <c r="G97">
        <f>Sheet1!K106+Sheet1!R106+Sheet1!Z106</f>
        <v>420515.56</v>
      </c>
      <c r="H97">
        <f>Sheet1!L106+Sheet1!W106+Sheet1!T106</f>
        <v>3488.7</v>
      </c>
      <c r="I97">
        <f>Sheet1!M106+Sheet1!Y106+Sheet1!P106</f>
        <v>47190</v>
      </c>
      <c r="J97">
        <f>Sheet1!C106</f>
        <v>1692543.8</v>
      </c>
      <c r="K97">
        <f>Sheet1!I106</f>
        <v>0</v>
      </c>
      <c r="L97" s="3">
        <v>713.5</v>
      </c>
      <c r="M97" s="3">
        <v>0</v>
      </c>
      <c r="N97" s="6">
        <v>31</v>
      </c>
      <c r="O97" s="5">
        <v>21</v>
      </c>
      <c r="P97" s="6">
        <v>0</v>
      </c>
      <c r="Q97" s="5">
        <v>0</v>
      </c>
      <c r="R97" s="5">
        <v>0</v>
      </c>
    </row>
    <row r="98" spans="1:18" x14ac:dyDescent="0.3">
      <c r="A98" s="1">
        <f>Sheet1!A106</f>
        <v>40544</v>
      </c>
      <c r="B98" s="69">
        <f>Sheet1!J107+Sheet1!N107+Sheet1!U107</f>
        <v>14582863</v>
      </c>
      <c r="C98">
        <f>Sheet1!B107+Sheet1!O107+Sheet1!V107</f>
        <v>4755713.12</v>
      </c>
      <c r="D98">
        <f>Sheet1!D107+Sheet1!E107+Sheet1!S107+Sheet1!Q107+Sheet1!X107+Sheet1!AA107</f>
        <v>9844753.4000000004</v>
      </c>
      <c r="E98">
        <f>Sheet1!F107+Sheet1!AB107</f>
        <v>5566323.1699999999</v>
      </c>
      <c r="F98">
        <f>Sheet1!G107+Sheet1!H107</f>
        <v>12540819.02</v>
      </c>
      <c r="G98">
        <f>Sheet1!K107+Sheet1!R107+Sheet1!Z107</f>
        <v>383588.51</v>
      </c>
      <c r="H98">
        <f>Sheet1!L107+Sheet1!W107+Sheet1!T107</f>
        <v>4878.9000000000005</v>
      </c>
      <c r="I98">
        <f>Sheet1!M107+Sheet1!Y107+Sheet1!P107</f>
        <v>47190</v>
      </c>
      <c r="J98">
        <f>Sheet1!C107</f>
        <v>1698684.1</v>
      </c>
      <c r="K98">
        <f>Sheet1!I107</f>
        <v>0</v>
      </c>
      <c r="L98" s="3">
        <v>798.8</v>
      </c>
      <c r="M98" s="3">
        <v>0</v>
      </c>
      <c r="N98" s="6">
        <v>31</v>
      </c>
      <c r="O98" s="5">
        <v>20</v>
      </c>
      <c r="P98" s="6">
        <v>0</v>
      </c>
      <c r="Q98" s="5">
        <v>0</v>
      </c>
      <c r="R98" s="5">
        <v>0</v>
      </c>
    </row>
    <row r="99" spans="1:18" x14ac:dyDescent="0.3">
      <c r="A99" s="1">
        <f>Sheet1!A107</f>
        <v>40575</v>
      </c>
      <c r="B99" s="69">
        <f>Sheet1!J108+Sheet1!N108+Sheet1!U108</f>
        <v>12326902</v>
      </c>
      <c r="C99">
        <f>Sheet1!B108+Sheet1!O108+Sheet1!V108</f>
        <v>4181355.75</v>
      </c>
      <c r="D99">
        <f>Sheet1!D108+Sheet1!E108+Sheet1!S108+Sheet1!Q108+Sheet1!X108+Sheet1!AA108</f>
        <v>9870370.25</v>
      </c>
      <c r="E99">
        <f>Sheet1!F108+Sheet1!AB108</f>
        <v>-2492277.3400000003</v>
      </c>
      <c r="F99">
        <f>Sheet1!G108+Sheet1!H108</f>
        <v>7692439.5599999996</v>
      </c>
      <c r="G99">
        <f>Sheet1!K108+Sheet1!R108+Sheet1!Z108</f>
        <v>342602.51</v>
      </c>
      <c r="H99">
        <f>Sheet1!L108+Sheet1!W108+Sheet1!T108</f>
        <v>4392.6000000000004</v>
      </c>
      <c r="I99">
        <f>Sheet1!M108+Sheet1!Y108+Sheet1!P108</f>
        <v>51802</v>
      </c>
      <c r="J99">
        <f>Sheet1!C108</f>
        <v>1527152</v>
      </c>
      <c r="K99">
        <f>Sheet1!I108</f>
        <v>0</v>
      </c>
      <c r="L99" s="3">
        <v>677.8</v>
      </c>
      <c r="M99" s="3">
        <v>0</v>
      </c>
      <c r="N99" s="6">
        <v>28</v>
      </c>
      <c r="O99" s="5">
        <v>19</v>
      </c>
      <c r="P99" s="6">
        <v>0</v>
      </c>
      <c r="Q99" s="5">
        <v>0</v>
      </c>
      <c r="R99" s="5">
        <v>0</v>
      </c>
    </row>
    <row r="100" spans="1:18" x14ac:dyDescent="0.3">
      <c r="A100" s="1">
        <f>Sheet1!A108</f>
        <v>40603</v>
      </c>
      <c r="B100" s="69">
        <f>Sheet1!J109+Sheet1!N109+Sheet1!U109</f>
        <v>11136342</v>
      </c>
      <c r="C100">
        <f>Sheet1!B109+Sheet1!O109+Sheet1!V109</f>
        <v>3711566.64</v>
      </c>
      <c r="D100">
        <f>Sheet1!D109+Sheet1!E109+Sheet1!S109+Sheet1!Q109+Sheet1!X109+Sheet1!AA109</f>
        <v>9100459.0399999991</v>
      </c>
      <c r="E100">
        <f>Sheet1!F109+Sheet1!AB109</f>
        <v>13677687.1</v>
      </c>
      <c r="F100">
        <f>Sheet1!G109+Sheet1!H109</f>
        <v>8547243.9199999999</v>
      </c>
      <c r="G100">
        <f>Sheet1!K109+Sheet1!R109+Sheet1!Z109</f>
        <v>290090.53000000003</v>
      </c>
      <c r="H100">
        <f>Sheet1!L109+Sheet1!W109+Sheet1!T109</f>
        <v>1458</v>
      </c>
      <c r="I100">
        <f>Sheet1!M109+Sheet1!Y109+Sheet1!P109</f>
        <v>41753</v>
      </c>
      <c r="J100">
        <f>Sheet1!C109</f>
        <v>1550976.2</v>
      </c>
      <c r="K100">
        <f>Sheet1!I109</f>
        <v>0</v>
      </c>
      <c r="L100" s="3">
        <v>599.6</v>
      </c>
      <c r="M100" s="3">
        <v>0</v>
      </c>
      <c r="N100" s="6">
        <v>31</v>
      </c>
      <c r="O100" s="5">
        <v>23</v>
      </c>
      <c r="P100" s="6">
        <v>1</v>
      </c>
      <c r="Q100" s="5">
        <v>1</v>
      </c>
      <c r="R100" s="5">
        <v>0</v>
      </c>
    </row>
    <row r="101" spans="1:18" x14ac:dyDescent="0.3">
      <c r="A101" s="1">
        <f>Sheet1!A109</f>
        <v>40634</v>
      </c>
      <c r="B101" s="69">
        <f>Sheet1!J110+Sheet1!N110+Sheet1!U110</f>
        <v>10986163</v>
      </c>
      <c r="C101">
        <f>Sheet1!B110+Sheet1!O110+Sheet1!V110</f>
        <v>3813670.7199999997</v>
      </c>
      <c r="D101">
        <f>Sheet1!D110+Sheet1!E110+Sheet1!S110+Sheet1!Q110+Sheet1!X110+Sheet1!AA110</f>
        <v>9770105.9700000007</v>
      </c>
      <c r="E101">
        <f>Sheet1!F110+Sheet1!AB110</f>
        <v>5291176.8999999994</v>
      </c>
      <c r="F101">
        <f>Sheet1!G110+Sheet1!H110</f>
        <v>7301956.9500000002</v>
      </c>
      <c r="G101">
        <f>Sheet1!K110+Sheet1!R110+Sheet1!Z110</f>
        <v>276677.10000000003</v>
      </c>
      <c r="H101">
        <f>Sheet1!L110+Sheet1!W110+Sheet1!T110</f>
        <v>5352.9</v>
      </c>
      <c r="I101">
        <f>Sheet1!M110+Sheet1!Y110+Sheet1!P110</f>
        <v>47190</v>
      </c>
      <c r="J101">
        <f>Sheet1!C110</f>
        <v>1309979.6000000001</v>
      </c>
      <c r="K101">
        <f>Sheet1!I110</f>
        <v>0</v>
      </c>
      <c r="L101" s="3">
        <v>330.4</v>
      </c>
      <c r="M101" s="3">
        <v>0</v>
      </c>
      <c r="N101" s="6">
        <v>30</v>
      </c>
      <c r="O101" s="5">
        <v>19</v>
      </c>
      <c r="P101" s="6">
        <v>1</v>
      </c>
      <c r="Q101" s="5">
        <v>1</v>
      </c>
      <c r="R101" s="5">
        <v>0</v>
      </c>
    </row>
    <row r="102" spans="1:18" x14ac:dyDescent="0.3">
      <c r="A102" s="1">
        <f>Sheet1!A110</f>
        <v>40664</v>
      </c>
      <c r="B102" s="69">
        <f>Sheet1!J111+Sheet1!N111+Sheet1!U111</f>
        <v>10161582.18</v>
      </c>
      <c r="C102">
        <f>Sheet1!B111+Sheet1!O111+Sheet1!V111</f>
        <v>3653710.19</v>
      </c>
      <c r="D102">
        <f>Sheet1!D111+Sheet1!E111+Sheet1!S111+Sheet1!Q111+Sheet1!X111+Sheet1!AA111</f>
        <v>8888510.8000000007</v>
      </c>
      <c r="E102">
        <f>Sheet1!F111+Sheet1!AB111</f>
        <v>5550303.7199999997</v>
      </c>
      <c r="F102">
        <f>Sheet1!G111+Sheet1!H111</f>
        <v>7855765.7800000003</v>
      </c>
      <c r="G102">
        <f>Sheet1!K111+Sheet1!R111+Sheet1!Z111</f>
        <v>234534.91999999998</v>
      </c>
      <c r="H102">
        <f>Sheet1!L111+Sheet1!W111+Sheet1!T111</f>
        <v>1379.7</v>
      </c>
      <c r="I102">
        <f>Sheet1!M111+Sheet1!Y111+Sheet1!P111</f>
        <v>45725</v>
      </c>
      <c r="J102">
        <f>Sheet1!C111</f>
        <v>1252672.8</v>
      </c>
      <c r="K102">
        <f>Sheet1!I111</f>
        <v>0</v>
      </c>
      <c r="L102" s="3">
        <v>126.4</v>
      </c>
      <c r="M102" s="3">
        <v>17.399999999999999</v>
      </c>
      <c r="N102" s="6">
        <v>31</v>
      </c>
      <c r="O102" s="5">
        <v>21</v>
      </c>
      <c r="P102" s="6">
        <v>1</v>
      </c>
      <c r="Q102" s="5">
        <v>1</v>
      </c>
      <c r="R102" s="5">
        <v>0</v>
      </c>
    </row>
    <row r="103" spans="1:18" x14ac:dyDescent="0.3">
      <c r="A103" s="1">
        <f>Sheet1!A111</f>
        <v>40695</v>
      </c>
      <c r="B103" s="69">
        <f>Sheet1!J112+Sheet1!N112+Sheet1!U112</f>
        <v>10775162.879999999</v>
      </c>
      <c r="C103">
        <f>Sheet1!B112+Sheet1!O112+Sheet1!V112</f>
        <v>3918751.72</v>
      </c>
      <c r="D103">
        <f>Sheet1!D112+Sheet1!E112+Sheet1!S112+Sheet1!Q112+Sheet1!X112+Sheet1!AA112</f>
        <v>10479964.779999999</v>
      </c>
      <c r="E103">
        <f>Sheet1!F112+Sheet1!AB112</f>
        <v>5965763.3600000003</v>
      </c>
      <c r="F103">
        <f>Sheet1!G112+Sheet1!H112</f>
        <v>7978853.2199999997</v>
      </c>
      <c r="G103">
        <f>Sheet1!K112+Sheet1!R112+Sheet1!Z112</f>
        <v>273249.55</v>
      </c>
      <c r="H103">
        <f>Sheet1!L112+Sheet1!W112+Sheet1!T112</f>
        <v>1245.3</v>
      </c>
      <c r="I103">
        <f>Sheet1!M112+Sheet1!Y112+Sheet1!P112</f>
        <v>47190</v>
      </c>
      <c r="J103">
        <f>Sheet1!C112</f>
        <v>1277140.1000000001</v>
      </c>
      <c r="K103">
        <f>Sheet1!I112</f>
        <v>0</v>
      </c>
      <c r="L103" s="3">
        <v>27</v>
      </c>
      <c r="M103" s="3">
        <v>39.6</v>
      </c>
      <c r="N103" s="6">
        <v>30</v>
      </c>
      <c r="O103" s="5">
        <v>22</v>
      </c>
      <c r="P103" s="6">
        <v>0</v>
      </c>
      <c r="Q103" s="5">
        <v>0</v>
      </c>
      <c r="R103" s="5">
        <v>0</v>
      </c>
    </row>
    <row r="104" spans="1:18" x14ac:dyDescent="0.3">
      <c r="A104" s="1">
        <f>Sheet1!A112</f>
        <v>40725</v>
      </c>
      <c r="B104" s="69">
        <f>Sheet1!J113+Sheet1!N113+Sheet1!U113</f>
        <v>13826041.280000001</v>
      </c>
      <c r="C104">
        <f>Sheet1!B113+Sheet1!O113+Sheet1!V113</f>
        <v>4756237.09</v>
      </c>
      <c r="D104">
        <f>Sheet1!D113+Sheet1!E113+Sheet1!S113+Sheet1!Q113+Sheet1!X113+Sheet1!AA113</f>
        <v>11491102.66</v>
      </c>
      <c r="E104">
        <f>Sheet1!F113+Sheet1!AB113</f>
        <v>5847403.8300000001</v>
      </c>
      <c r="F104">
        <f>Sheet1!G113+Sheet1!H113</f>
        <v>6043394.8300000001</v>
      </c>
      <c r="G104">
        <f>Sheet1!K113+Sheet1!R113+Sheet1!Z113</f>
        <v>280998.51</v>
      </c>
      <c r="H104">
        <f>Sheet1!L113+Sheet1!W113+Sheet1!T113</f>
        <v>765</v>
      </c>
      <c r="I104">
        <f>Sheet1!M113+Sheet1!Y113+Sheet1!P113</f>
        <v>47190</v>
      </c>
      <c r="J104">
        <f>Sheet1!C113</f>
        <v>1556603.3</v>
      </c>
      <c r="K104">
        <f>Sheet1!I113</f>
        <v>0</v>
      </c>
      <c r="L104" s="3">
        <v>0</v>
      </c>
      <c r="M104" s="3">
        <v>160.9</v>
      </c>
      <c r="N104" s="6">
        <v>31</v>
      </c>
      <c r="O104" s="5">
        <v>20</v>
      </c>
      <c r="P104" s="6">
        <v>0</v>
      </c>
      <c r="Q104" s="5">
        <v>0</v>
      </c>
      <c r="R104" s="5">
        <v>0</v>
      </c>
    </row>
    <row r="105" spans="1:18" x14ac:dyDescent="0.3">
      <c r="A105" s="1">
        <f>Sheet1!A113</f>
        <v>40756</v>
      </c>
      <c r="B105" s="69">
        <f>Sheet1!J114+Sheet1!N114+Sheet1!U114</f>
        <v>12940303.960000001</v>
      </c>
      <c r="C105">
        <f>Sheet1!B114+Sheet1!O114+Sheet1!V114</f>
        <v>4391649.17</v>
      </c>
      <c r="D105">
        <f>Sheet1!D114+Sheet1!E114+Sheet1!S114+Sheet1!Q114+Sheet1!X114+Sheet1!AA114</f>
        <v>10594531.029999999</v>
      </c>
      <c r="E105">
        <f>Sheet1!F114+Sheet1!AB114</f>
        <v>6555194.7400000002</v>
      </c>
      <c r="F105">
        <f>Sheet1!G114+Sheet1!H114</f>
        <v>8876659.6600000001</v>
      </c>
      <c r="G105">
        <f>Sheet1!K114+Sheet1!R114+Sheet1!Z114</f>
        <v>310532.78000000003</v>
      </c>
      <c r="H105">
        <f>Sheet1!L114+Sheet1!W114+Sheet1!T114</f>
        <v>1041.5999999999999</v>
      </c>
      <c r="I105">
        <f>Sheet1!M114+Sheet1!Y114+Sheet1!P114</f>
        <v>46762</v>
      </c>
      <c r="J105">
        <f>Sheet1!C114</f>
        <v>1416913.6</v>
      </c>
      <c r="K105">
        <f>Sheet1!I114</f>
        <v>0</v>
      </c>
      <c r="L105" s="3">
        <v>1.5</v>
      </c>
      <c r="M105" s="3">
        <v>82.9</v>
      </c>
      <c r="N105" s="6">
        <v>31</v>
      </c>
      <c r="O105" s="5">
        <v>22</v>
      </c>
      <c r="P105" s="6">
        <v>0</v>
      </c>
      <c r="Q105" s="5">
        <v>0</v>
      </c>
      <c r="R105" s="5">
        <v>0</v>
      </c>
    </row>
    <row r="106" spans="1:18" x14ac:dyDescent="0.3">
      <c r="A106" s="1">
        <f>Sheet1!A114</f>
        <v>40787</v>
      </c>
      <c r="B106" s="69">
        <f>Sheet1!J115+Sheet1!N115+Sheet1!U115</f>
        <v>10280081.829999998</v>
      </c>
      <c r="C106">
        <f>Sheet1!B115+Sheet1!O115+Sheet1!V115</f>
        <v>3557729.38</v>
      </c>
      <c r="D106">
        <f>Sheet1!D115+Sheet1!E115+Sheet1!S115+Sheet1!Q115+Sheet1!X115+Sheet1!AA115</f>
        <v>9897238.1600000001</v>
      </c>
      <c r="E106">
        <f>Sheet1!F115+Sheet1!AB115</f>
        <v>5979811.1399999997</v>
      </c>
      <c r="F106">
        <f>Sheet1!G115+Sheet1!H115</f>
        <v>7648627.0300000003</v>
      </c>
      <c r="G106">
        <f>Sheet1!K115+Sheet1!R115+Sheet1!Z115</f>
        <v>330568.31999999995</v>
      </c>
      <c r="H106">
        <f>Sheet1!L115+Sheet1!W115+Sheet1!T115</f>
        <v>1323</v>
      </c>
      <c r="I106">
        <f>Sheet1!M115+Sheet1!Y115+Sheet1!P115</f>
        <v>44932</v>
      </c>
      <c r="J106">
        <f>Sheet1!C115</f>
        <v>1277474.1000000001</v>
      </c>
      <c r="K106">
        <f>Sheet1!I115</f>
        <v>0</v>
      </c>
      <c r="L106" s="3">
        <v>71.900000000000006</v>
      </c>
      <c r="M106" s="3">
        <v>29</v>
      </c>
      <c r="N106" s="6">
        <v>30</v>
      </c>
      <c r="O106" s="5">
        <v>21</v>
      </c>
      <c r="P106" s="6">
        <v>1</v>
      </c>
      <c r="Q106" s="5">
        <v>0</v>
      </c>
      <c r="R106" s="5">
        <v>1</v>
      </c>
    </row>
    <row r="107" spans="1:18" x14ac:dyDescent="0.3">
      <c r="A107" s="1">
        <f>Sheet1!A115</f>
        <v>40817</v>
      </c>
      <c r="B107" s="69">
        <f>Sheet1!J116+Sheet1!N116+Sheet1!U116</f>
        <v>9813927.6999999993</v>
      </c>
      <c r="C107">
        <f>Sheet1!B116+Sheet1!O116+Sheet1!V116</f>
        <v>3763625.1299999994</v>
      </c>
      <c r="D107">
        <f>Sheet1!D116+Sheet1!E116+Sheet1!S116+Sheet1!Q116+Sheet1!X116+Sheet1!AA116</f>
        <v>10588531.52</v>
      </c>
      <c r="E107">
        <f>Sheet1!F116+Sheet1!AB116</f>
        <v>5634181.7199999997</v>
      </c>
      <c r="F107">
        <f>Sheet1!G116+Sheet1!H116</f>
        <v>7882424.1500000004</v>
      </c>
      <c r="G107">
        <f>Sheet1!K116+Sheet1!R116+Sheet1!Z116</f>
        <v>369723.35</v>
      </c>
      <c r="H107">
        <f>Sheet1!L116+Sheet1!W116+Sheet1!T116</f>
        <v>1367.1</v>
      </c>
      <c r="I107">
        <f>Sheet1!M116+Sheet1!Y116+Sheet1!P116</f>
        <v>46120</v>
      </c>
      <c r="J107">
        <f>Sheet1!C116</f>
        <v>1378750.8</v>
      </c>
      <c r="K107">
        <f>Sheet1!I116</f>
        <v>0</v>
      </c>
      <c r="L107" s="3">
        <v>234.6</v>
      </c>
      <c r="M107" s="3">
        <v>0</v>
      </c>
      <c r="N107" s="6">
        <v>31</v>
      </c>
      <c r="O107" s="5">
        <v>20</v>
      </c>
      <c r="P107" s="6">
        <v>1</v>
      </c>
      <c r="Q107" s="5">
        <v>0</v>
      </c>
      <c r="R107" s="5">
        <v>1</v>
      </c>
    </row>
    <row r="108" spans="1:18" x14ac:dyDescent="0.3">
      <c r="A108" s="1">
        <f>Sheet1!A116</f>
        <v>40848</v>
      </c>
      <c r="B108" s="69">
        <f>Sheet1!J117+Sheet1!N117+Sheet1!U117</f>
        <v>10410868.779999999</v>
      </c>
      <c r="C108">
        <f>Sheet1!B117+Sheet1!O117+Sheet1!V117</f>
        <v>3830336.4499999983</v>
      </c>
      <c r="D108">
        <f>Sheet1!D117+Sheet1!E117+Sheet1!S117+Sheet1!Q117+Sheet1!X117+Sheet1!AA117</f>
        <v>11409828.139999999</v>
      </c>
      <c r="E108">
        <f>Sheet1!F117+Sheet1!AB117</f>
        <v>5322018.9399999995</v>
      </c>
      <c r="F108">
        <f>Sheet1!G117+Sheet1!H117</f>
        <v>8172284.3200000003</v>
      </c>
      <c r="G108">
        <f>Sheet1!K117+Sheet1!R117+Sheet1!Z117</f>
        <v>385525.43</v>
      </c>
      <c r="H108">
        <f>Sheet1!L117+Sheet1!W117+Sheet1!T117</f>
        <v>1316.7</v>
      </c>
      <c r="I108">
        <f>Sheet1!M117+Sheet1!Y117+Sheet1!P117</f>
        <v>45526</v>
      </c>
      <c r="J108">
        <f>Sheet1!C117</f>
        <v>1526433.6</v>
      </c>
      <c r="K108">
        <f>Sheet1!I117</f>
        <v>0</v>
      </c>
      <c r="L108" s="3">
        <v>347.9</v>
      </c>
      <c r="M108" s="3">
        <v>0</v>
      </c>
      <c r="N108" s="6">
        <v>30</v>
      </c>
      <c r="O108" s="5">
        <v>22</v>
      </c>
      <c r="P108" s="6">
        <v>1</v>
      </c>
      <c r="Q108" s="5">
        <v>0</v>
      </c>
      <c r="R108" s="5">
        <v>1</v>
      </c>
    </row>
    <row r="109" spans="1:18" x14ac:dyDescent="0.3">
      <c r="A109" s="1">
        <f>Sheet1!A117</f>
        <v>40878</v>
      </c>
      <c r="B109" s="69">
        <f>Sheet1!J118+Sheet1!N118+Sheet1!U118</f>
        <v>12608833.140000001</v>
      </c>
      <c r="C109">
        <f>Sheet1!B118+Sheet1!O118+Sheet1!V118</f>
        <v>4299766.45</v>
      </c>
      <c r="D109">
        <f>Sheet1!D118+Sheet1!E118+Sheet1!S118+Sheet1!Q118+Sheet1!X118+Sheet1!AA118</f>
        <v>10004753.73</v>
      </c>
      <c r="E109">
        <f>Sheet1!F118+Sheet1!AB118</f>
        <v>5428041.5599999996</v>
      </c>
      <c r="F109">
        <f>Sheet1!G118+Sheet1!H118</f>
        <v>7367450.2000000002</v>
      </c>
      <c r="G109">
        <f>Sheet1!K118+Sheet1!R118+Sheet1!Z118</f>
        <v>421276.71</v>
      </c>
      <c r="H109">
        <f>Sheet1!L118+Sheet1!W118+Sheet1!T118</f>
        <v>1367.1</v>
      </c>
      <c r="I109">
        <f>Sheet1!M118+Sheet1!Y118+Sheet1!P118</f>
        <v>45526</v>
      </c>
      <c r="J109">
        <f>Sheet1!C118</f>
        <v>1560746.7999999998</v>
      </c>
      <c r="K109">
        <f>Sheet1!I118</f>
        <v>0</v>
      </c>
      <c r="L109" s="3">
        <v>548.4</v>
      </c>
      <c r="M109" s="3">
        <v>0</v>
      </c>
      <c r="N109" s="6">
        <v>31</v>
      </c>
      <c r="O109" s="5">
        <v>20</v>
      </c>
      <c r="P109" s="6">
        <v>0</v>
      </c>
      <c r="Q109" s="5">
        <v>0</v>
      </c>
      <c r="R109" s="5">
        <v>0</v>
      </c>
    </row>
    <row r="110" spans="1:18" x14ac:dyDescent="0.3">
      <c r="A110" s="1">
        <f>Sheet1!A118</f>
        <v>40909</v>
      </c>
      <c r="B110" s="69">
        <f>Sheet1!J119+Sheet1!N119+Sheet1!U119</f>
        <v>13520022.879999997</v>
      </c>
      <c r="C110">
        <f>Sheet1!B119+Sheet1!O119+Sheet1!V119</f>
        <v>4552860.5699999994</v>
      </c>
      <c r="D110">
        <f>Sheet1!D119+Sheet1!E119+Sheet1!S119+Sheet1!Q119+Sheet1!X119+Sheet1!AA119</f>
        <v>11968080.65</v>
      </c>
      <c r="E110">
        <f>Sheet1!F119+Sheet1!AB119</f>
        <v>5434640.4999999991</v>
      </c>
      <c r="F110">
        <f>Sheet1!G119+Sheet1!H119</f>
        <v>8175903.6600000001</v>
      </c>
      <c r="G110">
        <f>Sheet1!K119+Sheet1!R119+Sheet1!Z119</f>
        <v>405143.39</v>
      </c>
      <c r="H110">
        <f>Sheet1!L119+Sheet1!W119+Sheet1!T119</f>
        <v>1367.1</v>
      </c>
      <c r="I110">
        <f>Sheet1!M119+Sheet1!Y119+Sheet1!P119</f>
        <v>40599</v>
      </c>
      <c r="J110">
        <f>Sheet1!C119</f>
        <v>1634265.4</v>
      </c>
      <c r="K110">
        <f>Sheet1!I119</f>
        <v>0</v>
      </c>
      <c r="L110" s="3">
        <v>644.79999999999995</v>
      </c>
      <c r="M110" s="3">
        <v>0</v>
      </c>
      <c r="N110" s="6">
        <v>31</v>
      </c>
      <c r="O110" s="59">
        <v>21</v>
      </c>
      <c r="P110" s="6">
        <v>0</v>
      </c>
      <c r="Q110" s="5">
        <v>0</v>
      </c>
      <c r="R110" s="5">
        <v>0</v>
      </c>
    </row>
    <row r="111" spans="1:18" x14ac:dyDescent="0.3">
      <c r="A111" s="1">
        <f>Sheet1!A119</f>
        <v>40940</v>
      </c>
      <c r="B111" s="69">
        <f>Sheet1!J120+Sheet1!N120+Sheet1!U120</f>
        <v>12237281.460000001</v>
      </c>
      <c r="C111">
        <f>Sheet1!B120+Sheet1!O120+Sheet1!V120</f>
        <v>4266872.8200000012</v>
      </c>
      <c r="D111">
        <f>Sheet1!D120+Sheet1!E120+Sheet1!S120+Sheet1!Q120+Sheet1!X120+Sheet1!AA120</f>
        <v>11463954.640000001</v>
      </c>
      <c r="E111">
        <f>Sheet1!F120+Sheet1!AB120</f>
        <v>5489182.3700000001</v>
      </c>
      <c r="F111">
        <f>Sheet1!G120+Sheet1!H120</f>
        <v>7918535.6299999999</v>
      </c>
      <c r="G111">
        <f>Sheet1!K120+Sheet1!R120+Sheet1!Z120</f>
        <v>363742.78</v>
      </c>
      <c r="H111">
        <f>Sheet1!L120+Sheet1!W120+Sheet1!T120</f>
        <v>1278.9000000000001</v>
      </c>
      <c r="I111">
        <f>Sheet1!M120+Sheet1!Y120+Sheet1!P120</f>
        <v>44625</v>
      </c>
      <c r="J111">
        <f>Sheet1!C120</f>
        <v>1462068.7</v>
      </c>
      <c r="K111">
        <f>Sheet1!I120</f>
        <v>0</v>
      </c>
      <c r="L111" s="3">
        <v>553</v>
      </c>
      <c r="M111" s="3">
        <v>0</v>
      </c>
      <c r="N111" s="6">
        <v>29</v>
      </c>
      <c r="O111" s="59">
        <v>20</v>
      </c>
      <c r="P111" s="6">
        <v>0</v>
      </c>
      <c r="Q111" s="5">
        <v>0</v>
      </c>
      <c r="R111" s="5">
        <v>0</v>
      </c>
    </row>
    <row r="112" spans="1:18" x14ac:dyDescent="0.3">
      <c r="A112" s="1">
        <f>Sheet1!A120</f>
        <v>40969</v>
      </c>
      <c r="B112" s="69">
        <f>Sheet1!J121+Sheet1!N121+Sheet1!U121</f>
        <v>10443817.059999999</v>
      </c>
      <c r="C112">
        <f>Sheet1!B121+Sheet1!O121+Sheet1!V121</f>
        <v>3656146.8399999994</v>
      </c>
      <c r="D112">
        <f>Sheet1!D121+Sheet1!E121+Sheet1!S121+Sheet1!Q121+Sheet1!X121+Sheet1!AA121</f>
        <v>9631196.4199999981</v>
      </c>
      <c r="E112">
        <f>Sheet1!F121+Sheet1!AB121</f>
        <v>5483941.1600000001</v>
      </c>
      <c r="F112" s="67">
        <f>Sheet1!G121+Sheet1!H121</f>
        <v>8341084.71</v>
      </c>
      <c r="G112">
        <f>Sheet1!K121+Sheet1!R121+Sheet1!Z121</f>
        <v>331134.07</v>
      </c>
      <c r="H112">
        <f>Sheet1!L121+Sheet1!W121+Sheet1!T121</f>
        <v>1367.1</v>
      </c>
      <c r="I112">
        <f>Sheet1!M121+Sheet1!Y121+Sheet1!P121</f>
        <v>44625</v>
      </c>
      <c r="J112">
        <f>Sheet1!C121</f>
        <v>1328531.3999999999</v>
      </c>
      <c r="K112">
        <f>Sheet1!I121</f>
        <v>0</v>
      </c>
      <c r="L112" s="3">
        <v>331.1</v>
      </c>
      <c r="M112" s="3">
        <v>2.2000000000000002</v>
      </c>
      <c r="N112" s="6">
        <v>31</v>
      </c>
      <c r="O112" s="59">
        <v>22</v>
      </c>
      <c r="P112" s="6">
        <v>1</v>
      </c>
      <c r="Q112" s="5">
        <v>1</v>
      </c>
      <c r="R112" s="5">
        <v>0</v>
      </c>
    </row>
    <row r="113" spans="1:18" x14ac:dyDescent="0.3">
      <c r="A113" s="1">
        <f>Sheet1!A121</f>
        <v>41000</v>
      </c>
      <c r="B113" s="69">
        <f>Sheet1!J122+Sheet1!N122+Sheet1!U122</f>
        <v>11126361.970000004</v>
      </c>
      <c r="C113">
        <f>Sheet1!B122+Sheet1!O122+Sheet1!V122</f>
        <v>3491519.7700000005</v>
      </c>
      <c r="D113">
        <f>Sheet1!D122+Sheet1!E122+Sheet1!S122+Sheet1!Q122+Sheet1!X122+Sheet1!AA122</f>
        <v>8723593.8499999996</v>
      </c>
      <c r="E113">
        <f>Sheet1!F122+Sheet1!AB122</f>
        <v>5441945.1600000001</v>
      </c>
      <c r="F113" s="67">
        <f>Sheet1!G122+Sheet1!H122</f>
        <v>7696170.0199999996</v>
      </c>
      <c r="G113">
        <f>Sheet1!K122+Sheet1!R122+Sheet1!Z122</f>
        <v>282105.13999999996</v>
      </c>
      <c r="H113">
        <f>Sheet1!L122+Sheet1!W122+Sheet1!T122</f>
        <v>1329.3</v>
      </c>
      <c r="I113">
        <f>Sheet1!M122+Sheet1!Y122+Sheet1!P122</f>
        <v>49416</v>
      </c>
      <c r="J113">
        <f>Sheet1!C122</f>
        <v>1178517.5</v>
      </c>
      <c r="K113">
        <f>Sheet1!I122</f>
        <v>0</v>
      </c>
      <c r="L113" s="3">
        <v>334.6</v>
      </c>
      <c r="M113" s="3">
        <v>0</v>
      </c>
      <c r="N113" s="6">
        <v>30</v>
      </c>
      <c r="O113" s="59">
        <v>19</v>
      </c>
      <c r="P113" s="6">
        <v>1</v>
      </c>
      <c r="Q113" s="5">
        <v>1</v>
      </c>
      <c r="R113" s="5">
        <v>0</v>
      </c>
    </row>
    <row r="114" spans="1:18" x14ac:dyDescent="0.3">
      <c r="A114" s="1">
        <f>Sheet1!A122</f>
        <v>41030</v>
      </c>
      <c r="B114" s="69">
        <f>Sheet1!J123+Sheet1!N123+Sheet1!U123</f>
        <v>7978739.2099999981</v>
      </c>
      <c r="C114">
        <f>Sheet1!B123+Sheet1!O123+Sheet1!V123</f>
        <v>3168502.2599999993</v>
      </c>
      <c r="D114">
        <f>Sheet1!D123+Sheet1!E123+Sheet1!S123+Sheet1!Q123+Sheet1!X123+Sheet1!AA123</f>
        <v>9134509.8499999996</v>
      </c>
      <c r="E114">
        <f>Sheet1!F123+Sheet1!AB123</f>
        <v>4827574.96</v>
      </c>
      <c r="F114" s="67">
        <f>Sheet1!G123+Sheet1!H123</f>
        <v>7958998.5599999996</v>
      </c>
      <c r="G114">
        <f>Sheet1!K123+Sheet1!R123+Sheet1!Z123</f>
        <v>262216.72000000003</v>
      </c>
      <c r="H114">
        <f>Sheet1!L123+Sheet1!W123+Sheet1!T123</f>
        <v>1360.8</v>
      </c>
      <c r="I114">
        <f>Sheet1!M123+Sheet1!Y123+Sheet1!P123</f>
        <v>11607</v>
      </c>
      <c r="J114" s="67">
        <f>Sheet1!C123</f>
        <v>1243678</v>
      </c>
      <c r="K114">
        <f>Sheet1!I123</f>
        <v>0</v>
      </c>
      <c r="L114" s="3">
        <v>87.2</v>
      </c>
      <c r="M114" s="3">
        <v>28.5</v>
      </c>
      <c r="N114" s="6">
        <v>31</v>
      </c>
      <c r="O114" s="59">
        <v>22</v>
      </c>
      <c r="P114" s="6">
        <v>1</v>
      </c>
      <c r="Q114" s="5">
        <v>1</v>
      </c>
      <c r="R114" s="5">
        <v>0</v>
      </c>
    </row>
    <row r="115" spans="1:18" x14ac:dyDescent="0.3">
      <c r="A115" s="1">
        <f>Sheet1!A123</f>
        <v>41061</v>
      </c>
      <c r="B115" s="69">
        <f>Sheet1!J124+Sheet1!N124+Sheet1!U124</f>
        <v>11044654.119999997</v>
      </c>
      <c r="C115">
        <f>Sheet1!B124+Sheet1!O124+Sheet1!V124</f>
        <v>3744232.07</v>
      </c>
      <c r="D115">
        <f>Sheet1!D124+Sheet1!E124+Sheet1!S124+Sheet1!Q124+Sheet1!X124+Sheet1!AA124</f>
        <v>9881085.3800000008</v>
      </c>
      <c r="E115">
        <f>Sheet1!F124+Sheet1!AB124</f>
        <v>3771532.16</v>
      </c>
      <c r="F115" s="67">
        <f>Sheet1!G124+Sheet1!H124</f>
        <v>8056332.1399999997</v>
      </c>
      <c r="G115">
        <f>Sheet1!K124+Sheet1!R124+Sheet1!Z124</f>
        <v>212978.05000000002</v>
      </c>
      <c r="H115">
        <f>Sheet1!L124+Sheet1!W124+Sheet1!T124</f>
        <v>1323</v>
      </c>
      <c r="I115">
        <f>Sheet1!M124+Sheet1!Y124+Sheet1!P124</f>
        <v>44100</v>
      </c>
      <c r="J115">
        <f>Sheet1!C124</f>
        <v>1275269.2</v>
      </c>
      <c r="K115">
        <f>Sheet1!I124</f>
        <v>0</v>
      </c>
      <c r="L115" s="3">
        <v>28.2</v>
      </c>
      <c r="M115" s="3">
        <v>81.7</v>
      </c>
      <c r="N115" s="6">
        <v>30</v>
      </c>
      <c r="O115" s="59">
        <v>21</v>
      </c>
      <c r="P115" s="6">
        <v>0</v>
      </c>
      <c r="Q115" s="5">
        <v>0</v>
      </c>
      <c r="R115" s="5">
        <v>0</v>
      </c>
    </row>
    <row r="116" spans="1:18" x14ac:dyDescent="0.3">
      <c r="A116" s="1">
        <f>Sheet1!A124</f>
        <v>41091</v>
      </c>
      <c r="B116" s="69">
        <f>Sheet1!J125+Sheet1!N125+Sheet1!U125</f>
        <v>14339102.759999996</v>
      </c>
      <c r="C116">
        <f>Sheet1!B125+Sheet1!O125+Sheet1!V125</f>
        <v>4437187.2299999995</v>
      </c>
      <c r="D116">
        <f>Sheet1!D125+Sheet1!E125+Sheet1!S125+Sheet1!Q125+Sheet1!X125+Sheet1!AA125</f>
        <v>9609680.4200000018</v>
      </c>
      <c r="E116">
        <f>Sheet1!F125+Sheet1!AB125</f>
        <v>8167717.1699999999</v>
      </c>
      <c r="F116">
        <f>Sheet1!G125+Sheet1!H125</f>
        <v>6464347.4800000004</v>
      </c>
      <c r="G116">
        <f>Sheet1!K125+Sheet1!R125+Sheet1!Z125</f>
        <v>196361.29</v>
      </c>
      <c r="H116">
        <f>Sheet1!L125+Sheet1!W125+Sheet1!T125</f>
        <v>1367.1</v>
      </c>
      <c r="I116">
        <f>Sheet1!M125+Sheet1!Y125+Sheet1!P125</f>
        <v>44026</v>
      </c>
      <c r="J116">
        <f>Sheet1!C125</f>
        <v>1466744.6</v>
      </c>
      <c r="K116">
        <f>Sheet1!I125</f>
        <v>0</v>
      </c>
      <c r="L116" s="3">
        <v>0</v>
      </c>
      <c r="M116" s="3">
        <v>161</v>
      </c>
      <c r="N116" s="6">
        <v>31</v>
      </c>
      <c r="O116" s="59">
        <v>21</v>
      </c>
      <c r="P116" s="6">
        <v>0</v>
      </c>
      <c r="Q116" s="5">
        <v>0</v>
      </c>
      <c r="R116" s="5">
        <v>0</v>
      </c>
    </row>
    <row r="117" spans="1:18" x14ac:dyDescent="0.3">
      <c r="A117" s="1">
        <f>Sheet1!A125</f>
        <v>41122</v>
      </c>
      <c r="B117" s="69">
        <f>Sheet1!J126+Sheet1!N126+Sheet1!U126</f>
        <v>12464033.600000001</v>
      </c>
      <c r="C117">
        <f>Sheet1!B126+Sheet1!O126+Sheet1!V126</f>
        <v>4839416.8899999987</v>
      </c>
      <c r="D117">
        <f>Sheet1!D126+Sheet1!E126+Sheet1!S126+Sheet1!Q126+Sheet1!X126+Sheet1!AA126</f>
        <v>10349196.060000001</v>
      </c>
      <c r="E117">
        <f>Sheet1!F126+Sheet1!AB126</f>
        <v>5001169.88</v>
      </c>
      <c r="F117">
        <f>Sheet1!G126+Sheet1!H126</f>
        <v>8651732.9700000007</v>
      </c>
      <c r="G117">
        <f>Sheet1!K126+Sheet1!R126+Sheet1!Z126</f>
        <v>297647.37</v>
      </c>
      <c r="H117">
        <f>Sheet1!L126+Sheet1!W126+Sheet1!T126</f>
        <v>1367.1</v>
      </c>
      <c r="I117">
        <f>Sheet1!M126+Sheet1!Y126+Sheet1!P126</f>
        <v>43190</v>
      </c>
      <c r="J117">
        <f>Sheet1!C126</f>
        <v>1343653.4</v>
      </c>
      <c r="K117">
        <f>Sheet1!I126</f>
        <v>0</v>
      </c>
      <c r="L117" s="3">
        <v>7.8</v>
      </c>
      <c r="M117" s="3">
        <v>79.599999999999994</v>
      </c>
      <c r="N117" s="6">
        <v>31</v>
      </c>
      <c r="O117" s="59">
        <v>22</v>
      </c>
      <c r="P117" s="6">
        <v>0</v>
      </c>
      <c r="Q117" s="5">
        <v>0</v>
      </c>
      <c r="R117" s="5">
        <v>0</v>
      </c>
    </row>
    <row r="118" spans="1:18" x14ac:dyDescent="0.3">
      <c r="A118" s="1">
        <f>Sheet1!A126</f>
        <v>41153</v>
      </c>
      <c r="B118" s="69">
        <f>Sheet1!J127+Sheet1!N127+Sheet1!U127</f>
        <v>10532449.570000002</v>
      </c>
      <c r="C118">
        <f>Sheet1!B127+Sheet1!O127+Sheet1!V127</f>
        <v>3842719.9699999993</v>
      </c>
      <c r="D118">
        <f>Sheet1!D127+Sheet1!E127+Sheet1!S127+Sheet1!Q127+Sheet1!X127+Sheet1!AA127</f>
        <v>10210698.77</v>
      </c>
      <c r="E118">
        <f>Sheet1!F127+Sheet1!AB127</f>
        <v>8197935.419999999</v>
      </c>
      <c r="F118">
        <f>Sheet1!G127+Sheet1!H127</f>
        <v>8128100.3099999996</v>
      </c>
      <c r="G118">
        <f>Sheet1!K127+Sheet1!R127+Sheet1!Z127</f>
        <v>263599.52</v>
      </c>
      <c r="H118">
        <f>Sheet1!L127+Sheet1!W127+Sheet1!T127</f>
        <v>1323</v>
      </c>
      <c r="I118">
        <f>Sheet1!M127+Sheet1!Y127+Sheet1!P127</f>
        <v>43190</v>
      </c>
      <c r="J118">
        <f>Sheet1!C127</f>
        <v>1199016.2</v>
      </c>
      <c r="K118">
        <f>Sheet1!I127</f>
        <v>0</v>
      </c>
      <c r="L118" s="3">
        <v>103.4</v>
      </c>
      <c r="M118" s="3">
        <v>27.7</v>
      </c>
      <c r="N118" s="6">
        <v>30</v>
      </c>
      <c r="O118" s="59">
        <v>19</v>
      </c>
      <c r="P118" s="6">
        <v>1</v>
      </c>
      <c r="Q118" s="5">
        <v>0</v>
      </c>
      <c r="R118" s="5">
        <v>1</v>
      </c>
    </row>
    <row r="119" spans="1:18" x14ac:dyDescent="0.3">
      <c r="A119" s="1">
        <f>Sheet1!A127</f>
        <v>41183</v>
      </c>
      <c r="B119" s="69">
        <f>Sheet1!J128+Sheet1!N128+Sheet1!U128</f>
        <v>9751465.7700000014</v>
      </c>
      <c r="C119">
        <f>Sheet1!B128+Sheet1!O128+Sheet1!V128</f>
        <v>3807893.4499999993</v>
      </c>
      <c r="D119">
        <f>Sheet1!D128+Sheet1!E128+Sheet1!S128+Sheet1!Q128+Sheet1!X128+Sheet1!AA128</f>
        <v>11943025.460000001</v>
      </c>
      <c r="E119">
        <f>Sheet1!F128+Sheet1!AB128</f>
        <v>5831387.2000000002</v>
      </c>
      <c r="F119">
        <f>Sheet1!G128+Sheet1!H128</f>
        <v>8001224.9199999999</v>
      </c>
      <c r="G119">
        <f>Sheet1!K128+Sheet1!R128+Sheet1!Z128</f>
        <v>313698.61</v>
      </c>
      <c r="H119">
        <f>Sheet1!L128+Sheet1!W128+Sheet1!T128</f>
        <v>1367.1</v>
      </c>
      <c r="I119">
        <f>Sheet1!M128+Sheet1!Y128+Sheet1!P128</f>
        <v>43793</v>
      </c>
      <c r="J119">
        <f>Sheet1!C128</f>
        <v>1384937.8</v>
      </c>
      <c r="K119">
        <f>Sheet1!I128</f>
        <v>0</v>
      </c>
      <c r="L119" s="3">
        <v>250.5</v>
      </c>
      <c r="M119" s="3">
        <v>0.7</v>
      </c>
      <c r="N119" s="6">
        <v>31</v>
      </c>
      <c r="O119" s="59">
        <v>22</v>
      </c>
      <c r="P119" s="6">
        <v>1</v>
      </c>
      <c r="Q119" s="5">
        <v>0</v>
      </c>
      <c r="R119" s="5">
        <v>1</v>
      </c>
    </row>
    <row r="120" spans="1:18" x14ac:dyDescent="0.3">
      <c r="A120" s="1">
        <f>Sheet1!A128</f>
        <v>41214</v>
      </c>
      <c r="B120" s="69">
        <f>Sheet1!J129+Sheet1!N129+Sheet1!U129</f>
        <v>10974020.01</v>
      </c>
      <c r="C120">
        <f>Sheet1!B129+Sheet1!O129+Sheet1!V129</f>
        <v>3787245.37</v>
      </c>
      <c r="D120">
        <f>Sheet1!D129+Sheet1!E129+Sheet1!S129+Sheet1!Q129+Sheet1!X129+Sheet1!AA129</f>
        <v>9697050.4400000013</v>
      </c>
      <c r="E120">
        <f>Sheet1!F129+Sheet1!AB129</f>
        <v>5022296.88</v>
      </c>
      <c r="F120">
        <f>Sheet1!G129+Sheet1!H129</f>
        <v>8010547.9500000002</v>
      </c>
      <c r="G120">
        <f>Sheet1!K129+Sheet1!R129+Sheet1!Z129</f>
        <v>268265.78999999998</v>
      </c>
      <c r="H120">
        <f>Sheet1!L129+Sheet1!W129+Sheet1!T129</f>
        <v>1208.7</v>
      </c>
      <c r="I120">
        <f>Sheet1!M129+Sheet1!Y129+Sheet1!P129</f>
        <v>43199</v>
      </c>
      <c r="J120">
        <f>Sheet1!C129</f>
        <v>1537690.0999999999</v>
      </c>
      <c r="K120">
        <f>Sheet1!I129</f>
        <v>0</v>
      </c>
      <c r="L120" s="3">
        <v>420.4</v>
      </c>
      <c r="M120" s="3">
        <v>0</v>
      </c>
      <c r="N120" s="6">
        <v>30</v>
      </c>
      <c r="O120" s="59">
        <v>22</v>
      </c>
      <c r="P120" s="6">
        <v>1</v>
      </c>
      <c r="Q120" s="5">
        <v>0</v>
      </c>
      <c r="R120" s="5">
        <v>1</v>
      </c>
    </row>
    <row r="121" spans="1:18" x14ac:dyDescent="0.3">
      <c r="A121" s="1">
        <f>Sheet1!A129</f>
        <v>41244</v>
      </c>
      <c r="B121" s="69">
        <f>Sheet1!J130+Sheet1!N130+Sheet1!U130</f>
        <v>12539820.979999999</v>
      </c>
      <c r="C121">
        <f>Sheet1!B130+Sheet1!O130+Sheet1!V130</f>
        <v>4078081.5700000003</v>
      </c>
      <c r="D121">
        <f>Sheet1!D130+Sheet1!E130+Sheet1!S130+Sheet1!Q130+Sheet1!X130+Sheet1!AA130</f>
        <v>9889418.9200000018</v>
      </c>
      <c r="E121">
        <f>Sheet1!F130+Sheet1!AB130</f>
        <v>5533580.9400000004</v>
      </c>
      <c r="F121">
        <f>Sheet1!G130+Sheet1!H130</f>
        <v>6748574.4900000002</v>
      </c>
      <c r="G121">
        <f>Sheet1!K130+Sheet1!R130+Sheet1!Z130</f>
        <v>288094.45</v>
      </c>
      <c r="H121">
        <f>Sheet1!L130+Sheet1!W130+Sheet1!T130</f>
        <v>1475.1</v>
      </c>
      <c r="I121">
        <f>Sheet1!M130+Sheet1!Y130+Sheet1!P130</f>
        <v>60973</v>
      </c>
      <c r="J121">
        <f>Sheet1!C130</f>
        <v>1543614.6</v>
      </c>
      <c r="K121">
        <f>Sheet1!I130</f>
        <v>0</v>
      </c>
      <c r="L121" s="3">
        <v>535.9</v>
      </c>
      <c r="M121" s="3">
        <v>0</v>
      </c>
      <c r="N121" s="6">
        <v>31</v>
      </c>
      <c r="O121" s="59">
        <v>19</v>
      </c>
      <c r="P121" s="6">
        <v>0</v>
      </c>
      <c r="Q121" s="5">
        <v>0</v>
      </c>
      <c r="R121" s="5">
        <v>0</v>
      </c>
    </row>
    <row r="122" spans="1:18" x14ac:dyDescent="0.3">
      <c r="A122" s="1">
        <f>Sheet1!A130</f>
        <v>41275</v>
      </c>
      <c r="B122" s="69">
        <f>Sheet1!J131+Sheet1!N131+Sheet1!U131</f>
        <v>13554260.709999995</v>
      </c>
      <c r="C122">
        <f>Sheet1!B131+Sheet1!O131+Sheet1!V131</f>
        <v>4366698.54</v>
      </c>
      <c r="D122">
        <f>Sheet1!D131+Sheet1!E131+Sheet1!S131+Sheet1!Q131+Sheet1!X131+Sheet1!AA131</f>
        <v>8810270.0800000001</v>
      </c>
      <c r="E122">
        <f>Sheet1!F131+Sheet1!AB131</f>
        <v>5470998.6399999997</v>
      </c>
      <c r="F122">
        <f>Sheet1!G131+Sheet1!H131</f>
        <v>8272270.3799999999</v>
      </c>
      <c r="G122">
        <f>Sheet1!K131+Sheet1!R131+Sheet1!Z131</f>
        <v>351171.18</v>
      </c>
      <c r="H122">
        <f>Sheet1!L131+Sheet1!W131+Sheet1!T131</f>
        <v>1367.1</v>
      </c>
      <c r="I122">
        <f>Sheet1!M131+Sheet1!Y131+Sheet1!P131</f>
        <v>44202</v>
      </c>
      <c r="J122">
        <f>Sheet1!C131</f>
        <v>1577846.9</v>
      </c>
      <c r="K122">
        <f>Sheet1!I131</f>
        <v>0</v>
      </c>
      <c r="L122" s="3">
        <v>657.4</v>
      </c>
      <c r="M122" s="3">
        <v>0</v>
      </c>
      <c r="N122" s="6">
        <v>31</v>
      </c>
      <c r="O122" s="59">
        <v>22</v>
      </c>
      <c r="P122" s="6">
        <v>0</v>
      </c>
      <c r="Q122" s="5">
        <v>0</v>
      </c>
      <c r="R122" s="5">
        <v>0</v>
      </c>
    </row>
    <row r="123" spans="1:18" x14ac:dyDescent="0.3">
      <c r="A123" s="1">
        <f>Sheet1!A131</f>
        <v>41306</v>
      </c>
      <c r="B123" s="69">
        <f>Sheet1!J132+Sheet1!N132+Sheet1!U132</f>
        <v>12825005.909999998</v>
      </c>
      <c r="C123">
        <f>Sheet1!B132+Sheet1!O132+Sheet1!V132</f>
        <v>4422660.79</v>
      </c>
      <c r="D123">
        <f>Sheet1!D132+Sheet1!E132+Sheet1!S132+Sheet1!Q132+Sheet1!X132+Sheet1!AA132</f>
        <v>9954318.0700000003</v>
      </c>
      <c r="E123">
        <f>Sheet1!F132+Sheet1!AB132</f>
        <v>4774122.96</v>
      </c>
      <c r="F123">
        <f>Sheet1!G132+Sheet1!H132</f>
        <v>7709337.0199999996</v>
      </c>
      <c r="G123">
        <f>Sheet1!K132+Sheet1!R132+Sheet1!Z132</f>
        <v>222765.61</v>
      </c>
      <c r="H123">
        <f>Sheet1!L132+Sheet1!W132+Sheet1!T132</f>
        <v>1234.8000000000002</v>
      </c>
      <c r="I123">
        <f>Sheet1!M132+Sheet1!Y132+Sheet1!P132</f>
        <v>44202</v>
      </c>
      <c r="J123">
        <f>Sheet1!C132</f>
        <v>1496407.1</v>
      </c>
      <c r="K123">
        <f>Sheet1!I132</f>
        <v>0</v>
      </c>
      <c r="L123" s="3">
        <v>657</v>
      </c>
      <c r="M123" s="3">
        <v>0</v>
      </c>
      <c r="N123" s="6">
        <v>28</v>
      </c>
      <c r="O123" s="59">
        <v>19</v>
      </c>
      <c r="P123" s="6">
        <v>0</v>
      </c>
      <c r="Q123" s="5">
        <v>0</v>
      </c>
      <c r="R123" s="5">
        <v>0</v>
      </c>
    </row>
    <row r="124" spans="1:18" x14ac:dyDescent="0.3">
      <c r="A124" s="1">
        <f>Sheet1!A132</f>
        <v>41334</v>
      </c>
      <c r="B124" s="69">
        <f>Sheet1!J133+Sheet1!N133+Sheet1!U133</f>
        <v>11756416.950000001</v>
      </c>
      <c r="C124">
        <f>Sheet1!B133+Sheet1!O133+Sheet1!V133</f>
        <v>4176815.46</v>
      </c>
      <c r="D124">
        <f>Sheet1!D133+Sheet1!E133+Sheet1!S133+Sheet1!Q133+Sheet1!X133+Sheet1!AA133</f>
        <v>9912116.5200000014</v>
      </c>
      <c r="E124">
        <f>Sheet1!F133+Sheet1!AB133</f>
        <v>5240606.03</v>
      </c>
      <c r="F124">
        <f>Sheet1!G133+Sheet1!H133</f>
        <v>7879024.4900000002</v>
      </c>
      <c r="G124">
        <f>Sheet1!K133+Sheet1!R133+Sheet1!Z133</f>
        <v>222507.28999999998</v>
      </c>
      <c r="H124">
        <f>Sheet1!L133+Sheet1!W133+Sheet1!T133</f>
        <v>1367.1</v>
      </c>
      <c r="I124">
        <f>Sheet1!M133+Sheet1!Y133+Sheet1!P133</f>
        <v>45398</v>
      </c>
      <c r="J124">
        <f>Sheet1!C133</f>
        <v>1480363.7000000002</v>
      </c>
      <c r="K124">
        <f>Sheet1!I133</f>
        <v>0</v>
      </c>
      <c r="L124" s="3">
        <v>581.9</v>
      </c>
      <c r="M124" s="3">
        <v>0</v>
      </c>
      <c r="N124" s="6">
        <v>31</v>
      </c>
      <c r="O124" s="59">
        <v>20</v>
      </c>
      <c r="P124" s="6">
        <v>1</v>
      </c>
      <c r="Q124" s="5">
        <v>1</v>
      </c>
      <c r="R124" s="5">
        <v>0</v>
      </c>
    </row>
    <row r="125" spans="1:18" x14ac:dyDescent="0.3">
      <c r="A125" s="1">
        <f>Sheet1!A133</f>
        <v>41365</v>
      </c>
      <c r="B125" s="69">
        <f>Sheet1!J134+Sheet1!N134+Sheet1!U134</f>
        <v>10743665.070000002</v>
      </c>
      <c r="C125">
        <f>Sheet1!B134+Sheet1!O134+Sheet1!V134</f>
        <v>3685900.33</v>
      </c>
      <c r="D125">
        <f>Sheet1!D134+Sheet1!E134+Sheet1!S134+Sheet1!Q134+Sheet1!X134+Sheet1!AA134</f>
        <v>8662458.4000000004</v>
      </c>
      <c r="E125">
        <f>Sheet1!F134+Sheet1!AB134</f>
        <v>5278184.4000000004</v>
      </c>
      <c r="F125">
        <f>Sheet1!G134+Sheet1!H134</f>
        <v>8045671.7999999998</v>
      </c>
      <c r="G125">
        <f>Sheet1!K134+Sheet1!R134+Sheet1!Z134</f>
        <v>159958.25</v>
      </c>
      <c r="H125">
        <f>Sheet1!L134+Sheet1!W134+Sheet1!T134</f>
        <v>1542.6</v>
      </c>
      <c r="I125">
        <f>Sheet1!M134+Sheet1!Y134+Sheet1!P134</f>
        <v>45112</v>
      </c>
      <c r="J125">
        <f>Sheet1!C134</f>
        <v>1290315.3999999999</v>
      </c>
      <c r="K125">
        <f>Sheet1!I134</f>
        <v>0</v>
      </c>
      <c r="L125" s="3">
        <v>362.2</v>
      </c>
      <c r="M125" s="3">
        <v>0</v>
      </c>
      <c r="N125" s="6">
        <v>30</v>
      </c>
      <c r="O125" s="59">
        <v>21</v>
      </c>
      <c r="P125" s="6">
        <v>1</v>
      </c>
      <c r="Q125" s="5">
        <v>1</v>
      </c>
      <c r="R125" s="5">
        <v>0</v>
      </c>
    </row>
    <row r="126" spans="1:18" x14ac:dyDescent="0.3">
      <c r="A126" s="1">
        <f>Sheet1!A134</f>
        <v>41395</v>
      </c>
      <c r="B126" s="69">
        <f>Sheet1!J135+Sheet1!N135+Sheet1!U135</f>
        <v>9593089.0299999993</v>
      </c>
      <c r="C126">
        <f>Sheet1!B135+Sheet1!O135+Sheet1!V135</f>
        <v>3592085.3500000006</v>
      </c>
      <c r="D126">
        <f>Sheet1!D135+Sheet1!E135+Sheet1!S135+Sheet1!Q135+Sheet1!X135+Sheet1!AA135</f>
        <v>10609743.619999999</v>
      </c>
      <c r="E126">
        <f>Sheet1!F135+Sheet1!AB135</f>
        <v>5825788.7199999997</v>
      </c>
      <c r="F126">
        <f>Sheet1!G135+Sheet1!H135</f>
        <v>8063192.8200000003</v>
      </c>
      <c r="G126">
        <f>Sheet1!K135+Sheet1!R135+Sheet1!Z135</f>
        <v>147917.85</v>
      </c>
      <c r="H126">
        <f>Sheet1!L135+Sheet1!W135+Sheet1!T135</f>
        <v>1432.57</v>
      </c>
      <c r="I126">
        <f>Sheet1!M135+Sheet1!Y135+Sheet1!P135</f>
        <v>44410</v>
      </c>
      <c r="J126">
        <f>Sheet1!C135</f>
        <v>1173517.5000000002</v>
      </c>
      <c r="K126">
        <f>Sheet1!I135</f>
        <v>0</v>
      </c>
      <c r="L126" s="3">
        <v>122.2</v>
      </c>
      <c r="M126" s="3">
        <v>27</v>
      </c>
      <c r="N126" s="6">
        <v>31</v>
      </c>
      <c r="O126" s="59">
        <v>22</v>
      </c>
      <c r="P126" s="6">
        <v>1</v>
      </c>
      <c r="Q126" s="5">
        <v>1</v>
      </c>
      <c r="R126" s="5">
        <v>0</v>
      </c>
    </row>
    <row r="127" spans="1:18" x14ac:dyDescent="0.3">
      <c r="A127" s="1">
        <f>Sheet1!A135</f>
        <v>41426</v>
      </c>
      <c r="B127" s="69">
        <f>Sheet1!J136+Sheet1!N136+Sheet1!U136</f>
        <v>10577782.050000001</v>
      </c>
      <c r="C127">
        <f>Sheet1!B136+Sheet1!O136+Sheet1!V136</f>
        <v>3827071.8299999996</v>
      </c>
      <c r="D127">
        <f>Sheet1!D136+Sheet1!E136+Sheet1!S136+Sheet1!Q136+Sheet1!X136+Sheet1!AA136</f>
        <v>10182879.6</v>
      </c>
      <c r="E127">
        <f>Sheet1!F136+Sheet1!AB136</f>
        <v>5526551.79</v>
      </c>
      <c r="F127">
        <f>Sheet1!G136+Sheet1!H136</f>
        <v>7889985.79</v>
      </c>
      <c r="G127">
        <f>Sheet1!K136+Sheet1!R136+Sheet1!Z136</f>
        <v>218769.30000000002</v>
      </c>
      <c r="H127">
        <f>Sheet1!L136+Sheet1!W136+Sheet1!T136</f>
        <v>1386.3600000000001</v>
      </c>
      <c r="I127">
        <f>Sheet1!M136+Sheet1!Y136+Sheet1!P136</f>
        <v>44410</v>
      </c>
      <c r="J127">
        <f>Sheet1!C136</f>
        <v>1228967.2</v>
      </c>
      <c r="K127">
        <f>Sheet1!I136</f>
        <v>0</v>
      </c>
      <c r="L127" s="3">
        <v>41.1</v>
      </c>
      <c r="M127" s="3">
        <v>52.7</v>
      </c>
      <c r="N127" s="6">
        <v>30</v>
      </c>
      <c r="O127" s="59">
        <v>20</v>
      </c>
      <c r="P127" s="6">
        <v>0</v>
      </c>
      <c r="Q127" s="5">
        <v>0</v>
      </c>
      <c r="R127" s="5">
        <v>0</v>
      </c>
    </row>
    <row r="128" spans="1:18" x14ac:dyDescent="0.3">
      <c r="A128" s="1">
        <f>Sheet1!A136</f>
        <v>41456</v>
      </c>
      <c r="B128" s="69">
        <f>Sheet1!J137+Sheet1!N137+Sheet1!U137</f>
        <v>13094368.520000001</v>
      </c>
      <c r="C128">
        <f>Sheet1!B137+Sheet1!O137+Sheet1!V137</f>
        <v>4185208.7799999993</v>
      </c>
      <c r="D128">
        <f>Sheet1!D137+Sheet1!E137+Sheet1!S137+Sheet1!Q137+Sheet1!X137+Sheet1!AA137</f>
        <v>10075143.379999999</v>
      </c>
      <c r="E128">
        <f>Sheet1!F137+Sheet1!AB137</f>
        <v>6203377.3600000003</v>
      </c>
      <c r="F128">
        <f>Sheet1!G137+Sheet1!H137</f>
        <v>6661074.7400000002</v>
      </c>
      <c r="G128">
        <f>Sheet1!K137+Sheet1!R137+Sheet1!Z137</f>
        <v>177501.41999999998</v>
      </c>
      <c r="H128">
        <f>Sheet1!L137+Sheet1!W137+Sheet1!T137</f>
        <v>1432.57</v>
      </c>
      <c r="I128">
        <f>Sheet1!M137+Sheet1!Y137+Sheet1!P137</f>
        <v>44410</v>
      </c>
      <c r="J128">
        <f>Sheet1!C137</f>
        <v>1349310.2</v>
      </c>
      <c r="K128">
        <f>Sheet1!I137</f>
        <v>0</v>
      </c>
      <c r="L128" s="3">
        <v>7.1</v>
      </c>
      <c r="M128" s="3">
        <v>108.8</v>
      </c>
      <c r="N128" s="6">
        <v>31</v>
      </c>
      <c r="O128" s="59">
        <v>22</v>
      </c>
      <c r="P128" s="6">
        <v>0</v>
      </c>
      <c r="Q128" s="5">
        <v>0</v>
      </c>
      <c r="R128" s="5">
        <v>0</v>
      </c>
    </row>
    <row r="129" spans="1:18" x14ac:dyDescent="0.3">
      <c r="A129" s="1">
        <f>Sheet1!A137</f>
        <v>41487</v>
      </c>
      <c r="B129" s="69">
        <f>Sheet1!J138+Sheet1!N138+Sheet1!U138</f>
        <v>11553101.180000002</v>
      </c>
      <c r="C129">
        <f>Sheet1!B138+Sheet1!O138+Sheet1!V138</f>
        <v>4013363.810000001</v>
      </c>
      <c r="D129">
        <f>Sheet1!D138+Sheet1!E138+Sheet1!S138+Sheet1!Q138+Sheet1!X138+Sheet1!AA138</f>
        <v>10349152.209999999</v>
      </c>
      <c r="E129">
        <f>Sheet1!F138+Sheet1!AB138</f>
        <v>6364046.2199999997</v>
      </c>
      <c r="F129">
        <f>Sheet1!G138+Sheet1!H138</f>
        <v>8472727.4800000004</v>
      </c>
      <c r="G129">
        <f>Sheet1!K138+Sheet1!R138+Sheet1!Z138</f>
        <v>201122.72</v>
      </c>
      <c r="H129">
        <f>Sheet1!L138+Sheet1!W138+Sheet1!T138</f>
        <v>1432.57</v>
      </c>
      <c r="I129">
        <f>Sheet1!M138+Sheet1!Y138+Sheet1!P138</f>
        <v>44410</v>
      </c>
      <c r="J129">
        <f>Sheet1!C138</f>
        <v>1291863.2000000002</v>
      </c>
      <c r="K129">
        <f>Sheet1!I138</f>
        <v>0</v>
      </c>
      <c r="L129" s="3">
        <v>18.399999999999999</v>
      </c>
      <c r="M129" s="3">
        <v>57.5</v>
      </c>
      <c r="N129" s="6">
        <v>31</v>
      </c>
      <c r="O129" s="59">
        <v>21</v>
      </c>
      <c r="P129" s="6">
        <v>0</v>
      </c>
      <c r="Q129" s="5">
        <v>0</v>
      </c>
      <c r="R129" s="5">
        <v>0</v>
      </c>
    </row>
    <row r="130" spans="1:18" x14ac:dyDescent="0.3">
      <c r="A130" s="1">
        <f>Sheet1!A138</f>
        <v>41518</v>
      </c>
      <c r="B130" s="69">
        <f>Sheet1!J139+Sheet1!N139+Sheet1!U139</f>
        <v>10633290.860000001</v>
      </c>
      <c r="C130">
        <f>Sheet1!B139+Sheet1!O139+Sheet1!V139</f>
        <v>3739977.2800000007</v>
      </c>
      <c r="D130">
        <f>Sheet1!D139+Sheet1!E139+Sheet1!S139+Sheet1!Q139+Sheet1!X139+Sheet1!AA139</f>
        <v>9964146.5</v>
      </c>
      <c r="E130">
        <f>Sheet1!F139+Sheet1!AB139</f>
        <v>6072021.2400000002</v>
      </c>
      <c r="F130">
        <f>Sheet1!G139+Sheet1!H139</f>
        <v>8250794.8799999999</v>
      </c>
      <c r="G130">
        <f>Sheet1!K139+Sheet1!R139+Sheet1!Z139</f>
        <v>218551.00999999998</v>
      </c>
      <c r="H130">
        <f>Sheet1!L139+Sheet1!W139+Sheet1!T139</f>
        <v>1386.3600000000001</v>
      </c>
      <c r="I130">
        <f>Sheet1!M139+Sheet1!Y139+Sheet1!P139</f>
        <v>44216</v>
      </c>
      <c r="J130">
        <f>Sheet1!C139</f>
        <v>1205108.3999999999</v>
      </c>
      <c r="K130">
        <f>Sheet1!I139</f>
        <v>0</v>
      </c>
      <c r="L130" s="3">
        <v>94.9</v>
      </c>
      <c r="M130" s="3">
        <v>26</v>
      </c>
      <c r="N130" s="6">
        <v>30</v>
      </c>
      <c r="O130" s="59">
        <v>20</v>
      </c>
      <c r="P130" s="6">
        <v>1</v>
      </c>
      <c r="Q130" s="5">
        <v>0</v>
      </c>
      <c r="R130" s="5">
        <v>1</v>
      </c>
    </row>
    <row r="131" spans="1:18" x14ac:dyDescent="0.3">
      <c r="A131" s="1">
        <f>Sheet1!A139</f>
        <v>41548</v>
      </c>
      <c r="B131" s="69">
        <f>Sheet1!J140+Sheet1!N140+Sheet1!U140</f>
        <v>9801541.5300000012</v>
      </c>
      <c r="C131">
        <f>Sheet1!B140+Sheet1!O140+Sheet1!V140</f>
        <v>3633956.53</v>
      </c>
      <c r="D131">
        <f>Sheet1!D140+Sheet1!E140+Sheet1!S140+Sheet1!Q140+Sheet1!X140+Sheet1!AA140</f>
        <v>10047457.800000001</v>
      </c>
      <c r="E131">
        <f>Sheet1!F140+Sheet1!AB140</f>
        <v>5854068.6200000001</v>
      </c>
      <c r="F131">
        <f>Sheet1!G140+Sheet1!H140</f>
        <v>8159913.1399999997</v>
      </c>
      <c r="G131">
        <f>Sheet1!K140+Sheet1!R140+Sheet1!Z140</f>
        <v>252130.37</v>
      </c>
      <c r="H131">
        <f>Sheet1!L140+Sheet1!W140+Sheet1!T140</f>
        <v>1426.27</v>
      </c>
      <c r="I131">
        <f>Sheet1!M140+Sheet1!Y140+Sheet1!P140</f>
        <v>44216</v>
      </c>
      <c r="J131">
        <f>Sheet1!C140</f>
        <v>1309332.7</v>
      </c>
      <c r="K131">
        <f>Sheet1!I140</f>
        <v>0</v>
      </c>
      <c r="L131" s="3">
        <v>184</v>
      </c>
      <c r="M131" s="3">
        <v>2.6</v>
      </c>
      <c r="N131" s="6">
        <v>31</v>
      </c>
      <c r="O131" s="59">
        <v>22</v>
      </c>
      <c r="P131" s="6">
        <v>1</v>
      </c>
      <c r="Q131" s="5">
        <v>0</v>
      </c>
      <c r="R131" s="5">
        <v>1</v>
      </c>
    </row>
    <row r="132" spans="1:18" x14ac:dyDescent="0.3">
      <c r="A132" s="1">
        <f>Sheet1!A140</f>
        <v>41579</v>
      </c>
      <c r="B132" s="69">
        <f>Sheet1!J141+Sheet1!N141+Sheet1!U141</f>
        <v>11393695.729999999</v>
      </c>
      <c r="C132">
        <f>Sheet1!B141+Sheet1!O141+Sheet1!V141</f>
        <v>4152766.34</v>
      </c>
      <c r="D132">
        <f>Sheet1!D141+Sheet1!E141+Sheet1!S141+Sheet1!Q141+Sheet1!X141+Sheet1!AA141</f>
        <v>10126328.24</v>
      </c>
      <c r="E132">
        <f>Sheet1!F141+Sheet1!AB141</f>
        <v>5238544.5600000005</v>
      </c>
      <c r="F132" s="67">
        <f>Sheet1!G141+Sheet1!H141</f>
        <v>8421255.7699999996</v>
      </c>
      <c r="G132">
        <f>Sheet1!K141+Sheet1!R141+Sheet1!Z141</f>
        <v>257276.84000000003</v>
      </c>
      <c r="H132">
        <f>Sheet1!L141+Sheet1!W141+Sheet1!T141</f>
        <v>1392.66</v>
      </c>
      <c r="I132">
        <f>Sheet1!M141+Sheet1!Y141+Sheet1!P141</f>
        <v>44216</v>
      </c>
      <c r="J132">
        <f>Sheet1!C141/2-150000</f>
        <v>620526.85000000009</v>
      </c>
      <c r="K132">
        <f>Sheet1!I141</f>
        <v>0</v>
      </c>
      <c r="L132" s="3">
        <v>492.1</v>
      </c>
      <c r="M132" s="3">
        <v>0</v>
      </c>
      <c r="N132" s="6">
        <v>30</v>
      </c>
      <c r="O132" s="59">
        <v>21</v>
      </c>
      <c r="P132" s="6">
        <v>1</v>
      </c>
      <c r="Q132" s="5">
        <v>0</v>
      </c>
      <c r="R132" s="5">
        <v>1</v>
      </c>
    </row>
    <row r="133" spans="1:18" x14ac:dyDescent="0.3">
      <c r="A133" s="1">
        <f>Sheet1!A141</f>
        <v>41609</v>
      </c>
      <c r="B133" s="69">
        <f>Sheet1!J142+Sheet1!N142+Sheet1!U142</f>
        <v>13648161.669999998</v>
      </c>
      <c r="C133">
        <f>Sheet1!B142+Sheet1!O142+Sheet1!V142</f>
        <v>4422346.1399999997</v>
      </c>
      <c r="D133">
        <f>Sheet1!D142+Sheet1!E142+Sheet1!S142+Sheet1!Q142+Sheet1!X142+Sheet1!AA142</f>
        <v>9536538.9500000011</v>
      </c>
      <c r="E133">
        <f>Sheet1!F142+Sheet1!AB142</f>
        <v>5327210.32</v>
      </c>
      <c r="F133" s="67">
        <f>Sheet1!G142+Sheet1!H142</f>
        <v>7145704.2199999997</v>
      </c>
      <c r="G133">
        <f>Sheet1!K142+Sheet1!R142+Sheet1!Z142</f>
        <v>280729.88</v>
      </c>
      <c r="H133">
        <f>Sheet1!L142+Sheet1!W142+Sheet1!T142</f>
        <v>1432.57</v>
      </c>
      <c r="I133">
        <f>Sheet1!M142+Sheet1!Y142+Sheet1!P142</f>
        <v>50192</v>
      </c>
      <c r="J133" s="67">
        <v>1589635.4</v>
      </c>
      <c r="K133">
        <f>Sheet1!I142</f>
        <v>0</v>
      </c>
      <c r="L133" s="3">
        <v>675.7</v>
      </c>
      <c r="M133" s="3">
        <v>0</v>
      </c>
      <c r="N133" s="6">
        <v>31</v>
      </c>
      <c r="O133" s="59">
        <v>20</v>
      </c>
      <c r="P133" s="6">
        <v>0</v>
      </c>
      <c r="Q133" s="5">
        <v>0</v>
      </c>
      <c r="R133" s="5">
        <v>0</v>
      </c>
    </row>
    <row r="134" spans="1:18" x14ac:dyDescent="0.3">
      <c r="A134" s="1">
        <f>Sheet1!A142</f>
        <v>41640</v>
      </c>
      <c r="B134" s="69">
        <f>Sheet1!J143+Sheet1!N143+Sheet1!U143</f>
        <v>14469680.450000003</v>
      </c>
      <c r="C134">
        <f>Sheet1!B143+Sheet1!O143+Sheet1!V143</f>
        <v>4782755.9099999992</v>
      </c>
      <c r="D134">
        <f>Sheet1!D143+Sheet1!E143+Sheet1!S143+Sheet1!Q143+Sheet1!X143+Sheet1!AA143</f>
        <v>12179333.810000001</v>
      </c>
      <c r="E134">
        <f>Sheet1!F143+Sheet1!AB143</f>
        <v>5654830.7599999998</v>
      </c>
      <c r="F134">
        <f>Sheet1!G143+Sheet1!H143</f>
        <v>8681190.2599999998</v>
      </c>
      <c r="G134">
        <f>Sheet1!K143+Sheet1!R143+Sheet1!Z143</f>
        <v>145889.18</v>
      </c>
      <c r="H134">
        <f>Sheet1!L143+Sheet1!W143+Sheet1!T143</f>
        <v>1432.57</v>
      </c>
      <c r="I134">
        <f>Sheet1!M143+Sheet1!Y143+Sheet1!P143</f>
        <v>44253</v>
      </c>
      <c r="J134">
        <f>Sheet1!C143</f>
        <v>1782146.4</v>
      </c>
      <c r="K134">
        <f>Sheet1!I143</f>
        <v>0</v>
      </c>
      <c r="L134" s="6">
        <v>810.4</v>
      </c>
      <c r="M134" s="6">
        <v>0</v>
      </c>
      <c r="N134" s="6">
        <v>31</v>
      </c>
      <c r="O134" s="59">
        <v>22</v>
      </c>
      <c r="Q134" s="5">
        <v>0</v>
      </c>
      <c r="R134" s="5">
        <v>0</v>
      </c>
    </row>
    <row r="135" spans="1:18" x14ac:dyDescent="0.3">
      <c r="A135" s="1">
        <f>Sheet1!A143</f>
        <v>41671</v>
      </c>
      <c r="B135" s="69">
        <f>Sheet1!J144+Sheet1!N144+Sheet1!U144</f>
        <v>13538435.939999998</v>
      </c>
      <c r="C135">
        <f>Sheet1!B144+Sheet1!O144+Sheet1!V144</f>
        <v>4518437.7600000007</v>
      </c>
      <c r="D135">
        <f>Sheet1!D144+Sheet1!E144+Sheet1!S144+Sheet1!Q144+Sheet1!X144+Sheet1!AA144</f>
        <v>10266015.569999998</v>
      </c>
      <c r="E135">
        <f>Sheet1!F144+Sheet1!AB144</f>
        <v>5239307.7799999993</v>
      </c>
      <c r="F135">
        <f>Sheet1!G144+Sheet1!H144</f>
        <v>8089472.25</v>
      </c>
      <c r="G135">
        <f>Sheet1!K144+Sheet1!R144+Sheet1!Z144</f>
        <v>209392.22000000003</v>
      </c>
      <c r="H135">
        <f>Sheet1!L144+Sheet1!W144+Sheet1!T144</f>
        <v>1293.94</v>
      </c>
      <c r="I135">
        <f>Sheet1!M144+Sheet1!Y144+Sheet1!P144</f>
        <v>44308</v>
      </c>
      <c r="J135">
        <f>Sheet1!C144</f>
        <v>1552111.2999999998</v>
      </c>
      <c r="K135">
        <f>Sheet1!I144</f>
        <v>0</v>
      </c>
      <c r="L135" s="6">
        <v>730</v>
      </c>
      <c r="M135" s="6">
        <v>0</v>
      </c>
      <c r="N135" s="6">
        <v>28</v>
      </c>
      <c r="O135" s="59">
        <v>19</v>
      </c>
      <c r="Q135" s="5">
        <v>0</v>
      </c>
      <c r="R135" s="5">
        <v>0</v>
      </c>
    </row>
    <row r="136" spans="1:18" x14ac:dyDescent="0.3">
      <c r="A136" s="1">
        <f>Sheet1!A144</f>
        <v>41699</v>
      </c>
      <c r="B136" s="69">
        <f>Sheet1!J145+Sheet1!N145+Sheet1!U145</f>
        <v>12276401</v>
      </c>
      <c r="C136">
        <f>Sheet1!B145+Sheet1!O145+Sheet1!V145</f>
        <v>4159779.8399999994</v>
      </c>
      <c r="D136">
        <f>Sheet1!D145+Sheet1!E145+Sheet1!S145+Sheet1!Q145+Sheet1!X145+Sheet1!AA145</f>
        <v>10377520.93</v>
      </c>
      <c r="E136">
        <f>Sheet1!F145+Sheet1!AB145</f>
        <v>5349329.4399999995</v>
      </c>
      <c r="F136">
        <f>Sheet1!G145+Sheet1!H145</f>
        <v>8653933.0999999996</v>
      </c>
      <c r="G136">
        <f>Sheet1!K145+Sheet1!R145+Sheet1!Z145</f>
        <v>192271.35</v>
      </c>
      <c r="H136">
        <f>Sheet1!L145+Sheet1!W145+Sheet1!T145</f>
        <v>1432.57</v>
      </c>
      <c r="I136">
        <f>Sheet1!M145+Sheet1!Y145+Sheet1!P145</f>
        <v>44308</v>
      </c>
      <c r="J136">
        <f>Sheet1!C145</f>
        <v>1557780</v>
      </c>
      <c r="K136">
        <f>Sheet1!I145</f>
        <v>0</v>
      </c>
      <c r="L136" s="6">
        <v>696.3</v>
      </c>
      <c r="M136" s="6">
        <v>0</v>
      </c>
      <c r="N136" s="6">
        <v>31</v>
      </c>
      <c r="O136" s="59">
        <v>21</v>
      </c>
      <c r="Q136" s="5">
        <v>1</v>
      </c>
      <c r="R136" s="5">
        <v>0</v>
      </c>
    </row>
    <row r="137" spans="1:18" x14ac:dyDescent="0.3">
      <c r="A137" s="1">
        <f>Sheet1!A145</f>
        <v>41730</v>
      </c>
      <c r="B137" s="69">
        <f>Sheet1!J146+Sheet1!N146+Sheet1!U146</f>
        <v>10563951.789999999</v>
      </c>
      <c r="C137">
        <f>Sheet1!B146+Sheet1!O146+Sheet1!V146</f>
        <v>3561525.37</v>
      </c>
      <c r="D137">
        <f>Sheet1!D146+Sheet1!E146+Sheet1!S146+Sheet1!Q146+Sheet1!X146+Sheet1!AA146</f>
        <v>8246418.5599999996</v>
      </c>
      <c r="E137">
        <f>Sheet1!F146+Sheet1!AB146</f>
        <v>5698739.6200000001</v>
      </c>
      <c r="F137">
        <f>Sheet1!G146+Sheet1!H146</f>
        <v>7884298.4699999997</v>
      </c>
      <c r="G137">
        <f>Sheet1!K146+Sheet1!R146+Sheet1!Z146</f>
        <v>160943.16</v>
      </c>
      <c r="H137">
        <f>Sheet1!L146+Sheet1!W146+Sheet1!T146</f>
        <v>1386.3600000000001</v>
      </c>
      <c r="I137">
        <f>Sheet1!M146+Sheet1!Y146+Sheet1!P146</f>
        <v>40068</v>
      </c>
      <c r="J137">
        <f>Sheet1!C146</f>
        <v>1239738.3</v>
      </c>
      <c r="K137">
        <f>Sheet1!I146</f>
        <v>0</v>
      </c>
      <c r="L137" s="6">
        <v>339.3</v>
      </c>
      <c r="M137" s="6">
        <v>0</v>
      </c>
      <c r="N137" s="6">
        <v>30</v>
      </c>
      <c r="O137" s="59">
        <v>20</v>
      </c>
      <c r="Q137" s="5">
        <v>1</v>
      </c>
      <c r="R137" s="5">
        <v>0</v>
      </c>
    </row>
    <row r="138" spans="1:18" x14ac:dyDescent="0.3">
      <c r="A138" s="1">
        <f>Sheet1!A146</f>
        <v>41760</v>
      </c>
      <c r="B138" s="69">
        <f>Sheet1!J147+Sheet1!N147+Sheet1!U147</f>
        <v>9450599.5099999998</v>
      </c>
      <c r="C138">
        <f>Sheet1!B147+Sheet1!O147+Sheet1!V147</f>
        <v>3399764.38</v>
      </c>
      <c r="D138">
        <f>Sheet1!D147+Sheet1!E147+Sheet1!S147+Sheet1!Q147+Sheet1!X147+Sheet1!AA147</f>
        <v>9869426.2400000002</v>
      </c>
      <c r="E138">
        <f>Sheet1!F147+Sheet1!AB147</f>
        <v>6042081.7599999998</v>
      </c>
      <c r="F138">
        <f>Sheet1!G147+Sheet1!H147</f>
        <v>8446977.8999999985</v>
      </c>
      <c r="G138">
        <f>Sheet1!K147+Sheet1!R147+Sheet1!Z147</f>
        <v>118073.12000000001</v>
      </c>
      <c r="H138">
        <f>Sheet1!L147+Sheet1!W147+Sheet1!T147</f>
        <v>1432.57</v>
      </c>
      <c r="I138">
        <f>Sheet1!M147+Sheet1!Y147+Sheet1!P147</f>
        <v>43778</v>
      </c>
      <c r="J138">
        <f>Sheet1!C147</f>
        <v>1189778.1999999997</v>
      </c>
      <c r="K138">
        <f>Sheet1!I147</f>
        <v>0</v>
      </c>
      <c r="L138" s="6">
        <v>142.5</v>
      </c>
      <c r="M138">
        <v>12.2</v>
      </c>
      <c r="N138" s="6">
        <v>31</v>
      </c>
      <c r="O138" s="59">
        <v>21</v>
      </c>
      <c r="Q138" s="5">
        <v>1</v>
      </c>
      <c r="R138" s="5">
        <v>0</v>
      </c>
    </row>
    <row r="139" spans="1:18" x14ac:dyDescent="0.3">
      <c r="A139" s="1">
        <f>Sheet1!A147</f>
        <v>41791</v>
      </c>
      <c r="B139" s="69">
        <f>Sheet1!J148+Sheet1!N148+Sheet1!U148</f>
        <v>10660189.010000002</v>
      </c>
      <c r="C139">
        <f>Sheet1!B148+Sheet1!O148+Sheet1!V148</f>
        <v>3844716.64</v>
      </c>
      <c r="D139">
        <f>Sheet1!D148+Sheet1!E148+Sheet1!S148+Sheet1!Q148+Sheet1!X148+Sheet1!AA148</f>
        <v>10053206.52</v>
      </c>
      <c r="E139">
        <f>Sheet1!F148+Sheet1!AB148</f>
        <v>5537029.4199999999</v>
      </c>
      <c r="F139">
        <f>Sheet1!G148+Sheet1!H148</f>
        <v>8003559.9699999997</v>
      </c>
      <c r="G139">
        <f>Sheet1!K148+Sheet1!R148+Sheet1!Z148</f>
        <v>161298.84</v>
      </c>
      <c r="H139">
        <f>Sheet1!L148+Sheet1!W148+Sheet1!T148</f>
        <v>1386.3600000000001</v>
      </c>
      <c r="I139">
        <f>Sheet1!M148+Sheet1!Y148+Sheet1!P148</f>
        <v>43778</v>
      </c>
      <c r="J139">
        <f>Sheet1!C148</f>
        <v>1235955.6000000001</v>
      </c>
      <c r="K139">
        <f>Sheet1!I148</f>
        <v>0</v>
      </c>
      <c r="L139" s="6">
        <v>19.7</v>
      </c>
      <c r="M139">
        <v>71.900000000000006</v>
      </c>
      <c r="N139" s="6">
        <v>30</v>
      </c>
      <c r="O139" s="59">
        <v>21</v>
      </c>
      <c r="Q139" s="5">
        <v>0</v>
      </c>
      <c r="R139" s="5">
        <v>0</v>
      </c>
    </row>
    <row r="140" spans="1:18" x14ac:dyDescent="0.3">
      <c r="A140" s="1">
        <f>Sheet1!A148</f>
        <v>41821</v>
      </c>
      <c r="B140" s="69">
        <f>Sheet1!J149+Sheet1!N149+Sheet1!U149</f>
        <v>11348346.07</v>
      </c>
      <c r="C140">
        <f>Sheet1!B149+Sheet1!O149+Sheet1!V149</f>
        <v>3819690.17</v>
      </c>
      <c r="D140">
        <f>Sheet1!D149+Sheet1!E149+Sheet1!S149+Sheet1!Q149+Sheet1!X149+Sheet1!AA149</f>
        <v>9802576.5600000005</v>
      </c>
      <c r="E140">
        <f>Sheet1!F149+Sheet1!AB149</f>
        <v>6352286.1799999997</v>
      </c>
      <c r="F140">
        <f>Sheet1!G149+Sheet1!H149</f>
        <v>6572842.2400000002</v>
      </c>
      <c r="G140">
        <f>Sheet1!K149+Sheet1!R149+Sheet1!Z149</f>
        <v>146287.72</v>
      </c>
      <c r="H140">
        <f>Sheet1!L149+Sheet1!W149+Sheet1!T149</f>
        <v>1432.57</v>
      </c>
      <c r="I140">
        <f>Sheet1!M149+Sheet1!Y149+Sheet1!P149</f>
        <v>43778</v>
      </c>
      <c r="J140">
        <f>Sheet1!C149</f>
        <v>1277565.2999999998</v>
      </c>
      <c r="K140">
        <f>Sheet1!I149</f>
        <v>0</v>
      </c>
      <c r="L140" s="6">
        <v>21.5</v>
      </c>
      <c r="M140">
        <v>47.6</v>
      </c>
      <c r="N140" s="6">
        <v>31</v>
      </c>
      <c r="O140" s="59">
        <v>22</v>
      </c>
      <c r="Q140" s="5">
        <v>0</v>
      </c>
      <c r="R140" s="5">
        <v>0</v>
      </c>
    </row>
    <row r="141" spans="1:18" x14ac:dyDescent="0.3">
      <c r="A141" s="1">
        <f>Sheet1!A149</f>
        <v>41852</v>
      </c>
      <c r="B141" s="69">
        <f>Sheet1!J150+Sheet1!N150+Sheet1!U150</f>
        <v>11213665.360000001</v>
      </c>
      <c r="C141">
        <f>Sheet1!B150+Sheet1!O150+Sheet1!V150</f>
        <v>3906237.75</v>
      </c>
      <c r="D141">
        <f>Sheet1!D150+Sheet1!E150+Sheet1!S150+Sheet1!Q150+Sheet1!X150+Sheet1!AA150</f>
        <v>10162979.869999999</v>
      </c>
      <c r="E141">
        <f>Sheet1!F150+Sheet1!AB150</f>
        <v>6445144.7199999997</v>
      </c>
      <c r="F141">
        <f>Sheet1!G150+Sheet1!H150</f>
        <v>8598221.7300000004</v>
      </c>
      <c r="G141">
        <f>Sheet1!K150+Sheet1!R150+Sheet1!Z150</f>
        <v>165348.54</v>
      </c>
      <c r="H141">
        <f>Sheet1!L150+Sheet1!W150+Sheet1!T150</f>
        <v>1432.57</v>
      </c>
      <c r="I141">
        <f>Sheet1!M150+Sheet1!Y150+Sheet1!P150</f>
        <v>43450</v>
      </c>
      <c r="J141">
        <f>Sheet1!C150</f>
        <v>1282604.8</v>
      </c>
      <c r="K141">
        <f>Sheet1!I150</f>
        <v>0</v>
      </c>
      <c r="L141" s="6">
        <v>14.5</v>
      </c>
      <c r="M141">
        <v>53.4</v>
      </c>
      <c r="N141" s="6">
        <v>31</v>
      </c>
      <c r="O141" s="59">
        <v>20</v>
      </c>
      <c r="Q141" s="5">
        <v>0</v>
      </c>
      <c r="R141" s="5">
        <v>0</v>
      </c>
    </row>
    <row r="142" spans="1:18" x14ac:dyDescent="0.3">
      <c r="A142" s="1">
        <f>Sheet1!A150</f>
        <v>41883</v>
      </c>
      <c r="B142" s="69">
        <f>Sheet1!J151+Sheet1!N151+Sheet1!U151</f>
        <v>10326173.949999997</v>
      </c>
      <c r="C142">
        <f>Sheet1!B151+Sheet1!O151+Sheet1!V151</f>
        <v>3596603.7300000004</v>
      </c>
      <c r="D142">
        <f>Sheet1!D151+Sheet1!E151+Sheet1!S151+Sheet1!Q151+Sheet1!X151+Sheet1!AA151</f>
        <v>10181809.09</v>
      </c>
      <c r="E142">
        <f>Sheet1!F151+Sheet1!AB151</f>
        <v>5738178.8999999994</v>
      </c>
      <c r="F142">
        <f>Sheet1!G151+Sheet1!H151</f>
        <v>8745117.5700000003</v>
      </c>
      <c r="G142">
        <f>Sheet1!K151+Sheet1!R151+Sheet1!Z151</f>
        <v>177625.56000000003</v>
      </c>
      <c r="H142">
        <f>Sheet1!L151+Sheet1!W151+Sheet1!T151</f>
        <v>1386.3600000000001</v>
      </c>
      <c r="I142">
        <f>Sheet1!M151+Sheet1!Y151+Sheet1!P151</f>
        <v>43450</v>
      </c>
      <c r="J142">
        <f>Sheet1!C151</f>
        <v>1202013.6000000001</v>
      </c>
      <c r="K142">
        <f>Sheet1!I151</f>
        <v>0</v>
      </c>
      <c r="L142" s="6">
        <v>64.7</v>
      </c>
      <c r="M142">
        <v>17.600000000000001</v>
      </c>
      <c r="N142" s="6">
        <v>30</v>
      </c>
      <c r="O142" s="59">
        <v>21</v>
      </c>
      <c r="Q142" s="5">
        <v>0</v>
      </c>
      <c r="R142" s="5">
        <v>1</v>
      </c>
    </row>
    <row r="143" spans="1:18" x14ac:dyDescent="0.3">
      <c r="A143" s="1">
        <f>Sheet1!A151</f>
        <v>41913</v>
      </c>
      <c r="B143" s="69">
        <f>Sheet1!J152+Sheet1!N152+Sheet1!U152</f>
        <v>9674637.7000000011</v>
      </c>
      <c r="C143">
        <f>Sheet1!B152+Sheet1!O152+Sheet1!V152</f>
        <v>3425503.48</v>
      </c>
      <c r="D143">
        <f>Sheet1!D152+Sheet1!E152+Sheet1!S152+Sheet1!Q152+Sheet1!X152+Sheet1!AA152</f>
        <v>10274513.399999999</v>
      </c>
      <c r="E143">
        <f>Sheet1!F152+Sheet1!AB152</f>
        <v>5700081.7799999993</v>
      </c>
      <c r="F143">
        <f>Sheet1!G152+Sheet1!H152</f>
        <v>8525844.6699999999</v>
      </c>
      <c r="G143">
        <f>Sheet1!K152+Sheet1!R152+Sheet1!Z152</f>
        <v>204846.08000000002</v>
      </c>
      <c r="H143">
        <f>Sheet1!L152+Sheet1!W152+Sheet1!T152</f>
        <v>1426.27</v>
      </c>
      <c r="I143">
        <f>Sheet1!M152+Sheet1!Y152+Sheet1!P152</f>
        <v>43450</v>
      </c>
      <c r="J143">
        <f>Sheet1!C152</f>
        <v>1218691.3999999999</v>
      </c>
      <c r="K143">
        <f>Sheet1!I152</f>
        <v>0</v>
      </c>
      <c r="L143" s="6">
        <v>237.4</v>
      </c>
      <c r="M143">
        <v>0</v>
      </c>
      <c r="N143" s="6">
        <v>31</v>
      </c>
      <c r="O143" s="59">
        <v>22</v>
      </c>
      <c r="Q143" s="5">
        <v>0</v>
      </c>
      <c r="R143" s="5">
        <v>1</v>
      </c>
    </row>
    <row r="144" spans="1:18" x14ac:dyDescent="0.3">
      <c r="A144" s="1">
        <f>Sheet1!A152</f>
        <v>41944</v>
      </c>
      <c r="B144" s="69">
        <f>Sheet1!J153+Sheet1!N153+Sheet1!U153</f>
        <v>11291537.370000003</v>
      </c>
      <c r="C144" s="5">
        <f>Sheet1!B153+Sheet1!O153+Sheet1!V153</f>
        <v>4445360.79</v>
      </c>
      <c r="D144" s="5">
        <f>Sheet1!D153+Sheet1!E153+Sheet1!S153+Sheet1!Q153+Sheet1!X153+Sheet1!AA153</f>
        <v>9997360.9200000018</v>
      </c>
      <c r="E144" s="5">
        <f>Sheet1!F153+Sheet1!AB153</f>
        <v>3622214.38</v>
      </c>
      <c r="F144" s="5">
        <f>Sheet1!G153+Sheet1!H153</f>
        <v>8511775.8000000007</v>
      </c>
      <c r="G144" s="72">
        <f>Sheet1!K153+Sheet1!R153+Sheet1!Z153</f>
        <v>204903.99999999997</v>
      </c>
      <c r="H144" s="5">
        <f>Sheet1!L153+Sheet1!W153+Sheet1!T153</f>
        <v>1392.66</v>
      </c>
      <c r="I144" s="5">
        <f>Sheet1!M153+Sheet1!Y153+Sheet1!P153</f>
        <v>43450</v>
      </c>
      <c r="J144" s="5">
        <f>Sheet1!C153</f>
        <v>1554852.6</v>
      </c>
      <c r="K144" s="5">
        <f>Sheet1!I153</f>
        <v>0</v>
      </c>
      <c r="L144" s="6">
        <v>503.7</v>
      </c>
      <c r="M144">
        <v>0</v>
      </c>
      <c r="N144" s="6">
        <v>30</v>
      </c>
      <c r="O144" s="59">
        <v>20</v>
      </c>
      <c r="Q144" s="5">
        <v>0</v>
      </c>
      <c r="R144" s="5">
        <v>1</v>
      </c>
    </row>
    <row r="145" spans="1:18" x14ac:dyDescent="0.3">
      <c r="A145" s="1">
        <f>Sheet1!A153</f>
        <v>41974</v>
      </c>
      <c r="B145" s="69">
        <f>Sheet1!J154+Sheet1!N154+Sheet1!U154</f>
        <v>12800670.049999997</v>
      </c>
      <c r="C145" s="5">
        <f>Sheet1!B154+Sheet1!O154+Sheet1!V154</f>
        <v>4663094.9800000004</v>
      </c>
      <c r="D145" s="5">
        <f>Sheet1!D154+Sheet1!E154+Sheet1!S154+Sheet1!Q154+Sheet1!X154+Sheet1!AA154</f>
        <v>9430694.4600000009</v>
      </c>
      <c r="E145" s="5">
        <f>Sheet1!F154+Sheet1!AB154</f>
        <v>5982244.8200000003</v>
      </c>
      <c r="F145" s="5">
        <f>Sheet1!G154+Sheet1!H154</f>
        <v>7734732.9699999997</v>
      </c>
      <c r="G145" s="72">
        <f>Sheet1!K154+Sheet1!R154+Sheet1!Z154</f>
        <v>228962.15999999997</v>
      </c>
      <c r="H145" s="5">
        <f>Sheet1!L154+Sheet1!W154+Sheet1!T154</f>
        <v>1432.57</v>
      </c>
      <c r="I145" s="5">
        <f>Sheet1!M154+Sheet1!Y154+Sheet1!P154</f>
        <v>57650</v>
      </c>
      <c r="J145" s="5">
        <f>Sheet1!C154</f>
        <v>1737237.6</v>
      </c>
      <c r="L145" s="6">
        <v>549.9</v>
      </c>
      <c r="M145">
        <v>0</v>
      </c>
      <c r="N145" s="6">
        <v>31</v>
      </c>
      <c r="O145" s="59">
        <v>21</v>
      </c>
      <c r="Q145" s="5">
        <v>0</v>
      </c>
      <c r="R145" s="5">
        <v>0</v>
      </c>
    </row>
    <row r="146" spans="1:18" x14ac:dyDescent="0.3">
      <c r="A146" s="65">
        <f>Sheet1!A154</f>
        <v>42005</v>
      </c>
      <c r="B146" s="69">
        <f>Sheet1!J155+Sheet1!N155+Sheet1!U155</f>
        <v>13864177.360000001</v>
      </c>
      <c r="C146" s="63">
        <f>Sheet1!B155+Sheet1!O155+Sheet1!V155</f>
        <v>5182324.5900000008</v>
      </c>
      <c r="D146" s="63">
        <f>Sheet1!D155+Sheet1!E155+Sheet1!S155+Sheet1!Q155+Sheet1!X155+Sheet1!AA155</f>
        <v>9889790.0999999996</v>
      </c>
      <c r="E146" s="63">
        <f>Sheet1!F155+Sheet1!AB155</f>
        <v>5050698.46</v>
      </c>
      <c r="F146" s="63">
        <f>Sheet1!G155+Sheet1!H155</f>
        <v>8612488.6600000001</v>
      </c>
      <c r="G146" s="72">
        <f>Sheet1!K155+Sheet1!R155+Sheet1!Z155</f>
        <v>217555.93</v>
      </c>
      <c r="H146" s="63">
        <f>Sheet1!L155+Sheet1!W155+Sheet1!T155</f>
        <v>1432.57</v>
      </c>
      <c r="I146" s="63">
        <f>Sheet1!M155+Sheet1!Y155+Sheet1!P155</f>
        <v>43796</v>
      </c>
      <c r="J146" s="63">
        <f>Sheet1!C155</f>
        <v>1739158.5</v>
      </c>
    </row>
    <row r="147" spans="1:18" x14ac:dyDescent="0.3">
      <c r="A147" s="65">
        <f>Sheet1!A155</f>
        <v>42036</v>
      </c>
      <c r="B147" s="69">
        <f>Sheet1!J156+Sheet1!N156+Sheet1!U156</f>
        <v>13475220.670000002</v>
      </c>
      <c r="C147" s="63">
        <f>Sheet1!B156+Sheet1!O156+Sheet1!V156</f>
        <v>5123106.5</v>
      </c>
      <c r="D147" s="63">
        <f>Sheet1!D156+Sheet1!E156+Sheet1!S156+Sheet1!Q156+Sheet1!X156+Sheet1!AA156</f>
        <v>9402303.25</v>
      </c>
      <c r="E147" s="63">
        <f>Sheet1!F156+Sheet1!AB156</f>
        <v>4800763.5999999996</v>
      </c>
      <c r="F147" s="63">
        <f>Sheet1!G156+Sheet1!H156</f>
        <v>8295528.8300000001</v>
      </c>
      <c r="G147" s="72">
        <f>Sheet1!K156+Sheet1!R156+Sheet1!Z156</f>
        <v>187762.07</v>
      </c>
      <c r="H147" s="63">
        <f>Sheet1!L156+Sheet1!W156+Sheet1!T156</f>
        <v>1293.94</v>
      </c>
      <c r="I147" s="63">
        <f>Sheet1!M156+Sheet1!Y156+Sheet1!P156</f>
        <v>44246</v>
      </c>
      <c r="J147" s="63">
        <f>Sheet1!C156</f>
        <v>1664129.1</v>
      </c>
    </row>
    <row r="148" spans="1:18" x14ac:dyDescent="0.3">
      <c r="A148" s="65">
        <f>Sheet1!A156</f>
        <v>42064</v>
      </c>
      <c r="B148" s="69">
        <f>Sheet1!J157+Sheet1!N157+Sheet1!U157</f>
        <v>11851402.18</v>
      </c>
      <c r="C148" s="63">
        <f>Sheet1!B157+Sheet1!O157+Sheet1!V157</f>
        <v>4510522.3199999994</v>
      </c>
      <c r="D148" s="70">
        <f>Sheet1!D157+Sheet1!E157+Sheet1!S157+Sheet1!Q157+Sheet1!X157+Sheet1!AA157</f>
        <v>9563893.4000000004</v>
      </c>
      <c r="E148" s="63">
        <f>Sheet1!F157+Sheet1!AB157</f>
        <v>5207145.47</v>
      </c>
      <c r="F148" s="63">
        <f>Sheet1!G157+Sheet1!H157</f>
        <v>8823625.1699999999</v>
      </c>
      <c r="G148" s="72">
        <f>Sheet1!K157+Sheet1!R157+Sheet1!Z157</f>
        <v>183725</v>
      </c>
      <c r="H148" s="63">
        <f>Sheet1!L157+Sheet1!W157+Sheet1!T157</f>
        <v>1432.57</v>
      </c>
      <c r="I148" s="63">
        <f>Sheet1!M157+Sheet1!Y157+Sheet1!P157</f>
        <v>44246</v>
      </c>
      <c r="J148" s="63">
        <f>Sheet1!C157</f>
        <v>1503926.9</v>
      </c>
    </row>
    <row r="149" spans="1:18" x14ac:dyDescent="0.3">
      <c r="A149" s="65">
        <f>Sheet1!A157</f>
        <v>42095</v>
      </c>
      <c r="B149" s="69">
        <f>Sheet1!J158+Sheet1!N158+Sheet1!U158</f>
        <v>10225977.859999998</v>
      </c>
      <c r="C149" s="63">
        <f>Sheet1!B158+Sheet1!O158+Sheet1!V158</f>
        <v>3819053.58</v>
      </c>
      <c r="D149" s="70">
        <f>Sheet1!D158+Sheet1!E158+Sheet1!S158+Sheet1!Q158+Sheet1!X158+Sheet1!AA158</f>
        <v>8902615.2800000012</v>
      </c>
      <c r="E149" s="63">
        <f>Sheet1!F158+Sheet1!AB158</f>
        <v>4741465.04</v>
      </c>
      <c r="F149" s="63">
        <f>Sheet1!G158+Sheet1!H158</f>
        <v>8038577.0099999998</v>
      </c>
      <c r="G149" s="72">
        <f>Sheet1!K158+Sheet1!R158+Sheet1!Z158</f>
        <v>144735.99</v>
      </c>
      <c r="H149" s="63">
        <f>Sheet1!L158+Sheet1!W158+Sheet1!T158</f>
        <v>1386.3600000000001</v>
      </c>
      <c r="I149" s="63">
        <f>Sheet1!M158+Sheet1!Y158+Sheet1!P158</f>
        <v>44246</v>
      </c>
      <c r="J149" s="63">
        <f>Sheet1!C158</f>
        <v>1237955.8999999999</v>
      </c>
    </row>
    <row r="150" spans="1:18" x14ac:dyDescent="0.3">
      <c r="A150" s="65">
        <f>Sheet1!A158</f>
        <v>42125</v>
      </c>
      <c r="B150" s="69">
        <f>Sheet1!J159+Sheet1!N159+Sheet1!U159</f>
        <v>9500970.75</v>
      </c>
      <c r="C150" s="63">
        <f>Sheet1!B159+Sheet1!O159+Sheet1!V159</f>
        <v>3695857.0400000005</v>
      </c>
      <c r="D150" s="70">
        <f>Sheet1!D159+Sheet1!E159+Sheet1!S159+Sheet1!Q159+Sheet1!X159+Sheet1!AA159</f>
        <v>9244295.4000000004</v>
      </c>
      <c r="E150" s="63">
        <f>Sheet1!F159+Sheet1!AB159</f>
        <v>5530987.3599999994</v>
      </c>
      <c r="F150" s="63">
        <f>Sheet1!G159+Sheet1!H159</f>
        <v>8379768.7000000002</v>
      </c>
      <c r="G150" s="72">
        <f>Sheet1!K159+Sheet1!R159+Sheet1!Z159</f>
        <v>133949.11000000002</v>
      </c>
      <c r="H150" s="63">
        <f>Sheet1!L159+Sheet1!W159+Sheet1!T159</f>
        <v>1432.57</v>
      </c>
      <c r="I150" s="63">
        <f>Sheet1!M159+Sheet1!Y159+Sheet1!P159</f>
        <v>44246</v>
      </c>
      <c r="J150" s="63">
        <f>Sheet1!C159</f>
        <v>1172731.6000000001</v>
      </c>
    </row>
    <row r="151" spans="1:18" x14ac:dyDescent="0.3">
      <c r="A151" s="65">
        <f>Sheet1!A159</f>
        <v>42156</v>
      </c>
      <c r="B151" s="69">
        <f>Sheet1!J160+Sheet1!N160+Sheet1!U160</f>
        <v>10210234.299999999</v>
      </c>
      <c r="C151" s="63">
        <f>Sheet1!B160+Sheet1!O160+Sheet1!V160</f>
        <v>3902751.3899999992</v>
      </c>
      <c r="D151" s="70">
        <f>Sheet1!D160+Sheet1!E160+Sheet1!S160+Sheet1!Q160+Sheet1!X160+Sheet1!AA160</f>
        <v>9147436.0700000022</v>
      </c>
      <c r="E151" s="63">
        <f>Sheet1!F160+Sheet1!AB160</f>
        <v>5859943.25</v>
      </c>
      <c r="F151" s="63">
        <f>Sheet1!G160+Sheet1!H160</f>
        <v>8163247.5099999998</v>
      </c>
      <c r="G151" s="72">
        <f>Sheet1!K160+Sheet1!R160+Sheet1!Z160</f>
        <v>122881.16</v>
      </c>
      <c r="H151" s="63">
        <f>Sheet1!L160+Sheet1!W160+Sheet1!T160</f>
        <v>1386.3600000000001</v>
      </c>
      <c r="I151" s="63">
        <f>Sheet1!M160+Sheet1!Y160+Sheet1!P160</f>
        <v>44246</v>
      </c>
      <c r="J151" s="63">
        <f>Sheet1!C160</f>
        <v>1186813.6000000001</v>
      </c>
    </row>
    <row r="152" spans="1:18" x14ac:dyDescent="0.3">
      <c r="A152" s="65">
        <f>Sheet1!A160</f>
        <v>42186</v>
      </c>
      <c r="B152" s="69">
        <f>Sheet1!J161+Sheet1!N161+Sheet1!U161</f>
        <v>11775796.02</v>
      </c>
      <c r="C152" s="63">
        <f>Sheet1!B161+Sheet1!O161+Sheet1!V161</f>
        <v>4190924.7300000004</v>
      </c>
      <c r="D152" s="70">
        <f>Sheet1!D161+Sheet1!E161+Sheet1!S161+Sheet1!Q161+Sheet1!X161+Sheet1!AA161</f>
        <v>9574705.4299999997</v>
      </c>
      <c r="E152" s="63">
        <f>Sheet1!F161+Sheet1!AB161</f>
        <v>6472316.7400000002</v>
      </c>
      <c r="F152" s="63">
        <f>Sheet1!G161+Sheet1!H161</f>
        <v>7484037.6200000001</v>
      </c>
      <c r="G152" s="72">
        <f>Sheet1!K161+Sheet1!R161+Sheet1!Z161</f>
        <v>133955.1</v>
      </c>
      <c r="H152" s="63">
        <f>Sheet1!L161+Sheet1!W161+Sheet1!T161</f>
        <v>1432.57</v>
      </c>
      <c r="I152" s="63">
        <f>Sheet1!M161+Sheet1!Y161+Sheet1!P161</f>
        <v>44246</v>
      </c>
      <c r="J152" s="63">
        <f>Sheet1!C161</f>
        <v>1325398.6000000001</v>
      </c>
    </row>
    <row r="153" spans="1:18" x14ac:dyDescent="0.3">
      <c r="A153" s="65">
        <f>Sheet1!A161</f>
        <v>42217</v>
      </c>
      <c r="B153" s="69">
        <f>Sheet1!J162+Sheet1!N162+Sheet1!U162</f>
        <v>12292511.539999997</v>
      </c>
      <c r="C153" s="63">
        <f>Sheet1!B162+Sheet1!O162+Sheet1!V162</f>
        <v>4138355.6099999989</v>
      </c>
      <c r="D153" s="70">
        <f>Sheet1!D162+Sheet1!E162+Sheet1!S162+Sheet1!Q162+Sheet1!X162+Sheet1!AA162</f>
        <v>9774336.5600000005</v>
      </c>
      <c r="E153" s="63">
        <f>Sheet1!F162+Sheet1!AB162</f>
        <v>6203618.3500000006</v>
      </c>
      <c r="F153" s="63">
        <f>Sheet1!G162+Sheet1!H162</f>
        <v>9066720.5899999999</v>
      </c>
      <c r="G153" s="72">
        <f>Sheet1!K162+Sheet1!R162+Sheet1!Z162</f>
        <v>151465.04999999999</v>
      </c>
      <c r="H153" s="63">
        <f>Sheet1!L162+Sheet1!W162+Sheet1!T162</f>
        <v>1432.57</v>
      </c>
      <c r="I153" s="63">
        <f>Sheet1!M162+Sheet1!Y162+Sheet1!P162</f>
        <v>44246</v>
      </c>
      <c r="J153" s="63">
        <f>Sheet1!C162</f>
        <v>1302854.8999999999</v>
      </c>
    </row>
    <row r="154" spans="1:18" x14ac:dyDescent="0.3">
      <c r="A154" s="65">
        <f>Sheet1!A162</f>
        <v>42248</v>
      </c>
      <c r="B154" s="69">
        <f>Sheet1!J163+Sheet1!N163+Sheet1!U163</f>
        <v>11156557.799999999</v>
      </c>
      <c r="C154" s="63">
        <f>Sheet1!B163+Sheet1!O163+Sheet1!V163</f>
        <v>3970815.6999999993</v>
      </c>
      <c r="D154" s="70">
        <f>Sheet1!D163+Sheet1!E163+Sheet1!S163+Sheet1!Q163+Sheet1!X163+Sheet1!AA163</f>
        <v>9994771.8099999987</v>
      </c>
      <c r="E154" s="63">
        <f>Sheet1!F163+Sheet1!AB163</f>
        <v>5465572.4299999997</v>
      </c>
      <c r="F154" s="63">
        <f>Sheet1!G163+Sheet1!H163</f>
        <v>8448350.4700000007</v>
      </c>
      <c r="G154" s="72">
        <f>Sheet1!K163+Sheet1!R163+Sheet1!Z163</f>
        <v>164542.09</v>
      </c>
      <c r="H154" s="63">
        <f>Sheet1!L163+Sheet1!W163+Sheet1!T163</f>
        <v>1386.3600000000001</v>
      </c>
      <c r="I154" s="63">
        <f>Sheet1!M163+Sheet1!Y163+Sheet1!P163</f>
        <v>44246</v>
      </c>
      <c r="J154" s="63">
        <f>Sheet1!C163</f>
        <v>1277904.2</v>
      </c>
    </row>
    <row r="155" spans="1:18" x14ac:dyDescent="0.3">
      <c r="A155" s="65">
        <f>Sheet1!A163</f>
        <v>42278</v>
      </c>
      <c r="B155" s="69">
        <f>Sheet1!J164+Sheet1!N164+Sheet1!U164</f>
        <v>9445095.5000000019</v>
      </c>
      <c r="C155" s="63">
        <f>Sheet1!B164+Sheet1!O164+Sheet1!V164</f>
        <v>3596814.5</v>
      </c>
      <c r="D155" s="70">
        <f>Sheet1!D164+Sheet1!E164+Sheet1!S164+Sheet1!Q164+Sheet1!X164+Sheet1!AA164</f>
        <v>9720689.3699999992</v>
      </c>
      <c r="E155" s="63">
        <f>Sheet1!F164+Sheet1!AB164</f>
        <v>3601733.39</v>
      </c>
      <c r="F155" s="63">
        <f>Sheet1!G164+Sheet1!H164</f>
        <v>8591356.2799999993</v>
      </c>
      <c r="G155" s="72">
        <f>Sheet1!K164+Sheet1!R164+Sheet1!Z164</f>
        <v>189987.08</v>
      </c>
      <c r="H155" s="63">
        <f>Sheet1!L164+Sheet1!W164+Sheet1!T164</f>
        <v>1424.1599999999999</v>
      </c>
      <c r="I155" s="63">
        <f>Sheet1!M164+Sheet1!Y164+Sheet1!P164</f>
        <v>44246</v>
      </c>
      <c r="J155" s="63">
        <f>Sheet1!C164</f>
        <v>1382120</v>
      </c>
    </row>
    <row r="156" spans="1:18" x14ac:dyDescent="0.3">
      <c r="A156" s="65">
        <f>Sheet1!A164</f>
        <v>42309</v>
      </c>
      <c r="B156" s="69">
        <f>Sheet1!J165+Sheet1!N165+Sheet1!U165</f>
        <v>10294847.77</v>
      </c>
      <c r="C156" s="63">
        <f>Sheet1!B165+Sheet1!O165+Sheet1!V165</f>
        <v>3853891.9099999992</v>
      </c>
      <c r="D156" s="70">
        <f>Sheet1!D165+Sheet1!E165+Sheet1!S165+Sheet1!Q165+Sheet1!X165+Sheet1!AA165</f>
        <v>9745814.4900000002</v>
      </c>
      <c r="E156" s="63">
        <f>Sheet1!F165+Sheet1!AB165</f>
        <v>5551032.7400000002</v>
      </c>
      <c r="F156" s="63">
        <f>Sheet1!G165+Sheet1!H165</f>
        <v>8608677.9000000004</v>
      </c>
      <c r="G156" s="72">
        <f>Sheet1!K165+Sheet1!R165+Sheet1!Z165</f>
        <v>191001.38999999998</v>
      </c>
      <c r="H156" s="63">
        <f>Sheet1!L165+Sheet1!W165+Sheet1!T165</f>
        <v>1394.77</v>
      </c>
      <c r="I156" s="63">
        <f>Sheet1!M165+Sheet1!Y165+Sheet1!P165</f>
        <v>44032</v>
      </c>
      <c r="J156" s="63">
        <f>Sheet1!C165</f>
        <v>1331818</v>
      </c>
    </row>
    <row r="157" spans="1:18" x14ac:dyDescent="0.3">
      <c r="A157" s="65">
        <f>Sheet1!A165</f>
        <v>42339</v>
      </c>
      <c r="B157" s="69">
        <f>Sheet1!J166+Sheet1!N166+Sheet1!U166</f>
        <v>11620056.529999997</v>
      </c>
      <c r="C157" s="63">
        <f>Sheet1!B166+Sheet1!O166+Sheet1!V166</f>
        <v>4035538.24</v>
      </c>
      <c r="D157" s="70">
        <f>Sheet1!D166+Sheet1!E166+Sheet1!S166+Sheet1!Q166+Sheet1!X166+Sheet1!AA166</f>
        <v>8937343.6799999997</v>
      </c>
      <c r="E157" s="70">
        <f>Sheet1!F166+Sheet1!AB166</f>
        <v>3641481.25</v>
      </c>
      <c r="F157" s="63">
        <f>Sheet1!G166+Sheet1!H166</f>
        <v>8163675.9800000004</v>
      </c>
      <c r="G157" s="72">
        <f>Sheet1!K166+Sheet1!R166+Sheet1!Z166</f>
        <v>203843.4</v>
      </c>
      <c r="H157" s="70">
        <f>Sheet1!L166+Sheet1!W166+Sheet1!T166</f>
        <v>1432.57</v>
      </c>
      <c r="I157" s="70">
        <f>Sheet1!M166+Sheet1!Y166+Sheet1!P166</f>
        <v>51852</v>
      </c>
      <c r="J157" s="63">
        <f>Sheet1!C166</f>
        <v>1369552.7000000002</v>
      </c>
    </row>
    <row r="158" spans="1:18" x14ac:dyDescent="0.3">
      <c r="A158" s="71">
        <f>Sheet1!A166</f>
        <v>42370</v>
      </c>
      <c r="B158" s="72">
        <f>Sheet1!J167+Sheet1!N167+Sheet1!U167</f>
        <v>12659885.229999997</v>
      </c>
      <c r="C158" s="70">
        <f>Sheet1!B167+Sheet1!O167+Sheet1!V167</f>
        <v>4576121.9800000004</v>
      </c>
      <c r="D158" s="70">
        <f>Sheet1!D167+Sheet1!E167+Sheet1!S167+Sheet1!Q167+Sheet1!X167+Sheet1!AA167</f>
        <v>9916649.6999999993</v>
      </c>
      <c r="E158" s="70">
        <f>Sheet1!F167+Sheet1!AB167</f>
        <v>4952065.95</v>
      </c>
      <c r="F158" s="70">
        <f>Sheet1!G167+Sheet1!H167</f>
        <v>9014314.8599999994</v>
      </c>
      <c r="G158" s="72">
        <f>Sheet1!K167+Sheet1!R167+Sheet1!Z167</f>
        <v>196250.71</v>
      </c>
      <c r="H158" s="70">
        <f>Sheet1!L167+Sheet1!W167+Sheet1!T167</f>
        <v>1320.97</v>
      </c>
      <c r="I158" s="70">
        <f>Sheet1!M167+Sheet1!Y167+Sheet1!P167</f>
        <v>44032</v>
      </c>
      <c r="J158" s="70">
        <f>Sheet1!C167</f>
        <v>1558765.0999999999</v>
      </c>
    </row>
    <row r="159" spans="1:18" x14ac:dyDescent="0.3">
      <c r="A159" s="71">
        <f>Sheet1!A167</f>
        <v>42401</v>
      </c>
      <c r="B159" s="72">
        <f>Sheet1!J168+Sheet1!N168+Sheet1!U168</f>
        <v>11839359.410000002</v>
      </c>
      <c r="C159" s="70">
        <f>Sheet1!B168+Sheet1!O168+Sheet1!V168</f>
        <v>4328246.1899999995</v>
      </c>
      <c r="D159" s="70">
        <f>Sheet1!D168+Sheet1!E168+Sheet1!S168+Sheet1!Q168+Sheet1!X168+Sheet1!AA168</f>
        <v>9242954.3300000001</v>
      </c>
      <c r="E159" s="70">
        <f>Sheet1!F168+Sheet1!AB168</f>
        <v>4160796.17</v>
      </c>
      <c r="F159" s="70">
        <f>Sheet1!G168+Sheet1!H168</f>
        <v>8822381.9900000002</v>
      </c>
      <c r="G159" s="72">
        <f>Sheet1!K168+Sheet1!R168+Sheet1!Z168</f>
        <v>169994.31</v>
      </c>
      <c r="H159" s="70">
        <f>Sheet1!L168+Sheet1!W168+Sheet1!T168</f>
        <v>1235.75</v>
      </c>
      <c r="I159" s="70">
        <f>Sheet1!M168+Sheet1!Y168+Sheet1!P168</f>
        <v>37462</v>
      </c>
      <c r="J159" s="70">
        <f>Sheet1!C168</f>
        <v>1414777.9</v>
      </c>
    </row>
    <row r="160" spans="1:18" x14ac:dyDescent="0.3">
      <c r="A160" s="71">
        <f>Sheet1!A168</f>
        <v>42430</v>
      </c>
      <c r="B160" s="72">
        <f>Sheet1!J169+Sheet1!N169+Sheet1!U169</f>
        <v>10829116.869999999</v>
      </c>
      <c r="C160" s="70">
        <f>Sheet1!B169+Sheet1!O169+Sheet1!V169</f>
        <v>4099759.5400000014</v>
      </c>
      <c r="D160" s="70">
        <f>Sheet1!D169+Sheet1!E169+Sheet1!S169+Sheet1!Q169+Sheet1!X169+Sheet1!AA169</f>
        <v>9324952</v>
      </c>
      <c r="E160" s="70">
        <f>Sheet1!F169+Sheet1!AB169</f>
        <v>3771463.08</v>
      </c>
      <c r="F160" s="70">
        <f>Sheet1!G169+Sheet1!H169</f>
        <v>9020659.8000000007</v>
      </c>
      <c r="G160" s="72">
        <f>Sheet1!K169+Sheet1!R169+Sheet1!Z169</f>
        <v>164169.40000000002</v>
      </c>
      <c r="H160" s="70">
        <f>Sheet1!L169+Sheet1!W169+Sheet1!T169</f>
        <v>1648.5700000000002</v>
      </c>
      <c r="I160" s="70">
        <f>Sheet1!M169+Sheet1!Y169+Sheet1!P169</f>
        <v>42718</v>
      </c>
      <c r="J160" s="70">
        <f>Sheet1!C169</f>
        <v>1294519.2999999998</v>
      </c>
    </row>
    <row r="161" spans="1:12" x14ac:dyDescent="0.3">
      <c r="A161" s="71">
        <f>Sheet1!A169</f>
        <v>42461</v>
      </c>
      <c r="B161" s="72">
        <f>Sheet1!J170+Sheet1!N170+Sheet1!U170</f>
        <v>10154431.550000001</v>
      </c>
      <c r="C161" s="70">
        <f>Sheet1!B170+Sheet1!O170+Sheet1!V170</f>
        <v>3828441.8200000003</v>
      </c>
      <c r="D161" s="70">
        <f>Sheet1!D170+Sheet1!E170+Sheet1!S170+Sheet1!Q170+Sheet1!X170+Sheet1!AA170</f>
        <v>8912958.9399999976</v>
      </c>
      <c r="E161" s="70">
        <f>Sheet1!F170+Sheet1!AB170</f>
        <v>3683605.3</v>
      </c>
      <c r="F161" s="70">
        <f>Sheet1!G170+Sheet1!H170</f>
        <v>9111774.5700000003</v>
      </c>
      <c r="G161" s="72">
        <f>Sheet1!K170+Sheet1!R170+Sheet1!Z170</f>
        <v>139908.00999999998</v>
      </c>
      <c r="H161" s="70">
        <f>Sheet1!L170+Sheet1!W170+Sheet1!T170</f>
        <v>1386.3600000000001</v>
      </c>
      <c r="I161" s="70">
        <f>Sheet1!M170+Sheet1!Y170+Sheet1!P170</f>
        <v>42718</v>
      </c>
      <c r="J161" s="70">
        <f>Sheet1!C170</f>
        <v>1214155.8999999999</v>
      </c>
    </row>
    <row r="162" spans="1:12" x14ac:dyDescent="0.3">
      <c r="A162" s="71">
        <f>Sheet1!A170</f>
        <v>42491</v>
      </c>
      <c r="B162" s="72">
        <f>Sheet1!J171+Sheet1!N171+Sheet1!U171</f>
        <v>9421826.5299999993</v>
      </c>
      <c r="C162" s="70">
        <f>Sheet1!B171+Sheet1!O171+Sheet1!V171</f>
        <v>3636411.4499999997</v>
      </c>
      <c r="D162" s="70">
        <f>Sheet1!D171+Sheet1!E171+Sheet1!S171+Sheet1!Q171+Sheet1!X171+Sheet1!AA171</f>
        <v>9355407.0200000014</v>
      </c>
      <c r="E162" s="70">
        <f>Sheet1!F171+Sheet1!AB171</f>
        <v>4098158.63</v>
      </c>
      <c r="F162" s="70">
        <f>Sheet1!G171+Sheet1!H171</f>
        <v>9010441.2200000007</v>
      </c>
      <c r="G162" s="72">
        <f>Sheet1!K171+Sheet1!R171+Sheet1!Z171</f>
        <v>129566.67</v>
      </c>
      <c r="H162" s="70">
        <f>Sheet1!L171+Sheet1!W171+Sheet1!T171</f>
        <v>1432.57</v>
      </c>
      <c r="I162" s="70">
        <f>Sheet1!M171+Sheet1!Y171+Sheet1!P171</f>
        <v>42718</v>
      </c>
      <c r="J162" s="70">
        <f>Sheet1!C171</f>
        <v>1169987.7</v>
      </c>
    </row>
    <row r="163" spans="1:12" x14ac:dyDescent="0.3">
      <c r="A163" s="71">
        <f>Sheet1!A171</f>
        <v>42522</v>
      </c>
      <c r="B163" s="72">
        <f>Sheet1!J172+Sheet1!N172+Sheet1!U172</f>
        <v>10809817.970000003</v>
      </c>
      <c r="C163" s="70">
        <f>Sheet1!B172+Sheet1!O172+Sheet1!V172</f>
        <v>3922601.2199999993</v>
      </c>
      <c r="D163" s="70">
        <f>Sheet1!D172+Sheet1!E172+Sheet1!S172+Sheet1!Q172+Sheet1!X172+Sheet1!AA172</f>
        <v>9359934.870000001</v>
      </c>
      <c r="E163" s="70">
        <f>Sheet1!F172+Sheet1!AB172</f>
        <v>4980445.41</v>
      </c>
      <c r="F163" s="70">
        <f>Sheet1!G172+Sheet1!H172</f>
        <v>9475526.5899999999</v>
      </c>
      <c r="G163" s="72">
        <f>Sheet1!K172+Sheet1!R172+Sheet1!Z172</f>
        <v>119058.96</v>
      </c>
      <c r="H163" s="70">
        <f>Sheet1!L172+Sheet1!W172+Sheet1!T172</f>
        <v>1386.3600000000001</v>
      </c>
      <c r="I163" s="70">
        <f>Sheet1!M172+Sheet1!Y172+Sheet1!P172</f>
        <v>42718</v>
      </c>
      <c r="J163" s="70">
        <f>Sheet1!C172</f>
        <v>1237452.1000000001</v>
      </c>
    </row>
    <row r="164" spans="1:12" x14ac:dyDescent="0.3">
      <c r="A164" s="71">
        <f>Sheet1!A172</f>
        <v>42552</v>
      </c>
      <c r="B164" s="72">
        <f>Sheet1!J173+Sheet1!N173+Sheet1!U173</f>
        <v>13272979.73</v>
      </c>
      <c r="C164" s="70">
        <f>Sheet1!B173+Sheet1!O173+Sheet1!V173</f>
        <v>3664568.0500000003</v>
      </c>
      <c r="D164" s="70">
        <f>Sheet1!D173+Sheet1!E173+Sheet1!S173+Sheet1!Q173+Sheet1!X173+Sheet1!AA173</f>
        <v>11455646.52</v>
      </c>
      <c r="E164" s="70">
        <f>Sheet1!F173+Sheet1!AB173</f>
        <v>5145020.62</v>
      </c>
      <c r="F164" s="70">
        <f>Sheet1!G173+Sheet1!H173</f>
        <v>7152375.2699999996</v>
      </c>
      <c r="G164" s="72">
        <f>Sheet1!K173+Sheet1!R173+Sheet1!Z173</f>
        <v>131386.69</v>
      </c>
      <c r="H164" s="70">
        <f>Sheet1!L173+Sheet1!W173+Sheet1!T173</f>
        <v>1432.57</v>
      </c>
      <c r="I164" s="70">
        <f>Sheet1!M173+Sheet1!Y173+Sheet1!P173</f>
        <v>41930</v>
      </c>
      <c r="J164" s="70">
        <f>Sheet1!C173</f>
        <v>1368148.6</v>
      </c>
      <c r="L164" s="73"/>
    </row>
    <row r="165" spans="1:12" x14ac:dyDescent="0.3">
      <c r="A165" s="71">
        <f>Sheet1!A173</f>
        <v>42583</v>
      </c>
      <c r="B165" s="72">
        <f>Sheet1!J174+Sheet1!N174+Sheet1!U174</f>
        <v>14381241.289999999</v>
      </c>
      <c r="C165" s="79">
        <f>Sheet1!B174+Sheet1!O174+Sheet1!V174</f>
        <v>4521019.0999999996</v>
      </c>
      <c r="D165" s="70">
        <f>Sheet1!D174+Sheet1!E174+Sheet1!S174+Sheet1!Q174+Sheet1!X174+Sheet1!AA174</f>
        <v>10688743.159999998</v>
      </c>
      <c r="E165" s="70">
        <f>Sheet1!F174+Sheet1!AB174</f>
        <v>4911391.5599999996</v>
      </c>
      <c r="F165" s="70">
        <f>Sheet1!G174+Sheet1!H174</f>
        <v>9979632.3699999992</v>
      </c>
      <c r="G165" s="72">
        <f>Sheet1!K174+Sheet1!R174+Sheet1!Z174</f>
        <v>145559.69</v>
      </c>
      <c r="H165" s="70">
        <f>Sheet1!L174+Sheet1!W174+Sheet1!T174</f>
        <v>1432.57</v>
      </c>
      <c r="I165" s="70">
        <f>Sheet1!M174+Sheet1!Y174+Sheet1!P174</f>
        <v>41930</v>
      </c>
      <c r="J165" s="70">
        <f>Sheet1!C174</f>
        <v>1494670.7</v>
      </c>
      <c r="L165" s="73"/>
    </row>
    <row r="166" spans="1:12" x14ac:dyDescent="0.3">
      <c r="A166" s="71">
        <f>Sheet1!A174</f>
        <v>42614</v>
      </c>
      <c r="B166" s="72">
        <f>Sheet1!J175+Sheet1!N175+Sheet1!U175</f>
        <v>11389349</v>
      </c>
      <c r="C166" s="70">
        <f>Sheet1!B175+Sheet1!O175+Sheet1!V175</f>
        <v>3845904.47</v>
      </c>
      <c r="D166" s="70">
        <f>Sheet1!D175+Sheet1!E175+Sheet1!S175+Sheet1!Q175+Sheet1!X175+Sheet1!AA175</f>
        <v>9832776.4299999997</v>
      </c>
      <c r="E166" s="70">
        <f>Sheet1!F175+Sheet1!AB175</f>
        <v>4404402.76</v>
      </c>
      <c r="F166" s="70">
        <f>Sheet1!G175+Sheet1!H175</f>
        <v>9133211.5099999998</v>
      </c>
      <c r="G166" s="72">
        <f>Sheet1!K175+Sheet1!R175+Sheet1!Z175</f>
        <v>159669.01999999999</v>
      </c>
      <c r="H166" s="70">
        <f>Sheet1!L175+Sheet1!W175+Sheet1!T175</f>
        <v>1386.36</v>
      </c>
      <c r="I166" s="70">
        <f>Sheet1!M175+Sheet1!Y175+Sheet1!P175</f>
        <v>41930</v>
      </c>
      <c r="J166" s="70">
        <f>Sheet1!C175</f>
        <v>1239135.1000000001</v>
      </c>
      <c r="L166" s="73"/>
    </row>
    <row r="167" spans="1:12" x14ac:dyDescent="0.3">
      <c r="A167" s="71">
        <f>Sheet1!A175</f>
        <v>42644</v>
      </c>
      <c r="B167" s="72">
        <f>Sheet1!J176+Sheet1!N176+Sheet1!U176</f>
        <v>9444102.8300000001</v>
      </c>
      <c r="C167" s="70">
        <f>Sheet1!B176+Sheet1!O176+Sheet1!V176</f>
        <v>3756685.85</v>
      </c>
      <c r="D167" s="70">
        <f>Sheet1!D176+Sheet1!E176+Sheet1!S176+Sheet1!Q176+Sheet1!X176+Sheet1!AA176</f>
        <v>9868414.6099999994</v>
      </c>
      <c r="E167" s="70">
        <f>Sheet1!F176+Sheet1!AB176</f>
        <v>4233433.8</v>
      </c>
      <c r="F167" s="70">
        <f>Sheet1!G176+Sheet1!H176</f>
        <v>9055905.3200000003</v>
      </c>
      <c r="G167" s="72">
        <f>Sheet1!K176+Sheet1!R176+Sheet1!Z176</f>
        <v>184258.65</v>
      </c>
      <c r="H167" s="70">
        <f>Sheet1!L176+Sheet1!W176+Sheet1!T176</f>
        <v>1426.27</v>
      </c>
      <c r="I167" s="70">
        <f>Sheet1!M176+Sheet1!Y176+Sheet1!P176</f>
        <v>42421</v>
      </c>
      <c r="J167" s="70">
        <f>Sheet1!C176</f>
        <v>1283127.1000000001</v>
      </c>
    </row>
    <row r="168" spans="1:12" x14ac:dyDescent="0.3">
      <c r="A168" s="71">
        <f>Sheet1!A176</f>
        <v>42675</v>
      </c>
      <c r="B168" s="72">
        <f>Sheet1!J177+Sheet1!N177+Sheet1!U177</f>
        <v>9990809.4399999995</v>
      </c>
      <c r="C168" s="70">
        <f>Sheet1!B177+Sheet1!O177+Sheet1!V177</f>
        <v>3787617.57</v>
      </c>
      <c r="D168" s="70">
        <f>Sheet1!D177+Sheet1!E177+Sheet1!S177+Sheet1!Q177+Sheet1!X177+Sheet1!AA177</f>
        <v>9665326.5099999998</v>
      </c>
      <c r="E168" s="70">
        <f>Sheet1!F177+Sheet1!AB177</f>
        <v>3833361.72</v>
      </c>
      <c r="F168" s="70">
        <f>Sheet1!G177+Sheet1!H177</f>
        <v>9459819.7200000007</v>
      </c>
      <c r="G168" s="72">
        <f>Sheet1!K177+Sheet1!R177+Sheet1!Z177</f>
        <v>193068.75</v>
      </c>
      <c r="H168" s="70">
        <f>Sheet1!L177+Sheet1!W177+Sheet1!T177</f>
        <v>1373.76</v>
      </c>
      <c r="I168" s="70">
        <f>Sheet1!M177+Sheet1!Y177+Sheet1!P177</f>
        <v>41930</v>
      </c>
      <c r="J168" s="70">
        <f>Sheet1!C177</f>
        <v>1378033.2</v>
      </c>
    </row>
    <row r="169" spans="1:12" x14ac:dyDescent="0.3">
      <c r="A169" s="71">
        <f>Sheet1!A177</f>
        <v>42705</v>
      </c>
      <c r="B169" s="72">
        <f>Sheet1!J178+Sheet1!N178+Sheet1!U178</f>
        <v>12478147.369999999</v>
      </c>
      <c r="C169" s="70">
        <f>Sheet1!B178+Sheet1!O178+Sheet1!V178</f>
        <v>4535862.96</v>
      </c>
      <c r="D169" s="70">
        <f>Sheet1!D178+Sheet1!E178+Sheet1!S178+Sheet1!Q178+Sheet1!X178+Sheet1!AA178</f>
        <v>9581750.620000001</v>
      </c>
      <c r="E169" s="70">
        <f>Sheet1!F178+Sheet1!AB178</f>
        <v>3615219.1</v>
      </c>
      <c r="F169" s="70">
        <f>Sheet1!G178+Sheet1!H178</f>
        <v>8789568.1699999999</v>
      </c>
      <c r="G169" s="72">
        <f>Sheet1!K178+Sheet1!R178+Sheet1!Z178</f>
        <v>205983.76</v>
      </c>
      <c r="H169" s="70">
        <f>Sheet1!L178+Sheet1!W178+Sheet1!T178</f>
        <v>1451.47</v>
      </c>
      <c r="I169" s="70">
        <f>Sheet1!M178+Sheet1!Y178+Sheet1!P178</f>
        <v>41930</v>
      </c>
      <c r="J169" s="70">
        <f>Sheet1!C178</f>
        <v>1596039.4</v>
      </c>
      <c r="L169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0"/>
  <sheetViews>
    <sheetView topLeftCell="A81" workbookViewId="0">
      <selection activeCell="E167" sqref="E167"/>
    </sheetView>
  </sheetViews>
  <sheetFormatPr defaultRowHeight="14.4" x14ac:dyDescent="0.3"/>
  <cols>
    <col min="2" max="2" width="19.77734375" bestFit="1" customWidth="1"/>
    <col min="3" max="3" width="12" bestFit="1" customWidth="1"/>
    <col min="5" max="5" width="11.21875" bestFit="1" customWidth="1"/>
    <col min="12" max="12" width="8.88671875" style="84"/>
  </cols>
  <sheetData>
    <row r="1" spans="2:14" s="84" customFormat="1" x14ac:dyDescent="0.3">
      <c r="B1" s="84" t="s">
        <v>146</v>
      </c>
    </row>
    <row r="2" spans="2:14" s="84" customFormat="1" x14ac:dyDescent="0.3">
      <c r="C2" s="136" t="s">
        <v>140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2:14" s="84" customFormat="1" x14ac:dyDescent="0.3">
      <c r="B3" s="84" t="s">
        <v>141</v>
      </c>
      <c r="C3" s="84">
        <v>2007</v>
      </c>
      <c r="D3" s="84">
        <v>2008</v>
      </c>
      <c r="E3" s="84">
        <f>D3+1</f>
        <v>2009</v>
      </c>
      <c r="F3" s="84">
        <f t="shared" ref="F3:J3" si="0">E3+1</f>
        <v>2010</v>
      </c>
      <c r="G3" s="84">
        <f t="shared" si="0"/>
        <v>2011</v>
      </c>
      <c r="H3" s="84">
        <f t="shared" si="0"/>
        <v>2012</v>
      </c>
      <c r="I3" s="84">
        <f t="shared" si="0"/>
        <v>2013</v>
      </c>
      <c r="J3" s="84">
        <f t="shared" si="0"/>
        <v>2014</v>
      </c>
      <c r="K3" s="84">
        <f t="shared" ref="K3" si="1">J3+1</f>
        <v>2015</v>
      </c>
      <c r="L3" s="84">
        <f t="shared" ref="L3" si="2">K3+1</f>
        <v>2016</v>
      </c>
      <c r="M3" s="84">
        <f t="shared" ref="M3" si="3">L3+1</f>
        <v>2017</v>
      </c>
      <c r="N3" s="84">
        <f t="shared" ref="N3" si="4">M3+1</f>
        <v>2018</v>
      </c>
    </row>
    <row r="4" spans="2:14" s="84" customFormat="1" x14ac:dyDescent="0.3">
      <c r="B4" s="84">
        <v>2007</v>
      </c>
      <c r="C4" s="84">
        <v>78.104461907395148</v>
      </c>
      <c r="D4" s="84">
        <v>60.484739653247104</v>
      </c>
      <c r="E4" s="84">
        <v>58.326288295054795</v>
      </c>
      <c r="F4" s="84">
        <v>58.326288295054795</v>
      </c>
      <c r="G4" s="84">
        <v>58.326288295054795</v>
      </c>
      <c r="H4" s="84">
        <v>56.66623549150988</v>
      </c>
      <c r="I4" s="84">
        <v>56.66623549150988</v>
      </c>
      <c r="J4" s="84">
        <v>56.66623549150988</v>
      </c>
      <c r="K4" s="84">
        <v>20.315162422314412</v>
      </c>
      <c r="L4" s="84">
        <v>13.882359727085801</v>
      </c>
      <c r="M4" s="84">
        <v>7.7521556109202754</v>
      </c>
      <c r="N4" s="84">
        <v>7.7521556109202754</v>
      </c>
    </row>
    <row r="5" spans="2:14" s="84" customFormat="1" x14ac:dyDescent="0.3">
      <c r="B5" s="84">
        <v>2008</v>
      </c>
      <c r="C5" s="84">
        <v>0</v>
      </c>
      <c r="D5" s="84">
        <v>129.77216889251488</v>
      </c>
      <c r="E5" s="84">
        <v>100.12459996338099</v>
      </c>
      <c r="F5" s="84">
        <v>100.12459996338099</v>
      </c>
      <c r="G5" s="84">
        <v>100.12459996338099</v>
      </c>
      <c r="H5" s="84">
        <v>94.544681463946858</v>
      </c>
      <c r="I5" s="84">
        <v>94.473761463946857</v>
      </c>
      <c r="J5" s="84">
        <v>88.737098481166797</v>
      </c>
      <c r="K5" s="84">
        <v>84.451325452816434</v>
      </c>
      <c r="L5" s="84">
        <v>63.748671916339319</v>
      </c>
      <c r="M5" s="84">
        <v>47.80926325554401</v>
      </c>
      <c r="N5" s="84">
        <v>43.254990012657892</v>
      </c>
    </row>
    <row r="6" spans="2:14" s="84" customFormat="1" x14ac:dyDescent="0.3">
      <c r="B6" s="84">
        <v>2009</v>
      </c>
      <c r="C6" s="84">
        <v>0</v>
      </c>
      <c r="D6" s="84">
        <v>0</v>
      </c>
      <c r="E6" s="84">
        <v>307.17494737909738</v>
      </c>
      <c r="F6" s="84">
        <v>288.50562381813347</v>
      </c>
      <c r="G6" s="84">
        <v>288.50562381813347</v>
      </c>
      <c r="H6" s="84">
        <v>288.4744935393984</v>
      </c>
      <c r="I6" s="84">
        <v>264.3582380602432</v>
      </c>
      <c r="J6" s="84">
        <v>194.77963426993588</v>
      </c>
      <c r="K6" s="84">
        <v>192.02120583596908</v>
      </c>
      <c r="L6" s="84">
        <v>191.96101890713362</v>
      </c>
      <c r="M6" s="84">
        <v>113.51447031850114</v>
      </c>
      <c r="N6" s="84">
        <v>17.338802517099857</v>
      </c>
    </row>
    <row r="7" spans="2:14" s="84" customFormat="1" x14ac:dyDescent="0.3"/>
    <row r="8" spans="2:14" s="84" customFormat="1" x14ac:dyDescent="0.3">
      <c r="B8" s="84" t="s">
        <v>147</v>
      </c>
    </row>
    <row r="9" spans="2:14" s="84" customFormat="1" x14ac:dyDescent="0.3">
      <c r="C9" s="136" t="s">
        <v>140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2:14" s="84" customFormat="1" x14ac:dyDescent="0.3">
      <c r="B10" s="84" t="s">
        <v>141</v>
      </c>
      <c r="C10" s="84">
        <v>2007</v>
      </c>
      <c r="D10" s="84">
        <v>2008</v>
      </c>
      <c r="E10" s="84">
        <f>D10+1</f>
        <v>2009</v>
      </c>
      <c r="F10" s="84">
        <f t="shared" ref="F10:J10" si="5">E10+1</f>
        <v>2010</v>
      </c>
      <c r="G10" s="84">
        <f t="shared" si="5"/>
        <v>2011</v>
      </c>
      <c r="H10" s="84">
        <f t="shared" si="5"/>
        <v>2012</v>
      </c>
      <c r="I10" s="84">
        <f t="shared" si="5"/>
        <v>2013</v>
      </c>
      <c r="J10" s="84">
        <f t="shared" si="5"/>
        <v>2014</v>
      </c>
      <c r="K10" s="84">
        <f t="shared" ref="K10" si="6">J10+1</f>
        <v>2015</v>
      </c>
      <c r="L10" s="84">
        <f t="shared" ref="L10" si="7">K10+1</f>
        <v>2016</v>
      </c>
      <c r="M10" s="84">
        <f t="shared" ref="M10" si="8">L10+1</f>
        <v>2017</v>
      </c>
      <c r="N10" s="84">
        <f t="shared" ref="N10" si="9">M10+1</f>
        <v>2018</v>
      </c>
    </row>
    <row r="11" spans="2:14" s="84" customFormat="1" x14ac:dyDescent="0.3">
      <c r="B11" s="84">
        <v>2007</v>
      </c>
      <c r="C11" s="84">
        <v>788.50346466343478</v>
      </c>
      <c r="D11" s="84">
        <v>572.42264506188258</v>
      </c>
      <c r="E11" s="84">
        <v>545.76925453828267</v>
      </c>
      <c r="F11" s="84">
        <v>545.76925453828267</v>
      </c>
      <c r="G11" s="84">
        <v>545.35519771778206</v>
      </c>
      <c r="H11" s="84">
        <v>528.79734262920056</v>
      </c>
      <c r="I11" s="84">
        <v>528.79734262920056</v>
      </c>
      <c r="J11" s="84">
        <v>528.79734262920056</v>
      </c>
      <c r="K11" s="84">
        <v>187.576549070959</v>
      </c>
      <c r="L11" s="84">
        <v>131.43572554896386</v>
      </c>
      <c r="M11" s="84">
        <v>74.526012648227834</v>
      </c>
      <c r="N11" s="84">
        <v>74.526012648227834</v>
      </c>
    </row>
    <row r="12" spans="2:14" s="84" customFormat="1" x14ac:dyDescent="0.3">
      <c r="B12" s="84">
        <v>2008</v>
      </c>
      <c r="C12" s="84">
        <v>0</v>
      </c>
      <c r="D12" s="84">
        <v>1037.6712976265355</v>
      </c>
      <c r="E12" s="84">
        <v>826.33609970206066</v>
      </c>
      <c r="F12" s="84">
        <v>825.80360030206066</v>
      </c>
      <c r="G12" s="84">
        <v>825.80360030206066</v>
      </c>
      <c r="H12" s="84">
        <v>774.3659873853461</v>
      </c>
      <c r="I12" s="84">
        <v>773.79862738534621</v>
      </c>
      <c r="J12" s="84">
        <v>720.82611398532424</v>
      </c>
      <c r="K12" s="84">
        <v>681.2511607668381</v>
      </c>
      <c r="L12" s="84">
        <v>515.85148977935796</v>
      </c>
      <c r="M12" s="84">
        <v>384.29245779808269</v>
      </c>
      <c r="N12" s="84">
        <v>346.91697788197143</v>
      </c>
    </row>
    <row r="13" spans="2:14" s="84" customFormat="1" x14ac:dyDescent="0.3">
      <c r="B13" s="84">
        <v>2009</v>
      </c>
      <c r="C13" s="84">
        <v>0</v>
      </c>
      <c r="D13" s="84">
        <v>0</v>
      </c>
      <c r="E13" s="84">
        <v>1742.208115917437</v>
      </c>
      <c r="F13" s="84">
        <v>1444.5731281743044</v>
      </c>
      <c r="G13" s="84">
        <v>1444.5731281743044</v>
      </c>
      <c r="H13" s="84">
        <v>1443.6652286231902</v>
      </c>
      <c r="I13" s="84">
        <v>1404.2319665433802</v>
      </c>
      <c r="J13" s="84">
        <v>1290.5402630872914</v>
      </c>
      <c r="K13" s="84">
        <v>1264.0024073640323</v>
      </c>
      <c r="L13" s="84">
        <v>1263.4233703971154</v>
      </c>
      <c r="M13" s="84">
        <v>946.58028246501158</v>
      </c>
      <c r="N13" s="84">
        <v>585.92152820975684</v>
      </c>
    </row>
    <row r="14" spans="2:14" s="84" customFormat="1" x14ac:dyDescent="0.3"/>
    <row r="15" spans="2:14" s="84" customFormat="1" x14ac:dyDescent="0.3">
      <c r="B15" s="84" t="s">
        <v>148</v>
      </c>
    </row>
    <row r="16" spans="2:14" s="84" customFormat="1" x14ac:dyDescent="0.3">
      <c r="C16" s="136" t="s">
        <v>140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2:14" s="84" customFormat="1" x14ac:dyDescent="0.3">
      <c r="B17" s="84" t="s">
        <v>141</v>
      </c>
      <c r="C17" s="84">
        <v>2007</v>
      </c>
      <c r="D17" s="84">
        <v>2008</v>
      </c>
      <c r="E17" s="84">
        <f>D17+1</f>
        <v>2009</v>
      </c>
      <c r="F17" s="84">
        <f t="shared" ref="F17:J17" si="10">E17+1</f>
        <v>2010</v>
      </c>
      <c r="G17" s="84">
        <f t="shared" si="10"/>
        <v>2011</v>
      </c>
      <c r="H17" s="84">
        <f t="shared" si="10"/>
        <v>2012</v>
      </c>
      <c r="I17" s="84">
        <f t="shared" si="10"/>
        <v>2013</v>
      </c>
      <c r="J17" s="84">
        <f t="shared" si="10"/>
        <v>2014</v>
      </c>
      <c r="K17" s="84">
        <f t="shared" ref="K17" si="11">J17+1</f>
        <v>2015</v>
      </c>
      <c r="L17" s="84">
        <f t="shared" ref="L17" si="12">K17+1</f>
        <v>2016</v>
      </c>
      <c r="M17" s="84">
        <f t="shared" ref="M17" si="13">L17+1</f>
        <v>2017</v>
      </c>
      <c r="N17" s="84">
        <f t="shared" ref="N17" si="14">M17+1</f>
        <v>2018</v>
      </c>
    </row>
    <row r="18" spans="2:14" s="84" customFormat="1" x14ac:dyDescent="0.3">
      <c r="B18" s="84">
        <v>2007</v>
      </c>
      <c r="C18" s="84">
        <v>70.102310366009306</v>
      </c>
      <c r="D18" s="84">
        <v>69.500139940884225</v>
      </c>
      <c r="E18" s="84">
        <v>69.500139940884225</v>
      </c>
      <c r="F18" s="84">
        <v>69.500139940884225</v>
      </c>
      <c r="G18" s="84">
        <v>69.500139940884225</v>
      </c>
      <c r="H18" s="84">
        <v>67.449850185616185</v>
      </c>
      <c r="I18" s="84">
        <v>67.449850185616185</v>
      </c>
      <c r="J18" s="84">
        <v>67.449850185616185</v>
      </c>
      <c r="K18" s="84">
        <v>23.132176644268188</v>
      </c>
      <c r="L18" s="84">
        <v>16.114573704018795</v>
      </c>
      <c r="M18" s="84">
        <v>8.5433117114865968</v>
      </c>
      <c r="N18" s="84">
        <v>8.5433117114865968</v>
      </c>
    </row>
    <row r="19" spans="2:14" s="84" customFormat="1" x14ac:dyDescent="0.3">
      <c r="B19" s="84">
        <v>2008</v>
      </c>
      <c r="C19" s="84">
        <v>0</v>
      </c>
      <c r="D19" s="84">
        <v>159.79634831197649</v>
      </c>
      <c r="E19" s="84">
        <v>133.55800758993124</v>
      </c>
      <c r="F19" s="84">
        <v>128.23301358993126</v>
      </c>
      <c r="G19" s="84">
        <v>128.23301358993126</v>
      </c>
      <c r="H19" s="84">
        <v>121.39352713905144</v>
      </c>
      <c r="I19" s="84">
        <v>121.35806713905146</v>
      </c>
      <c r="J19" s="84">
        <v>114.27285797106423</v>
      </c>
      <c r="K19" s="84">
        <v>108.16812594756898</v>
      </c>
      <c r="L19" s="84">
        <v>86.826889694374728</v>
      </c>
      <c r="M19" s="84">
        <v>65.732951132449472</v>
      </c>
      <c r="N19" s="84">
        <v>60.885896076539474</v>
      </c>
    </row>
    <row r="20" spans="2:14" s="84" customFormat="1" x14ac:dyDescent="0.3">
      <c r="B20" s="84">
        <v>2009</v>
      </c>
      <c r="C20" s="84">
        <v>0</v>
      </c>
      <c r="D20" s="84">
        <v>0</v>
      </c>
      <c r="E20" s="84">
        <v>440.66285762017367</v>
      </c>
      <c r="F20" s="84">
        <v>396.95416759901076</v>
      </c>
      <c r="G20" s="84">
        <v>396.95416759901076</v>
      </c>
      <c r="H20" s="84">
        <v>396.81146429876605</v>
      </c>
      <c r="I20" s="84">
        <v>389.69516611894733</v>
      </c>
      <c r="J20" s="84">
        <v>369.56708221184573</v>
      </c>
      <c r="K20" s="84">
        <v>365.90732295393605</v>
      </c>
      <c r="L20" s="84">
        <v>365.82746963336467</v>
      </c>
      <c r="M20" s="84">
        <v>273.29987590140178</v>
      </c>
      <c r="N20" s="84">
        <v>160.59401519663467</v>
      </c>
    </row>
    <row r="21" spans="2:14" s="84" customFormat="1" x14ac:dyDescent="0.3"/>
    <row r="22" spans="2:14" s="84" customFormat="1" x14ac:dyDescent="0.3">
      <c r="B22" s="84" t="s">
        <v>149</v>
      </c>
    </row>
    <row r="23" spans="2:14" s="84" customFormat="1" x14ac:dyDescent="0.3">
      <c r="C23" s="136" t="s">
        <v>140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</row>
    <row r="24" spans="2:14" s="84" customFormat="1" x14ac:dyDescent="0.3">
      <c r="B24" s="84" t="s">
        <v>141</v>
      </c>
      <c r="C24" s="84">
        <v>2007</v>
      </c>
      <c r="D24" s="84">
        <v>2008</v>
      </c>
      <c r="E24" s="84">
        <f>D24+1</f>
        <v>2009</v>
      </c>
      <c r="F24" s="84">
        <f t="shared" ref="F24:J24" si="15">E24+1</f>
        <v>2010</v>
      </c>
      <c r="G24" s="84">
        <f t="shared" si="15"/>
        <v>2011</v>
      </c>
      <c r="H24" s="84">
        <f t="shared" si="15"/>
        <v>2012</v>
      </c>
      <c r="I24" s="84">
        <f t="shared" si="15"/>
        <v>2013</v>
      </c>
      <c r="J24" s="84">
        <f t="shared" si="15"/>
        <v>2014</v>
      </c>
      <c r="K24" s="84">
        <f t="shared" ref="K24" si="16">J24+1</f>
        <v>2015</v>
      </c>
      <c r="L24" s="84">
        <f t="shared" ref="L24" si="17">K24+1</f>
        <v>2016</v>
      </c>
      <c r="M24" s="84">
        <f t="shared" ref="M24" si="18">L24+1</f>
        <v>2017</v>
      </c>
      <c r="N24" s="84">
        <f t="shared" ref="N24" si="19">M24+1</f>
        <v>2018</v>
      </c>
    </row>
    <row r="25" spans="2:14" s="84" customFormat="1" x14ac:dyDescent="0.3">
      <c r="B25" s="84">
        <v>2007</v>
      </c>
      <c r="C25" s="84">
        <f>SUM(C18+C11+C4)</f>
        <v>936.71023693683924</v>
      </c>
      <c r="D25" s="84">
        <f t="shared" ref="D25:L25" si="20">SUM(D18+D11+D4)</f>
        <v>702.40752465601383</v>
      </c>
      <c r="E25" s="84">
        <f t="shared" si="20"/>
        <v>673.5956827742217</v>
      </c>
      <c r="F25" s="84">
        <f t="shared" si="20"/>
        <v>673.5956827742217</v>
      </c>
      <c r="G25" s="84">
        <f t="shared" si="20"/>
        <v>673.1816259537211</v>
      </c>
      <c r="H25" s="84">
        <f t="shared" si="20"/>
        <v>652.91342830632664</v>
      </c>
      <c r="I25" s="84">
        <f t="shared" si="20"/>
        <v>652.91342830632664</v>
      </c>
      <c r="J25" s="84">
        <f t="shared" si="20"/>
        <v>652.91342830632664</v>
      </c>
      <c r="K25" s="84">
        <f t="shared" si="20"/>
        <v>231.0238881375416</v>
      </c>
      <c r="L25" s="84">
        <f t="shared" si="20"/>
        <v>161.43265898006845</v>
      </c>
      <c r="M25" s="84">
        <f t="shared" ref="M25:N25" si="21">SUM(M18+M11+M4)</f>
        <v>90.821479970634698</v>
      </c>
      <c r="N25" s="84">
        <f t="shared" si="21"/>
        <v>90.821479970634698</v>
      </c>
    </row>
    <row r="26" spans="2:14" s="84" customFormat="1" x14ac:dyDescent="0.3">
      <c r="B26" s="84">
        <v>2008</v>
      </c>
      <c r="C26" s="84">
        <f t="shared" ref="C26:L26" si="22">SUM(C19+C12+C5)</f>
        <v>0</v>
      </c>
      <c r="D26" s="84">
        <f t="shared" si="22"/>
        <v>1327.2398148310269</v>
      </c>
      <c r="E26" s="84">
        <f t="shared" si="22"/>
        <v>1060.0187072553729</v>
      </c>
      <c r="F26" s="84">
        <f t="shared" si="22"/>
        <v>1054.1612138553728</v>
      </c>
      <c r="G26" s="84">
        <f t="shared" si="22"/>
        <v>1054.1612138553728</v>
      </c>
      <c r="H26" s="84">
        <f t="shared" si="22"/>
        <v>990.30419598834442</v>
      </c>
      <c r="I26" s="84">
        <f t="shared" si="22"/>
        <v>989.63045598834447</v>
      </c>
      <c r="J26" s="84">
        <f t="shared" si="22"/>
        <v>923.83607043755524</v>
      </c>
      <c r="K26" s="84">
        <f t="shared" si="22"/>
        <v>873.8706121672235</v>
      </c>
      <c r="L26" s="84">
        <f t="shared" si="22"/>
        <v>666.42705139007194</v>
      </c>
      <c r="M26" s="84">
        <f t="shared" ref="M26:N26" si="23">SUM(M19+M12+M5)</f>
        <v>497.8346721860762</v>
      </c>
      <c r="N26" s="84">
        <f t="shared" si="23"/>
        <v>451.05786397116884</v>
      </c>
    </row>
    <row r="27" spans="2:14" s="84" customFormat="1" x14ac:dyDescent="0.3">
      <c r="B27" s="84">
        <v>2009</v>
      </c>
      <c r="C27" s="84">
        <f t="shared" ref="C27:L27" si="24">SUM(C20+C13+C6)</f>
        <v>0</v>
      </c>
      <c r="D27" s="84">
        <f t="shared" si="24"/>
        <v>0</v>
      </c>
      <c r="E27" s="84">
        <f t="shared" si="24"/>
        <v>2490.0459209167079</v>
      </c>
      <c r="F27" s="84">
        <f t="shared" si="24"/>
        <v>2130.0329195914487</v>
      </c>
      <c r="G27" s="84">
        <f t="shared" si="24"/>
        <v>2130.0329195914487</v>
      </c>
      <c r="H27" s="84">
        <f t="shared" si="24"/>
        <v>2128.9511864613546</v>
      </c>
      <c r="I27" s="84">
        <f t="shared" si="24"/>
        <v>2058.2853707225709</v>
      </c>
      <c r="J27" s="84">
        <f t="shared" si="24"/>
        <v>1854.886979569073</v>
      </c>
      <c r="K27" s="84">
        <f t="shared" si="24"/>
        <v>1821.9309361539374</v>
      </c>
      <c r="L27" s="84">
        <f t="shared" si="24"/>
        <v>1821.2118589376137</v>
      </c>
      <c r="M27" s="84">
        <f t="shared" ref="M27:N27" si="25">SUM(M20+M13+M6)</f>
        <v>1333.3946286849146</v>
      </c>
      <c r="N27" s="84">
        <f t="shared" si="25"/>
        <v>763.85434592349145</v>
      </c>
    </row>
    <row r="28" spans="2:14" s="84" customFormat="1" x14ac:dyDescent="0.3"/>
    <row r="29" spans="2:14" s="84" customFormat="1" x14ac:dyDescent="0.3"/>
    <row r="30" spans="2:14" s="84" customFormat="1" x14ac:dyDescent="0.3">
      <c r="B30" s="84" t="s">
        <v>195</v>
      </c>
      <c r="C30" s="84">
        <v>27630</v>
      </c>
    </row>
    <row r="31" spans="2:14" s="84" customFormat="1" x14ac:dyDescent="0.3">
      <c r="B31" s="84" t="s">
        <v>196</v>
      </c>
      <c r="C31" s="84">
        <v>5180.1769999999997</v>
      </c>
    </row>
    <row r="32" spans="2:14" s="84" customFormat="1" x14ac:dyDescent="0.3">
      <c r="B32" s="84" t="s">
        <v>197</v>
      </c>
      <c r="C32" s="84">
        <f>C30-C31</f>
        <v>22449.823</v>
      </c>
    </row>
    <row r="33" spans="2:16" s="84" customFormat="1" x14ac:dyDescent="0.3">
      <c r="B33" s="84" t="s">
        <v>198</v>
      </c>
      <c r="C33" s="84">
        <f>C32/5</f>
        <v>4489.9646000000002</v>
      </c>
    </row>
    <row r="34" spans="2:16" s="84" customFormat="1" x14ac:dyDescent="0.3"/>
    <row r="35" spans="2:16" x14ac:dyDescent="0.3">
      <c r="B35" t="s">
        <v>139</v>
      </c>
    </row>
    <row r="36" spans="2:16" x14ac:dyDescent="0.3">
      <c r="C36" s="136" t="s">
        <v>140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</row>
    <row r="37" spans="2:16" x14ac:dyDescent="0.3">
      <c r="B37" t="s">
        <v>141</v>
      </c>
      <c r="C37">
        <v>2007</v>
      </c>
      <c r="D37">
        <v>2008</v>
      </c>
      <c r="E37">
        <f>D37+1</f>
        <v>2009</v>
      </c>
      <c r="F37" s="84">
        <f t="shared" ref="F37:J37" si="26">E37+1</f>
        <v>2010</v>
      </c>
      <c r="G37" s="84">
        <f t="shared" si="26"/>
        <v>2011</v>
      </c>
      <c r="H37" s="84">
        <f t="shared" si="26"/>
        <v>2012</v>
      </c>
      <c r="I37" s="84">
        <f t="shared" si="26"/>
        <v>2013</v>
      </c>
      <c r="J37" s="84">
        <f t="shared" si="26"/>
        <v>2014</v>
      </c>
      <c r="K37" s="84">
        <f t="shared" ref="K37" si="27">J37+1</f>
        <v>2015</v>
      </c>
      <c r="L37" s="84">
        <f t="shared" ref="L37" si="28">K37+1</f>
        <v>2016</v>
      </c>
      <c r="M37" s="84">
        <f t="shared" ref="M37" si="29">L37+1</f>
        <v>2017</v>
      </c>
      <c r="N37" s="84">
        <f t="shared" ref="N37" si="30">M37+1</f>
        <v>2018</v>
      </c>
      <c r="P37" s="84" t="s">
        <v>142</v>
      </c>
    </row>
    <row r="38" spans="2:16" x14ac:dyDescent="0.3">
      <c r="B38" s="84">
        <v>2010</v>
      </c>
      <c r="F38">
        <f>34.414406495688+318.528841571731+50.2030112419455</f>
        <v>403.1462593093645</v>
      </c>
      <c r="G38">
        <f>(H39+I40+J41+K42)/(G39+H40+I41+J42)*F38</f>
        <v>390.51388575189912</v>
      </c>
      <c r="H38" s="84">
        <f>(I39+J40+K41+L42)/(H39+I40+J41+K42)*G38</f>
        <v>381.50395415208231</v>
      </c>
      <c r="I38" s="84">
        <f>(J39+K40+L41+M42)/(I39+J40+K41+L42)*H38</f>
        <v>375.6483460626178</v>
      </c>
      <c r="J38" s="84">
        <f>(K39+L40+M41+N42)/(J39+K40+L41+M42)*I38</f>
        <v>336.36377066990417</v>
      </c>
      <c r="K38" s="84">
        <f>(L39+M40+N41)/(K39+L40+M41)*J38</f>
        <v>255.04537309979938</v>
      </c>
      <c r="L38" s="84">
        <f>(M39+N40)/(L39+M40)*K38</f>
        <v>226.33616941544466</v>
      </c>
      <c r="M38" s="84">
        <f t="shared" ref="M38:N38" si="31">L38*L38/K38</f>
        <v>200.85861963710789</v>
      </c>
      <c r="N38" s="84">
        <f t="shared" si="31"/>
        <v>178.2489523734574</v>
      </c>
      <c r="P38" s="84"/>
    </row>
    <row r="39" spans="2:16" x14ac:dyDescent="0.3">
      <c r="B39" s="84">
        <v>2011</v>
      </c>
      <c r="G39">
        <v>499.51486732638068</v>
      </c>
      <c r="H39">
        <v>499.51486732638068</v>
      </c>
      <c r="I39">
        <v>499.51486732638068</v>
      </c>
      <c r="J39">
        <v>496.60687315263522</v>
      </c>
      <c r="K39">
        <v>449.78828956788823</v>
      </c>
      <c r="L39" s="84">
        <v>344.31166898854724</v>
      </c>
      <c r="M39" s="84">
        <v>310.4408836735073</v>
      </c>
      <c r="N39" s="84">
        <v>309.7188507849915</v>
      </c>
      <c r="P39" s="84" t="s">
        <v>145</v>
      </c>
    </row>
    <row r="40" spans="2:16" x14ac:dyDescent="0.3">
      <c r="B40" s="84">
        <f t="shared" ref="B40:B43" si="32">B39+1</f>
        <v>2012</v>
      </c>
      <c r="G40">
        <v>-19.614181799823267</v>
      </c>
      <c r="H40">
        <v>343.57424175148356</v>
      </c>
      <c r="I40">
        <v>343.57424191933023</v>
      </c>
      <c r="J40">
        <v>343.57424191933023</v>
      </c>
      <c r="K40">
        <v>342.19142204787772</v>
      </c>
      <c r="L40" s="84">
        <v>272.55558081832316</v>
      </c>
      <c r="M40" s="84">
        <v>180.79777780873792</v>
      </c>
      <c r="N40" s="84">
        <v>155.55957447028425</v>
      </c>
    </row>
    <row r="41" spans="2:16" x14ac:dyDescent="0.3">
      <c r="B41" s="84">
        <f t="shared" si="32"/>
        <v>2013</v>
      </c>
      <c r="H41">
        <v>1.3245401421849126</v>
      </c>
      <c r="I41">
        <v>378.91877439007618</v>
      </c>
      <c r="J41">
        <v>376.52607796368426</v>
      </c>
      <c r="K41">
        <v>371.5993472428832</v>
      </c>
      <c r="L41" s="84">
        <v>349.86150847563516</v>
      </c>
      <c r="M41" s="84">
        <v>307.24879382471727</v>
      </c>
      <c r="N41" s="84">
        <v>255.57167311497892</v>
      </c>
    </row>
    <row r="42" spans="2:16" x14ac:dyDescent="0.3">
      <c r="B42" s="84">
        <f t="shared" si="32"/>
        <v>2014</v>
      </c>
      <c r="G42">
        <v>8.1270000000000007</v>
      </c>
      <c r="H42">
        <v>8.1270000000000007</v>
      </c>
      <c r="I42">
        <v>38.760555085999997</v>
      </c>
      <c r="J42">
        <v>913.34161969594481</v>
      </c>
      <c r="K42">
        <v>848.82427530094492</v>
      </c>
      <c r="L42" s="84">
        <v>806.02799601994491</v>
      </c>
      <c r="M42" s="84">
        <v>801.04118103174494</v>
      </c>
      <c r="N42" s="84">
        <v>752.02925090435031</v>
      </c>
    </row>
    <row r="43" spans="2:16" x14ac:dyDescent="0.3">
      <c r="B43" s="84">
        <f t="shared" si="32"/>
        <v>2015</v>
      </c>
      <c r="K43">
        <v>1303.6890000000001</v>
      </c>
      <c r="L43" s="84">
        <v>1282.04</v>
      </c>
      <c r="M43" s="84">
        <v>1279.3989999999999</v>
      </c>
      <c r="N43" s="84">
        <v>1276.55</v>
      </c>
    </row>
    <row r="44" spans="2:16" s="84" customFormat="1" x14ac:dyDescent="0.3">
      <c r="B44" s="84">
        <v>2016</v>
      </c>
      <c r="L44" s="84">
        <f>$C$33*K43/SUM($K$43,$K$56,$K$69)</f>
        <v>997.15741725660655</v>
      </c>
      <c r="M44" s="84">
        <f>L44</f>
        <v>997.15741725660655</v>
      </c>
      <c r="N44" s="84">
        <f>M44</f>
        <v>997.15741725660655</v>
      </c>
    </row>
    <row r="45" spans="2:16" x14ac:dyDescent="0.3">
      <c r="B45" s="84" t="s">
        <v>121</v>
      </c>
      <c r="C45">
        <f t="shared" ref="C45:J45" si="33">SUM(C38:C43)</f>
        <v>0</v>
      </c>
      <c r="D45" s="84">
        <f t="shared" si="33"/>
        <v>0</v>
      </c>
      <c r="E45" s="84">
        <f t="shared" si="33"/>
        <v>0</v>
      </c>
      <c r="F45" s="84">
        <f t="shared" si="33"/>
        <v>403.1462593093645</v>
      </c>
      <c r="G45" s="84">
        <f t="shared" si="33"/>
        <v>878.54157127845644</v>
      </c>
      <c r="H45" s="84">
        <f t="shared" si="33"/>
        <v>1234.0446033721314</v>
      </c>
      <c r="I45" s="84">
        <f t="shared" si="33"/>
        <v>1636.4167847844049</v>
      </c>
      <c r="J45" s="84">
        <f t="shared" si="33"/>
        <v>2466.4125834014985</v>
      </c>
      <c r="K45" s="84">
        <f>SUM(K38:K44)</f>
        <v>3571.1377072593932</v>
      </c>
      <c r="L45" s="84">
        <f t="shared" ref="L45" si="34">SUM(L38:L44)</f>
        <v>4278.2903409745013</v>
      </c>
      <c r="M45" s="84">
        <f t="shared" ref="M45" si="35">SUM(M38:M44)</f>
        <v>4076.9436732324216</v>
      </c>
      <c r="N45" s="84">
        <f t="shared" ref="N45" si="36">SUM(N38:N44)</f>
        <v>3924.8357189046687</v>
      </c>
    </row>
    <row r="48" spans="2:16" x14ac:dyDescent="0.3">
      <c r="B48" s="84" t="s">
        <v>143</v>
      </c>
      <c r="C48" s="84"/>
      <c r="D48" s="84"/>
      <c r="E48" s="84"/>
      <c r="F48" s="84"/>
      <c r="G48" s="84"/>
      <c r="H48" s="84"/>
      <c r="I48" s="84"/>
      <c r="J48" s="84"/>
      <c r="K48" s="84"/>
    </row>
    <row r="49" spans="2:14" x14ac:dyDescent="0.3">
      <c r="B49" s="84"/>
      <c r="C49" s="136" t="s">
        <v>140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2:14" x14ac:dyDescent="0.3">
      <c r="B50" s="84" t="s">
        <v>141</v>
      </c>
      <c r="C50" s="84">
        <v>2007</v>
      </c>
      <c r="D50" s="84">
        <v>2008</v>
      </c>
      <c r="E50" s="84">
        <f>D50+1</f>
        <v>2009</v>
      </c>
      <c r="F50" s="84">
        <f t="shared" ref="F50:J50" si="37">E50+1</f>
        <v>2010</v>
      </c>
      <c r="G50" s="84">
        <f t="shared" si="37"/>
        <v>2011</v>
      </c>
      <c r="H50" s="84">
        <f t="shared" si="37"/>
        <v>2012</v>
      </c>
      <c r="I50" s="84">
        <f t="shared" si="37"/>
        <v>2013</v>
      </c>
      <c r="J50" s="84">
        <f t="shared" si="37"/>
        <v>2014</v>
      </c>
      <c r="K50" s="84">
        <f t="shared" ref="K50" si="38">J50+1</f>
        <v>2015</v>
      </c>
      <c r="L50" s="84">
        <f t="shared" ref="L50" si="39">K50+1</f>
        <v>2016</v>
      </c>
      <c r="M50" s="84">
        <f t="shared" ref="M50" si="40">L50+1</f>
        <v>2017</v>
      </c>
      <c r="N50" s="84">
        <f t="shared" ref="N50" si="41">M50+1</f>
        <v>2018</v>
      </c>
    </row>
    <row r="51" spans="2:14" x14ac:dyDescent="0.3">
      <c r="B51" s="84">
        <v>2010</v>
      </c>
      <c r="C51" s="84"/>
      <c r="D51" s="84"/>
      <c r="E51" s="84"/>
      <c r="F51" s="84">
        <f>61.1525322940469+426.703751716274+62.3722121975374</f>
        <v>550.22849620785826</v>
      </c>
      <c r="G51" s="84">
        <f>(H52+I53+J54+K55)/(G52+H53+I54+J55)*F51</f>
        <v>546.41740260158099</v>
      </c>
      <c r="H51" s="84">
        <f>(I52+J53+K54+L55)/(H52+I53+J54+K55)*G51</f>
        <v>536.40523793224509</v>
      </c>
      <c r="I51" s="84">
        <f>(J52+K53+L54)/(I52+J53+K54)*H51</f>
        <v>516.29036553302706</v>
      </c>
      <c r="J51" s="84">
        <f>(K52+L53+M54)/(J52+K53+L54)*I51</f>
        <v>490.9898923108683</v>
      </c>
      <c r="K51" s="84">
        <f>(L52+M53+N54)/(K52+L53+M54)*J51</f>
        <v>464.54084758672758</v>
      </c>
      <c r="L51" s="84">
        <f>(M52+N53)/(L52+M53)*K51</f>
        <v>420.48598730764388</v>
      </c>
      <c r="M51" s="84">
        <f t="shared" ref="M51:N51" si="42">L51*L51/K51</f>
        <v>380.6090819367069</v>
      </c>
      <c r="N51" s="84">
        <f t="shared" si="42"/>
        <v>344.51391396002759</v>
      </c>
    </row>
    <row r="52" spans="2:14" x14ac:dyDescent="0.3">
      <c r="B52" s="84">
        <v>2011</v>
      </c>
      <c r="C52" s="84"/>
      <c r="D52" s="84"/>
      <c r="E52" s="84"/>
      <c r="F52" s="84"/>
      <c r="G52" s="84">
        <v>539.06807817241383</v>
      </c>
      <c r="H52" s="84">
        <v>538.90717283512652</v>
      </c>
      <c r="I52" s="84">
        <v>536.32206059449823</v>
      </c>
      <c r="J52" s="84">
        <v>481.17621497329009</v>
      </c>
      <c r="K52" s="84">
        <v>481.17621497329009</v>
      </c>
      <c r="L52" s="84">
        <v>481.06368069493561</v>
      </c>
      <c r="M52" s="84">
        <v>369.26348959133833</v>
      </c>
      <c r="N52" s="84">
        <v>368.30437097240969</v>
      </c>
    </row>
    <row r="53" spans="2:14" x14ac:dyDescent="0.3">
      <c r="B53" s="84">
        <f t="shared" ref="B53:B56" si="43">B52+1</f>
        <v>2012</v>
      </c>
      <c r="C53" s="84"/>
      <c r="D53" s="84"/>
      <c r="E53" s="84"/>
      <c r="F53" s="84"/>
      <c r="G53" s="84">
        <v>195.7861835302528</v>
      </c>
      <c r="H53" s="84">
        <v>2832.2076769839355</v>
      </c>
      <c r="I53" s="84">
        <v>2790.0542963290031</v>
      </c>
      <c r="J53" s="84">
        <v>2764.8928012301526</v>
      </c>
      <c r="K53" s="84">
        <v>2646.4771500713468</v>
      </c>
      <c r="L53" s="84">
        <v>2563.4652689157288</v>
      </c>
      <c r="M53" s="84">
        <v>2356.6266624675059</v>
      </c>
      <c r="N53" s="84">
        <v>2199.3137018799875</v>
      </c>
    </row>
    <row r="54" spans="2:14" x14ac:dyDescent="0.3">
      <c r="B54" s="84">
        <f t="shared" si="43"/>
        <v>2013</v>
      </c>
      <c r="C54" s="84"/>
      <c r="D54" s="84"/>
      <c r="E54" s="84"/>
      <c r="F54" s="84"/>
      <c r="G54" s="84"/>
      <c r="H54" s="84">
        <v>34.647724196104001</v>
      </c>
      <c r="I54" s="84">
        <v>2523.6846127098438</v>
      </c>
      <c r="J54" s="84">
        <v>2522.4094954425059</v>
      </c>
      <c r="K54" s="84">
        <v>2508.2486669821424</v>
      </c>
      <c r="L54" s="84">
        <v>2463.9587907212763</v>
      </c>
      <c r="M54" s="84">
        <v>2272.957358710386</v>
      </c>
      <c r="N54" s="84">
        <v>2193.4557397864619</v>
      </c>
    </row>
    <row r="55" spans="2:14" x14ac:dyDescent="0.3">
      <c r="B55" s="84">
        <f t="shared" si="43"/>
        <v>2014</v>
      </c>
      <c r="C55" s="84"/>
      <c r="D55" s="84"/>
      <c r="E55" s="84"/>
      <c r="F55" s="84"/>
      <c r="G55" s="84"/>
      <c r="H55" s="84">
        <v>20.434000000000001</v>
      </c>
      <c r="I55" s="84">
        <v>31.911922504900001</v>
      </c>
      <c r="J55" s="84">
        <v>1875.5154874248997</v>
      </c>
      <c r="K55" s="84">
        <v>1865.2835945248999</v>
      </c>
      <c r="L55" s="84">
        <v>1765.7965290248999</v>
      </c>
      <c r="M55" s="84">
        <v>1621.7549135399997</v>
      </c>
      <c r="N55" s="84">
        <v>1621.2087103299998</v>
      </c>
    </row>
    <row r="56" spans="2:14" x14ac:dyDescent="0.3">
      <c r="B56" s="84">
        <f t="shared" si="43"/>
        <v>2015</v>
      </c>
      <c r="C56" s="84"/>
      <c r="D56" s="84"/>
      <c r="E56" s="84"/>
      <c r="F56" s="84"/>
      <c r="G56" s="84"/>
      <c r="H56" s="84"/>
      <c r="I56" s="84"/>
      <c r="J56" s="84"/>
      <c r="K56" s="84">
        <v>2590.1669999999999</v>
      </c>
      <c r="L56" s="84">
        <v>2576.0630000000001</v>
      </c>
      <c r="M56" s="84">
        <v>2465.9929999999999</v>
      </c>
      <c r="N56" s="84">
        <v>2465.703</v>
      </c>
    </row>
    <row r="57" spans="2:14" s="84" customFormat="1" x14ac:dyDescent="0.3">
      <c r="B57" s="84">
        <v>2016</v>
      </c>
      <c r="L57" s="84">
        <f>$C$33*K56/SUM($K$43,$K$56,$K$69)</f>
        <v>1981.1505934185934</v>
      </c>
      <c r="M57" s="84">
        <f>L57</f>
        <v>1981.1505934185934</v>
      </c>
      <c r="N57" s="84">
        <f>M57</f>
        <v>1981.1505934185934</v>
      </c>
    </row>
    <row r="58" spans="2:14" x14ac:dyDescent="0.3">
      <c r="B58" s="84" t="s">
        <v>121</v>
      </c>
      <c r="C58" s="84">
        <f t="shared" ref="C58:J58" si="44">SUM(C51:C56)</f>
        <v>0</v>
      </c>
      <c r="D58" s="84">
        <f t="shared" si="44"/>
        <v>0</v>
      </c>
      <c r="E58" s="84">
        <f t="shared" si="44"/>
        <v>0</v>
      </c>
      <c r="F58" s="84">
        <f t="shared" si="44"/>
        <v>550.22849620785826</v>
      </c>
      <c r="G58" s="84">
        <f t="shared" si="44"/>
        <v>1281.2716643042477</v>
      </c>
      <c r="H58" s="84">
        <f t="shared" si="44"/>
        <v>3962.6018119474111</v>
      </c>
      <c r="I58" s="84">
        <f t="shared" si="44"/>
        <v>6398.2632576712722</v>
      </c>
      <c r="J58" s="84">
        <f t="shared" si="44"/>
        <v>8134.9838913817166</v>
      </c>
      <c r="K58" s="84">
        <f>SUM(K51:K57)</f>
        <v>10555.893474138407</v>
      </c>
      <c r="L58" s="84">
        <f t="shared" ref="L58" si="45">SUM(L51:L57)</f>
        <v>12251.983850083077</v>
      </c>
      <c r="M58" s="84">
        <f t="shared" ref="M58" si="46">SUM(M51:M57)</f>
        <v>11448.35509966453</v>
      </c>
      <c r="N58" s="84">
        <f t="shared" ref="N58" si="47">SUM(N51:N57)</f>
        <v>11173.65003034748</v>
      </c>
    </row>
    <row r="61" spans="2:14" x14ac:dyDescent="0.3">
      <c r="B61" s="84" t="s">
        <v>144</v>
      </c>
      <c r="C61" s="84"/>
      <c r="D61" s="84"/>
      <c r="E61" s="84"/>
      <c r="F61" s="84"/>
      <c r="G61" s="84"/>
      <c r="H61" s="84"/>
      <c r="I61" s="84"/>
      <c r="J61" s="84"/>
      <c r="K61" s="84"/>
    </row>
    <row r="62" spans="2:14" x14ac:dyDescent="0.3">
      <c r="B62" s="84"/>
      <c r="C62" s="136" t="s">
        <v>140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14" x14ac:dyDescent="0.3">
      <c r="B63" s="84" t="s">
        <v>141</v>
      </c>
      <c r="C63" s="84">
        <v>2007</v>
      </c>
      <c r="D63" s="84">
        <v>2008</v>
      </c>
      <c r="E63" s="84">
        <f>D63+1</f>
        <v>2009</v>
      </c>
      <c r="F63" s="84">
        <f t="shared" ref="F63:K63" si="48">E63+1</f>
        <v>2010</v>
      </c>
      <c r="G63" s="84">
        <f t="shared" si="48"/>
        <v>2011</v>
      </c>
      <c r="H63" s="84">
        <f t="shared" si="48"/>
        <v>2012</v>
      </c>
      <c r="I63" s="84">
        <f t="shared" si="48"/>
        <v>2013</v>
      </c>
      <c r="J63" s="84">
        <f t="shared" si="48"/>
        <v>2014</v>
      </c>
      <c r="K63" s="84">
        <f t="shared" si="48"/>
        <v>2015</v>
      </c>
      <c r="L63" s="84">
        <f t="shared" ref="L63" si="49">K63+1</f>
        <v>2016</v>
      </c>
      <c r="M63" s="84">
        <f t="shared" ref="M63" si="50">L63+1</f>
        <v>2017</v>
      </c>
      <c r="N63" s="84">
        <f t="shared" ref="N63" si="51">M63+1</f>
        <v>2018</v>
      </c>
    </row>
    <row r="64" spans="2:14" x14ac:dyDescent="0.3">
      <c r="B64" s="84">
        <v>2010</v>
      </c>
      <c r="C64" s="84"/>
      <c r="D64" s="84"/>
      <c r="E64" s="84"/>
      <c r="F64" s="84">
        <f>33.0763978971561+524.185699830687+80.6272701377668</f>
        <v>637.88936786560987</v>
      </c>
      <c r="G64" s="84">
        <f>(H65+J67+K68)/(G65+I67+J68)*F64</f>
        <v>573.10498787806875</v>
      </c>
      <c r="H64" s="84">
        <f>(I65+K67+L68)/(H65+J67+K68)*G64</f>
        <v>539.31923805468489</v>
      </c>
      <c r="I64" s="84">
        <f>(J65+L67+M68)/(I65+K67+L68)*H64</f>
        <v>631.80813033707</v>
      </c>
      <c r="J64" s="84">
        <f>(K65+M67+N68)/(J65+L67+M68)*I64</f>
        <v>578.44674361481998</v>
      </c>
      <c r="K64" s="84">
        <f t="shared" ref="K64" si="52">J64*J64/I64</f>
        <v>529.59216434913503</v>
      </c>
      <c r="L64" s="84">
        <f t="shared" ref="L64" si="53">K64*K64/J64</f>
        <v>484.86375562822957</v>
      </c>
      <c r="M64" s="84">
        <f t="shared" ref="M64" si="54">L64*L64/K64</f>
        <v>443.91302845433705</v>
      </c>
      <c r="N64" s="84">
        <f t="shared" ref="N64" si="55">M64*M64/L64</f>
        <v>406.4209265882854</v>
      </c>
    </row>
    <row r="65" spans="2:14" x14ac:dyDescent="0.3">
      <c r="B65" s="84">
        <v>2011</v>
      </c>
      <c r="C65" s="84"/>
      <c r="D65" s="84"/>
      <c r="E65" s="84"/>
      <c r="F65" s="84"/>
      <c r="G65" s="84">
        <v>61.630555621176285</v>
      </c>
      <c r="H65" s="84">
        <v>61.630555621176285</v>
      </c>
      <c r="I65" s="84">
        <v>61.630555621176285</v>
      </c>
      <c r="J65" s="84">
        <v>61.630555621176285</v>
      </c>
      <c r="K65" s="84">
        <v>61.630555621176285</v>
      </c>
      <c r="L65" s="84">
        <v>61.630555621176285</v>
      </c>
      <c r="M65" s="84">
        <v>61.630555621176285</v>
      </c>
      <c r="N65" s="84">
        <v>61.630555621176285</v>
      </c>
    </row>
    <row r="66" spans="2:14" x14ac:dyDescent="0.3">
      <c r="B66" s="84">
        <f t="shared" ref="B66:B69" si="56">B65+1</f>
        <v>2012</v>
      </c>
      <c r="C66" s="84"/>
      <c r="D66" s="84"/>
      <c r="E66" s="84"/>
      <c r="F66" s="84"/>
      <c r="G66" s="84">
        <v>0</v>
      </c>
      <c r="H66" s="84">
        <v>16.831347999999998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0</v>
      </c>
    </row>
    <row r="67" spans="2:14" x14ac:dyDescent="0.3">
      <c r="B67" s="84">
        <f t="shared" si="56"/>
        <v>2013</v>
      </c>
      <c r="C67" s="84"/>
      <c r="D67" s="84"/>
      <c r="E67" s="84"/>
      <c r="F67" s="84"/>
      <c r="G67" s="84"/>
      <c r="H67" s="84"/>
      <c r="I67" s="84">
        <v>2998.8827113599996</v>
      </c>
      <c r="J67" s="84">
        <v>2322.4120273439999</v>
      </c>
      <c r="K67" s="84">
        <v>2322.4120273439999</v>
      </c>
      <c r="L67" s="84">
        <v>2322.4120273439999</v>
      </c>
      <c r="M67" s="84">
        <v>690.41693174399995</v>
      </c>
      <c r="N67" s="84">
        <v>0</v>
      </c>
    </row>
    <row r="68" spans="2:14" x14ac:dyDescent="0.3">
      <c r="B68" s="84">
        <f t="shared" si="56"/>
        <v>2014</v>
      </c>
      <c r="C68" s="84"/>
      <c r="D68" s="84"/>
      <c r="E68" s="84"/>
      <c r="F68" s="84"/>
      <c r="G68" s="84"/>
      <c r="H68" s="84">
        <v>1133.9081999999999</v>
      </c>
      <c r="I68" s="84">
        <v>1466.1394249999998</v>
      </c>
      <c r="J68" s="84">
        <v>8195.2418231000011</v>
      </c>
      <c r="K68" s="84">
        <v>7728.5720951000003</v>
      </c>
      <c r="L68" s="84">
        <v>7132.4120951000004</v>
      </c>
      <c r="M68" s="84">
        <v>8764.4071910000002</v>
      </c>
      <c r="N68" s="84">
        <v>9454.824122</v>
      </c>
    </row>
    <row r="69" spans="2:14" x14ac:dyDescent="0.3">
      <c r="B69" s="84">
        <f t="shared" si="56"/>
        <v>2015</v>
      </c>
      <c r="C69" s="84"/>
      <c r="D69" s="84"/>
      <c r="E69" s="84"/>
      <c r="F69" s="84"/>
      <c r="G69" s="84"/>
      <c r="H69" s="84"/>
      <c r="I69" s="84"/>
      <c r="J69" s="84"/>
      <c r="K69" s="84">
        <v>1976.348</v>
      </c>
      <c r="L69" s="84">
        <v>1976.348</v>
      </c>
      <c r="M69" s="84">
        <v>1976.348</v>
      </c>
      <c r="N69" s="84">
        <v>1976.348</v>
      </c>
    </row>
    <row r="70" spans="2:14" s="84" customFormat="1" x14ac:dyDescent="0.3">
      <c r="B70" s="84">
        <v>2016</v>
      </c>
      <c r="L70" s="84">
        <f>$C$33*K69/SUM($K$43,$K$56,$K$69)</f>
        <v>1511.6565893248003</v>
      </c>
      <c r="M70" s="84">
        <f>L70</f>
        <v>1511.6565893248003</v>
      </c>
      <c r="N70" s="84">
        <f>M70</f>
        <v>1511.6565893248003</v>
      </c>
    </row>
    <row r="71" spans="2:14" x14ac:dyDescent="0.3">
      <c r="B71" s="84" t="s">
        <v>121</v>
      </c>
      <c r="C71" s="84">
        <f t="shared" ref="C71:J71" si="57">SUM(C64:C69)</f>
        <v>0</v>
      </c>
      <c r="D71" s="84">
        <f t="shared" si="57"/>
        <v>0</v>
      </c>
      <c r="E71" s="84">
        <f t="shared" si="57"/>
        <v>0</v>
      </c>
      <c r="F71" s="84">
        <f t="shared" si="57"/>
        <v>637.88936786560987</v>
      </c>
      <c r="G71" s="84">
        <f t="shared" si="57"/>
        <v>634.73554349924507</v>
      </c>
      <c r="H71" s="84">
        <f t="shared" si="57"/>
        <v>1751.6893416758612</v>
      </c>
      <c r="I71" s="84">
        <f t="shared" si="57"/>
        <v>5158.4608223182458</v>
      </c>
      <c r="J71" s="84">
        <f t="shared" si="57"/>
        <v>11157.731149679998</v>
      </c>
      <c r="K71" s="84">
        <f>SUM(K64:K70)</f>
        <v>12618.554842414311</v>
      </c>
      <c r="L71" s="84">
        <f t="shared" ref="L71:N71" si="58">SUM(L64:L70)</f>
        <v>13489.323023018207</v>
      </c>
      <c r="M71" s="84">
        <f t="shared" si="58"/>
        <v>13448.372296144315</v>
      </c>
      <c r="N71" s="84">
        <f t="shared" si="58"/>
        <v>13410.880193534262</v>
      </c>
    </row>
    <row r="74" spans="2:14" x14ac:dyDescent="0.3">
      <c r="B74" t="s">
        <v>152</v>
      </c>
      <c r="E74" t="s">
        <v>153</v>
      </c>
    </row>
    <row r="75" spans="2:14" x14ac:dyDescent="0.3">
      <c r="B75" t="s">
        <v>29</v>
      </c>
      <c r="C75" s="72">
        <f>AVERAGE('Monthly Data'!C$2:C$121)</f>
        <v>11651151.770083329</v>
      </c>
      <c r="D75">
        <f>C75/C$80</f>
        <v>0.29726984108594512</v>
      </c>
    </row>
    <row r="76" spans="2:14" x14ac:dyDescent="0.3">
      <c r="B76" t="s">
        <v>22</v>
      </c>
      <c r="C76" s="72">
        <f>AVERAGE('Monthly Data'!F$2:F$121)</f>
        <v>4073169.8379166671</v>
      </c>
      <c r="D76" s="84">
        <f t="shared" ref="D76:F80" si="59">C76/C$80</f>
        <v>0.10392367847637202</v>
      </c>
      <c r="E76" s="73">
        <f>C76</f>
        <v>4073169.8379166671</v>
      </c>
      <c r="F76" s="84">
        <f t="shared" si="59"/>
        <v>0.14788561036994294</v>
      </c>
    </row>
    <row r="77" spans="2:14" x14ac:dyDescent="0.3">
      <c r="B77" t="s">
        <v>30</v>
      </c>
      <c r="C77" s="72">
        <f>AVERAGE('Monthly Data'!I$2:I$121)</f>
        <v>9972726.6462499965</v>
      </c>
      <c r="D77" s="84">
        <f t="shared" si="59"/>
        <v>0.25444616324855446</v>
      </c>
      <c r="E77" s="73">
        <f t="shared" ref="E77:E79" si="60">C77</f>
        <v>9972726.6462499965</v>
      </c>
      <c r="F77" s="84">
        <f t="shared" si="59"/>
        <v>0.36208231569533883</v>
      </c>
    </row>
    <row r="78" spans="2:14" x14ac:dyDescent="0.3">
      <c r="B78" t="s">
        <v>36</v>
      </c>
      <c r="C78" s="72">
        <f>AVERAGE('Monthly Data'!L$2:L$121)</f>
        <v>5419680.2153333323</v>
      </c>
      <c r="D78" s="84">
        <f t="shared" si="59"/>
        <v>0.13827881639012055</v>
      </c>
      <c r="E78" s="73">
        <f t="shared" si="60"/>
        <v>5419680.2153333323</v>
      </c>
      <c r="F78" s="84">
        <f t="shared" si="59"/>
        <v>0.19677370415381912</v>
      </c>
    </row>
    <row r="79" spans="2:14" x14ac:dyDescent="0.3">
      <c r="B79" t="s">
        <v>34</v>
      </c>
      <c r="C79" s="72">
        <f>AVERAGE('Monthly Data'!O$2:O$121)</f>
        <v>8077128.9615000002</v>
      </c>
      <c r="D79" s="84">
        <f t="shared" si="59"/>
        <v>0.20608150079900792</v>
      </c>
      <c r="E79" s="73">
        <f t="shared" si="60"/>
        <v>8077128.9615000002</v>
      </c>
      <c r="F79" s="84">
        <f t="shared" si="59"/>
        <v>0.29325836978089914</v>
      </c>
    </row>
    <row r="80" spans="2:14" x14ac:dyDescent="0.3">
      <c r="B80" t="s">
        <v>121</v>
      </c>
      <c r="C80" s="73">
        <f>SUM(C75:C79)</f>
        <v>39193857.431083322</v>
      </c>
      <c r="D80" s="84">
        <f t="shared" si="59"/>
        <v>1</v>
      </c>
      <c r="E80" s="73">
        <f>SUM(E76:E79)</f>
        <v>27542705.660999995</v>
      </c>
      <c r="F80" s="84">
        <f t="shared" si="59"/>
        <v>1</v>
      </c>
    </row>
    <row r="81" spans="2:14" s="84" customFormat="1" x14ac:dyDescent="0.3">
      <c r="C81" s="73"/>
      <c r="E81" s="73"/>
    </row>
    <row r="82" spans="2:14" x14ac:dyDescent="0.3">
      <c r="C82" s="136" t="s">
        <v>140</v>
      </c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</row>
    <row r="83" spans="2:14" x14ac:dyDescent="0.3">
      <c r="B83" t="s">
        <v>29</v>
      </c>
      <c r="C83" s="84">
        <v>2007</v>
      </c>
      <c r="D83" s="84">
        <v>2008</v>
      </c>
      <c r="E83" s="84">
        <f>D83+1</f>
        <v>2009</v>
      </c>
      <c r="F83" s="84">
        <f t="shared" ref="F83" si="61">E83+1</f>
        <v>2010</v>
      </c>
      <c r="G83" s="84">
        <f t="shared" ref="G83" si="62">F83+1</f>
        <v>2011</v>
      </c>
      <c r="H83" s="84">
        <f t="shared" ref="H83" si="63">G83+1</f>
        <v>2012</v>
      </c>
      <c r="I83" s="84">
        <f t="shared" ref="I83" si="64">H83+1</f>
        <v>2013</v>
      </c>
      <c r="J83" s="84">
        <f t="shared" ref="J83" si="65">I83+1</f>
        <v>2014</v>
      </c>
      <c r="K83" s="84">
        <f t="shared" ref="K83" si="66">J83+1</f>
        <v>2015</v>
      </c>
      <c r="L83" s="84">
        <f t="shared" ref="L83" si="67">K83+1</f>
        <v>2016</v>
      </c>
      <c r="M83" s="84">
        <f t="shared" ref="M83" si="68">L83+1</f>
        <v>2017</v>
      </c>
      <c r="N83" s="84">
        <f t="shared" ref="N83" si="69">M83+1</f>
        <v>2018</v>
      </c>
    </row>
    <row r="84" spans="2:14" x14ac:dyDescent="0.3">
      <c r="B84" s="84">
        <v>2007</v>
      </c>
      <c r="C84">
        <f>C$25*$D$75/2</f>
        <v>139.22785163889611</v>
      </c>
      <c r="D84" s="84">
        <f t="shared" ref="D84:N84" si="70">D$25*$D$75</f>
        <v>208.80457323206531</v>
      </c>
      <c r="E84" s="84">
        <f t="shared" si="70"/>
        <v>200.23968157447158</v>
      </c>
      <c r="F84" s="84">
        <f t="shared" si="70"/>
        <v>200.23968157447158</v>
      </c>
      <c r="G84" s="84">
        <f t="shared" si="70"/>
        <v>200.11659496924082</v>
      </c>
      <c r="H84" s="84">
        <f t="shared" si="70"/>
        <v>194.09147107550135</v>
      </c>
      <c r="I84" s="84">
        <f t="shared" si="70"/>
        <v>194.09147107550135</v>
      </c>
      <c r="J84" s="84">
        <f t="shared" si="70"/>
        <v>194.09147107550135</v>
      </c>
      <c r="K84" s="84">
        <f t="shared" si="70"/>
        <v>68.676434513704152</v>
      </c>
      <c r="L84" s="84">
        <f t="shared" si="70"/>
        <v>47.989060881086523</v>
      </c>
      <c r="M84" s="84">
        <f t="shared" si="70"/>
        <v>26.998486918060923</v>
      </c>
      <c r="N84" s="84">
        <f t="shared" si="70"/>
        <v>26.998486918060923</v>
      </c>
    </row>
    <row r="85" spans="2:14" x14ac:dyDescent="0.3">
      <c r="B85" s="84">
        <v>2008</v>
      </c>
      <c r="C85" s="84">
        <f>C$26*$D$75</f>
        <v>0</v>
      </c>
      <c r="D85" s="84">
        <f>D$26*$D$75/2</f>
        <v>197.27418441887932</v>
      </c>
      <c r="E85" s="84">
        <f t="shared" ref="E85:N85" si="71">E$26*$D$75</f>
        <v>315.11159265393366</v>
      </c>
      <c r="F85" s="84">
        <f t="shared" si="71"/>
        <v>313.3703365217537</v>
      </c>
      <c r="G85" s="84">
        <f t="shared" si="71"/>
        <v>313.3703365217537</v>
      </c>
      <c r="H85" s="84">
        <f t="shared" si="71"/>
        <v>294.38757096819978</v>
      </c>
      <c r="I85" s="84">
        <f t="shared" si="71"/>
        <v>294.18728838546656</v>
      </c>
      <c r="J85" s="84">
        <f t="shared" si="71"/>
        <v>274.62860184843606</v>
      </c>
      <c r="K85" s="84">
        <f t="shared" si="71"/>
        <v>259.77537800862808</v>
      </c>
      <c r="L85" s="84">
        <f t="shared" si="71"/>
        <v>198.10866366210166</v>
      </c>
      <c r="M85" s="84">
        <f t="shared" si="71"/>
        <v>147.99123388782846</v>
      </c>
      <c r="N85" s="84">
        <f t="shared" si="71"/>
        <v>134.08589954327522</v>
      </c>
    </row>
    <row r="86" spans="2:14" x14ac:dyDescent="0.3">
      <c r="B86" s="84">
        <v>2009</v>
      </c>
      <c r="C86" s="84">
        <f>C$27*$D$75</f>
        <v>0</v>
      </c>
      <c r="D86" s="84">
        <f>D$27*$D$75</f>
        <v>0</v>
      </c>
      <c r="E86" s="84">
        <f>E$27*$D$75/2</f>
        <v>370.10777760380779</v>
      </c>
      <c r="F86" s="84">
        <f t="shared" ref="F86:N86" si="72">F$27*$D$75</f>
        <v>633.19454751478168</v>
      </c>
      <c r="G86" s="84">
        <f t="shared" si="72"/>
        <v>633.19454751478168</v>
      </c>
      <c r="H86" s="84">
        <f t="shared" si="72"/>
        <v>632.87298087910119</v>
      </c>
      <c r="I86" s="84">
        <f t="shared" si="72"/>
        <v>611.86616506422422</v>
      </c>
      <c r="J86" s="84">
        <f t="shared" si="72"/>
        <v>551.40195764888711</v>
      </c>
      <c r="K86" s="84">
        <f t="shared" si="72"/>
        <v>541.60511986004815</v>
      </c>
      <c r="L86" s="84">
        <f t="shared" si="72"/>
        <v>541.39135989022316</v>
      </c>
      <c r="M86" s="84">
        <f t="shared" si="72"/>
        <v>396.37800937401732</v>
      </c>
      <c r="N86" s="84">
        <f t="shared" si="72"/>
        <v>227.07086002548485</v>
      </c>
    </row>
    <row r="87" spans="2:14" x14ac:dyDescent="0.3">
      <c r="B87">
        <f>B86+1</f>
        <v>2010</v>
      </c>
      <c r="C87">
        <f>C38</f>
        <v>0</v>
      </c>
      <c r="D87" s="84">
        <f t="shared" ref="D87:L87" si="73">D38</f>
        <v>0</v>
      </c>
      <c r="E87" s="84">
        <f t="shared" si="73"/>
        <v>0</v>
      </c>
      <c r="F87" s="84">
        <f>F38/2</f>
        <v>201.57312965468225</v>
      </c>
      <c r="G87" s="84">
        <f t="shared" si="73"/>
        <v>390.51388575189912</v>
      </c>
      <c r="H87" s="84">
        <f t="shared" si="73"/>
        <v>381.50395415208231</v>
      </c>
      <c r="I87" s="84">
        <f t="shared" si="73"/>
        <v>375.6483460626178</v>
      </c>
      <c r="J87" s="84">
        <f t="shared" si="73"/>
        <v>336.36377066990417</v>
      </c>
      <c r="K87" s="84">
        <f t="shared" si="73"/>
        <v>255.04537309979938</v>
      </c>
      <c r="L87" s="84">
        <f t="shared" si="73"/>
        <v>226.33616941544466</v>
      </c>
      <c r="M87" s="84">
        <f t="shared" ref="M87:N87" si="74">M38</f>
        <v>200.85861963710789</v>
      </c>
      <c r="N87" s="84">
        <f t="shared" si="74"/>
        <v>178.2489523734574</v>
      </c>
    </row>
    <row r="88" spans="2:14" x14ac:dyDescent="0.3">
      <c r="B88" s="84">
        <f t="shared" ref="B88:B93" si="75">B87+1</f>
        <v>2011</v>
      </c>
      <c r="C88" s="84">
        <f t="shared" ref="C88:L88" si="76">C39</f>
        <v>0</v>
      </c>
      <c r="D88" s="84">
        <f t="shared" si="76"/>
        <v>0</v>
      </c>
      <c r="E88" s="84">
        <f t="shared" si="76"/>
        <v>0</v>
      </c>
      <c r="F88" s="84">
        <f t="shared" si="76"/>
        <v>0</v>
      </c>
      <c r="G88" s="84">
        <f>G39/2</f>
        <v>249.75743366319034</v>
      </c>
      <c r="H88" s="84">
        <f t="shared" si="76"/>
        <v>499.51486732638068</v>
      </c>
      <c r="I88" s="84">
        <f t="shared" si="76"/>
        <v>499.51486732638068</v>
      </c>
      <c r="J88" s="84">
        <f t="shared" si="76"/>
        <v>496.60687315263522</v>
      </c>
      <c r="K88" s="84">
        <f t="shared" si="76"/>
        <v>449.78828956788823</v>
      </c>
      <c r="L88" s="84">
        <f t="shared" si="76"/>
        <v>344.31166898854724</v>
      </c>
      <c r="M88" s="84">
        <f t="shared" ref="M88:N88" si="77">M39</f>
        <v>310.4408836735073</v>
      </c>
      <c r="N88" s="84">
        <f t="shared" si="77"/>
        <v>309.7188507849915</v>
      </c>
    </row>
    <row r="89" spans="2:14" x14ac:dyDescent="0.3">
      <c r="B89" s="84">
        <f t="shared" si="75"/>
        <v>2012</v>
      </c>
      <c r="C89" s="84">
        <f t="shared" ref="C89:L89" si="78">C40</f>
        <v>0</v>
      </c>
      <c r="D89" s="84">
        <f t="shared" si="78"/>
        <v>0</v>
      </c>
      <c r="E89" s="84">
        <f t="shared" si="78"/>
        <v>0</v>
      </c>
      <c r="F89" s="84">
        <f t="shared" si="78"/>
        <v>0</v>
      </c>
      <c r="G89" s="84">
        <f t="shared" si="78"/>
        <v>-19.614181799823267</v>
      </c>
      <c r="H89" s="84">
        <f>H40/2</f>
        <v>171.78712087574178</v>
      </c>
      <c r="I89" s="84">
        <f t="shared" si="78"/>
        <v>343.57424191933023</v>
      </c>
      <c r="J89" s="84">
        <f t="shared" si="78"/>
        <v>343.57424191933023</v>
      </c>
      <c r="K89" s="84">
        <f t="shared" si="78"/>
        <v>342.19142204787772</v>
      </c>
      <c r="L89" s="84">
        <f t="shared" si="78"/>
        <v>272.55558081832316</v>
      </c>
      <c r="M89" s="84">
        <f t="shared" ref="M89:N89" si="79">M40</f>
        <v>180.79777780873792</v>
      </c>
      <c r="N89" s="84">
        <f t="shared" si="79"/>
        <v>155.55957447028425</v>
      </c>
    </row>
    <row r="90" spans="2:14" x14ac:dyDescent="0.3">
      <c r="B90" s="84">
        <f t="shared" si="75"/>
        <v>2013</v>
      </c>
      <c r="C90" s="84">
        <f t="shared" ref="C90:L90" si="80">C41</f>
        <v>0</v>
      </c>
      <c r="D90" s="84">
        <f t="shared" si="80"/>
        <v>0</v>
      </c>
      <c r="E90" s="84">
        <f t="shared" si="80"/>
        <v>0</v>
      </c>
      <c r="F90" s="84">
        <f t="shared" si="80"/>
        <v>0</v>
      </c>
      <c r="G90" s="84">
        <f t="shared" si="80"/>
        <v>0</v>
      </c>
      <c r="H90" s="84">
        <f t="shared" si="80"/>
        <v>1.3245401421849126</v>
      </c>
      <c r="I90" s="84">
        <f>I41/2</f>
        <v>189.45938719503809</v>
      </c>
      <c r="J90" s="84">
        <f t="shared" si="80"/>
        <v>376.52607796368426</v>
      </c>
      <c r="K90" s="84">
        <f t="shared" si="80"/>
        <v>371.5993472428832</v>
      </c>
      <c r="L90" s="84">
        <f t="shared" si="80"/>
        <v>349.86150847563516</v>
      </c>
      <c r="M90" s="84">
        <f t="shared" ref="M90:N90" si="81">M41</f>
        <v>307.24879382471727</v>
      </c>
      <c r="N90" s="84">
        <f t="shared" si="81"/>
        <v>255.57167311497892</v>
      </c>
    </row>
    <row r="91" spans="2:14" x14ac:dyDescent="0.3">
      <c r="B91" s="84">
        <f t="shared" si="75"/>
        <v>2014</v>
      </c>
      <c r="C91" s="84">
        <f t="shared" ref="C91:L91" si="82">C42</f>
        <v>0</v>
      </c>
      <c r="D91" s="84">
        <f t="shared" si="82"/>
        <v>0</v>
      </c>
      <c r="E91" s="84">
        <f t="shared" si="82"/>
        <v>0</v>
      </c>
      <c r="F91" s="84">
        <f t="shared" si="82"/>
        <v>0</v>
      </c>
      <c r="G91" s="84">
        <f t="shared" si="82"/>
        <v>8.1270000000000007</v>
      </c>
      <c r="H91" s="84">
        <f t="shared" si="82"/>
        <v>8.1270000000000007</v>
      </c>
      <c r="I91" s="84">
        <f t="shared" si="82"/>
        <v>38.760555085999997</v>
      </c>
      <c r="J91" s="84">
        <f>J42/2</f>
        <v>456.67080984797241</v>
      </c>
      <c r="K91" s="84">
        <f t="shared" si="82"/>
        <v>848.82427530094492</v>
      </c>
      <c r="L91" s="84">
        <f t="shared" si="82"/>
        <v>806.02799601994491</v>
      </c>
      <c r="M91" s="84">
        <f t="shared" ref="M91:N91" si="83">M42</f>
        <v>801.04118103174494</v>
      </c>
      <c r="N91" s="84">
        <f t="shared" si="83"/>
        <v>752.02925090435031</v>
      </c>
    </row>
    <row r="92" spans="2:14" x14ac:dyDescent="0.3">
      <c r="B92" s="84">
        <f t="shared" si="75"/>
        <v>2015</v>
      </c>
      <c r="C92" s="84">
        <f t="shared" ref="C92:L92" si="84">C43</f>
        <v>0</v>
      </c>
      <c r="D92" s="84">
        <f t="shared" si="84"/>
        <v>0</v>
      </c>
      <c r="E92" s="84">
        <f t="shared" si="84"/>
        <v>0</v>
      </c>
      <c r="F92" s="84">
        <f t="shared" si="84"/>
        <v>0</v>
      </c>
      <c r="G92" s="84">
        <f t="shared" si="84"/>
        <v>0</v>
      </c>
      <c r="H92" s="84">
        <f t="shared" si="84"/>
        <v>0</v>
      </c>
      <c r="I92" s="84">
        <f t="shared" si="84"/>
        <v>0</v>
      </c>
      <c r="J92" s="84">
        <f t="shared" si="84"/>
        <v>0</v>
      </c>
      <c r="K92" s="84">
        <f>K43/2</f>
        <v>651.84450000000004</v>
      </c>
      <c r="L92" s="84">
        <f t="shared" si="84"/>
        <v>1282.04</v>
      </c>
      <c r="M92" s="84">
        <f t="shared" ref="M92:N92" si="85">M43</f>
        <v>1279.3989999999999</v>
      </c>
      <c r="N92" s="84">
        <f t="shared" si="85"/>
        <v>1276.55</v>
      </c>
    </row>
    <row r="93" spans="2:14" x14ac:dyDescent="0.3">
      <c r="B93" s="84">
        <f t="shared" si="75"/>
        <v>2016</v>
      </c>
      <c r="C93" s="84">
        <f t="shared" ref="C93:K93" si="86">C44</f>
        <v>0</v>
      </c>
      <c r="D93" s="84">
        <f t="shared" si="86"/>
        <v>0</v>
      </c>
      <c r="E93" s="84">
        <f t="shared" si="86"/>
        <v>0</v>
      </c>
      <c r="F93" s="84">
        <f t="shared" si="86"/>
        <v>0</v>
      </c>
      <c r="G93" s="84">
        <f t="shared" si="86"/>
        <v>0</v>
      </c>
      <c r="H93" s="84">
        <f t="shared" si="86"/>
        <v>0</v>
      </c>
      <c r="I93" s="84">
        <f t="shared" si="86"/>
        <v>0</v>
      </c>
      <c r="J93" s="84">
        <f t="shared" si="86"/>
        <v>0</v>
      </c>
      <c r="K93" s="84">
        <f t="shared" si="86"/>
        <v>0</v>
      </c>
      <c r="L93" s="84">
        <f>L44/2</f>
        <v>498.57870862830327</v>
      </c>
      <c r="M93" s="84">
        <f t="shared" ref="M93:N93" si="87">M44/2</f>
        <v>498.57870862830327</v>
      </c>
      <c r="N93" s="84">
        <f t="shared" si="87"/>
        <v>498.57870862830327</v>
      </c>
    </row>
    <row r="94" spans="2:14" x14ac:dyDescent="0.3">
      <c r="B94" s="84" t="s">
        <v>121</v>
      </c>
      <c r="C94" s="84">
        <f t="shared" ref="C94:K94" si="88">SUM(C84:C93)</f>
        <v>139.22785163889611</v>
      </c>
      <c r="D94" s="84">
        <f t="shared" si="88"/>
        <v>406.07875765094462</v>
      </c>
      <c r="E94" s="84">
        <f t="shared" si="88"/>
        <v>885.45905183221305</v>
      </c>
      <c r="F94" s="84">
        <f t="shared" si="88"/>
        <v>1348.3776952656895</v>
      </c>
      <c r="G94" s="84">
        <f t="shared" si="88"/>
        <v>1775.4656166210423</v>
      </c>
      <c r="H94" s="84">
        <f t="shared" si="88"/>
        <v>2183.6095054191924</v>
      </c>
      <c r="I94" s="84">
        <f t="shared" si="88"/>
        <v>2547.1023221145588</v>
      </c>
      <c r="J94" s="84">
        <f t="shared" si="88"/>
        <v>3029.8638041263512</v>
      </c>
      <c r="K94" s="84">
        <f t="shared" si="88"/>
        <v>3789.3501396417741</v>
      </c>
      <c r="L94" s="84">
        <f>SUM(L84:L93)</f>
        <v>4567.20071677961</v>
      </c>
      <c r="M94" s="84">
        <f t="shared" ref="M94:N94" si="89">SUM(M84:M93)</f>
        <v>4149.7326947840256</v>
      </c>
      <c r="N94" s="84">
        <f t="shared" si="89"/>
        <v>3814.4122567631866</v>
      </c>
    </row>
    <row r="96" spans="2:14" x14ac:dyDescent="0.3">
      <c r="B96" s="84"/>
      <c r="C96" s="136" t="s">
        <v>140</v>
      </c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</row>
    <row r="97" spans="2:14" x14ac:dyDescent="0.3">
      <c r="B97" s="84" t="s">
        <v>22</v>
      </c>
      <c r="C97" s="84">
        <v>2007</v>
      </c>
      <c r="D97" s="84">
        <v>2008</v>
      </c>
      <c r="E97" s="84">
        <f>D97+1</f>
        <v>2009</v>
      </c>
      <c r="F97" s="84">
        <f t="shared" ref="F97" si="90">E97+1</f>
        <v>2010</v>
      </c>
      <c r="G97" s="84">
        <f t="shared" ref="G97" si="91">F97+1</f>
        <v>2011</v>
      </c>
      <c r="H97" s="84">
        <f t="shared" ref="H97" si="92">G97+1</f>
        <v>2012</v>
      </c>
      <c r="I97" s="84">
        <f t="shared" ref="I97" si="93">H97+1</f>
        <v>2013</v>
      </c>
      <c r="J97" s="84">
        <f t="shared" ref="J97" si="94">I97+1</f>
        <v>2014</v>
      </c>
      <c r="K97" s="84">
        <f t="shared" ref="K97" si="95">J97+1</f>
        <v>2015</v>
      </c>
      <c r="L97" s="84">
        <f t="shared" ref="L97" si="96">K97+1</f>
        <v>2016</v>
      </c>
      <c r="M97" s="84">
        <f t="shared" ref="M97" si="97">L97+1</f>
        <v>2017</v>
      </c>
      <c r="N97" s="84">
        <f t="shared" ref="N97" si="98">M97+1</f>
        <v>2018</v>
      </c>
    </row>
    <row r="98" spans="2:14" x14ac:dyDescent="0.3">
      <c r="B98" s="84">
        <v>2007</v>
      </c>
      <c r="C98" s="84">
        <f>C$25*$D$76/2</f>
        <v>48.673186744475167</v>
      </c>
      <c r="D98" s="84">
        <f t="shared" ref="D98:N98" si="99">D$25*$D$76</f>
        <v>72.99677375173593</v>
      </c>
      <c r="E98" s="84">
        <f t="shared" si="99"/>
        <v>70.002541159700499</v>
      </c>
      <c r="F98" s="84">
        <f t="shared" si="99"/>
        <v>70.002541159700499</v>
      </c>
      <c r="G98" s="84">
        <f t="shared" si="99"/>
        <v>69.95951085181585</v>
      </c>
      <c r="H98" s="84">
        <f t="shared" si="99"/>
        <v>67.853165196212458</v>
      </c>
      <c r="I98" s="84">
        <f t="shared" si="99"/>
        <v>67.853165196212458</v>
      </c>
      <c r="J98" s="84">
        <f t="shared" si="99"/>
        <v>67.853165196212458</v>
      </c>
      <c r="K98" s="84">
        <f t="shared" si="99"/>
        <v>24.008852271167211</v>
      </c>
      <c r="L98" s="84">
        <f t="shared" si="99"/>
        <v>16.776675747430442</v>
      </c>
      <c r="M98" s="84">
        <f t="shared" si="99"/>
        <v>9.4385022832165006</v>
      </c>
      <c r="N98" s="84">
        <f t="shared" si="99"/>
        <v>9.4385022832165006</v>
      </c>
    </row>
    <row r="99" spans="2:14" x14ac:dyDescent="0.3">
      <c r="B99" s="84">
        <v>2008</v>
      </c>
      <c r="C99" s="84">
        <f>C$26*$D$76</f>
        <v>0</v>
      </c>
      <c r="D99" s="84">
        <f>D$26*$D$76/2</f>
        <v>68.965821888769582</v>
      </c>
      <c r="E99" s="84">
        <f t="shared" ref="E99:N99" si="100">E$26*$D$76</f>
        <v>110.16104331174688</v>
      </c>
      <c r="F99" s="84">
        <f t="shared" si="100"/>
        <v>109.5523110509678</v>
      </c>
      <c r="G99" s="84">
        <f t="shared" si="100"/>
        <v>109.5523110509678</v>
      </c>
      <c r="H99" s="84">
        <f t="shared" si="100"/>
        <v>102.9160548576948</v>
      </c>
      <c r="I99" s="84">
        <f t="shared" si="100"/>
        <v>102.84603731855813</v>
      </c>
      <c r="J99" s="84">
        <f t="shared" si="100"/>
        <v>96.008442749027466</v>
      </c>
      <c r="K99" s="84">
        <f t="shared" si="100"/>
        <v>90.815848528816929</v>
      </c>
      <c r="L99" s="84">
        <f t="shared" si="100"/>
        <v>69.257550616618488</v>
      </c>
      <c r="M99" s="84">
        <f t="shared" si="100"/>
        <v>51.736810406655849</v>
      </c>
      <c r="N99" s="84">
        <f t="shared" si="100"/>
        <v>46.875592429578894</v>
      </c>
    </row>
    <row r="100" spans="2:14" x14ac:dyDescent="0.3">
      <c r="B100" s="84">
        <v>2009</v>
      </c>
      <c r="C100" s="84">
        <f>C$27*$D$76</f>
        <v>0</v>
      </c>
      <c r="D100" s="84">
        <f>D$27*$D$76</f>
        <v>0</v>
      </c>
      <c r="E100" s="84">
        <f>E$27*$D$76/2</f>
        <v>129.38736583837482</v>
      </c>
      <c r="F100" s="84">
        <f t="shared" ref="F100:N100" si="101">F$27*$D$76</f>
        <v>221.36085627970968</v>
      </c>
      <c r="G100" s="84">
        <f t="shared" si="101"/>
        <v>221.36085627970968</v>
      </c>
      <c r="H100" s="84">
        <f t="shared" si="101"/>
        <v>221.24843859370054</v>
      </c>
      <c r="I100" s="84">
        <f t="shared" si="101"/>
        <v>213.90458707959263</v>
      </c>
      <c r="J100" s="84">
        <f t="shared" si="101"/>
        <v>192.76667807474516</v>
      </c>
      <c r="K100" s="84">
        <f t="shared" si="101"/>
        <v>189.34176481501726</v>
      </c>
      <c r="L100" s="84">
        <f t="shared" si="101"/>
        <v>189.26703566558834</v>
      </c>
      <c r="M100" s="84">
        <f t="shared" si="101"/>
        <v>138.5712746735725</v>
      </c>
      <c r="N100" s="84">
        <f t="shared" si="101"/>
        <v>79.382553448532377</v>
      </c>
    </row>
    <row r="101" spans="2:14" x14ac:dyDescent="0.3">
      <c r="B101" s="84">
        <f>B100+1</f>
        <v>2010</v>
      </c>
      <c r="C101" s="84">
        <f>($C51+$C64)*$F$76</f>
        <v>0</v>
      </c>
      <c r="D101" s="84">
        <f t="shared" ref="D101:L101" si="102">(D51+D64)*$F$76</f>
        <v>0</v>
      </c>
      <c r="E101" s="84">
        <f t="shared" si="102"/>
        <v>0</v>
      </c>
      <c r="F101" s="84">
        <f>(F51+F64)*$F$76/2</f>
        <v>87.85276775996887</v>
      </c>
      <c r="G101" s="84">
        <f t="shared" si="102"/>
        <v>165.56125203890062</v>
      </c>
      <c r="H101" s="84">
        <f t="shared" si="102"/>
        <v>159.08417072121418</v>
      </c>
      <c r="I101" s="84">
        <f t="shared" si="102"/>
        <v>169.78724682656269</v>
      </c>
      <c r="J101" s="84">
        <f t="shared" si="102"/>
        <v>158.15428965584886</v>
      </c>
      <c r="K101" s="84">
        <f t="shared" si="102"/>
        <v>147.01796725904481</v>
      </c>
      <c r="L101" s="84">
        <f t="shared" si="102"/>
        <v>133.88819933234257</v>
      </c>
      <c r="M101" s="84">
        <f t="shared" ref="M101:N101" si="103">(M51+M64)*$F$76</f>
        <v>121.93495555869301</v>
      </c>
      <c r="N101" s="84">
        <f t="shared" si="103"/>
        <v>111.05245724254304</v>
      </c>
    </row>
    <row r="102" spans="2:14" x14ac:dyDescent="0.3">
      <c r="B102" s="84">
        <f t="shared" ref="B102:B107" si="104">B101+1</f>
        <v>2011</v>
      </c>
      <c r="C102" s="84">
        <f t="shared" ref="C102:L102" si="105">(C52+C65)*$F$76</f>
        <v>0</v>
      </c>
      <c r="D102" s="84">
        <f t="shared" si="105"/>
        <v>0</v>
      </c>
      <c r="E102" s="84">
        <f t="shared" si="105"/>
        <v>0</v>
      </c>
      <c r="F102" s="84">
        <f t="shared" si="105"/>
        <v>0</v>
      </c>
      <c r="G102" s="84">
        <f>(G52+G65)*$F$76/2</f>
        <v>44.417342053477952</v>
      </c>
      <c r="H102" s="84">
        <f t="shared" si="105"/>
        <v>88.810888522939393</v>
      </c>
      <c r="I102" s="84">
        <f t="shared" si="105"/>
        <v>88.42858762135927</v>
      </c>
      <c r="J102" s="84">
        <f t="shared" si="105"/>
        <v>80.273310582300255</v>
      </c>
      <c r="K102" s="84">
        <f t="shared" si="105"/>
        <v>80.273310582300255</v>
      </c>
      <c r="L102" s="84">
        <f t="shared" si="105"/>
        <v>80.256668381858262</v>
      </c>
      <c r="M102" s="84">
        <f t="shared" ref="M102:N102" si="106">(M52+M65)*$F$76</f>
        <v>63.723028881026508</v>
      </c>
      <c r="N102" s="84">
        <f t="shared" si="106"/>
        <v>63.581189038649072</v>
      </c>
    </row>
    <row r="103" spans="2:14" x14ac:dyDescent="0.3">
      <c r="B103" s="84">
        <f t="shared" si="104"/>
        <v>2012</v>
      </c>
      <c r="C103" s="84">
        <f t="shared" ref="C103:L103" si="107">(C53+C66)*$F$76</f>
        <v>0</v>
      </c>
      <c r="D103" s="84">
        <f t="shared" si="107"/>
        <v>0</v>
      </c>
      <c r="E103" s="84">
        <f t="shared" si="107"/>
        <v>0</v>
      </c>
      <c r="F103" s="84">
        <f t="shared" si="107"/>
        <v>0</v>
      </c>
      <c r="G103" s="84">
        <f t="shared" si="107"/>
        <v>28.953959253373103</v>
      </c>
      <c r="H103" s="84">
        <f>(H53+H66)*$F$76/2</f>
        <v>210.6659375887682</v>
      </c>
      <c r="I103" s="84">
        <f t="shared" si="107"/>
        <v>412.60888257789628</v>
      </c>
      <c r="J103" s="84">
        <f t="shared" si="107"/>
        <v>408.88785951738242</v>
      </c>
      <c r="K103" s="84">
        <f t="shared" si="107"/>
        <v>391.37588866840821</v>
      </c>
      <c r="L103" s="84">
        <f t="shared" si="107"/>
        <v>379.09962595575246</v>
      </c>
      <c r="M103" s="84">
        <f t="shared" ref="M103:N103" si="108">(M53+M66)*$F$76</f>
        <v>348.5111723930886</v>
      </c>
      <c r="N103" s="84">
        <f t="shared" si="108"/>
        <v>325.24684919750069</v>
      </c>
    </row>
    <row r="104" spans="2:14" x14ac:dyDescent="0.3">
      <c r="B104" s="84">
        <f t="shared" si="104"/>
        <v>2013</v>
      </c>
      <c r="C104" s="84">
        <f t="shared" ref="C104:L104" si="109">(C54+C67)*$F$76</f>
        <v>0</v>
      </c>
      <c r="D104" s="84">
        <f t="shared" si="109"/>
        <v>0</v>
      </c>
      <c r="E104" s="84">
        <f t="shared" si="109"/>
        <v>0</v>
      </c>
      <c r="F104" s="84">
        <f t="shared" si="109"/>
        <v>0</v>
      </c>
      <c r="G104" s="84">
        <f t="shared" si="109"/>
        <v>0</v>
      </c>
      <c r="H104" s="84">
        <f t="shared" si="109"/>
        <v>5.1238998406702807</v>
      </c>
      <c r="I104" s="84">
        <f>(I54+I67)*$F$76/2</f>
        <v>408.35411976458562</v>
      </c>
      <c r="J104" s="84">
        <f t="shared" si="109"/>
        <v>716.47938803071884</v>
      </c>
      <c r="K104" s="84">
        <f t="shared" si="109"/>
        <v>714.38520527051389</v>
      </c>
      <c r="L104" s="84">
        <f t="shared" si="109"/>
        <v>707.83536988646642</v>
      </c>
      <c r="M104" s="84">
        <f t="shared" ref="M104:N104" si="110">(M54+M67)*$F$76</f>
        <v>438.24041569844343</v>
      </c>
      <c r="N104" s="84">
        <f t="shared" si="110"/>
        <v>324.38054089777563</v>
      </c>
    </row>
    <row r="105" spans="2:14" x14ac:dyDescent="0.3">
      <c r="B105" s="84">
        <f t="shared" si="104"/>
        <v>2014</v>
      </c>
      <c r="C105" s="84">
        <f t="shared" ref="C105:L105" si="111">(C55+C68)*$F$76</f>
        <v>0</v>
      </c>
      <c r="D105" s="84">
        <f t="shared" si="111"/>
        <v>0</v>
      </c>
      <c r="E105" s="84">
        <f t="shared" si="111"/>
        <v>0</v>
      </c>
      <c r="F105" s="84">
        <f t="shared" si="111"/>
        <v>0</v>
      </c>
      <c r="G105" s="84">
        <f t="shared" si="111"/>
        <v>0</v>
      </c>
      <c r="H105" s="84">
        <f t="shared" si="111"/>
        <v>170.71060082278271</v>
      </c>
      <c r="I105" s="84">
        <f t="shared" si="111"/>
        <v>221.54023789127763</v>
      </c>
      <c r="J105" s="84">
        <f>(J55+J68)*$F$76/2</f>
        <v>744.66004587727002</v>
      </c>
      <c r="K105" s="84">
        <f t="shared" si="111"/>
        <v>1418.7932044613281</v>
      </c>
      <c r="L105" s="84">
        <f t="shared" si="111"/>
        <v>1315.9170135778011</v>
      </c>
      <c r="M105" s="84">
        <f t="shared" ref="M105:N105" si="112">(M55+M68)*$F$76</f>
        <v>1535.9639222310691</v>
      </c>
      <c r="N105" s="84">
        <f t="shared" si="112"/>
        <v>1637.9858758866499</v>
      </c>
    </row>
    <row r="106" spans="2:14" x14ac:dyDescent="0.3">
      <c r="B106" s="84">
        <f t="shared" si="104"/>
        <v>2015</v>
      </c>
      <c r="C106" s="84">
        <f t="shared" ref="C106:L106" si="113">(C56+C69)*$F$76</f>
        <v>0</v>
      </c>
      <c r="D106" s="84">
        <f t="shared" si="113"/>
        <v>0</v>
      </c>
      <c r="E106" s="84">
        <f t="shared" si="113"/>
        <v>0</v>
      </c>
      <c r="F106" s="84">
        <f t="shared" si="113"/>
        <v>0</v>
      </c>
      <c r="G106" s="84">
        <f t="shared" si="113"/>
        <v>0</v>
      </c>
      <c r="H106" s="84">
        <f t="shared" si="113"/>
        <v>0</v>
      </c>
      <c r="I106" s="84">
        <f t="shared" si="113"/>
        <v>0</v>
      </c>
      <c r="J106" s="84">
        <f t="shared" si="113"/>
        <v>0</v>
      </c>
      <c r="K106" s="84">
        <f>(K56+K69)*$F$76/2</f>
        <v>337.66092901924992</v>
      </c>
      <c r="L106" s="84">
        <f t="shared" si="113"/>
        <v>673.2360793898423</v>
      </c>
      <c r="M106" s="84">
        <f t="shared" ref="M106:N106" si="114">(M56+M69)*$F$76</f>
        <v>656.95831025642269</v>
      </c>
      <c r="N106" s="84">
        <f t="shared" si="114"/>
        <v>656.91542342941534</v>
      </c>
    </row>
    <row r="107" spans="2:14" x14ac:dyDescent="0.3">
      <c r="B107" s="84">
        <f t="shared" si="104"/>
        <v>2016</v>
      </c>
      <c r="C107" s="84">
        <f t="shared" ref="C107:K107" si="115">(C57+C70)*$F$76</f>
        <v>0</v>
      </c>
      <c r="D107" s="84">
        <f t="shared" si="115"/>
        <v>0</v>
      </c>
      <c r="E107" s="84">
        <f t="shared" si="115"/>
        <v>0</v>
      </c>
      <c r="F107" s="84">
        <f t="shared" si="115"/>
        <v>0</v>
      </c>
      <c r="G107" s="84">
        <f t="shared" si="115"/>
        <v>0</v>
      </c>
      <c r="H107" s="84">
        <f t="shared" si="115"/>
        <v>0</v>
      </c>
      <c r="I107" s="84">
        <f t="shared" si="115"/>
        <v>0</v>
      </c>
      <c r="J107" s="84">
        <f t="shared" si="115"/>
        <v>0</v>
      </c>
      <c r="K107" s="84">
        <f t="shared" si="115"/>
        <v>0</v>
      </c>
      <c r="L107" s="84">
        <f>(L57+L70)*$F$76/2</f>
        <v>258.26796106226379</v>
      </c>
      <c r="M107" s="84">
        <f t="shared" ref="M107:N107" si="116">(M57+M70)*$F$76/2</f>
        <v>258.26796106226379</v>
      </c>
      <c r="N107" s="84">
        <f t="shared" si="116"/>
        <v>258.26796106226379</v>
      </c>
    </row>
    <row r="108" spans="2:14" x14ac:dyDescent="0.3">
      <c r="B108" s="84" t="s">
        <v>121</v>
      </c>
      <c r="C108" s="84">
        <f t="shared" ref="C108" si="117">SUM(C98:C107)</f>
        <v>48.673186744475167</v>
      </c>
      <c r="D108" s="84">
        <f t="shared" ref="D108" si="118">SUM(D98:D107)</f>
        <v>141.96259564050553</v>
      </c>
      <c r="E108" s="84">
        <f t="shared" ref="E108" si="119">SUM(E98:E107)</f>
        <v>309.55095030982221</v>
      </c>
      <c r="F108" s="84">
        <f t="shared" ref="F108" si="120">SUM(F98:F107)</f>
        <v>488.76847625034679</v>
      </c>
      <c r="G108" s="84">
        <f t="shared" ref="G108" si="121">SUM(G98:G107)</f>
        <v>639.80523152824503</v>
      </c>
      <c r="H108" s="84">
        <f t="shared" ref="H108" si="122">SUM(H98:H107)</f>
        <v>1026.4131561439826</v>
      </c>
      <c r="I108" s="84">
        <f t="shared" ref="I108" si="123">SUM(I98:I107)</f>
        <v>1685.3228642760448</v>
      </c>
      <c r="J108" s="84">
        <f t="shared" ref="J108" si="124">SUM(J98:J107)</f>
        <v>2465.0831796835055</v>
      </c>
      <c r="K108" s="84">
        <f t="shared" ref="K108" si="125">SUM(K98:K107)</f>
        <v>3393.6729708758467</v>
      </c>
      <c r="L108" s="84">
        <f>SUM(L98:L107)</f>
        <v>3823.8021796159637</v>
      </c>
      <c r="M108" s="84">
        <f t="shared" ref="M108:N108" si="126">SUM(M98:M107)</f>
        <v>3623.3463534444518</v>
      </c>
      <c r="N108" s="84">
        <f t="shared" si="126"/>
        <v>3513.1269449161255</v>
      </c>
    </row>
    <row r="110" spans="2:14" x14ac:dyDescent="0.3">
      <c r="B110" s="84"/>
      <c r="C110" s="136" t="s">
        <v>140</v>
      </c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</row>
    <row r="111" spans="2:14" x14ac:dyDescent="0.3">
      <c r="B111" s="84" t="s">
        <v>30</v>
      </c>
      <c r="C111" s="84">
        <v>2007</v>
      </c>
      <c r="D111" s="84">
        <v>2008</v>
      </c>
      <c r="E111" s="84">
        <f>D111+1</f>
        <v>2009</v>
      </c>
      <c r="F111" s="84">
        <f t="shared" ref="F111" si="127">E111+1</f>
        <v>2010</v>
      </c>
      <c r="G111" s="84">
        <f t="shared" ref="G111" si="128">F111+1</f>
        <v>2011</v>
      </c>
      <c r="H111" s="84">
        <f t="shared" ref="H111" si="129">G111+1</f>
        <v>2012</v>
      </c>
      <c r="I111" s="84">
        <f t="shared" ref="I111" si="130">H111+1</f>
        <v>2013</v>
      </c>
      <c r="J111" s="84">
        <f t="shared" ref="J111" si="131">I111+1</f>
        <v>2014</v>
      </c>
      <c r="K111" s="84">
        <f t="shared" ref="K111" si="132">J111+1</f>
        <v>2015</v>
      </c>
      <c r="L111" s="84">
        <f t="shared" ref="L111" si="133">K111+1</f>
        <v>2016</v>
      </c>
      <c r="M111" s="84">
        <f t="shared" ref="M111" si="134">L111+1</f>
        <v>2017</v>
      </c>
      <c r="N111" s="84">
        <f t="shared" ref="N111" si="135">M111+1</f>
        <v>2018</v>
      </c>
    </row>
    <row r="112" spans="2:14" x14ac:dyDescent="0.3">
      <c r="B112" s="84">
        <v>2007</v>
      </c>
      <c r="C112" s="84">
        <f>C$25*$D$77/2</f>
        <v>119.17116293211156</v>
      </c>
      <c r="D112" s="84">
        <f t="shared" ref="D112:N112" si="136">D$25*$D$77</f>
        <v>178.72489968563713</v>
      </c>
      <c r="E112" s="84">
        <f t="shared" si="136"/>
        <v>171.39383706269112</v>
      </c>
      <c r="F112" s="84">
        <f t="shared" si="136"/>
        <v>171.39383706269112</v>
      </c>
      <c r="G112" s="84">
        <f t="shared" si="136"/>
        <v>171.28848189334784</v>
      </c>
      <c r="H112" s="84">
        <f t="shared" si="136"/>
        <v>166.13131676600494</v>
      </c>
      <c r="I112" s="84">
        <f t="shared" si="136"/>
        <v>166.13131676600494</v>
      </c>
      <c r="J112" s="84">
        <f t="shared" si="136"/>
        <v>166.13131676600494</v>
      </c>
      <c r="K112" s="84">
        <f t="shared" si="136"/>
        <v>58.783141955360698</v>
      </c>
      <c r="L112" s="84">
        <f t="shared" si="136"/>
        <v>41.07592070049072</v>
      </c>
      <c r="M112" s="84">
        <f t="shared" si="136"/>
        <v>23.109177119083434</v>
      </c>
      <c r="N112" s="84">
        <f t="shared" si="136"/>
        <v>23.109177119083434</v>
      </c>
    </row>
    <row r="113" spans="2:14" x14ac:dyDescent="0.3">
      <c r="B113" s="84">
        <v>2008</v>
      </c>
      <c r="C113" s="84">
        <f>C$26*$D$77</f>
        <v>0</v>
      </c>
      <c r="D113" s="84">
        <f>D$26*$D$77/2</f>
        <v>168.85553929723832</v>
      </c>
      <c r="E113" s="84">
        <f t="shared" ref="E113:N113" si="137">E$26*$D$77</f>
        <v>269.71769303282224</v>
      </c>
      <c r="F113" s="84">
        <f t="shared" si="137"/>
        <v>268.22727631093852</v>
      </c>
      <c r="G113" s="84">
        <f t="shared" si="137"/>
        <v>268.22727631093852</v>
      </c>
      <c r="H113" s="84">
        <f t="shared" si="137"/>
        <v>251.97910311817876</v>
      </c>
      <c r="I113" s="84">
        <f t="shared" si="137"/>
        <v>251.80767256015167</v>
      </c>
      <c r="J113" s="84">
        <f t="shared" si="137"/>
        <v>235.06654359345723</v>
      </c>
      <c r="K113" s="84">
        <f t="shared" si="137"/>
        <v>222.35302444161556</v>
      </c>
      <c r="L113" s="84">
        <f t="shared" si="137"/>
        <v>169.56980631125103</v>
      </c>
      <c r="M113" s="84">
        <f t="shared" si="137"/>
        <v>126.67212226984894</v>
      </c>
      <c r="N113" s="84">
        <f t="shared" si="137"/>
        <v>114.7699428905523</v>
      </c>
    </row>
    <row r="114" spans="2:14" x14ac:dyDescent="0.3">
      <c r="B114" s="84">
        <v>2009</v>
      </c>
      <c r="C114" s="84">
        <f>C$27*$D$77</f>
        <v>0</v>
      </c>
      <c r="D114" s="84">
        <f>D$27*$D$77</f>
        <v>0</v>
      </c>
      <c r="E114" s="84">
        <f>E$27*$D$77/2</f>
        <v>316.79131544498489</v>
      </c>
      <c r="F114" s="84">
        <f t="shared" ref="F114:N114" si="138">F$27*$D$77</f>
        <v>541.97870398316081</v>
      </c>
      <c r="G114" s="84">
        <f t="shared" si="138"/>
        <v>541.97870398316081</v>
      </c>
      <c r="H114" s="84">
        <f t="shared" si="138"/>
        <v>541.70346113854953</v>
      </c>
      <c r="I114" s="84">
        <f t="shared" si="138"/>
        <v>523.72281545098667</v>
      </c>
      <c r="J114" s="84">
        <f t="shared" si="138"/>
        <v>471.96887521105043</v>
      </c>
      <c r="K114" s="84">
        <f t="shared" si="138"/>
        <v>463.58333640821638</v>
      </c>
      <c r="L114" s="84">
        <f t="shared" si="138"/>
        <v>463.40036996944337</v>
      </c>
      <c r="M114" s="84">
        <f t="shared" si="138"/>
        <v>339.2771473651074</v>
      </c>
      <c r="N114" s="84">
        <f t="shared" si="138"/>
        <v>194.35980760096649</v>
      </c>
    </row>
    <row r="115" spans="2:14" x14ac:dyDescent="0.3">
      <c r="B115" s="84">
        <f>B114+1</f>
        <v>2010</v>
      </c>
      <c r="C115" s="84">
        <f t="shared" ref="C115:E121" si="139">(C51+C64)*$F$77</f>
        <v>0</v>
      </c>
      <c r="D115" s="84">
        <f t="shared" si="139"/>
        <v>0</v>
      </c>
      <c r="E115" s="84">
        <f t="shared" si="139"/>
        <v>0</v>
      </c>
      <c r="F115" s="84">
        <f>(F51+F64)*$F$77/2</f>
        <v>215.09823377136058</v>
      </c>
      <c r="G115" s="84">
        <f t="shared" ref="G115:L115" si="140">(G51+G64)*$F$77</f>
        <v>405.35925961765298</v>
      </c>
      <c r="H115" s="84">
        <f t="shared" si="140"/>
        <v>389.50080931550252</v>
      </c>
      <c r="I115" s="84">
        <f t="shared" si="140"/>
        <v>415.70616203098012</v>
      </c>
      <c r="J115" s="84">
        <f t="shared" si="140"/>
        <v>387.22409362540623</v>
      </c>
      <c r="K115" s="84">
        <f t="shared" si="140"/>
        <v>359.95798307091906</v>
      </c>
      <c r="L115" s="84">
        <f t="shared" si="140"/>
        <v>327.81113143640079</v>
      </c>
      <c r="M115" s="84">
        <f t="shared" ref="M115:N115" si="141">(M51+M64)*$F$77</f>
        <v>298.54487507239696</v>
      </c>
      <c r="N115" s="84">
        <f t="shared" si="141"/>
        <v>271.90022600204321</v>
      </c>
    </row>
    <row r="116" spans="2:14" x14ac:dyDescent="0.3">
      <c r="B116" s="84">
        <f t="shared" ref="B116:B121" si="142">B115+1</f>
        <v>2011</v>
      </c>
      <c r="C116" s="84">
        <f t="shared" si="139"/>
        <v>0</v>
      </c>
      <c r="D116" s="84">
        <f t="shared" si="139"/>
        <v>0</v>
      </c>
      <c r="E116" s="84">
        <f t="shared" si="139"/>
        <v>0</v>
      </c>
      <c r="F116" s="84">
        <f t="shared" ref="F116:F121" si="143">(F52+F65)*$F$77</f>
        <v>0</v>
      </c>
      <c r="G116" s="84">
        <f>(G52+G65)*$F$77/2</f>
        <v>108.75117617950472</v>
      </c>
      <c r="H116" s="84">
        <f>(H52+H65)*$F$77</f>
        <v>217.44409138187672</v>
      </c>
      <c r="I116" s="84">
        <f>(I52+I65)*$F$77</f>
        <v>216.50806795545765</v>
      </c>
      <c r="J116" s="84">
        <f>(J52+J65)*$F$77</f>
        <v>196.54073247195294</v>
      </c>
      <c r="K116" s="84">
        <f>(K52+K65)*$F$77</f>
        <v>196.54073247195294</v>
      </c>
      <c r="L116" s="84">
        <f>(L52+L65)*$F$77</f>
        <v>196.49998579985123</v>
      </c>
      <c r="M116" s="84">
        <f t="shared" ref="M116:N116" si="144">(M52+M65)*$F$77</f>
        <v>156.01911370987932</v>
      </c>
      <c r="N116" s="84">
        <f t="shared" si="144"/>
        <v>155.6718338193111</v>
      </c>
    </row>
    <row r="117" spans="2:14" x14ac:dyDescent="0.3">
      <c r="B117" s="84">
        <f t="shared" si="142"/>
        <v>2012</v>
      </c>
      <c r="C117" s="84">
        <f t="shared" si="139"/>
        <v>0</v>
      </c>
      <c r="D117" s="84">
        <f t="shared" si="139"/>
        <v>0</v>
      </c>
      <c r="E117" s="84">
        <f t="shared" si="139"/>
        <v>0</v>
      </c>
      <c r="F117" s="84">
        <f t="shared" si="143"/>
        <v>0</v>
      </c>
      <c r="G117" s="84">
        <f>(G53+G66)*$F$77</f>
        <v>70.890714713786537</v>
      </c>
      <c r="H117" s="84">
        <f>(H53+H66)*$F$77/2</f>
        <v>515.79332383628685</v>
      </c>
      <c r="I117" s="84">
        <f>(I53+I66)*$F$77</f>
        <v>1010.2293205305346</v>
      </c>
      <c r="J117" s="84">
        <f>(J53+J66)*$F$77</f>
        <v>1001.1187881187858</v>
      </c>
      <c r="K117" s="84">
        <f>(K53+K66)*$F$77</f>
        <v>958.24257493263406</v>
      </c>
      <c r="L117" s="84">
        <f>(L53+L66)*$F$77</f>
        <v>928.1854407735816</v>
      </c>
      <c r="M117" s="84">
        <f t="shared" ref="M117:N117" si="145">(M53+M66)*$F$77</f>
        <v>853.29283917561213</v>
      </c>
      <c r="N117" s="84">
        <f t="shared" si="145"/>
        <v>796.33259811719392</v>
      </c>
    </row>
    <row r="118" spans="2:14" x14ac:dyDescent="0.3">
      <c r="B118" s="84">
        <f t="shared" si="142"/>
        <v>2013</v>
      </c>
      <c r="C118" s="84">
        <f t="shared" si="139"/>
        <v>0</v>
      </c>
      <c r="D118" s="84">
        <f t="shared" si="139"/>
        <v>0</v>
      </c>
      <c r="E118" s="84">
        <f t="shared" si="139"/>
        <v>0</v>
      </c>
      <c r="F118" s="84">
        <f t="shared" si="143"/>
        <v>0</v>
      </c>
      <c r="G118" s="84">
        <f>(G54+G67)*$F$77</f>
        <v>0</v>
      </c>
      <c r="H118" s="84">
        <f>(H54+H67)*$F$77</f>
        <v>12.545328210498759</v>
      </c>
      <c r="I118" s="84">
        <f>(I54+I67)*$F$77/2</f>
        <v>999.81198264130978</v>
      </c>
      <c r="J118" s="84">
        <f>(J54+J67)*$F$77</f>
        <v>1754.2241961011557</v>
      </c>
      <c r="K118" s="84">
        <f>(K54+K67)*$F$77</f>
        <v>1749.096810540063</v>
      </c>
      <c r="L118" s="84">
        <f>(L54+L67)*$F$77</f>
        <v>1733.0602295816684</v>
      </c>
      <c r="M118" s="84">
        <f t="shared" ref="M118:N118" si="146">(M54+M67)*$F$77</f>
        <v>1072.9854253597557</v>
      </c>
      <c r="N118" s="84">
        <f t="shared" si="146"/>
        <v>794.21153363711471</v>
      </c>
    </row>
    <row r="119" spans="2:14" x14ac:dyDescent="0.3">
      <c r="B119" s="84">
        <f t="shared" si="142"/>
        <v>2014</v>
      </c>
      <c r="C119" s="84">
        <f t="shared" si="139"/>
        <v>0</v>
      </c>
      <c r="D119" s="84">
        <f t="shared" si="139"/>
        <v>0</v>
      </c>
      <c r="E119" s="84">
        <f t="shared" si="139"/>
        <v>0</v>
      </c>
      <c r="F119" s="84">
        <f t="shared" si="143"/>
        <v>0</v>
      </c>
      <c r="G119" s="84">
        <f>(G55+G68)*$F$77</f>
        <v>0</v>
      </c>
      <c r="H119" s="84">
        <f>(H55+H68)*$F$77</f>
        <v>417.96689688085189</v>
      </c>
      <c r="I119" s="84">
        <f>(I55+I68)*$F$77</f>
        <v>542.4179009350969</v>
      </c>
      <c r="J119" s="84">
        <f>(J55+J68)*$F$77/2</f>
        <v>1823.2215639003093</v>
      </c>
      <c r="K119" s="84">
        <f>(K55+K68)*$F$77</f>
        <v>3473.7654845462853</v>
      </c>
      <c r="L119" s="84">
        <f>(L55+L68)*$F$77</f>
        <v>3221.8839841633785</v>
      </c>
      <c r="M119" s="84">
        <f t="shared" ref="M119:N119" si="147">(M55+M68)*$F$77</f>
        <v>3760.6456259990173</v>
      </c>
      <c r="N119" s="84">
        <f t="shared" si="147"/>
        <v>4010.4356166476491</v>
      </c>
    </row>
    <row r="120" spans="2:14" x14ac:dyDescent="0.3">
      <c r="B120" s="84">
        <f t="shared" si="142"/>
        <v>2015</v>
      </c>
      <c r="C120" s="84">
        <f t="shared" si="139"/>
        <v>0</v>
      </c>
      <c r="D120" s="84">
        <f t="shared" si="139"/>
        <v>0</v>
      </c>
      <c r="E120" s="84">
        <f t="shared" si="139"/>
        <v>0</v>
      </c>
      <c r="F120" s="84">
        <f t="shared" si="143"/>
        <v>0</v>
      </c>
      <c r="G120" s="84">
        <f>(G56+G69)*$F$77</f>
        <v>0</v>
      </c>
      <c r="H120" s="84">
        <f>(H56+H69)*$F$77</f>
        <v>0</v>
      </c>
      <c r="I120" s="84">
        <f>(I56+I69)*$F$77</f>
        <v>0</v>
      </c>
      <c r="J120" s="84">
        <f>(J56+J69)*$F$77</f>
        <v>0</v>
      </c>
      <c r="K120" s="84">
        <f>(K56+K69)*$F$77/2</f>
        <v>826.72716292874998</v>
      </c>
      <c r="L120" s="84">
        <f>(L56+L69)*$F$77</f>
        <v>1648.3475168769332</v>
      </c>
      <c r="M120" s="84">
        <f t="shared" ref="M120:N120" si="148">(M56+M69)*$F$77</f>
        <v>1608.4931163883473</v>
      </c>
      <c r="N120" s="84">
        <f t="shared" si="148"/>
        <v>1608.3881125167954</v>
      </c>
    </row>
    <row r="121" spans="2:14" x14ac:dyDescent="0.3">
      <c r="B121" s="84">
        <f t="shared" si="142"/>
        <v>2016</v>
      </c>
      <c r="C121" s="84">
        <f t="shared" si="139"/>
        <v>0</v>
      </c>
      <c r="D121" s="84">
        <f t="shared" si="139"/>
        <v>0</v>
      </c>
      <c r="E121" s="84">
        <f t="shared" si="139"/>
        <v>0</v>
      </c>
      <c r="F121" s="84">
        <f t="shared" si="143"/>
        <v>0</v>
      </c>
      <c r="G121" s="84">
        <f>(G57+G70)*$F$77</f>
        <v>0</v>
      </c>
      <c r="H121" s="84">
        <f>(H57+H70)*$F$77</f>
        <v>0</v>
      </c>
      <c r="I121" s="84">
        <f>(I57+I70)*$F$77</f>
        <v>0</v>
      </c>
      <c r="J121" s="84">
        <f>(J57+J70)*$F$77</f>
        <v>0</v>
      </c>
      <c r="K121" s="84">
        <f>(K57+K70)*$F$77</f>
        <v>0</v>
      </c>
      <c r="L121" s="84">
        <f>(L57+L70)*$F$77/2</f>
        <v>632.34185650252027</v>
      </c>
      <c r="M121" s="84">
        <f t="shared" ref="M121:N121" si="149">(M57+M70)*$F$77/2</f>
        <v>632.34185650252027</v>
      </c>
      <c r="N121" s="84">
        <f t="shared" si="149"/>
        <v>632.34185650252027</v>
      </c>
    </row>
    <row r="122" spans="2:14" x14ac:dyDescent="0.3">
      <c r="B122" s="84" t="s">
        <v>121</v>
      </c>
      <c r="C122" s="84">
        <f t="shared" ref="C122" si="150">SUM(C112:C121)</f>
        <v>119.17116293211156</v>
      </c>
      <c r="D122" s="84">
        <f t="shared" ref="D122" si="151">SUM(D112:D121)</f>
        <v>347.58043898287542</v>
      </c>
      <c r="E122" s="84">
        <f t="shared" ref="E122" si="152">SUM(E112:E121)</f>
        <v>757.90284554049822</v>
      </c>
      <c r="F122" s="84">
        <f t="shared" ref="F122" si="153">SUM(F112:F121)</f>
        <v>1196.6980511281511</v>
      </c>
      <c r="G122" s="84">
        <f t="shared" ref="G122" si="154">SUM(G112:G121)</f>
        <v>1566.4956126983914</v>
      </c>
      <c r="H122" s="84">
        <f t="shared" ref="H122" si="155">SUM(H112:H121)</f>
        <v>2513.06433064775</v>
      </c>
      <c r="I122" s="84">
        <f t="shared" ref="I122" si="156">SUM(I112:I121)</f>
        <v>4126.3352388705225</v>
      </c>
      <c r="J122" s="84">
        <f t="shared" ref="J122" si="157">SUM(J112:J121)</f>
        <v>6035.4961097881223</v>
      </c>
      <c r="K122" s="84">
        <f t="shared" ref="K122" si="158">SUM(K112:K121)</f>
        <v>8309.0502512957974</v>
      </c>
      <c r="L122" s="84">
        <f>SUM(L112:L121)</f>
        <v>9362.1762421155199</v>
      </c>
      <c r="M122" s="84">
        <f t="shared" ref="M122:N122" si="159">SUM(M112:M121)</f>
        <v>8871.381298961569</v>
      </c>
      <c r="N122" s="84">
        <f t="shared" si="159"/>
        <v>8601.5207048532302</v>
      </c>
    </row>
    <row r="124" spans="2:14" x14ac:dyDescent="0.3">
      <c r="B124" s="84"/>
      <c r="C124" s="136" t="s">
        <v>140</v>
      </c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2:14" x14ac:dyDescent="0.3">
      <c r="B125" s="84" t="s">
        <v>36</v>
      </c>
      <c r="C125" s="84">
        <v>2007</v>
      </c>
      <c r="D125" s="84">
        <v>2008</v>
      </c>
      <c r="E125" s="84">
        <f>D125+1</f>
        <v>2009</v>
      </c>
      <c r="F125" s="84">
        <f t="shared" ref="F125" si="160">E125+1</f>
        <v>2010</v>
      </c>
      <c r="G125" s="84">
        <f t="shared" ref="G125" si="161">F125+1</f>
        <v>2011</v>
      </c>
      <c r="H125" s="84">
        <f t="shared" ref="H125" si="162">G125+1</f>
        <v>2012</v>
      </c>
      <c r="I125" s="84">
        <f t="shared" ref="I125" si="163">H125+1</f>
        <v>2013</v>
      </c>
      <c r="J125" s="84">
        <f t="shared" ref="J125" si="164">I125+1</f>
        <v>2014</v>
      </c>
      <c r="K125" s="84">
        <f t="shared" ref="K125" si="165">J125+1</f>
        <v>2015</v>
      </c>
      <c r="L125" s="84">
        <f t="shared" ref="L125" si="166">K125+1</f>
        <v>2016</v>
      </c>
      <c r="M125" s="84">
        <f t="shared" ref="M125" si="167">L125+1</f>
        <v>2017</v>
      </c>
      <c r="N125" s="84">
        <f t="shared" ref="N125" si="168">M125+1</f>
        <v>2018</v>
      </c>
    </row>
    <row r="126" spans="2:14" x14ac:dyDescent="0.3">
      <c r="B126" s="84">
        <v>2007</v>
      </c>
      <c r="C126" s="84">
        <f>C$25*$D$78/2</f>
        <v>64.763591432067756</v>
      </c>
      <c r="D126" s="84">
        <f t="shared" ref="D126:N126" si="169">D$25*$D$78</f>
        <v>97.128081132948012</v>
      </c>
      <c r="E126" s="84">
        <f t="shared" si="169"/>
        <v>93.144013739514492</v>
      </c>
      <c r="F126" s="84">
        <f t="shared" si="169"/>
        <v>93.144013739514492</v>
      </c>
      <c r="G126" s="84">
        <f t="shared" si="169"/>
        <v>93.086758452457403</v>
      </c>
      <c r="H126" s="84">
        <f t="shared" si="169"/>
        <v>90.28409607141468</v>
      </c>
      <c r="I126" s="84">
        <f t="shared" si="169"/>
        <v>90.28409607141468</v>
      </c>
      <c r="J126" s="84">
        <f t="shared" si="169"/>
        <v>90.28409607141468</v>
      </c>
      <c r="K126" s="84">
        <f t="shared" si="169"/>
        <v>31.945709809502862</v>
      </c>
      <c r="L126" s="84">
        <f t="shared" si="169"/>
        <v>22.322717010473831</v>
      </c>
      <c r="M126" s="84">
        <f t="shared" si="169"/>
        <v>12.558686753138407</v>
      </c>
      <c r="N126" s="84">
        <f t="shared" si="169"/>
        <v>12.558686753138407</v>
      </c>
    </row>
    <row r="127" spans="2:14" x14ac:dyDescent="0.3">
      <c r="B127" s="84">
        <v>2008</v>
      </c>
      <c r="C127" s="84">
        <f>C$26*$D$78</f>
        <v>0</v>
      </c>
      <c r="D127" s="84">
        <f>D$26*$D$78/2</f>
        <v>91.764575330338587</v>
      </c>
      <c r="E127" s="84">
        <f t="shared" ref="E127:N127" si="170">E$26*$D$78</f>
        <v>146.57813219065864</v>
      </c>
      <c r="F127" s="84">
        <f t="shared" si="170"/>
        <v>145.76816493629369</v>
      </c>
      <c r="G127" s="84">
        <f t="shared" si="170"/>
        <v>145.76816493629369</v>
      </c>
      <c r="H127" s="84">
        <f t="shared" si="170"/>
        <v>136.93809208743824</v>
      </c>
      <c r="I127" s="84">
        <f t="shared" si="170"/>
        <v>136.84492811768357</v>
      </c>
      <c r="J127" s="84">
        <f t="shared" si="170"/>
        <v>127.74695835860517</v>
      </c>
      <c r="K127" s="84">
        <f t="shared" si="170"/>
        <v>120.83779392859374</v>
      </c>
      <c r="L127" s="84">
        <f t="shared" si="170"/>
        <v>92.15274387657719</v>
      </c>
      <c r="M127" s="84">
        <f t="shared" si="170"/>
        <v>68.839989227854289</v>
      </c>
      <c r="N127" s="84">
        <f t="shared" si="170"/>
        <v>62.371747553389227</v>
      </c>
    </row>
    <row r="128" spans="2:14" x14ac:dyDescent="0.3">
      <c r="B128" s="84">
        <v>2009</v>
      </c>
      <c r="C128" s="84">
        <f>C$27*$D$78</f>
        <v>0</v>
      </c>
      <c r="D128" s="84">
        <f>D$27*$D$78</f>
        <v>0</v>
      </c>
      <c r="E128" s="84">
        <f>E$27*$D$78/2</f>
        <v>172.16030135070503</v>
      </c>
      <c r="F128" s="84">
        <f t="shared" ref="F128:N128" si="171">F$27*$D$78</f>
        <v>294.53843099309836</v>
      </c>
      <c r="G128" s="84">
        <f t="shared" si="171"/>
        <v>294.53843099309836</v>
      </c>
      <c r="H128" s="84">
        <f t="shared" si="171"/>
        <v>294.38885021621894</v>
      </c>
      <c r="I128" s="84">
        <f t="shared" si="171"/>
        <v>284.61726485661757</v>
      </c>
      <c r="J128" s="84">
        <f t="shared" si="171"/>
        <v>256.49157607225715</v>
      </c>
      <c r="K128" s="84">
        <f t="shared" si="171"/>
        <v>251.93445339591074</v>
      </c>
      <c r="L128" s="84">
        <f t="shared" si="171"/>
        <v>251.83502024954441</v>
      </c>
      <c r="M128" s="84">
        <f t="shared" si="171"/>
        <v>184.38023103549426</v>
      </c>
      <c r="N128" s="84">
        <f t="shared" si="171"/>
        <v>105.6248748487501</v>
      </c>
    </row>
    <row r="129" spans="2:14" x14ac:dyDescent="0.3">
      <c r="B129" s="84">
        <f>B128+1</f>
        <v>2010</v>
      </c>
      <c r="C129" s="84">
        <f t="shared" ref="C129:E135" si="172">(C51+C64)*$F$78</f>
        <v>0</v>
      </c>
      <c r="D129" s="84">
        <f t="shared" si="172"/>
        <v>0</v>
      </c>
      <c r="E129" s="84">
        <f t="shared" si="172"/>
        <v>0</v>
      </c>
      <c r="F129" s="84">
        <f>(F51+F64)*$F$78/2</f>
        <v>116.89517654253005</v>
      </c>
      <c r="G129" s="84">
        <f t="shared" ref="G129:L129" si="173">(G51+G64)*$F$78</f>
        <v>220.29256765781898</v>
      </c>
      <c r="H129" s="84">
        <f t="shared" si="173"/>
        <v>211.67428978887426</v>
      </c>
      <c r="I129" s="84">
        <f t="shared" si="173"/>
        <v>225.91559376578718</v>
      </c>
      <c r="J129" s="84">
        <f t="shared" si="173"/>
        <v>210.43700820889694</v>
      </c>
      <c r="K129" s="84">
        <f t="shared" si="173"/>
        <v>195.61923518021257</v>
      </c>
      <c r="L129" s="84">
        <f t="shared" si="173"/>
        <v>178.14902247219976</v>
      </c>
      <c r="M129" s="84">
        <f t="shared" ref="M129:N129" si="174">(M51+M64)*$F$78</f>
        <v>162.24426981836987</v>
      </c>
      <c r="N129" s="84">
        <f t="shared" si="174"/>
        <v>147.76423015284908</v>
      </c>
    </row>
    <row r="130" spans="2:14" x14ac:dyDescent="0.3">
      <c r="B130" s="84">
        <f t="shared" ref="B130:B135" si="175">B129+1</f>
        <v>2011</v>
      </c>
      <c r="C130" s="84">
        <f t="shared" si="172"/>
        <v>0</v>
      </c>
      <c r="D130" s="84">
        <f t="shared" si="172"/>
        <v>0</v>
      </c>
      <c r="E130" s="84">
        <f t="shared" si="172"/>
        <v>0</v>
      </c>
      <c r="F130" s="84">
        <f t="shared" ref="F130:F135" si="176">(F52+F65)*$F$78</f>
        <v>0</v>
      </c>
      <c r="G130" s="84">
        <f>(G52+G65)*$F$78/2</f>
        <v>59.100847625851621</v>
      </c>
      <c r="H130" s="84">
        <f>(H52+H65)*$F$78</f>
        <v>118.1700333124671</v>
      </c>
      <c r="I130" s="84">
        <f>(I52+I65)*$F$78</f>
        <v>117.66135120122529</v>
      </c>
      <c r="J130" s="84">
        <f>(J52+J65)*$F$78</f>
        <v>106.81009888964549</v>
      </c>
      <c r="K130" s="84">
        <f>(K52+K65)*$F$78</f>
        <v>106.81009888964549</v>
      </c>
      <c r="L130" s="84">
        <f>(L52+L65)*$F$78</f>
        <v>106.78795510284939</v>
      </c>
      <c r="M130" s="84">
        <f t="shared" ref="M130:N130" si="177">(M52+M65)*$F$78</f>
        <v>84.7886173742897</v>
      </c>
      <c r="N130" s="84">
        <f t="shared" si="177"/>
        <v>84.599888050920214</v>
      </c>
    </row>
    <row r="131" spans="2:14" x14ac:dyDescent="0.3">
      <c r="B131" s="84">
        <f t="shared" si="175"/>
        <v>2012</v>
      </c>
      <c r="C131" s="84">
        <f t="shared" si="172"/>
        <v>0</v>
      </c>
      <c r="D131" s="84">
        <f t="shared" si="172"/>
        <v>0</v>
      </c>
      <c r="E131" s="84">
        <f t="shared" si="172"/>
        <v>0</v>
      </c>
      <c r="F131" s="84">
        <f t="shared" si="176"/>
        <v>0</v>
      </c>
      <c r="G131" s="84">
        <f>(G53+G66)*$F$78</f>
        <v>38.525572555387299</v>
      </c>
      <c r="H131" s="84">
        <f>(H53+H66)*$F$78/2</f>
        <v>280.30798111243712</v>
      </c>
      <c r="I131" s="84">
        <f>(I53+I66)*$F$78</f>
        <v>549.00931867893519</v>
      </c>
      <c r="J131" s="84">
        <f>(J53+J66)*$F$78</f>
        <v>544.05819808628621</v>
      </c>
      <c r="K131" s="84">
        <f>(K53+K66)*$F$78</f>
        <v>520.75711177798155</v>
      </c>
      <c r="L131" s="84">
        <f>(L53+L66)*$F$78</f>
        <v>504.42255643421396</v>
      </c>
      <c r="M131" s="84">
        <f t="shared" ref="M131:N131" si="178">(M53+M66)*$F$78</f>
        <v>463.72215768138312</v>
      </c>
      <c r="N131" s="84">
        <f t="shared" si="178"/>
        <v>432.76710371517339</v>
      </c>
    </row>
    <row r="132" spans="2:14" x14ac:dyDescent="0.3">
      <c r="B132" s="84">
        <f t="shared" si="175"/>
        <v>2013</v>
      </c>
      <c r="C132" s="84">
        <f t="shared" si="172"/>
        <v>0</v>
      </c>
      <c r="D132" s="84">
        <f t="shared" si="172"/>
        <v>0</v>
      </c>
      <c r="E132" s="84">
        <f t="shared" si="172"/>
        <v>0</v>
      </c>
      <c r="F132" s="84">
        <f t="shared" si="176"/>
        <v>0</v>
      </c>
      <c r="G132" s="84">
        <f>(G54+G67)*$F$78</f>
        <v>0</v>
      </c>
      <c r="H132" s="84">
        <f>(H54+H67)*$F$78</f>
        <v>6.8177610305672891</v>
      </c>
      <c r="I132" s="84">
        <f>(I54+I67)*$F$78/2</f>
        <v>543.34801439803391</v>
      </c>
      <c r="J132" s="84">
        <f>(J54+J67)*$F$78</f>
        <v>953.3334770028473</v>
      </c>
      <c r="K132" s="84">
        <f>(K54+K67)*$F$78</f>
        <v>950.54699833281472</v>
      </c>
      <c r="L132" s="84">
        <f>(L54+L67)*$F$78</f>
        <v>941.83191532444971</v>
      </c>
      <c r="M132" s="84">
        <f t="shared" ref="M132:N132" si="179">(M54+M67)*$F$78</f>
        <v>583.11413592690496</v>
      </c>
      <c r="N132" s="84">
        <f t="shared" si="179"/>
        <v>431.6144108152377</v>
      </c>
    </row>
    <row r="133" spans="2:14" x14ac:dyDescent="0.3">
      <c r="B133" s="84">
        <f t="shared" si="175"/>
        <v>2014</v>
      </c>
      <c r="C133" s="84">
        <f t="shared" si="172"/>
        <v>0</v>
      </c>
      <c r="D133" s="84">
        <f t="shared" si="172"/>
        <v>0</v>
      </c>
      <c r="E133" s="84">
        <f t="shared" si="172"/>
        <v>0</v>
      </c>
      <c r="F133" s="84">
        <f t="shared" si="176"/>
        <v>0</v>
      </c>
      <c r="G133" s="84">
        <f>(G55+G68)*$F$78</f>
        <v>0</v>
      </c>
      <c r="H133" s="84">
        <f>(H55+H68)*$F$78</f>
        <v>227.14419055506866</v>
      </c>
      <c r="I133" s="84">
        <f>(I55+I68)*$F$78</f>
        <v>294.77711266115926</v>
      </c>
      <c r="J133" s="84">
        <f>(J55+J68)*$F$78/2</f>
        <v>990.83010981306904</v>
      </c>
      <c r="K133" s="84">
        <f>(K55+K68)*$F$78</f>
        <v>1887.8185211646842</v>
      </c>
      <c r="L133" s="84">
        <f>(L55+L68)*$F$78</f>
        <v>1750.9334713025148</v>
      </c>
      <c r="M133" s="84">
        <f t="shared" ref="M133:N133" si="180">(M55+M68)*$F$78</f>
        <v>2043.7235892523615</v>
      </c>
      <c r="N133" s="84">
        <f t="shared" si="180"/>
        <v>2179.4720077468905</v>
      </c>
    </row>
    <row r="134" spans="2:14" x14ac:dyDescent="0.3">
      <c r="B134" s="84">
        <f t="shared" si="175"/>
        <v>2015</v>
      </c>
      <c r="C134" s="84">
        <f t="shared" si="172"/>
        <v>0</v>
      </c>
      <c r="D134" s="84">
        <f t="shared" si="172"/>
        <v>0</v>
      </c>
      <c r="E134" s="84">
        <f t="shared" si="172"/>
        <v>0</v>
      </c>
      <c r="F134" s="84">
        <f t="shared" si="176"/>
        <v>0</v>
      </c>
      <c r="G134" s="84">
        <f>(G56+G69)*$F$78</f>
        <v>0</v>
      </c>
      <c r="H134" s="84">
        <f>(H56+H69)*$F$78</f>
        <v>0</v>
      </c>
      <c r="I134" s="84">
        <f>(I56+I69)*$F$78</f>
        <v>0</v>
      </c>
      <c r="J134" s="84">
        <f>(J56+J69)*$F$78</f>
        <v>0</v>
      </c>
      <c r="K134" s="84">
        <f>(K56+K69)*$F$78/2</f>
        <v>449.28503581198862</v>
      </c>
      <c r="L134" s="84">
        <f>(L56+L69)*$F$78</f>
        <v>895.79477530059182</v>
      </c>
      <c r="M134" s="84">
        <f t="shared" ref="M134:N134" si="181">(M56+M69)*$F$78</f>
        <v>874.13589368438102</v>
      </c>
      <c r="N134" s="84">
        <f t="shared" si="181"/>
        <v>874.07882931017627</v>
      </c>
    </row>
    <row r="135" spans="2:14" x14ac:dyDescent="0.3">
      <c r="B135" s="84">
        <f t="shared" si="175"/>
        <v>2016</v>
      </c>
      <c r="C135" s="84">
        <f t="shared" si="172"/>
        <v>0</v>
      </c>
      <c r="D135" s="84">
        <f t="shared" si="172"/>
        <v>0</v>
      </c>
      <c r="E135" s="84">
        <f t="shared" si="172"/>
        <v>0</v>
      </c>
      <c r="F135" s="84">
        <f t="shared" si="176"/>
        <v>0</v>
      </c>
      <c r="G135" s="84">
        <f>(G57+G70)*$F$78</f>
        <v>0</v>
      </c>
      <c r="H135" s="84">
        <f>(H57+H70)*$F$78</f>
        <v>0</v>
      </c>
      <c r="I135" s="84">
        <f>(I57+I70)*$F$78</f>
        <v>0</v>
      </c>
      <c r="J135" s="84">
        <f>(J57+J70)*$F$78</f>
        <v>0</v>
      </c>
      <c r="K135" s="84">
        <f>(K57+K70)*$F$78</f>
        <v>0</v>
      </c>
      <c r="L135" s="84">
        <f>(L57+L70)*$F$78/2</f>
        <v>343.64630362174148</v>
      </c>
      <c r="M135" s="84">
        <f t="shared" ref="M135:N135" si="182">(M57+M70)*$F$78/2</f>
        <v>343.64630362174148</v>
      </c>
      <c r="N135" s="84">
        <f t="shared" si="182"/>
        <v>343.64630362174148</v>
      </c>
    </row>
    <row r="136" spans="2:14" x14ac:dyDescent="0.3">
      <c r="B136" s="84" t="s">
        <v>121</v>
      </c>
      <c r="C136" s="84">
        <f t="shared" ref="C136" si="183">SUM(C126:C135)</f>
        <v>64.763591432067756</v>
      </c>
      <c r="D136" s="84">
        <f t="shared" ref="D136" si="184">SUM(D126:D135)</f>
        <v>188.89265646328658</v>
      </c>
      <c r="E136" s="84">
        <f t="shared" ref="E136" si="185">SUM(E126:E135)</f>
        <v>411.88244728087818</v>
      </c>
      <c r="F136" s="84">
        <f t="shared" ref="F136" si="186">SUM(F126:F135)</f>
        <v>650.34578621143658</v>
      </c>
      <c r="G136" s="84">
        <f t="shared" ref="G136" si="187">SUM(G126:G135)</f>
        <v>851.31234222090734</v>
      </c>
      <c r="H136" s="84">
        <f t="shared" ref="H136" si="188">SUM(H126:H135)</f>
        <v>1365.7252941744862</v>
      </c>
      <c r="I136" s="84">
        <f t="shared" ref="I136" si="189">SUM(I126:I135)</f>
        <v>2242.4576797508566</v>
      </c>
      <c r="J136" s="84">
        <f t="shared" ref="J136" si="190">SUM(J126:J135)</f>
        <v>3279.9915225030222</v>
      </c>
      <c r="K136" s="84">
        <f t="shared" ref="K136" si="191">SUM(K126:K135)</f>
        <v>4515.5549582913345</v>
      </c>
      <c r="L136" s="84">
        <f>SUM(L126:L135)</f>
        <v>5087.8764806951567</v>
      </c>
      <c r="M136" s="84">
        <f t="shared" ref="M136:N136" si="192">SUM(M126:M135)</f>
        <v>4821.1538743759193</v>
      </c>
      <c r="N136" s="84">
        <f t="shared" si="192"/>
        <v>4674.4980825682669</v>
      </c>
    </row>
    <row r="138" spans="2:14" x14ac:dyDescent="0.3">
      <c r="B138" s="84"/>
      <c r="C138" s="136" t="s">
        <v>140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4" x14ac:dyDescent="0.3">
      <c r="B139" s="84" t="s">
        <v>154</v>
      </c>
      <c r="C139" s="84">
        <v>2007</v>
      </c>
      <c r="D139" s="84">
        <v>2008</v>
      </c>
      <c r="E139" s="84">
        <f>D139+1</f>
        <v>2009</v>
      </c>
      <c r="F139" s="84">
        <f t="shared" ref="F139" si="193">E139+1</f>
        <v>2010</v>
      </c>
      <c r="G139" s="84">
        <f t="shared" ref="G139" si="194">F139+1</f>
        <v>2011</v>
      </c>
      <c r="H139" s="84">
        <f t="shared" ref="H139" si="195">G139+1</f>
        <v>2012</v>
      </c>
      <c r="I139" s="84">
        <f t="shared" ref="I139" si="196">H139+1</f>
        <v>2013</v>
      </c>
      <c r="J139" s="84">
        <f t="shared" ref="J139" si="197">I139+1</f>
        <v>2014</v>
      </c>
      <c r="K139" s="84">
        <f t="shared" ref="K139" si="198">J139+1</f>
        <v>2015</v>
      </c>
      <c r="L139" s="84">
        <f t="shared" ref="L139" si="199">K139+1</f>
        <v>2016</v>
      </c>
      <c r="M139" s="84">
        <f t="shared" ref="M139" si="200">L139+1</f>
        <v>2017</v>
      </c>
      <c r="N139" s="84">
        <f t="shared" ref="N139" si="201">M139+1</f>
        <v>2018</v>
      </c>
    </row>
    <row r="140" spans="2:14" x14ac:dyDescent="0.3">
      <c r="B140" s="84">
        <v>2007</v>
      </c>
      <c r="C140" s="84">
        <f>C$25*$D$79/2</f>
        <v>96.519325720869062</v>
      </c>
      <c r="D140" s="84">
        <f t="shared" ref="D140:N140" si="202">D$25*$D$79</f>
        <v>144.75319685362749</v>
      </c>
      <c r="E140" s="84">
        <f t="shared" si="202"/>
        <v>138.81560923784406</v>
      </c>
      <c r="F140" s="84">
        <f t="shared" si="202"/>
        <v>138.81560923784406</v>
      </c>
      <c r="G140" s="84">
        <f t="shared" si="202"/>
        <v>138.73027978685923</v>
      </c>
      <c r="H140" s="84">
        <f t="shared" si="202"/>
        <v>134.55337919719324</v>
      </c>
      <c r="I140" s="84">
        <f t="shared" si="202"/>
        <v>134.55337919719324</v>
      </c>
      <c r="J140" s="84">
        <f t="shared" si="202"/>
        <v>134.55337919719324</v>
      </c>
      <c r="K140" s="84">
        <f t="shared" si="202"/>
        <v>47.609749587806697</v>
      </c>
      <c r="L140" s="84">
        <f t="shared" si="202"/>
        <v>33.268284640586948</v>
      </c>
      <c r="M140" s="84">
        <f t="shared" si="202"/>
        <v>18.716626897135438</v>
      </c>
      <c r="N140" s="84">
        <f t="shared" si="202"/>
        <v>18.716626897135438</v>
      </c>
    </row>
    <row r="141" spans="2:14" x14ac:dyDescent="0.3">
      <c r="B141" s="84">
        <v>2008</v>
      </c>
      <c r="C141" s="84">
        <f>C$26*$D$79</f>
        <v>0</v>
      </c>
      <c r="D141" s="84">
        <f>D$26*$D$79/2</f>
        <v>136.75978648028769</v>
      </c>
      <c r="E141" s="84">
        <f t="shared" ref="E141:N141" si="203">E$26*$D$79</f>
        <v>218.45024606621146</v>
      </c>
      <c r="F141" s="84">
        <f t="shared" si="203"/>
        <v>217.24312503541915</v>
      </c>
      <c r="G141" s="84">
        <f t="shared" si="203"/>
        <v>217.24312503541915</v>
      </c>
      <c r="H141" s="84">
        <f t="shared" si="203"/>
        <v>204.0833749568329</v>
      </c>
      <c r="I141" s="84">
        <f t="shared" si="203"/>
        <v>203.94452960648456</v>
      </c>
      <c r="J141" s="84">
        <f t="shared" si="203"/>
        <v>190.38552388802938</v>
      </c>
      <c r="K141" s="84">
        <f t="shared" si="203"/>
        <v>180.0885672595692</v>
      </c>
      <c r="L141" s="84">
        <f t="shared" si="203"/>
        <v>137.33828692352361</v>
      </c>
      <c r="M141" s="84">
        <f t="shared" si="203"/>
        <v>102.59451639388871</v>
      </c>
      <c r="N141" s="84">
        <f t="shared" si="203"/>
        <v>92.954681554373238</v>
      </c>
    </row>
    <row r="142" spans="2:14" x14ac:dyDescent="0.3">
      <c r="B142" s="84">
        <v>2009</v>
      </c>
      <c r="C142" s="84">
        <f>C$27*$D$79</f>
        <v>0</v>
      </c>
      <c r="D142" s="84">
        <f>D$27*$D$79</f>
        <v>0</v>
      </c>
      <c r="E142" s="84">
        <f>E$27*$D$79/2</f>
        <v>256.5762002204815</v>
      </c>
      <c r="F142" s="84">
        <f t="shared" ref="F142:N142" si="204">F$27*$D$79</f>
        <v>438.96038082069828</v>
      </c>
      <c r="G142" s="84">
        <f t="shared" si="204"/>
        <v>438.96038082069828</v>
      </c>
      <c r="H142" s="84">
        <f t="shared" si="204"/>
        <v>438.73745563378452</v>
      </c>
      <c r="I142" s="84">
        <f t="shared" si="204"/>
        <v>424.1745382711498</v>
      </c>
      <c r="J142" s="84">
        <f t="shared" si="204"/>
        <v>382.25789256213329</v>
      </c>
      <c r="K142" s="84">
        <f t="shared" si="204"/>
        <v>375.46626167474489</v>
      </c>
      <c r="L142" s="84">
        <f t="shared" si="204"/>
        <v>375.31807316281453</v>
      </c>
      <c r="M142" s="84">
        <f t="shared" si="204"/>
        <v>274.78796623672309</v>
      </c>
      <c r="N142" s="84">
        <f t="shared" si="204"/>
        <v>157.41624999975767</v>
      </c>
    </row>
    <row r="143" spans="2:14" x14ac:dyDescent="0.3">
      <c r="B143" s="84">
        <f>B142+1</f>
        <v>2010</v>
      </c>
      <c r="C143" s="84">
        <f t="shared" ref="C143:E149" si="205">(C51+C64)*$F$79</f>
        <v>0</v>
      </c>
      <c r="D143" s="84">
        <f t="shared" si="205"/>
        <v>0</v>
      </c>
      <c r="E143" s="84">
        <f t="shared" si="205"/>
        <v>0</v>
      </c>
      <c r="F143" s="84">
        <f>(F51+F64)*$F$79/2</f>
        <v>174.21275396287459</v>
      </c>
      <c r="G143" s="84">
        <f t="shared" ref="G143:L143" si="206">(G51+G64)*$F$79</f>
        <v>328.30931116527734</v>
      </c>
      <c r="H143" s="84">
        <f t="shared" si="206"/>
        <v>315.4652061613391</v>
      </c>
      <c r="I143" s="84">
        <f t="shared" si="206"/>
        <v>336.68949324676697</v>
      </c>
      <c r="J143" s="84">
        <f t="shared" si="206"/>
        <v>313.62124443553631</v>
      </c>
      <c r="K143" s="84">
        <f t="shared" si="206"/>
        <v>291.53782642568626</v>
      </c>
      <c r="L143" s="84">
        <f t="shared" si="206"/>
        <v>265.50138969493037</v>
      </c>
      <c r="M143" s="84">
        <f t="shared" ref="M143:N143" si="207">(M51+M64)*$F$79</f>
        <v>241.7980099415841</v>
      </c>
      <c r="N143" s="84">
        <f t="shared" si="207"/>
        <v>220.2179271508777</v>
      </c>
    </row>
    <row r="144" spans="2:14" x14ac:dyDescent="0.3">
      <c r="B144" s="84">
        <f t="shared" ref="B144:B149" si="208">B143+1</f>
        <v>2011</v>
      </c>
      <c r="C144" s="84">
        <f t="shared" si="205"/>
        <v>0</v>
      </c>
      <c r="D144" s="84">
        <f t="shared" si="205"/>
        <v>0</v>
      </c>
      <c r="E144" s="84">
        <f t="shared" si="205"/>
        <v>0</v>
      </c>
      <c r="F144" s="84">
        <f t="shared" ref="F144:F149" si="209">(F52+F65)*$F$79</f>
        <v>0</v>
      </c>
      <c r="G144" s="84">
        <f>(G52+G65)*$F$79/2</f>
        <v>88.079951037960782</v>
      </c>
      <c r="H144" s="84">
        <f>(H52+H65)*$F$79</f>
        <v>176.11271523901965</v>
      </c>
      <c r="I144" s="84">
        <f>(I52+I65)*$F$79</f>
        <v>175.35460943763235</v>
      </c>
      <c r="J144" s="84">
        <f>(J52+J65)*$F$79</f>
        <v>159.18262865056769</v>
      </c>
      <c r="K144" s="84">
        <f>(K52+K65)*$F$79</f>
        <v>159.18262865056769</v>
      </c>
      <c r="L144" s="84">
        <f>(L52+L65)*$F$79</f>
        <v>159.149627031553</v>
      </c>
      <c r="M144" s="84">
        <f t="shared" ref="M144:N144" si="210">(M52+M65)*$F$79</f>
        <v>126.36328524731907</v>
      </c>
      <c r="N144" s="84">
        <f t="shared" si="210"/>
        <v>126.08201568470555</v>
      </c>
    </row>
    <row r="145" spans="2:14" x14ac:dyDescent="0.3">
      <c r="B145" s="84">
        <f t="shared" si="208"/>
        <v>2012</v>
      </c>
      <c r="C145" s="84">
        <f t="shared" si="205"/>
        <v>0</v>
      </c>
      <c r="D145" s="84">
        <f t="shared" si="205"/>
        <v>0</v>
      </c>
      <c r="E145" s="84">
        <f t="shared" si="205"/>
        <v>0</v>
      </c>
      <c r="F145" s="84">
        <f t="shared" si="209"/>
        <v>0</v>
      </c>
      <c r="G145" s="84">
        <f>(G53+G66)*$F$79</f>
        <v>57.415937007705864</v>
      </c>
      <c r="H145" s="84">
        <f>(H53+H66)*$F$79/2</f>
        <v>417.75226995447565</v>
      </c>
      <c r="I145" s="84">
        <f>(I53+I66)*$F$79</f>
        <v>818.20677454163717</v>
      </c>
      <c r="J145" s="84">
        <f>(J53+J66)*$F$79</f>
        <v>810.82795550769811</v>
      </c>
      <c r="K145" s="84">
        <f>(K53+K66)*$F$79</f>
        <v>776.1015746923232</v>
      </c>
      <c r="L145" s="84">
        <f>(L53+L66)*$F$79</f>
        <v>751.75764575218079</v>
      </c>
      <c r="M145" s="84">
        <f t="shared" ref="M145:N145" si="211">(M53+M66)*$F$79</f>
        <v>691.10049321742201</v>
      </c>
      <c r="N145" s="84">
        <f t="shared" si="211"/>
        <v>644.96715085011954</v>
      </c>
    </row>
    <row r="146" spans="2:14" x14ac:dyDescent="0.3">
      <c r="B146" s="84">
        <f t="shared" si="208"/>
        <v>2013</v>
      </c>
      <c r="C146" s="84">
        <f t="shared" si="205"/>
        <v>0</v>
      </c>
      <c r="D146" s="84">
        <f t="shared" si="205"/>
        <v>0</v>
      </c>
      <c r="E146" s="84">
        <f t="shared" si="205"/>
        <v>0</v>
      </c>
      <c r="F146" s="84">
        <f t="shared" si="209"/>
        <v>0</v>
      </c>
      <c r="G146" s="84">
        <f>(G54+G67)*$F$79</f>
        <v>0</v>
      </c>
      <c r="H146" s="84">
        <f>(H54+H67)*$F$79</f>
        <v>10.160735114367673</v>
      </c>
      <c r="I146" s="84">
        <f>(I54+I67)*$F$79/2</f>
        <v>809.76954523099243</v>
      </c>
      <c r="J146" s="84">
        <f>(J54+J67)*$F$79</f>
        <v>1420.7844616517839</v>
      </c>
      <c r="K146" s="84">
        <f>(K54+K67)*$F$79</f>
        <v>1416.6316801827509</v>
      </c>
      <c r="L146" s="84">
        <f>(L54+L67)*$F$79</f>
        <v>1403.6433032726914</v>
      </c>
      <c r="M146" s="84">
        <f t="shared" ref="M146:N146" si="212">(M54+M67)*$F$79</f>
        <v>869.03431346928198</v>
      </c>
      <c r="N146" s="84">
        <f t="shared" si="212"/>
        <v>643.2492544363339</v>
      </c>
    </row>
    <row r="147" spans="2:14" x14ac:dyDescent="0.3">
      <c r="B147" s="84">
        <f t="shared" si="208"/>
        <v>2014</v>
      </c>
      <c r="C147" s="84">
        <f t="shared" si="205"/>
        <v>0</v>
      </c>
      <c r="D147" s="84">
        <f t="shared" si="205"/>
        <v>0</v>
      </c>
      <c r="E147" s="84">
        <f t="shared" si="205"/>
        <v>0</v>
      </c>
      <c r="F147" s="84">
        <f t="shared" si="209"/>
        <v>0</v>
      </c>
      <c r="G147" s="84">
        <f>(G55+G68)*$F$79</f>
        <v>0</v>
      </c>
      <c r="H147" s="84">
        <f>(H55+H68)*$F$79</f>
        <v>338.52051174129656</v>
      </c>
      <c r="I147" s="84">
        <f>(I55+I68)*$F$79</f>
        <v>439.31609601736619</v>
      </c>
      <c r="J147" s="84">
        <f>(J55+J68)*$F$79/2</f>
        <v>1476.6669356718023</v>
      </c>
      <c r="K147" s="84">
        <f>(K55+K68)*$F$79</f>
        <v>2813.4784794526017</v>
      </c>
      <c r="L147" s="84">
        <f>(L55+L68)*$F$79</f>
        <v>2609.4741550812055</v>
      </c>
      <c r="M147" s="84">
        <f t="shared" ref="M147:N147" si="213">(M55+M68)*$F$79</f>
        <v>3045.8289670575532</v>
      </c>
      <c r="N147" s="84">
        <f t="shared" si="213"/>
        <v>3248.139332048811</v>
      </c>
    </row>
    <row r="148" spans="2:14" x14ac:dyDescent="0.3">
      <c r="B148" s="84">
        <f t="shared" si="208"/>
        <v>2015</v>
      </c>
      <c r="C148" s="84">
        <f t="shared" si="205"/>
        <v>0</v>
      </c>
      <c r="D148" s="84">
        <f t="shared" si="205"/>
        <v>0</v>
      </c>
      <c r="E148" s="84">
        <f t="shared" si="205"/>
        <v>0</v>
      </c>
      <c r="F148" s="84">
        <f t="shared" si="209"/>
        <v>0</v>
      </c>
      <c r="G148" s="84">
        <f>(G56+G69)*$F$79</f>
        <v>0</v>
      </c>
      <c r="H148" s="84">
        <f>(H56+H69)*$F$79</f>
        <v>0</v>
      </c>
      <c r="I148" s="84">
        <f>(I56+I69)*$F$79</f>
        <v>0</v>
      </c>
      <c r="J148" s="84">
        <f>(J56+J69)*$F$79</f>
        <v>0</v>
      </c>
      <c r="K148" s="84">
        <f>(K56+K69)*$F$79/2</f>
        <v>669.58437224001125</v>
      </c>
      <c r="L148" s="84">
        <f>(L56+L69)*$F$79</f>
        <v>1335.0326284326329</v>
      </c>
      <c r="M148" s="84">
        <f t="shared" ref="M148:N148" si="214">(M56+M69)*$F$79</f>
        <v>1302.7536796708494</v>
      </c>
      <c r="N148" s="84">
        <f t="shared" si="214"/>
        <v>1302.6686347436128</v>
      </c>
    </row>
    <row r="149" spans="2:14" x14ac:dyDescent="0.3">
      <c r="B149" s="84">
        <f t="shared" si="208"/>
        <v>2016</v>
      </c>
      <c r="C149" s="84">
        <f t="shared" si="205"/>
        <v>0</v>
      </c>
      <c r="D149" s="84">
        <f t="shared" si="205"/>
        <v>0</v>
      </c>
      <c r="E149" s="84">
        <f t="shared" si="205"/>
        <v>0</v>
      </c>
      <c r="F149" s="84">
        <f t="shared" si="209"/>
        <v>0</v>
      </c>
      <c r="G149" s="84">
        <f>(G57+G70)*$F$79</f>
        <v>0</v>
      </c>
      <c r="H149" s="84">
        <f>(H57+H70)*$F$79</f>
        <v>0</v>
      </c>
      <c r="I149" s="84">
        <f>(I57+I70)*$F$79</f>
        <v>0</v>
      </c>
      <c r="J149" s="84">
        <f>(J57+J70)*$F$79</f>
        <v>0</v>
      </c>
      <c r="K149" s="84">
        <f>(K57+K70)*$F$79</f>
        <v>0</v>
      </c>
      <c r="L149" s="84">
        <f>(L57+L70)*$F$79/2</f>
        <v>512.1474701851713</v>
      </c>
      <c r="M149" s="84">
        <f t="shared" ref="M149:N149" si="215">(M57+M70)*$F$79/2</f>
        <v>512.1474701851713</v>
      </c>
      <c r="N149" s="84">
        <f t="shared" si="215"/>
        <v>512.1474701851713</v>
      </c>
    </row>
    <row r="150" spans="2:14" x14ac:dyDescent="0.3">
      <c r="B150" s="84" t="s">
        <v>121</v>
      </c>
      <c r="C150" s="84">
        <f t="shared" ref="C150" si="216">SUM(C140:C149)</f>
        <v>96.519325720869062</v>
      </c>
      <c r="D150" s="84">
        <f t="shared" ref="D150" si="217">SUM(D140:D149)</f>
        <v>281.51298333391514</v>
      </c>
      <c r="E150" s="84">
        <f t="shared" ref="E150" si="218">SUM(E140:E149)</f>
        <v>613.84205552453705</v>
      </c>
      <c r="F150" s="84">
        <f t="shared" ref="F150" si="219">SUM(F140:F149)</f>
        <v>969.2318690568361</v>
      </c>
      <c r="G150" s="84">
        <f t="shared" ref="G150" si="220">SUM(G140:G149)</f>
        <v>1268.7389848539208</v>
      </c>
      <c r="H150" s="84">
        <f t="shared" ref="H150" si="221">SUM(H140:H149)</f>
        <v>2035.3856479983094</v>
      </c>
      <c r="I150" s="84">
        <f t="shared" ref="I150" si="222">SUM(I140:I149)</f>
        <v>3342.0089655492229</v>
      </c>
      <c r="J150" s="84">
        <f t="shared" ref="J150" si="223">SUM(J140:J149)</f>
        <v>4888.2800215647439</v>
      </c>
      <c r="K150" s="84">
        <f t="shared" ref="K150" si="224">SUM(K140:K149)</f>
        <v>6729.6811401660616</v>
      </c>
      <c r="L150" s="84">
        <f>SUM(L140:L149)</f>
        <v>7582.6308641772903</v>
      </c>
      <c r="M150" s="84">
        <f t="shared" ref="M150:N150" si="225">SUM(M140:M149)</f>
        <v>7185.1253283169281</v>
      </c>
      <c r="N150" s="84">
        <f t="shared" si="225"/>
        <v>6966.5593435508972</v>
      </c>
    </row>
  </sheetData>
  <mergeCells count="12">
    <mergeCell ref="C2:N2"/>
    <mergeCell ref="C9:N9"/>
    <mergeCell ref="C16:N16"/>
    <mergeCell ref="C23:N23"/>
    <mergeCell ref="C36:N36"/>
    <mergeCell ref="C124:N124"/>
    <mergeCell ref="C138:N138"/>
    <mergeCell ref="C49:N49"/>
    <mergeCell ref="C62:N62"/>
    <mergeCell ref="C82:N82"/>
    <mergeCell ref="C96:N96"/>
    <mergeCell ref="C110:N1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opLeftCell="A38" workbookViewId="0">
      <selection activeCell="J64" sqref="J64:M77"/>
    </sheetView>
  </sheetViews>
  <sheetFormatPr defaultColWidth="9.109375" defaultRowHeight="13.2" x14ac:dyDescent="0.25"/>
  <cols>
    <col min="1" max="1" width="9.6640625" style="4" bestFit="1" customWidth="1"/>
    <col min="2" max="2" width="8.44140625" style="4" bestFit="1" customWidth="1"/>
    <col min="3" max="4" width="9.109375" style="4"/>
    <col min="5" max="5" width="17.88671875" style="4" bestFit="1" customWidth="1"/>
    <col min="6" max="6" width="9.109375" style="4"/>
    <col min="7" max="7" width="8.33203125" style="4" bestFit="1" customWidth="1"/>
    <col min="8" max="9" width="9.109375" style="4"/>
    <col min="10" max="10" width="15.5546875" style="4" bestFit="1" customWidth="1"/>
    <col min="11" max="16384" width="9.109375" style="4"/>
  </cols>
  <sheetData>
    <row r="1" spans="1:17" x14ac:dyDescent="0.25">
      <c r="B1" s="4" t="s">
        <v>44</v>
      </c>
      <c r="C1" s="4" t="s">
        <v>45</v>
      </c>
      <c r="D1" s="4" t="s">
        <v>150</v>
      </c>
      <c r="E1" s="7" t="s">
        <v>44</v>
      </c>
      <c r="F1" s="8" t="s">
        <v>46</v>
      </c>
      <c r="G1" s="8" t="s">
        <v>47</v>
      </c>
      <c r="H1" s="8" t="s">
        <v>48</v>
      </c>
      <c r="I1" s="8" t="s">
        <v>49</v>
      </c>
      <c r="J1" s="8" t="s">
        <v>50</v>
      </c>
      <c r="K1" s="8" t="s">
        <v>51</v>
      </c>
      <c r="L1" s="8" t="s">
        <v>52</v>
      </c>
      <c r="M1" s="9" t="s">
        <v>53</v>
      </c>
      <c r="N1" s="9" t="s">
        <v>54</v>
      </c>
      <c r="O1" s="9" t="s">
        <v>55</v>
      </c>
      <c r="P1" s="9" t="s">
        <v>56</v>
      </c>
      <c r="Q1" s="9" t="s">
        <v>57</v>
      </c>
    </row>
    <row r="2" spans="1:17" x14ac:dyDescent="0.25">
      <c r="A2" s="10">
        <v>35431</v>
      </c>
      <c r="B2" s="58">
        <v>688.09999999999991</v>
      </c>
      <c r="C2" s="58">
        <v>0</v>
      </c>
      <c r="D2" s="86"/>
      <c r="E2" s="4">
        <v>1997</v>
      </c>
      <c r="F2" s="4">
        <f t="shared" ref="F2:Q18" ca="1" si="0">OFFSET($B$2,(ROW()-2)*12+COLUMN()-6,0)</f>
        <v>688.09999999999991</v>
      </c>
      <c r="G2" s="4">
        <f t="shared" ca="1" si="0"/>
        <v>500.50000000000006</v>
      </c>
      <c r="H2" s="4">
        <f t="shared" ca="1" si="0"/>
        <v>455.19999999999993</v>
      </c>
      <c r="I2" s="4">
        <f t="shared" ca="1" si="0"/>
        <v>305.19999999999987</v>
      </c>
      <c r="J2" s="4">
        <f t="shared" ca="1" si="0"/>
        <v>204.59999999999991</v>
      </c>
      <c r="K2" s="4">
        <f t="shared" ca="1" si="0"/>
        <v>15.199999999999996</v>
      </c>
      <c r="L2" s="4">
        <f t="shared" ca="1" si="0"/>
        <v>0</v>
      </c>
      <c r="M2" s="4">
        <f t="shared" ca="1" si="0"/>
        <v>2.9</v>
      </c>
      <c r="N2" s="4">
        <f t="shared" ca="1" si="0"/>
        <v>34.400000000000006</v>
      </c>
      <c r="O2" s="4">
        <f t="shared" ca="1" si="0"/>
        <v>210.70000000000002</v>
      </c>
      <c r="P2" s="4">
        <f t="shared" ca="1" si="0"/>
        <v>427.29999999999995</v>
      </c>
      <c r="Q2" s="4">
        <f t="shared" ca="1" si="0"/>
        <v>534.09999999999991</v>
      </c>
    </row>
    <row r="3" spans="1:17" x14ac:dyDescent="0.25">
      <c r="A3" s="10">
        <v>35462</v>
      </c>
      <c r="B3" s="58">
        <v>500.50000000000006</v>
      </c>
      <c r="C3" s="58">
        <v>0</v>
      </c>
      <c r="D3" s="86"/>
      <c r="E3" s="4">
        <f>E2+1</f>
        <v>1998</v>
      </c>
      <c r="F3" s="4">
        <f t="shared" ca="1" si="0"/>
        <v>532.90000000000009</v>
      </c>
      <c r="G3" s="4">
        <f t="shared" ca="1" si="0"/>
        <v>429.89999999999992</v>
      </c>
      <c r="H3" s="4">
        <f t="shared" ca="1" si="0"/>
        <v>424.09999999999997</v>
      </c>
      <c r="I3" s="4">
        <f t="shared" ca="1" si="0"/>
        <v>232.7999999999999</v>
      </c>
      <c r="J3" s="4">
        <f t="shared" ca="1" si="0"/>
        <v>28.299999999999997</v>
      </c>
      <c r="K3" s="4">
        <f t="shared" ca="1" si="0"/>
        <v>42.100000000000009</v>
      </c>
      <c r="L3" s="4">
        <f t="shared" ca="1" si="0"/>
        <v>0</v>
      </c>
      <c r="M3" s="4">
        <f t="shared" ca="1" si="0"/>
        <v>0.5</v>
      </c>
      <c r="N3" s="4">
        <f t="shared" ca="1" si="0"/>
        <v>13.100000000000001</v>
      </c>
      <c r="O3" s="4">
        <f t="shared" ca="1" si="0"/>
        <v>158.89999999999998</v>
      </c>
      <c r="P3" s="4">
        <f t="shared" ca="1" si="0"/>
        <v>314.19999999999993</v>
      </c>
      <c r="Q3" s="4">
        <f t="shared" ca="1" si="0"/>
        <v>467.00000000000006</v>
      </c>
    </row>
    <row r="4" spans="1:17" x14ac:dyDescent="0.25">
      <c r="A4" s="10">
        <v>35490</v>
      </c>
      <c r="B4" s="58">
        <v>455.19999999999993</v>
      </c>
      <c r="C4" s="58">
        <v>0</v>
      </c>
      <c r="D4" s="86"/>
      <c r="E4" s="4">
        <f t="shared" ref="E4:E23" si="1">E3+1</f>
        <v>1999</v>
      </c>
      <c r="F4" s="4">
        <f t="shared" ca="1" si="0"/>
        <v>689.20000000000027</v>
      </c>
      <c r="G4" s="4">
        <f t="shared" ca="1" si="0"/>
        <v>480.4</v>
      </c>
      <c r="H4" s="4">
        <f t="shared" ca="1" si="0"/>
        <v>492.49999999999994</v>
      </c>
      <c r="I4" s="4">
        <f t="shared" ca="1" si="0"/>
        <v>229.59999999999997</v>
      </c>
      <c r="J4" s="4">
        <f t="shared" ca="1" si="0"/>
        <v>58.300000000000011</v>
      </c>
      <c r="K4" s="4">
        <f t="shared" ca="1" si="0"/>
        <v>17.599999999999998</v>
      </c>
      <c r="L4" s="4">
        <f t="shared" ca="1" si="0"/>
        <v>0</v>
      </c>
      <c r="M4" s="4">
        <f t="shared" ca="1" si="0"/>
        <v>0.5</v>
      </c>
      <c r="N4" s="4">
        <f t="shared" ca="1" si="0"/>
        <v>30.799999999999997</v>
      </c>
      <c r="O4" s="4">
        <f t="shared" ca="1" si="0"/>
        <v>204.09999999999997</v>
      </c>
      <c r="P4" s="4">
        <f t="shared" ca="1" si="0"/>
        <v>312.19999999999993</v>
      </c>
      <c r="Q4" s="4">
        <f t="shared" ca="1" si="0"/>
        <v>533.10000000000014</v>
      </c>
    </row>
    <row r="5" spans="1:17" x14ac:dyDescent="0.25">
      <c r="A5" s="10">
        <v>35521</v>
      </c>
      <c r="B5" s="58">
        <v>305.19999999999987</v>
      </c>
      <c r="C5" s="58">
        <v>0.3</v>
      </c>
      <c r="D5" s="86"/>
      <c r="E5" s="4">
        <f t="shared" si="1"/>
        <v>2000</v>
      </c>
      <c r="F5" s="4">
        <f t="shared" ca="1" si="0"/>
        <v>652.79999999999995</v>
      </c>
      <c r="G5" s="4">
        <f t="shared" ca="1" si="0"/>
        <v>497.1</v>
      </c>
      <c r="H5" s="4">
        <f t="shared" ca="1" si="0"/>
        <v>348.29999999999995</v>
      </c>
      <c r="I5" s="4">
        <f t="shared" ca="1" si="0"/>
        <v>275.2999999999999</v>
      </c>
      <c r="J5" s="4">
        <f t="shared" ca="1" si="0"/>
        <v>74.000000000000014</v>
      </c>
      <c r="K5" s="4">
        <f t="shared" ca="1" si="0"/>
        <v>14.8</v>
      </c>
      <c r="L5" s="4">
        <f t="shared" ca="1" si="0"/>
        <v>0</v>
      </c>
      <c r="M5" s="4">
        <f t="shared" ca="1" si="0"/>
        <v>3.4000000000000004</v>
      </c>
      <c r="N5" s="4">
        <f t="shared" ca="1" si="0"/>
        <v>61.400000000000006</v>
      </c>
      <c r="O5" s="4">
        <f t="shared" ca="1" si="0"/>
        <v>148.4</v>
      </c>
      <c r="P5" s="4">
        <f t="shared" ca="1" si="0"/>
        <v>386.6</v>
      </c>
      <c r="Q5" s="4">
        <f t="shared" ca="1" si="0"/>
        <v>741.09999999999991</v>
      </c>
    </row>
    <row r="6" spans="1:17" x14ac:dyDescent="0.25">
      <c r="A6" s="10">
        <v>35551</v>
      </c>
      <c r="B6" s="58">
        <v>204.59999999999991</v>
      </c>
      <c r="C6" s="58">
        <v>0</v>
      </c>
      <c r="D6" s="86"/>
      <c r="E6" s="4">
        <f t="shared" si="1"/>
        <v>2001</v>
      </c>
      <c r="F6" s="4">
        <f t="shared" ca="1" si="0"/>
        <v>626.20000000000005</v>
      </c>
      <c r="G6" s="4">
        <f t="shared" ca="1" si="0"/>
        <v>516.69999999999993</v>
      </c>
      <c r="H6" s="4">
        <f t="shared" ca="1" si="0"/>
        <v>499.49999999999994</v>
      </c>
      <c r="I6" s="4">
        <f t="shared" ca="1" si="0"/>
        <v>231.59999999999997</v>
      </c>
      <c r="J6" s="4">
        <f t="shared" ca="1" si="0"/>
        <v>67.300000000000011</v>
      </c>
      <c r="K6" s="4">
        <f t="shared" ca="1" si="0"/>
        <v>22.5</v>
      </c>
      <c r="L6" s="4">
        <f t="shared" ca="1" si="0"/>
        <v>2.7</v>
      </c>
      <c r="M6" s="4">
        <f t="shared" ca="1" si="0"/>
        <v>0</v>
      </c>
      <c r="N6" s="4">
        <f t="shared" ca="1" si="0"/>
        <v>60.800000000000011</v>
      </c>
      <c r="O6" s="4">
        <f t="shared" ca="1" si="0"/>
        <v>191.79999999999998</v>
      </c>
      <c r="P6" s="4">
        <f t="shared" ca="1" si="0"/>
        <v>254.39999999999992</v>
      </c>
      <c r="Q6" s="4">
        <f t="shared" ca="1" si="0"/>
        <v>470</v>
      </c>
    </row>
    <row r="7" spans="1:17" x14ac:dyDescent="0.25">
      <c r="A7" s="10">
        <v>35582</v>
      </c>
      <c r="B7" s="58">
        <v>15.199999999999996</v>
      </c>
      <c r="C7" s="58">
        <v>106.5</v>
      </c>
      <c r="D7" s="86"/>
      <c r="E7" s="4">
        <f t="shared" si="1"/>
        <v>2002</v>
      </c>
      <c r="F7" s="4">
        <f t="shared" ca="1" si="0"/>
        <v>524.70000000000005</v>
      </c>
      <c r="G7" s="4">
        <f t="shared" ca="1" si="0"/>
        <v>476.09999999999997</v>
      </c>
      <c r="H7" s="4">
        <f t="shared" ca="1" si="0"/>
        <v>486.19999999999987</v>
      </c>
      <c r="I7" s="4">
        <f t="shared" ca="1" si="0"/>
        <v>259.7999999999999</v>
      </c>
      <c r="J7" s="4">
        <f t="shared" ca="1" si="0"/>
        <v>170.8</v>
      </c>
      <c r="K7" s="4">
        <f t="shared" ca="1" si="0"/>
        <v>12</v>
      </c>
      <c r="L7" s="4">
        <f t="shared" ca="1" si="0"/>
        <v>0</v>
      </c>
      <c r="M7" s="4">
        <f t="shared" ca="1" si="0"/>
        <v>0</v>
      </c>
      <c r="N7" s="4">
        <f t="shared" ca="1" si="0"/>
        <v>14.5</v>
      </c>
      <c r="O7" s="4">
        <f t="shared" ca="1" si="0"/>
        <v>240.79999999999993</v>
      </c>
      <c r="P7" s="4">
        <f t="shared" ca="1" si="0"/>
        <v>402.19999999999993</v>
      </c>
      <c r="Q7" s="4">
        <f t="shared" ca="1" si="0"/>
        <v>582.90000000000009</v>
      </c>
    </row>
    <row r="8" spans="1:17" x14ac:dyDescent="0.25">
      <c r="A8" s="10">
        <v>35612</v>
      </c>
      <c r="B8" s="58">
        <v>0</v>
      </c>
      <c r="C8" s="58">
        <v>145.5</v>
      </c>
      <c r="D8" s="86"/>
      <c r="E8" s="4">
        <f t="shared" si="1"/>
        <v>2003</v>
      </c>
      <c r="F8" s="4">
        <f t="shared" ca="1" si="0"/>
        <v>730.59999999999991</v>
      </c>
      <c r="G8" s="4">
        <f t="shared" ca="1" si="0"/>
        <v>621.69999999999993</v>
      </c>
      <c r="H8" s="4">
        <f t="shared" ca="1" si="0"/>
        <v>490.29999999999995</v>
      </c>
      <c r="I8" s="4">
        <f t="shared" ca="1" si="0"/>
        <v>289.79999999999984</v>
      </c>
      <c r="J8" s="4">
        <f t="shared" ca="1" si="0"/>
        <v>128.50000000000003</v>
      </c>
      <c r="K8" s="4">
        <f t="shared" ca="1" si="0"/>
        <v>27.6</v>
      </c>
      <c r="L8" s="4">
        <f t="shared" ca="1" si="0"/>
        <v>0</v>
      </c>
      <c r="M8" s="4">
        <f t="shared" ca="1" si="0"/>
        <v>0</v>
      </c>
      <c r="N8" s="4">
        <f t="shared" ca="1" si="0"/>
        <v>42.7</v>
      </c>
      <c r="O8" s="4">
        <f t="shared" ca="1" si="0"/>
        <v>218.59999999999997</v>
      </c>
      <c r="P8" s="4">
        <f t="shared" ca="1" si="0"/>
        <v>335.49999999999994</v>
      </c>
      <c r="Q8" s="4">
        <f t="shared" ca="1" si="0"/>
        <v>531.90000000000009</v>
      </c>
    </row>
    <row r="9" spans="1:17" x14ac:dyDescent="0.25">
      <c r="A9" s="10">
        <v>35643</v>
      </c>
      <c r="B9" s="58">
        <v>2.9</v>
      </c>
      <c r="C9" s="58">
        <v>85.799999999999969</v>
      </c>
      <c r="D9" s="86"/>
      <c r="E9" s="4">
        <f t="shared" si="1"/>
        <v>2004</v>
      </c>
      <c r="F9" s="4">
        <f t="shared" ca="1" si="0"/>
        <v>748.19999999999993</v>
      </c>
      <c r="G9" s="4">
        <f t="shared" ca="1" si="0"/>
        <v>557.70000000000005</v>
      </c>
      <c r="H9" s="4">
        <f t="shared" ca="1" si="0"/>
        <v>408.99999999999989</v>
      </c>
      <c r="I9" s="4">
        <f t="shared" ca="1" si="0"/>
        <v>239.89999999999992</v>
      </c>
      <c r="J9" s="4">
        <f t="shared" ca="1" si="0"/>
        <v>93.700000000000031</v>
      </c>
      <c r="K9" s="4">
        <f t="shared" ca="1" si="0"/>
        <v>16</v>
      </c>
      <c r="L9" s="4">
        <f t="shared" ca="1" si="0"/>
        <v>2.2000000000000002</v>
      </c>
      <c r="M9" s="4">
        <f t="shared" ca="1" si="0"/>
        <v>3.7</v>
      </c>
      <c r="N9" s="4">
        <f t="shared" ca="1" si="0"/>
        <v>18.7</v>
      </c>
      <c r="O9" s="4">
        <f t="shared" ca="1" si="0"/>
        <v>176.89999999999998</v>
      </c>
      <c r="P9" s="4">
        <f t="shared" ca="1" si="0"/>
        <v>343.49999999999989</v>
      </c>
      <c r="Q9" s="4">
        <f t="shared" ca="1" si="0"/>
        <v>589.10000000000014</v>
      </c>
    </row>
    <row r="10" spans="1:17" x14ac:dyDescent="0.25">
      <c r="A10" s="10">
        <v>35674</v>
      </c>
      <c r="B10" s="58">
        <v>34.400000000000006</v>
      </c>
      <c r="C10" s="58">
        <v>41.3</v>
      </c>
      <c r="D10" s="86"/>
      <c r="E10" s="4">
        <f t="shared" si="1"/>
        <v>2005</v>
      </c>
      <c r="F10" s="4">
        <f t="shared" ca="1" si="0"/>
        <v>688.99999999999989</v>
      </c>
      <c r="G10" s="4">
        <f t="shared" ca="1" si="0"/>
        <v>543.30000000000007</v>
      </c>
      <c r="H10" s="4">
        <f t="shared" ca="1" si="0"/>
        <v>523.4</v>
      </c>
      <c r="I10" s="4">
        <f t="shared" ca="1" si="0"/>
        <v>310.3</v>
      </c>
      <c r="J10" s="4">
        <f t="shared" ca="1" si="0"/>
        <v>198.5</v>
      </c>
      <c r="K10" s="4">
        <f t="shared" ca="1" si="0"/>
        <v>11.4</v>
      </c>
      <c r="L10" s="4">
        <f t="shared" ca="1" si="0"/>
        <v>1.5</v>
      </c>
      <c r="M10" s="4">
        <f t="shared" ca="1" si="0"/>
        <v>4.5</v>
      </c>
      <c r="N10" s="4">
        <f t="shared" ca="1" si="0"/>
        <v>30.5</v>
      </c>
      <c r="O10" s="4">
        <f t="shared" ca="1" si="0"/>
        <v>228.3</v>
      </c>
      <c r="P10" s="4">
        <f t="shared" ca="1" si="0"/>
        <v>392.7</v>
      </c>
      <c r="Q10" s="4">
        <f t="shared" ca="1" si="0"/>
        <v>702.3</v>
      </c>
    </row>
    <row r="11" spans="1:17" x14ac:dyDescent="0.25">
      <c r="A11" s="10">
        <v>35704</v>
      </c>
      <c r="B11" s="58">
        <v>210.70000000000002</v>
      </c>
      <c r="C11" s="58">
        <v>28.6</v>
      </c>
      <c r="D11" s="86"/>
      <c r="E11" s="4">
        <f t="shared" si="1"/>
        <v>2006</v>
      </c>
      <c r="F11" s="4">
        <f t="shared" ca="1" si="0"/>
        <v>554.70000000000005</v>
      </c>
      <c r="G11" s="4">
        <f t="shared" ca="1" si="0"/>
        <v>609.29999999999995</v>
      </c>
      <c r="H11" s="4">
        <f t="shared" ca="1" si="0"/>
        <v>545.70000000000005</v>
      </c>
      <c r="I11" s="4">
        <f t="shared" ca="1" si="0"/>
        <v>286.10000000000002</v>
      </c>
      <c r="J11" s="4">
        <f t="shared" ca="1" si="0"/>
        <v>151.9</v>
      </c>
      <c r="K11" s="4">
        <f t="shared" ca="1" si="0"/>
        <v>26.7</v>
      </c>
      <c r="L11" s="4">
        <f t="shared" ca="1" si="0"/>
        <v>3.3</v>
      </c>
      <c r="M11" s="4">
        <f t="shared" ca="1" si="0"/>
        <v>5.3</v>
      </c>
      <c r="N11" s="4">
        <f t="shared" ca="1" si="0"/>
        <v>98.5</v>
      </c>
      <c r="O11" s="4">
        <f t="shared" ca="1" si="0"/>
        <v>307.89999999999998</v>
      </c>
      <c r="P11" s="4">
        <f t="shared" ca="1" si="0"/>
        <v>383.4</v>
      </c>
      <c r="Q11" s="4">
        <f t="shared" ca="1" si="0"/>
        <v>511.9</v>
      </c>
    </row>
    <row r="12" spans="1:17" x14ac:dyDescent="0.25">
      <c r="A12" s="10">
        <v>35735</v>
      </c>
      <c r="B12" s="58">
        <v>427.29999999999995</v>
      </c>
      <c r="C12" s="58">
        <v>0</v>
      </c>
      <c r="D12" s="86"/>
      <c r="E12" s="4">
        <f t="shared" si="1"/>
        <v>2007</v>
      </c>
      <c r="F12" s="4">
        <f t="shared" ca="1" si="0"/>
        <v>655.6</v>
      </c>
      <c r="G12" s="4">
        <f t="shared" ca="1" si="0"/>
        <v>758.7</v>
      </c>
      <c r="H12" s="4">
        <f t="shared" ca="1" si="0"/>
        <v>527</v>
      </c>
      <c r="I12" s="4">
        <f t="shared" ca="1" si="0"/>
        <v>371.1</v>
      </c>
      <c r="J12" s="4">
        <f t="shared" ca="1" si="0"/>
        <v>131.9</v>
      </c>
      <c r="K12" s="4">
        <f t="shared" ca="1" si="0"/>
        <v>23.2</v>
      </c>
      <c r="L12" s="4">
        <f t="shared" ca="1" si="0"/>
        <v>11.3</v>
      </c>
      <c r="M12" s="4">
        <f t="shared" ca="1" si="0"/>
        <v>11.5</v>
      </c>
      <c r="N12" s="4">
        <f t="shared" ca="1" si="0"/>
        <v>61</v>
      </c>
      <c r="O12" s="4">
        <f t="shared" ca="1" si="0"/>
        <v>149.9</v>
      </c>
      <c r="P12" s="4">
        <f t="shared" ca="1" si="0"/>
        <v>468.7</v>
      </c>
      <c r="Q12" s="4">
        <f t="shared" ca="1" si="0"/>
        <v>657</v>
      </c>
    </row>
    <row r="13" spans="1:17" x14ac:dyDescent="0.25">
      <c r="A13" s="10">
        <v>35765</v>
      </c>
      <c r="B13" s="58">
        <v>534.09999999999991</v>
      </c>
      <c r="C13" s="58">
        <v>0</v>
      </c>
      <c r="D13" s="86"/>
      <c r="E13" s="4">
        <f t="shared" si="1"/>
        <v>2008</v>
      </c>
      <c r="F13" s="4">
        <f t="shared" ca="1" si="0"/>
        <v>639</v>
      </c>
      <c r="G13" s="4">
        <f t="shared" ca="1" si="0"/>
        <v>692.5</v>
      </c>
      <c r="H13" s="4">
        <f t="shared" ca="1" si="0"/>
        <v>627.29999999999995</v>
      </c>
      <c r="I13" s="4">
        <f t="shared" ca="1" si="0"/>
        <v>265</v>
      </c>
      <c r="J13" s="4">
        <f t="shared" ca="1" si="0"/>
        <v>208.8</v>
      </c>
      <c r="K13" s="4">
        <f t="shared" ca="1" si="0"/>
        <v>24.1</v>
      </c>
      <c r="L13" s="4">
        <f t="shared" ca="1" si="0"/>
        <v>4</v>
      </c>
      <c r="M13" s="4">
        <f t="shared" ca="1" si="0"/>
        <v>12.4</v>
      </c>
      <c r="N13" s="4">
        <f t="shared" ca="1" si="0"/>
        <v>56.7</v>
      </c>
      <c r="O13" s="4">
        <f t="shared" ca="1" si="0"/>
        <v>286.8</v>
      </c>
      <c r="P13" s="4">
        <f t="shared" ca="1" si="0"/>
        <v>468.3</v>
      </c>
      <c r="Q13" s="4">
        <f t="shared" ca="1" si="0"/>
        <v>671</v>
      </c>
    </row>
    <row r="14" spans="1:17" x14ac:dyDescent="0.25">
      <c r="A14" s="10">
        <v>35796</v>
      </c>
      <c r="B14" s="58">
        <v>532.90000000000009</v>
      </c>
      <c r="C14" s="58">
        <v>0</v>
      </c>
      <c r="D14" s="86"/>
      <c r="E14" s="4">
        <f t="shared" si="1"/>
        <v>2009</v>
      </c>
      <c r="F14" s="4">
        <f t="shared" ca="1" si="0"/>
        <v>849.6</v>
      </c>
      <c r="G14" s="4">
        <f t="shared" ca="1" si="0"/>
        <v>612.70000000000005</v>
      </c>
      <c r="H14" s="4">
        <f t="shared" ca="1" si="0"/>
        <v>533.29999999999995</v>
      </c>
      <c r="I14" s="4">
        <f t="shared" ca="1" si="0"/>
        <v>307</v>
      </c>
      <c r="J14" s="4">
        <f t="shared" ca="1" si="0"/>
        <v>156.9</v>
      </c>
      <c r="K14" s="4">
        <f t="shared" ca="1" si="0"/>
        <v>49.7</v>
      </c>
      <c r="L14" s="4">
        <f t="shared" ca="1" si="0"/>
        <v>20.2</v>
      </c>
      <c r="M14" s="4">
        <f t="shared" ca="1" si="0"/>
        <v>17.899999999999999</v>
      </c>
      <c r="N14" s="4">
        <f t="shared" ca="1" si="0"/>
        <v>71.2</v>
      </c>
      <c r="O14" s="4">
        <f t="shared" ca="1" si="0"/>
        <v>301.2</v>
      </c>
      <c r="P14" s="4">
        <f t="shared" ca="1" si="0"/>
        <v>356.7</v>
      </c>
      <c r="Q14" s="4">
        <f t="shared" ca="1" si="0"/>
        <v>637.29999999999995</v>
      </c>
    </row>
    <row r="15" spans="1:17" x14ac:dyDescent="0.25">
      <c r="A15" s="10">
        <v>35827</v>
      </c>
      <c r="B15" s="58">
        <v>429.89999999999992</v>
      </c>
      <c r="C15" s="58">
        <v>0</v>
      </c>
      <c r="D15" s="86"/>
      <c r="E15" s="4">
        <f t="shared" si="1"/>
        <v>2010</v>
      </c>
      <c r="F15" s="4">
        <f t="shared" ca="1" si="0"/>
        <v>733.1</v>
      </c>
      <c r="G15" s="4">
        <f t="shared" ca="1" si="0"/>
        <v>633.4</v>
      </c>
      <c r="H15" s="4">
        <f t="shared" ca="1" si="0"/>
        <v>450.2</v>
      </c>
      <c r="I15" s="4">
        <f t="shared" ca="1" si="0"/>
        <v>236.4</v>
      </c>
      <c r="J15" s="4">
        <f t="shared" ca="1" si="0"/>
        <v>121.1</v>
      </c>
      <c r="K15" s="4">
        <f t="shared" ca="1" si="0"/>
        <v>23.6</v>
      </c>
      <c r="L15" s="4">
        <f t="shared" ca="1" si="0"/>
        <v>5.6</v>
      </c>
      <c r="M15" s="4">
        <f t="shared" ca="1" si="0"/>
        <v>6</v>
      </c>
      <c r="N15" s="4">
        <f t="shared" ca="1" si="0"/>
        <v>87.9</v>
      </c>
      <c r="O15" s="4">
        <f t="shared" ca="1" si="0"/>
        <v>239.5</v>
      </c>
      <c r="P15" s="4">
        <f t="shared" ca="1" si="0"/>
        <v>413.6</v>
      </c>
      <c r="Q15" s="4">
        <f t="shared" ca="1" si="0"/>
        <v>713.5</v>
      </c>
    </row>
    <row r="16" spans="1:17" x14ac:dyDescent="0.25">
      <c r="A16" s="10">
        <v>35855</v>
      </c>
      <c r="B16" s="58">
        <v>424.09999999999997</v>
      </c>
      <c r="C16" s="58">
        <v>7.1</v>
      </c>
      <c r="D16" s="86"/>
      <c r="E16" s="4">
        <f t="shared" si="1"/>
        <v>2011</v>
      </c>
      <c r="F16" s="4">
        <f t="shared" ca="1" si="0"/>
        <v>798.8</v>
      </c>
      <c r="G16" s="4">
        <f t="shared" ca="1" si="0"/>
        <v>677.8</v>
      </c>
      <c r="H16" s="4">
        <f t="shared" ca="1" si="0"/>
        <v>599.6</v>
      </c>
      <c r="I16" s="4">
        <f t="shared" ca="1" si="0"/>
        <v>330.4</v>
      </c>
      <c r="J16" s="4">
        <f t="shared" ca="1" si="0"/>
        <v>126.4</v>
      </c>
      <c r="K16" s="4">
        <f t="shared" ca="1" si="0"/>
        <v>27</v>
      </c>
      <c r="L16" s="4">
        <f t="shared" ca="1" si="0"/>
        <v>0</v>
      </c>
      <c r="M16" s="4">
        <f t="shared" ca="1" si="0"/>
        <v>1.5</v>
      </c>
      <c r="N16" s="4">
        <f t="shared" ca="1" si="0"/>
        <v>71.900000000000006</v>
      </c>
      <c r="O16" s="4">
        <f t="shared" ca="1" si="0"/>
        <v>234.6</v>
      </c>
      <c r="P16" s="4">
        <f t="shared" ca="1" si="0"/>
        <v>347.9</v>
      </c>
      <c r="Q16" s="4">
        <f t="shared" ca="1" si="0"/>
        <v>548.4</v>
      </c>
    </row>
    <row r="17" spans="1:17" x14ac:dyDescent="0.25">
      <c r="A17" s="10">
        <v>35886</v>
      </c>
      <c r="B17" s="58">
        <v>232.7999999999999</v>
      </c>
      <c r="C17" s="58">
        <v>0</v>
      </c>
      <c r="D17" s="86"/>
      <c r="E17" s="4">
        <f t="shared" si="1"/>
        <v>2012</v>
      </c>
      <c r="F17" s="4">
        <f t="shared" ca="1" si="0"/>
        <v>644.79999999999995</v>
      </c>
      <c r="G17" s="4">
        <f t="shared" ca="1" si="0"/>
        <v>553</v>
      </c>
      <c r="H17" s="4">
        <f t="shared" ca="1" si="0"/>
        <v>331.1</v>
      </c>
      <c r="I17" s="4">
        <f t="shared" ca="1" si="0"/>
        <v>334.6</v>
      </c>
      <c r="J17" s="4">
        <f t="shared" ca="1" si="0"/>
        <v>87.2</v>
      </c>
      <c r="K17" s="4">
        <f t="shared" ca="1" si="0"/>
        <v>28.2</v>
      </c>
      <c r="L17" s="4">
        <f t="shared" ca="1" si="0"/>
        <v>0</v>
      </c>
      <c r="M17" s="4">
        <f t="shared" ca="1" si="0"/>
        <v>7.8</v>
      </c>
      <c r="N17" s="4">
        <f t="shared" ca="1" si="0"/>
        <v>103.4</v>
      </c>
      <c r="O17" s="4">
        <f t="shared" ca="1" si="0"/>
        <v>250.5</v>
      </c>
      <c r="P17" s="4">
        <f t="shared" ca="1" si="0"/>
        <v>458.5</v>
      </c>
      <c r="Q17" s="4">
        <f t="shared" ca="1" si="0"/>
        <v>535.9</v>
      </c>
    </row>
    <row r="18" spans="1:17" x14ac:dyDescent="0.25">
      <c r="A18" s="10">
        <v>35916</v>
      </c>
      <c r="B18" s="58">
        <v>28.299999999999997</v>
      </c>
      <c r="C18" s="58">
        <v>66.399999999999991</v>
      </c>
      <c r="D18" s="86"/>
      <c r="E18" s="4">
        <f t="shared" si="1"/>
        <v>2013</v>
      </c>
      <c r="F18" s="4">
        <f t="shared" ca="1" si="0"/>
        <v>657.4</v>
      </c>
      <c r="G18" s="4">
        <f t="shared" ca="1" si="0"/>
        <v>657</v>
      </c>
      <c r="H18" s="4">
        <f t="shared" ca="1" si="0"/>
        <v>581.9</v>
      </c>
      <c r="I18" s="4">
        <f t="shared" ca="1" si="0"/>
        <v>362.2</v>
      </c>
      <c r="J18" s="4">
        <f t="shared" ca="1" si="0"/>
        <v>122.2</v>
      </c>
      <c r="K18" s="4">
        <f t="shared" ca="1" si="0"/>
        <v>41.1</v>
      </c>
      <c r="L18" s="4">
        <f t="shared" ca="1" si="0"/>
        <v>7.1</v>
      </c>
      <c r="M18" s="4">
        <f t="shared" ca="1" si="0"/>
        <v>18.399999999999999</v>
      </c>
      <c r="N18" s="4">
        <f t="shared" ca="1" si="0"/>
        <v>94.9</v>
      </c>
      <c r="O18" s="4">
        <f t="shared" ca="1" si="0"/>
        <v>226.6</v>
      </c>
      <c r="P18" s="4">
        <f t="shared" ca="1" si="0"/>
        <v>492.1</v>
      </c>
      <c r="Q18" s="4">
        <f t="shared" ca="1" si="0"/>
        <v>687.7</v>
      </c>
    </row>
    <row r="19" spans="1:17" x14ac:dyDescent="0.25">
      <c r="A19" s="10">
        <v>35947</v>
      </c>
      <c r="B19" s="58">
        <v>42.100000000000009</v>
      </c>
      <c r="C19" s="58">
        <v>133.4</v>
      </c>
      <c r="D19" s="86"/>
      <c r="E19" s="4">
        <f t="shared" si="1"/>
        <v>2014</v>
      </c>
      <c r="F19" s="4">
        <f t="shared" ref="F19:Q21" ca="1" si="2">OFFSET($B$2,(ROW()-2)*12+COLUMN()-6,0)</f>
        <v>810.4</v>
      </c>
      <c r="G19" s="4">
        <f t="shared" ca="1" si="2"/>
        <v>730</v>
      </c>
      <c r="H19" s="4">
        <f t="shared" ca="1" si="2"/>
        <v>696.3</v>
      </c>
      <c r="I19" s="4">
        <f t="shared" ca="1" si="2"/>
        <v>353.8</v>
      </c>
      <c r="J19" s="4">
        <f t="shared" ca="1" si="2"/>
        <v>142.5</v>
      </c>
      <c r="K19" s="4">
        <f t="shared" ca="1" si="2"/>
        <v>19.7</v>
      </c>
      <c r="L19" s="4">
        <f t="shared" ca="1" si="2"/>
        <v>21.5</v>
      </c>
      <c r="M19" s="4">
        <f t="shared" ca="1" si="2"/>
        <v>14.5</v>
      </c>
      <c r="N19" s="4">
        <f t="shared" ca="1" si="2"/>
        <v>86.2</v>
      </c>
      <c r="O19" s="4">
        <f t="shared" ca="1" si="2"/>
        <v>247.1</v>
      </c>
      <c r="P19" s="4">
        <f t="shared" ca="1" si="2"/>
        <v>503.7</v>
      </c>
      <c r="Q19" s="4">
        <f t="shared" ca="1" si="2"/>
        <v>567.5</v>
      </c>
    </row>
    <row r="20" spans="1:17" x14ac:dyDescent="0.25">
      <c r="A20" s="10">
        <v>35977</v>
      </c>
      <c r="B20" s="58">
        <v>0</v>
      </c>
      <c r="C20" s="58">
        <v>177.89999999999998</v>
      </c>
      <c r="D20" s="86"/>
      <c r="E20" s="4">
        <f t="shared" si="1"/>
        <v>2015</v>
      </c>
      <c r="F20" s="4">
        <f t="shared" ca="1" si="2"/>
        <v>812.90000000000009</v>
      </c>
      <c r="G20" s="4">
        <f t="shared" ca="1" si="2"/>
        <v>871.4</v>
      </c>
      <c r="H20" s="4">
        <f t="shared" ca="1" si="2"/>
        <v>640.1</v>
      </c>
      <c r="I20" s="4">
        <f t="shared" ca="1" si="2"/>
        <v>336.59999999999997</v>
      </c>
      <c r="J20" s="4">
        <f t="shared" ca="1" si="2"/>
        <v>104.7</v>
      </c>
      <c r="K20" s="4">
        <f t="shared" ca="1" si="2"/>
        <v>29.7</v>
      </c>
      <c r="L20" s="4">
        <f t="shared" ca="1" si="2"/>
        <v>7</v>
      </c>
      <c r="M20" s="4">
        <f t="shared" ca="1" si="2"/>
        <v>14</v>
      </c>
      <c r="N20" s="4">
        <f t="shared" ca="1" si="2"/>
        <v>34.6</v>
      </c>
      <c r="O20" s="4">
        <f t="shared" ca="1" si="2"/>
        <v>254.9</v>
      </c>
      <c r="P20" s="4">
        <f t="shared" ca="1" si="2"/>
        <v>349.79999999999995</v>
      </c>
      <c r="Q20" s="4">
        <f t="shared" ca="1" si="2"/>
        <v>447.8</v>
      </c>
    </row>
    <row r="21" spans="1:17" x14ac:dyDescent="0.25">
      <c r="A21" s="10">
        <v>36008</v>
      </c>
      <c r="B21" s="58">
        <v>0.5</v>
      </c>
      <c r="C21" s="58">
        <v>169.20000000000002</v>
      </c>
      <c r="D21" s="86"/>
      <c r="E21" s="4">
        <f t="shared" si="1"/>
        <v>2016</v>
      </c>
      <c r="F21" s="4">
        <f t="shared" ca="1" si="2"/>
        <v>693.9</v>
      </c>
      <c r="G21" s="4">
        <f t="shared" ca="1" si="2"/>
        <v>599.1</v>
      </c>
      <c r="H21" s="4">
        <f t="shared" ca="1" si="2"/>
        <v>460.90000000000003</v>
      </c>
      <c r="I21" s="4">
        <f t="shared" ca="1" si="2"/>
        <v>383.99999999999994</v>
      </c>
      <c r="J21" s="4">
        <f t="shared" ca="1" si="2"/>
        <v>143.1</v>
      </c>
      <c r="K21" s="4">
        <f t="shared" ca="1" si="2"/>
        <v>38</v>
      </c>
      <c r="L21" s="4">
        <f t="shared" ca="1" si="2"/>
        <v>1.8</v>
      </c>
      <c r="M21" s="4">
        <f t="shared" ca="1" si="2"/>
        <v>0.3</v>
      </c>
      <c r="N21" s="4">
        <f t="shared" ca="1" si="2"/>
        <v>38</v>
      </c>
      <c r="O21" s="4">
        <f t="shared" ca="1" si="2"/>
        <v>220.4</v>
      </c>
      <c r="P21" s="4">
        <f t="shared" ca="1" si="2"/>
        <v>355.9</v>
      </c>
      <c r="Q21" s="4">
        <f t="shared" ca="1" si="2"/>
        <v>639.5</v>
      </c>
    </row>
    <row r="22" spans="1:17" x14ac:dyDescent="0.25">
      <c r="A22" s="10">
        <v>36039</v>
      </c>
      <c r="B22" s="58">
        <v>13.100000000000001</v>
      </c>
      <c r="C22" s="58">
        <v>100.8</v>
      </c>
      <c r="D22" s="86"/>
      <c r="E22" s="4">
        <f t="shared" si="1"/>
        <v>2017</v>
      </c>
      <c r="F22" s="4">
        <f t="shared" ref="F22:Q23" ca="1" si="3">TREND(F$2:F$21,$E$2:$E$21,$E22)</f>
        <v>764.71263157894828</v>
      </c>
      <c r="G22" s="4">
        <f t="shared" ca="1" si="3"/>
        <v>745.94210526316238</v>
      </c>
      <c r="H22" s="4">
        <f t="shared" ca="1" si="3"/>
        <v>582.48526315789422</v>
      </c>
      <c r="I22" s="4">
        <f t="shared" ca="1" si="3"/>
        <v>359.70947368421002</v>
      </c>
      <c r="J22" s="4">
        <f t="shared" ca="1" si="3"/>
        <v>142.72684210526313</v>
      </c>
      <c r="K22" s="4">
        <f t="shared" ca="1" si="3"/>
        <v>33.156842105262967</v>
      </c>
      <c r="L22" s="4">
        <f t="shared" ca="1" si="3"/>
        <v>9.8021052631579551</v>
      </c>
      <c r="M22" s="4">
        <f t="shared" ca="1" si="3"/>
        <v>12.786315789473974</v>
      </c>
      <c r="N22" s="4">
        <f t="shared" ca="1" si="3"/>
        <v>81.656842105263422</v>
      </c>
      <c r="O22" s="4">
        <f t="shared" ca="1" si="3"/>
        <v>263.20894736842092</v>
      </c>
      <c r="P22" s="4">
        <f t="shared" ca="1" si="3"/>
        <v>437.10052631578947</v>
      </c>
      <c r="Q22" s="4">
        <f t="shared" ca="1" si="3"/>
        <v>615.89052631578943</v>
      </c>
    </row>
    <row r="23" spans="1:17" x14ac:dyDescent="0.25">
      <c r="A23" s="10">
        <v>36069</v>
      </c>
      <c r="B23" s="58">
        <v>158.89999999999998</v>
      </c>
      <c r="C23" s="58">
        <v>5.6</v>
      </c>
      <c r="D23" s="86"/>
      <c r="E23" s="4">
        <f t="shared" si="1"/>
        <v>2018</v>
      </c>
      <c r="F23" s="4">
        <f t="shared" ca="1" si="3"/>
        <v>772.15240601503683</v>
      </c>
      <c r="G23" s="4">
        <f t="shared" ca="1" si="3"/>
        <v>759.75421052632009</v>
      </c>
      <c r="H23" s="4">
        <f t="shared" ca="1" si="3"/>
        <v>589.76052631578932</v>
      </c>
      <c r="I23" s="4">
        <f t="shared" ca="1" si="3"/>
        <v>365.67466165413498</v>
      </c>
      <c r="J23" s="4">
        <f t="shared" ca="1" si="3"/>
        <v>144.3165413533834</v>
      </c>
      <c r="K23" s="4">
        <f t="shared" ca="1" si="3"/>
        <v>33.885112781954831</v>
      </c>
      <c r="L23" s="4">
        <f t="shared" ca="1" si="3"/>
        <v>10.315639097744452</v>
      </c>
      <c r="M23" s="4">
        <f t="shared" ca="1" si="3"/>
        <v>13.408345864661896</v>
      </c>
      <c r="N23" s="4">
        <f t="shared" ca="1" si="3"/>
        <v>84.142255639098039</v>
      </c>
      <c r="O23" s="4">
        <f t="shared" ca="1" si="3"/>
        <v>266.85789473684144</v>
      </c>
      <c r="P23" s="4">
        <f t="shared" ca="1" si="3"/>
        <v>441.74248120300763</v>
      </c>
      <c r="Q23" s="4">
        <f t="shared" ca="1" si="3"/>
        <v>618.50390977443658</v>
      </c>
    </row>
    <row r="24" spans="1:17" x14ac:dyDescent="0.25">
      <c r="A24" s="10">
        <v>36100</v>
      </c>
      <c r="B24" s="58">
        <v>314.19999999999993</v>
      </c>
      <c r="C24" s="58">
        <v>0</v>
      </c>
      <c r="D24" s="86"/>
      <c r="E24" s="11" t="s">
        <v>58</v>
      </c>
      <c r="F24" s="4">
        <f t="shared" ref="F24:Q24" ca="1" si="4">AVERAGE(F12:F21)</f>
        <v>729.54999999999984</v>
      </c>
      <c r="G24" s="4">
        <f t="shared" ca="1" si="4"/>
        <v>678.56000000000006</v>
      </c>
      <c r="H24" s="4">
        <f t="shared" ca="1" si="4"/>
        <v>544.77</v>
      </c>
      <c r="I24" s="4">
        <f t="shared" ca="1" si="4"/>
        <v>328.11</v>
      </c>
      <c r="J24" s="4">
        <f t="shared" ca="1" si="4"/>
        <v>134.47999999999999</v>
      </c>
      <c r="K24" s="4">
        <f t="shared" ca="1" si="4"/>
        <v>30.429999999999996</v>
      </c>
      <c r="L24" s="4">
        <f t="shared" ca="1" si="4"/>
        <v>7.85</v>
      </c>
      <c r="M24" s="4">
        <f t="shared" ca="1" si="4"/>
        <v>10.43</v>
      </c>
      <c r="N24" s="4">
        <f t="shared" ca="1" si="4"/>
        <v>70.580000000000013</v>
      </c>
      <c r="O24" s="4">
        <f t="shared" ca="1" si="4"/>
        <v>241.15</v>
      </c>
      <c r="P24" s="4">
        <f t="shared" ca="1" si="4"/>
        <v>421.52</v>
      </c>
      <c r="Q24" s="4">
        <f t="shared" ca="1" si="4"/>
        <v>610.56000000000006</v>
      </c>
    </row>
    <row r="25" spans="1:17" x14ac:dyDescent="0.25">
      <c r="A25" s="10">
        <v>36130</v>
      </c>
      <c r="B25" s="58">
        <v>467.00000000000006</v>
      </c>
      <c r="C25" s="58">
        <v>0</v>
      </c>
      <c r="D25" s="86"/>
      <c r="E25" s="11" t="s">
        <v>59</v>
      </c>
      <c r="F25" s="4">
        <f t="shared" ref="F25:Q25" ca="1" si="5">AVERAGE(F2:F21)</f>
        <v>686.59499999999991</v>
      </c>
      <c r="G25" s="4">
        <f t="shared" ca="1" si="5"/>
        <v>600.91499999999996</v>
      </c>
      <c r="H25" s="4">
        <f t="shared" ca="1" si="5"/>
        <v>506.09499999999997</v>
      </c>
      <c r="I25" s="4">
        <f t="shared" ca="1" si="5"/>
        <v>297.07499999999999</v>
      </c>
      <c r="J25" s="4">
        <f t="shared" ca="1" si="5"/>
        <v>126.035</v>
      </c>
      <c r="K25" s="4">
        <f t="shared" ca="1" si="5"/>
        <v>25.509999999999998</v>
      </c>
      <c r="L25" s="4">
        <f t="shared" ca="1" si="5"/>
        <v>4.41</v>
      </c>
      <c r="M25" s="4">
        <f t="shared" ca="1" si="5"/>
        <v>6.254999999999999</v>
      </c>
      <c r="N25" s="4">
        <f t="shared" ca="1" si="5"/>
        <v>55.559999999999988</v>
      </c>
      <c r="O25" s="4">
        <f t="shared" ca="1" si="5"/>
        <v>224.89499999999992</v>
      </c>
      <c r="P25" s="4">
        <f t="shared" ca="1" si="5"/>
        <v>388.35999999999996</v>
      </c>
      <c r="Q25" s="4">
        <f t="shared" ca="1" si="5"/>
        <v>588.45000000000005</v>
      </c>
    </row>
    <row r="26" spans="1:17" x14ac:dyDescent="0.25">
      <c r="A26" s="10">
        <v>36161</v>
      </c>
      <c r="B26" s="58">
        <v>689.20000000000027</v>
      </c>
      <c r="C26" s="58">
        <v>0</v>
      </c>
      <c r="D26" s="86"/>
    </row>
    <row r="27" spans="1:17" x14ac:dyDescent="0.25">
      <c r="A27" s="10">
        <v>36192</v>
      </c>
      <c r="B27" s="58">
        <v>480.4</v>
      </c>
      <c r="C27" s="58">
        <v>0</v>
      </c>
      <c r="D27" s="86"/>
    </row>
    <row r="28" spans="1:17" x14ac:dyDescent="0.25">
      <c r="A28" s="10">
        <v>36220</v>
      </c>
      <c r="B28" s="58">
        <v>492.49999999999994</v>
      </c>
      <c r="C28" s="58">
        <v>0</v>
      </c>
      <c r="D28" s="86"/>
    </row>
    <row r="29" spans="1:17" x14ac:dyDescent="0.25">
      <c r="A29" s="10">
        <v>36251</v>
      </c>
      <c r="B29" s="58">
        <v>229.59999999999997</v>
      </c>
      <c r="C29" s="58">
        <v>0</v>
      </c>
      <c r="D29" s="86"/>
    </row>
    <row r="30" spans="1:17" x14ac:dyDescent="0.25">
      <c r="A30" s="10">
        <v>36281</v>
      </c>
      <c r="B30" s="58">
        <v>58.300000000000011</v>
      </c>
      <c r="C30" s="58">
        <v>35.6</v>
      </c>
      <c r="D30" s="86"/>
    </row>
    <row r="31" spans="1:17" x14ac:dyDescent="0.25">
      <c r="A31" s="10">
        <v>36312</v>
      </c>
      <c r="B31" s="58">
        <v>17.599999999999998</v>
      </c>
      <c r="C31" s="58">
        <v>147.69999999999999</v>
      </c>
      <c r="D31" s="86"/>
    </row>
    <row r="32" spans="1:17" x14ac:dyDescent="0.25">
      <c r="A32" s="10">
        <v>36342</v>
      </c>
      <c r="B32" s="58">
        <v>0</v>
      </c>
      <c r="C32" s="58">
        <v>245.40000000000012</v>
      </c>
      <c r="D32" s="86"/>
      <c r="E32" s="7" t="s">
        <v>45</v>
      </c>
      <c r="F32" s="8" t="s">
        <v>46</v>
      </c>
      <c r="G32" s="8" t="s">
        <v>47</v>
      </c>
      <c r="H32" s="8" t="s">
        <v>48</v>
      </c>
      <c r="I32" s="8" t="s">
        <v>49</v>
      </c>
      <c r="J32" s="8" t="s">
        <v>50</v>
      </c>
      <c r="K32" s="8" t="s">
        <v>51</v>
      </c>
      <c r="L32" s="8" t="s">
        <v>52</v>
      </c>
      <c r="M32" s="9" t="s">
        <v>53</v>
      </c>
      <c r="N32" s="9" t="s">
        <v>54</v>
      </c>
      <c r="O32" s="9" t="s">
        <v>55</v>
      </c>
      <c r="P32" s="9" t="s">
        <v>56</v>
      </c>
      <c r="Q32" s="9" t="s">
        <v>57</v>
      </c>
    </row>
    <row r="33" spans="1:17" x14ac:dyDescent="0.25">
      <c r="A33" s="10">
        <v>36373</v>
      </c>
      <c r="B33" s="58">
        <v>0.5</v>
      </c>
      <c r="C33" s="58">
        <v>120.69999999999997</v>
      </c>
      <c r="D33" s="86"/>
      <c r="E33" s="4">
        <v>1997</v>
      </c>
      <c r="F33" s="4">
        <f t="shared" ref="F33:Q52" ca="1" si="6">OFFSET($C$2,(ROW()-33)*12+COLUMN()-6,0)</f>
        <v>0</v>
      </c>
      <c r="G33" s="4">
        <f t="shared" ca="1" si="6"/>
        <v>0</v>
      </c>
      <c r="H33" s="4">
        <f t="shared" ca="1" si="6"/>
        <v>0</v>
      </c>
      <c r="I33" s="4">
        <f t="shared" ca="1" si="6"/>
        <v>0.3</v>
      </c>
      <c r="J33" s="4">
        <f t="shared" ca="1" si="6"/>
        <v>0</v>
      </c>
      <c r="K33" s="4">
        <f t="shared" ca="1" si="6"/>
        <v>106.5</v>
      </c>
      <c r="L33" s="4">
        <f t="shared" ca="1" si="6"/>
        <v>145.5</v>
      </c>
      <c r="M33" s="4">
        <f t="shared" ca="1" si="6"/>
        <v>85.799999999999969</v>
      </c>
      <c r="N33" s="4">
        <f t="shared" ca="1" si="6"/>
        <v>41.3</v>
      </c>
      <c r="O33" s="4">
        <f t="shared" ca="1" si="6"/>
        <v>28.6</v>
      </c>
      <c r="P33" s="4">
        <f t="shared" ca="1" si="6"/>
        <v>0</v>
      </c>
      <c r="Q33" s="4">
        <f t="shared" ca="1" si="6"/>
        <v>0</v>
      </c>
    </row>
    <row r="34" spans="1:17" x14ac:dyDescent="0.25">
      <c r="A34" s="10">
        <v>36404</v>
      </c>
      <c r="B34" s="58">
        <v>30.799999999999997</v>
      </c>
      <c r="C34" s="58">
        <v>68.399999999999977</v>
      </c>
      <c r="D34" s="86"/>
      <c r="E34" s="4">
        <f>E33+1</f>
        <v>1998</v>
      </c>
      <c r="F34" s="4">
        <f t="shared" ca="1" si="6"/>
        <v>0</v>
      </c>
      <c r="G34" s="4">
        <f t="shared" ca="1" si="6"/>
        <v>0</v>
      </c>
      <c r="H34" s="4">
        <f t="shared" ca="1" si="6"/>
        <v>7.1</v>
      </c>
      <c r="I34" s="4">
        <f t="shared" ca="1" si="6"/>
        <v>0</v>
      </c>
      <c r="J34" s="4">
        <f t="shared" ca="1" si="6"/>
        <v>66.399999999999991</v>
      </c>
      <c r="K34" s="4">
        <f t="shared" ca="1" si="6"/>
        <v>133.4</v>
      </c>
      <c r="L34" s="4">
        <f t="shared" ca="1" si="6"/>
        <v>177.89999999999998</v>
      </c>
      <c r="M34" s="4">
        <f t="shared" ca="1" si="6"/>
        <v>169.20000000000002</v>
      </c>
      <c r="N34" s="4">
        <f t="shared" ca="1" si="6"/>
        <v>100.8</v>
      </c>
      <c r="O34" s="4">
        <f t="shared" ca="1" si="6"/>
        <v>5.6</v>
      </c>
      <c r="P34" s="4">
        <f t="shared" ca="1" si="6"/>
        <v>0</v>
      </c>
      <c r="Q34" s="4">
        <f t="shared" ca="1" si="6"/>
        <v>0</v>
      </c>
    </row>
    <row r="35" spans="1:17" x14ac:dyDescent="0.25">
      <c r="A35" s="10">
        <v>36434</v>
      </c>
      <c r="B35" s="58">
        <v>204.09999999999997</v>
      </c>
      <c r="C35" s="58">
        <v>3.5</v>
      </c>
      <c r="D35" s="86"/>
      <c r="E35" s="86">
        <f t="shared" ref="E35:E54" si="7">E34+1</f>
        <v>1999</v>
      </c>
      <c r="F35" s="4">
        <f t="shared" ca="1" si="6"/>
        <v>0</v>
      </c>
      <c r="G35" s="4">
        <f t="shared" ca="1" si="6"/>
        <v>0</v>
      </c>
      <c r="H35" s="4">
        <f t="shared" ca="1" si="6"/>
        <v>0</v>
      </c>
      <c r="I35" s="4">
        <f t="shared" ca="1" si="6"/>
        <v>0</v>
      </c>
      <c r="J35" s="4">
        <f t="shared" ca="1" si="6"/>
        <v>35.6</v>
      </c>
      <c r="K35" s="4">
        <f t="shared" ca="1" si="6"/>
        <v>147.69999999999999</v>
      </c>
      <c r="L35" s="4">
        <f t="shared" ca="1" si="6"/>
        <v>245.40000000000012</v>
      </c>
      <c r="M35" s="4">
        <f t="shared" ca="1" si="6"/>
        <v>120.69999999999997</v>
      </c>
      <c r="N35" s="4">
        <f t="shared" ca="1" si="6"/>
        <v>68.399999999999977</v>
      </c>
      <c r="O35" s="4">
        <f t="shared" ca="1" si="6"/>
        <v>3.5</v>
      </c>
      <c r="P35" s="4">
        <f t="shared" ca="1" si="6"/>
        <v>0</v>
      </c>
      <c r="Q35" s="4">
        <f t="shared" ca="1" si="6"/>
        <v>0</v>
      </c>
    </row>
    <row r="36" spans="1:17" x14ac:dyDescent="0.25">
      <c r="A36" s="10">
        <v>36465</v>
      </c>
      <c r="B36" s="58">
        <v>312.19999999999993</v>
      </c>
      <c r="C36" s="58">
        <v>0</v>
      </c>
      <c r="D36" s="86"/>
      <c r="E36" s="86">
        <f t="shared" si="7"/>
        <v>2000</v>
      </c>
      <c r="F36" s="4">
        <f t="shared" ca="1" si="6"/>
        <v>0</v>
      </c>
      <c r="G36" s="4">
        <f t="shared" ca="1" si="6"/>
        <v>0</v>
      </c>
      <c r="H36" s="4">
        <f t="shared" ca="1" si="6"/>
        <v>1.8</v>
      </c>
      <c r="I36" s="4">
        <f t="shared" ca="1" si="6"/>
        <v>0.3</v>
      </c>
      <c r="J36" s="4">
        <f t="shared" ca="1" si="6"/>
        <v>47.099999999999987</v>
      </c>
      <c r="K36" s="4">
        <f t="shared" ca="1" si="6"/>
        <v>120.59999999999998</v>
      </c>
      <c r="L36" s="4">
        <f t="shared" ca="1" si="6"/>
        <v>113.69999999999997</v>
      </c>
      <c r="M36" s="4">
        <f t="shared" ca="1" si="6"/>
        <v>131.5</v>
      </c>
      <c r="N36" s="4">
        <f t="shared" ca="1" si="6"/>
        <v>62.499999999999993</v>
      </c>
      <c r="O36" s="4">
        <f t="shared" ca="1" si="6"/>
        <v>6.1</v>
      </c>
      <c r="P36" s="4">
        <f t="shared" ca="1" si="6"/>
        <v>0</v>
      </c>
      <c r="Q36" s="4">
        <f t="shared" ca="1" si="6"/>
        <v>0</v>
      </c>
    </row>
    <row r="37" spans="1:17" x14ac:dyDescent="0.25">
      <c r="A37" s="10">
        <v>36495</v>
      </c>
      <c r="B37" s="58">
        <v>533.10000000000014</v>
      </c>
      <c r="C37" s="58">
        <v>0</v>
      </c>
      <c r="D37" s="86"/>
      <c r="E37" s="86">
        <f t="shared" si="7"/>
        <v>2001</v>
      </c>
      <c r="F37" s="4">
        <f t="shared" ca="1" si="6"/>
        <v>0</v>
      </c>
      <c r="G37" s="4">
        <f t="shared" ca="1" si="6"/>
        <v>0</v>
      </c>
      <c r="H37" s="4">
        <f t="shared" ca="1" si="6"/>
        <v>0</v>
      </c>
      <c r="I37" s="4">
        <f t="shared" ca="1" si="6"/>
        <v>3.8</v>
      </c>
      <c r="J37" s="4">
        <f t="shared" ca="1" si="6"/>
        <v>31.300000000000004</v>
      </c>
      <c r="K37" s="4">
        <f t="shared" ca="1" si="6"/>
        <v>123.29999999999998</v>
      </c>
      <c r="L37" s="4">
        <f t="shared" ca="1" si="6"/>
        <v>172.20000000000005</v>
      </c>
      <c r="M37" s="4">
        <f t="shared" ca="1" si="6"/>
        <v>185.70000000000007</v>
      </c>
      <c r="N37" s="4">
        <f t="shared" ca="1" si="6"/>
        <v>42.899999999999984</v>
      </c>
      <c r="O37" s="4">
        <f t="shared" ca="1" si="6"/>
        <v>4.5999999999999996</v>
      </c>
      <c r="P37" s="4">
        <f t="shared" ca="1" si="6"/>
        <v>0</v>
      </c>
      <c r="Q37" s="4">
        <f t="shared" ca="1" si="6"/>
        <v>0</v>
      </c>
    </row>
    <row r="38" spans="1:17" x14ac:dyDescent="0.25">
      <c r="A38" s="10">
        <v>36526</v>
      </c>
      <c r="B38" s="58">
        <v>652.79999999999995</v>
      </c>
      <c r="C38" s="58">
        <v>0</v>
      </c>
      <c r="D38" s="86"/>
      <c r="E38" s="86">
        <f t="shared" si="7"/>
        <v>2002</v>
      </c>
      <c r="F38" s="4">
        <f t="shared" ca="1" si="6"/>
        <v>0</v>
      </c>
      <c r="G38" s="4">
        <f t="shared" ca="1" si="6"/>
        <v>0</v>
      </c>
      <c r="H38" s="4">
        <f t="shared" ca="1" si="6"/>
        <v>0</v>
      </c>
      <c r="I38" s="4">
        <f t="shared" ca="1" si="6"/>
        <v>22.6</v>
      </c>
      <c r="J38" s="4">
        <f t="shared" ca="1" si="6"/>
        <v>16.5</v>
      </c>
      <c r="K38" s="4">
        <f t="shared" ca="1" si="6"/>
        <v>132</v>
      </c>
      <c r="L38" s="4">
        <f t="shared" ca="1" si="6"/>
        <v>216.30000000000004</v>
      </c>
      <c r="M38" s="4">
        <f t="shared" ca="1" si="6"/>
        <v>168.30000000000004</v>
      </c>
      <c r="N38" s="4">
        <f t="shared" ca="1" si="6"/>
        <v>105.19999999999999</v>
      </c>
      <c r="O38" s="4">
        <f t="shared" ca="1" si="6"/>
        <v>16.100000000000001</v>
      </c>
      <c r="P38" s="4">
        <f t="shared" ca="1" si="6"/>
        <v>0</v>
      </c>
      <c r="Q38" s="4">
        <f t="shared" ca="1" si="6"/>
        <v>0</v>
      </c>
    </row>
    <row r="39" spans="1:17" x14ac:dyDescent="0.25">
      <c r="A39" s="10">
        <v>36557</v>
      </c>
      <c r="B39" s="58">
        <v>497.1</v>
      </c>
      <c r="C39" s="58">
        <v>0</v>
      </c>
      <c r="D39" s="86"/>
      <c r="E39" s="86">
        <f t="shared" si="7"/>
        <v>2003</v>
      </c>
      <c r="F39" s="4">
        <f t="shared" ca="1" si="6"/>
        <v>0</v>
      </c>
      <c r="G39" s="4">
        <f t="shared" ca="1" si="6"/>
        <v>0</v>
      </c>
      <c r="H39" s="4">
        <f t="shared" ca="1" si="6"/>
        <v>0</v>
      </c>
      <c r="I39" s="4">
        <f t="shared" ca="1" si="6"/>
        <v>5.0999999999999996</v>
      </c>
      <c r="J39" s="4">
        <f t="shared" ca="1" si="6"/>
        <v>2.6</v>
      </c>
      <c r="K39" s="4">
        <f t="shared" ca="1" si="6"/>
        <v>72.8</v>
      </c>
      <c r="L39" s="4">
        <f t="shared" ca="1" si="6"/>
        <v>156.4</v>
      </c>
      <c r="M39" s="4">
        <f t="shared" ca="1" si="6"/>
        <v>163.80000000000001</v>
      </c>
      <c r="N39" s="4">
        <f t="shared" ca="1" si="6"/>
        <v>48.3</v>
      </c>
      <c r="O39" s="4">
        <f t="shared" ca="1" si="6"/>
        <v>3</v>
      </c>
      <c r="P39" s="4">
        <f t="shared" ca="1" si="6"/>
        <v>0</v>
      </c>
      <c r="Q39" s="4">
        <f t="shared" ca="1" si="6"/>
        <v>0</v>
      </c>
    </row>
    <row r="40" spans="1:17" x14ac:dyDescent="0.25">
      <c r="A40" s="10">
        <v>36586</v>
      </c>
      <c r="B40" s="58">
        <v>348.29999999999995</v>
      </c>
      <c r="C40" s="58">
        <v>1.8</v>
      </c>
      <c r="D40" s="86"/>
      <c r="E40" s="86">
        <f t="shared" si="7"/>
        <v>2004</v>
      </c>
      <c r="F40" s="4">
        <f t="shared" ca="1" si="6"/>
        <v>0</v>
      </c>
      <c r="G40" s="4">
        <f t="shared" ca="1" si="6"/>
        <v>0</v>
      </c>
      <c r="H40" s="4">
        <f t="shared" ca="1" si="6"/>
        <v>0</v>
      </c>
      <c r="I40" s="4">
        <f t="shared" ca="1" si="6"/>
        <v>12.100000000000001</v>
      </c>
      <c r="J40" s="4">
        <f t="shared" ca="1" si="6"/>
        <v>37.4</v>
      </c>
      <c r="K40" s="4">
        <f t="shared" ca="1" si="6"/>
        <v>76.999999999999986</v>
      </c>
      <c r="L40" s="4">
        <f t="shared" ca="1" si="6"/>
        <v>138.5</v>
      </c>
      <c r="M40" s="4">
        <f t="shared" ca="1" si="6"/>
        <v>90.09999999999998</v>
      </c>
      <c r="N40" s="4">
        <f t="shared" ca="1" si="6"/>
        <v>77.999999999999986</v>
      </c>
      <c r="O40" s="4">
        <f t="shared" ca="1" si="6"/>
        <v>2.8</v>
      </c>
      <c r="P40" s="4">
        <f t="shared" ca="1" si="6"/>
        <v>0</v>
      </c>
      <c r="Q40" s="4">
        <f t="shared" ca="1" si="6"/>
        <v>0</v>
      </c>
    </row>
    <row r="41" spans="1:17" x14ac:dyDescent="0.25">
      <c r="A41" s="10">
        <v>36617</v>
      </c>
      <c r="B41" s="58">
        <v>275.2999999999999</v>
      </c>
      <c r="C41" s="58">
        <v>0.3</v>
      </c>
      <c r="D41" s="86"/>
      <c r="E41" s="86">
        <f t="shared" si="7"/>
        <v>2005</v>
      </c>
      <c r="F41" s="4">
        <f t="shared" ca="1" si="6"/>
        <v>0</v>
      </c>
      <c r="G41" s="4">
        <f t="shared" ca="1" si="6"/>
        <v>0</v>
      </c>
      <c r="H41" s="4">
        <f t="shared" ca="1" si="6"/>
        <v>0</v>
      </c>
      <c r="I41" s="4">
        <f t="shared" ca="1" si="6"/>
        <v>0</v>
      </c>
      <c r="J41" s="4">
        <f t="shared" ca="1" si="6"/>
        <v>0</v>
      </c>
      <c r="K41" s="4">
        <f t="shared" ca="1" si="6"/>
        <v>121.1</v>
      </c>
      <c r="L41" s="4">
        <f t="shared" ca="1" si="6"/>
        <v>137.5</v>
      </c>
      <c r="M41" s="4">
        <f t="shared" ca="1" si="6"/>
        <v>106.3</v>
      </c>
      <c r="N41" s="4">
        <f t="shared" ca="1" si="6"/>
        <v>34.700000000000003</v>
      </c>
      <c r="O41" s="4">
        <f t="shared" ca="1" si="6"/>
        <v>8.6999999999999993</v>
      </c>
      <c r="P41" s="4">
        <f t="shared" ca="1" si="6"/>
        <v>0</v>
      </c>
      <c r="Q41" s="4">
        <f t="shared" ca="1" si="6"/>
        <v>0</v>
      </c>
    </row>
    <row r="42" spans="1:17" x14ac:dyDescent="0.25">
      <c r="A42" s="10">
        <v>36647</v>
      </c>
      <c r="B42" s="58">
        <v>74.000000000000014</v>
      </c>
      <c r="C42" s="58">
        <v>47.099999999999987</v>
      </c>
      <c r="D42" s="86"/>
      <c r="E42" s="86">
        <f t="shared" si="7"/>
        <v>2006</v>
      </c>
      <c r="F42" s="4">
        <f t="shared" ca="1" si="6"/>
        <v>0</v>
      </c>
      <c r="G42" s="4">
        <f t="shared" ca="1" si="6"/>
        <v>0</v>
      </c>
      <c r="H42" s="4">
        <f t="shared" ca="1" si="6"/>
        <v>0</v>
      </c>
      <c r="I42" s="4">
        <f t="shared" ca="1" si="6"/>
        <v>0</v>
      </c>
      <c r="J42" s="4">
        <f t="shared" ca="1" si="6"/>
        <v>22.9</v>
      </c>
      <c r="K42" s="4">
        <f t="shared" ca="1" si="6"/>
        <v>44.4</v>
      </c>
      <c r="L42" s="4">
        <f t="shared" ca="1" si="6"/>
        <v>133.69999999999999</v>
      </c>
      <c r="M42" s="4">
        <f t="shared" ca="1" si="6"/>
        <v>68.2</v>
      </c>
      <c r="N42" s="4">
        <f t="shared" ca="1" si="6"/>
        <v>5</v>
      </c>
      <c r="O42" s="4">
        <f t="shared" ca="1" si="6"/>
        <v>0.7</v>
      </c>
      <c r="P42" s="4">
        <f t="shared" ca="1" si="6"/>
        <v>0</v>
      </c>
      <c r="Q42" s="4">
        <f t="shared" ca="1" si="6"/>
        <v>0</v>
      </c>
    </row>
    <row r="43" spans="1:17" x14ac:dyDescent="0.25">
      <c r="A43" s="10">
        <v>36678</v>
      </c>
      <c r="B43" s="58">
        <v>14.8</v>
      </c>
      <c r="C43" s="58">
        <v>120.59999999999998</v>
      </c>
      <c r="D43" s="86"/>
      <c r="E43" s="86">
        <f t="shared" si="7"/>
        <v>2007</v>
      </c>
      <c r="F43" s="4">
        <f t="shared" ca="1" si="6"/>
        <v>0</v>
      </c>
      <c r="G43" s="4">
        <f t="shared" ca="1" si="6"/>
        <v>0</v>
      </c>
      <c r="H43" s="4">
        <f t="shared" ca="1" si="6"/>
        <v>0</v>
      </c>
      <c r="I43" s="4">
        <f t="shared" ca="1" si="6"/>
        <v>0</v>
      </c>
      <c r="J43" s="4">
        <f t="shared" ca="1" si="6"/>
        <v>22.7</v>
      </c>
      <c r="K43" s="4">
        <f t="shared" ca="1" si="6"/>
        <v>70.2</v>
      </c>
      <c r="L43" s="4">
        <f t="shared" ca="1" si="6"/>
        <v>71.599999999999994</v>
      </c>
      <c r="M43" s="4">
        <f t="shared" ca="1" si="6"/>
        <v>89.1</v>
      </c>
      <c r="N43" s="4">
        <f t="shared" ca="1" si="6"/>
        <v>35</v>
      </c>
      <c r="O43" s="4">
        <f t="shared" ca="1" si="6"/>
        <v>21.5</v>
      </c>
      <c r="P43" s="4">
        <f t="shared" ca="1" si="6"/>
        <v>0</v>
      </c>
      <c r="Q43" s="4">
        <f t="shared" ca="1" si="6"/>
        <v>0</v>
      </c>
    </row>
    <row r="44" spans="1:17" x14ac:dyDescent="0.25">
      <c r="A44" s="10">
        <v>36708</v>
      </c>
      <c r="B44" s="58">
        <v>0</v>
      </c>
      <c r="C44" s="58">
        <v>113.69999999999997</v>
      </c>
      <c r="D44" s="86"/>
      <c r="E44" s="86">
        <f t="shared" si="7"/>
        <v>2008</v>
      </c>
      <c r="F44" s="4">
        <f t="shared" ca="1" si="6"/>
        <v>0</v>
      </c>
      <c r="G44" s="4">
        <f t="shared" ca="1" si="6"/>
        <v>0</v>
      </c>
      <c r="H44" s="4">
        <f t="shared" ca="1" si="6"/>
        <v>0</v>
      </c>
      <c r="I44" s="4">
        <f t="shared" ca="1" si="6"/>
        <v>0</v>
      </c>
      <c r="J44" s="4">
        <f t="shared" ca="1" si="6"/>
        <v>2.1</v>
      </c>
      <c r="K44" s="4">
        <f t="shared" ca="1" si="6"/>
        <v>66.400000000000006</v>
      </c>
      <c r="L44" s="4">
        <f t="shared" ca="1" si="6"/>
        <v>97</v>
      </c>
      <c r="M44" s="4">
        <f t="shared" ca="1" si="6"/>
        <v>53.2</v>
      </c>
      <c r="N44" s="4">
        <f t="shared" ca="1" si="6"/>
        <v>21.4</v>
      </c>
      <c r="O44" s="4">
        <f t="shared" ca="1" si="6"/>
        <v>0</v>
      </c>
      <c r="P44" s="4">
        <f t="shared" ca="1" si="6"/>
        <v>0</v>
      </c>
      <c r="Q44" s="4">
        <f t="shared" ca="1" si="6"/>
        <v>0</v>
      </c>
    </row>
    <row r="45" spans="1:17" x14ac:dyDescent="0.25">
      <c r="A45" s="10">
        <v>36739</v>
      </c>
      <c r="B45" s="58">
        <v>3.4000000000000004</v>
      </c>
      <c r="C45" s="58">
        <v>131.5</v>
      </c>
      <c r="D45" s="86"/>
      <c r="E45" s="86">
        <f t="shared" si="7"/>
        <v>2009</v>
      </c>
      <c r="F45" s="4">
        <f t="shared" ca="1" si="6"/>
        <v>0</v>
      </c>
      <c r="G45" s="4">
        <f t="shared" ca="1" si="6"/>
        <v>0</v>
      </c>
      <c r="H45" s="4">
        <f t="shared" ca="1" si="6"/>
        <v>0</v>
      </c>
      <c r="I45" s="4">
        <f t="shared" ca="1" si="6"/>
        <v>3.2</v>
      </c>
      <c r="J45" s="4">
        <f t="shared" ca="1" si="6"/>
        <v>3.1</v>
      </c>
      <c r="K45" s="4">
        <f t="shared" ca="1" si="6"/>
        <v>35.5</v>
      </c>
      <c r="L45" s="4">
        <f t="shared" ca="1" si="6"/>
        <v>29.4</v>
      </c>
      <c r="M45" s="4">
        <f t="shared" ca="1" si="6"/>
        <v>71.900000000000006</v>
      </c>
      <c r="N45" s="4">
        <f t="shared" ca="1" si="6"/>
        <v>15.9</v>
      </c>
      <c r="O45" s="4">
        <f t="shared" ca="1" si="6"/>
        <v>0</v>
      </c>
      <c r="P45" s="4">
        <f t="shared" ca="1" si="6"/>
        <v>0</v>
      </c>
      <c r="Q45" s="4">
        <f t="shared" ca="1" si="6"/>
        <v>0</v>
      </c>
    </row>
    <row r="46" spans="1:17" x14ac:dyDescent="0.25">
      <c r="A46" s="10">
        <v>36770</v>
      </c>
      <c r="B46" s="58">
        <v>61.400000000000006</v>
      </c>
      <c r="C46" s="58">
        <v>62.499999999999993</v>
      </c>
      <c r="D46" s="86"/>
      <c r="E46" s="86">
        <f t="shared" si="7"/>
        <v>2010</v>
      </c>
      <c r="F46" s="4">
        <f t="shared" ca="1" si="6"/>
        <v>0</v>
      </c>
      <c r="G46" s="4">
        <f t="shared" ca="1" si="6"/>
        <v>0</v>
      </c>
      <c r="H46" s="4">
        <f t="shared" ca="1" si="6"/>
        <v>0</v>
      </c>
      <c r="I46" s="4">
        <f t="shared" ca="1" si="6"/>
        <v>0</v>
      </c>
      <c r="J46" s="4">
        <f t="shared" ca="1" si="6"/>
        <v>34.9</v>
      </c>
      <c r="K46" s="4">
        <f t="shared" ca="1" si="6"/>
        <v>57.5</v>
      </c>
      <c r="L46" s="4">
        <f t="shared" ca="1" si="6"/>
        <v>129.69999999999999</v>
      </c>
      <c r="M46" s="4">
        <f t="shared" ca="1" si="6"/>
        <v>121.7</v>
      </c>
      <c r="N46" s="4">
        <f t="shared" ca="1" si="6"/>
        <v>24.1</v>
      </c>
      <c r="O46" s="4">
        <f t="shared" ca="1" si="6"/>
        <v>0</v>
      </c>
      <c r="P46" s="4">
        <f t="shared" ca="1" si="6"/>
        <v>0</v>
      </c>
      <c r="Q46" s="4">
        <f t="shared" ca="1" si="6"/>
        <v>0</v>
      </c>
    </row>
    <row r="47" spans="1:17" x14ac:dyDescent="0.25">
      <c r="A47" s="10">
        <v>36800</v>
      </c>
      <c r="B47" s="58">
        <v>148.4</v>
      </c>
      <c r="C47" s="58">
        <v>6.1</v>
      </c>
      <c r="D47" s="86"/>
      <c r="E47" s="86">
        <f t="shared" si="7"/>
        <v>2011</v>
      </c>
      <c r="F47" s="4">
        <f t="shared" ca="1" si="6"/>
        <v>0</v>
      </c>
      <c r="G47" s="4">
        <f t="shared" ca="1" si="6"/>
        <v>0</v>
      </c>
      <c r="H47" s="4">
        <f t="shared" ca="1" si="6"/>
        <v>0</v>
      </c>
      <c r="I47" s="4">
        <f t="shared" ca="1" si="6"/>
        <v>0</v>
      </c>
      <c r="J47" s="4">
        <f t="shared" ca="1" si="6"/>
        <v>17.399999999999999</v>
      </c>
      <c r="K47" s="4">
        <f t="shared" ca="1" si="6"/>
        <v>39.6</v>
      </c>
      <c r="L47" s="4">
        <f t="shared" ca="1" si="6"/>
        <v>160.9</v>
      </c>
      <c r="M47" s="4">
        <f t="shared" ca="1" si="6"/>
        <v>82.9</v>
      </c>
      <c r="N47" s="4">
        <f t="shared" ca="1" si="6"/>
        <v>29</v>
      </c>
      <c r="O47" s="4">
        <f t="shared" ca="1" si="6"/>
        <v>0</v>
      </c>
      <c r="P47" s="4">
        <f t="shared" ca="1" si="6"/>
        <v>0</v>
      </c>
      <c r="Q47" s="4">
        <f t="shared" ca="1" si="6"/>
        <v>0</v>
      </c>
    </row>
    <row r="48" spans="1:17" x14ac:dyDescent="0.25">
      <c r="A48" s="10">
        <v>36831</v>
      </c>
      <c r="B48" s="58">
        <v>386.6</v>
      </c>
      <c r="C48" s="58">
        <v>0</v>
      </c>
      <c r="D48" s="86"/>
      <c r="E48" s="86">
        <f t="shared" si="7"/>
        <v>2012</v>
      </c>
      <c r="F48" s="4">
        <f t="shared" ca="1" si="6"/>
        <v>0</v>
      </c>
      <c r="G48" s="4">
        <f t="shared" ca="1" si="6"/>
        <v>0</v>
      </c>
      <c r="H48" s="4">
        <f t="shared" ca="1" si="6"/>
        <v>2.2000000000000002</v>
      </c>
      <c r="I48" s="4">
        <f t="shared" ca="1" si="6"/>
        <v>0</v>
      </c>
      <c r="J48" s="4">
        <f t="shared" ca="1" si="6"/>
        <v>28.5</v>
      </c>
      <c r="K48" s="4">
        <f t="shared" ca="1" si="6"/>
        <v>81.7</v>
      </c>
      <c r="L48" s="4">
        <f t="shared" ca="1" si="6"/>
        <v>161</v>
      </c>
      <c r="M48" s="4">
        <f t="shared" ca="1" si="6"/>
        <v>79.599999999999994</v>
      </c>
      <c r="N48" s="4">
        <f t="shared" ca="1" si="6"/>
        <v>27.7</v>
      </c>
      <c r="O48" s="4">
        <f t="shared" ca="1" si="6"/>
        <v>0.7</v>
      </c>
      <c r="P48" s="4">
        <f t="shared" ca="1" si="6"/>
        <v>0</v>
      </c>
      <c r="Q48" s="4">
        <f t="shared" ca="1" si="6"/>
        <v>0</v>
      </c>
    </row>
    <row r="49" spans="1:17" x14ac:dyDescent="0.25">
      <c r="A49" s="10">
        <v>36861</v>
      </c>
      <c r="B49" s="58">
        <v>741.09999999999991</v>
      </c>
      <c r="C49" s="58">
        <v>0</v>
      </c>
      <c r="D49" s="86"/>
      <c r="E49" s="86">
        <f t="shared" si="7"/>
        <v>2013</v>
      </c>
      <c r="F49" s="4">
        <f t="shared" ca="1" si="6"/>
        <v>0</v>
      </c>
      <c r="G49" s="4">
        <f t="shared" ca="1" si="6"/>
        <v>0</v>
      </c>
      <c r="H49" s="4">
        <f t="shared" ca="1" si="6"/>
        <v>0</v>
      </c>
      <c r="I49" s="4">
        <f t="shared" ca="1" si="6"/>
        <v>0</v>
      </c>
      <c r="J49" s="4">
        <f t="shared" ca="1" si="6"/>
        <v>27</v>
      </c>
      <c r="K49" s="4">
        <f t="shared" ca="1" si="6"/>
        <v>56.800000000000004</v>
      </c>
      <c r="L49" s="4">
        <f t="shared" ca="1" si="6"/>
        <v>108.8</v>
      </c>
      <c r="M49" s="4">
        <f t="shared" ca="1" si="6"/>
        <v>57.5</v>
      </c>
      <c r="N49" s="4">
        <f t="shared" ca="1" si="6"/>
        <v>26</v>
      </c>
      <c r="O49" s="4">
        <f t="shared" ca="1" si="6"/>
        <v>2.6</v>
      </c>
      <c r="P49" s="4">
        <f t="shared" ca="1" si="6"/>
        <v>0</v>
      </c>
      <c r="Q49" s="4">
        <f t="shared" ca="1" si="6"/>
        <v>0</v>
      </c>
    </row>
    <row r="50" spans="1:17" x14ac:dyDescent="0.25">
      <c r="A50" s="10">
        <v>36892</v>
      </c>
      <c r="B50" s="58">
        <v>626.20000000000005</v>
      </c>
      <c r="C50" s="58">
        <v>0</v>
      </c>
      <c r="D50" s="86"/>
      <c r="E50" s="86">
        <f t="shared" si="7"/>
        <v>2014</v>
      </c>
      <c r="F50" s="4">
        <f t="shared" ca="1" si="6"/>
        <v>0</v>
      </c>
      <c r="G50" s="4">
        <f t="shared" ca="1" si="6"/>
        <v>0</v>
      </c>
      <c r="H50" s="4">
        <f t="shared" ca="1" si="6"/>
        <v>0</v>
      </c>
      <c r="I50" s="4">
        <f t="shared" ca="1" si="6"/>
        <v>0</v>
      </c>
      <c r="J50" s="4">
        <f t="shared" ca="1" si="6"/>
        <v>12.2</v>
      </c>
      <c r="K50" s="4">
        <f t="shared" ca="1" si="6"/>
        <v>71.900000000000006</v>
      </c>
      <c r="L50" s="4">
        <f t="shared" ca="1" si="6"/>
        <v>47.6</v>
      </c>
      <c r="M50" s="4">
        <f t="shared" ca="1" si="6"/>
        <v>53.4</v>
      </c>
      <c r="N50" s="4">
        <f t="shared" ca="1" si="6"/>
        <v>17.600000000000001</v>
      </c>
      <c r="O50" s="4">
        <f t="shared" ca="1" si="6"/>
        <v>0</v>
      </c>
      <c r="P50" s="4">
        <f t="shared" ca="1" si="6"/>
        <v>0</v>
      </c>
      <c r="Q50" s="4">
        <f t="shared" ca="1" si="6"/>
        <v>0</v>
      </c>
    </row>
    <row r="51" spans="1:17" x14ac:dyDescent="0.25">
      <c r="A51" s="10">
        <v>36923</v>
      </c>
      <c r="B51" s="58">
        <v>516.69999999999993</v>
      </c>
      <c r="C51" s="58">
        <v>0</v>
      </c>
      <c r="D51" s="86"/>
      <c r="E51" s="86">
        <f t="shared" si="7"/>
        <v>2015</v>
      </c>
      <c r="F51" s="4">
        <f t="shared" ca="1" si="6"/>
        <v>0</v>
      </c>
      <c r="G51" s="4">
        <f t="shared" ca="1" si="6"/>
        <v>0</v>
      </c>
      <c r="H51" s="4">
        <f t="shared" ca="1" si="6"/>
        <v>0</v>
      </c>
      <c r="I51" s="4">
        <f t="shared" ca="1" si="6"/>
        <v>0</v>
      </c>
      <c r="J51" s="4">
        <f t="shared" ca="1" si="6"/>
        <v>34.9</v>
      </c>
      <c r="K51" s="4">
        <f t="shared" ca="1" si="6"/>
        <v>30.4</v>
      </c>
      <c r="L51" s="4">
        <f t="shared" ca="1" si="6"/>
        <v>76.400000000000006</v>
      </c>
      <c r="M51" s="4">
        <f t="shared" ca="1" si="6"/>
        <v>61.6</v>
      </c>
      <c r="N51" s="4">
        <f t="shared" ca="1" si="6"/>
        <v>54.2</v>
      </c>
      <c r="O51" s="4">
        <f t="shared" ca="1" si="6"/>
        <v>0</v>
      </c>
      <c r="P51" s="4">
        <f t="shared" ca="1" si="6"/>
        <v>0</v>
      </c>
      <c r="Q51" s="4">
        <f t="shared" ca="1" si="6"/>
        <v>0</v>
      </c>
    </row>
    <row r="52" spans="1:17" x14ac:dyDescent="0.25">
      <c r="A52" s="10">
        <v>36951</v>
      </c>
      <c r="B52" s="58">
        <v>499.49999999999994</v>
      </c>
      <c r="C52" s="58">
        <v>0</v>
      </c>
      <c r="D52" s="86"/>
      <c r="E52" s="86">
        <f t="shared" si="7"/>
        <v>2016</v>
      </c>
      <c r="F52" s="4">
        <f t="shared" ca="1" si="6"/>
        <v>0</v>
      </c>
      <c r="G52" s="4">
        <f t="shared" ca="1" si="6"/>
        <v>0</v>
      </c>
      <c r="H52" s="4">
        <f t="shared" ca="1" si="6"/>
        <v>0</v>
      </c>
      <c r="I52" s="4">
        <f t="shared" ca="1" si="6"/>
        <v>0</v>
      </c>
      <c r="J52" s="4">
        <f t="shared" ca="1" si="6"/>
        <v>26.1</v>
      </c>
      <c r="K52" s="4">
        <f t="shared" ca="1" si="6"/>
        <v>51.3</v>
      </c>
      <c r="L52" s="4">
        <f t="shared" ca="1" si="6"/>
        <v>117.4</v>
      </c>
      <c r="M52" s="4">
        <f t="shared" ca="1" si="6"/>
        <v>131</v>
      </c>
      <c r="N52" s="4">
        <f t="shared" ca="1" si="6"/>
        <v>43.4</v>
      </c>
      <c r="O52" s="4">
        <f t="shared" ca="1" si="6"/>
        <v>3.9</v>
      </c>
      <c r="P52" s="4">
        <f t="shared" ca="1" si="6"/>
        <v>0</v>
      </c>
      <c r="Q52" s="4">
        <f t="shared" ca="1" si="6"/>
        <v>0</v>
      </c>
    </row>
    <row r="53" spans="1:17" x14ac:dyDescent="0.25">
      <c r="A53" s="10">
        <v>36982</v>
      </c>
      <c r="B53" s="58">
        <v>231.59999999999997</v>
      </c>
      <c r="C53" s="58">
        <v>3.8</v>
      </c>
      <c r="D53" s="86"/>
      <c r="E53" s="86">
        <f t="shared" si="7"/>
        <v>2017</v>
      </c>
      <c r="F53" s="4">
        <f t="shared" ref="F53:Q54" ca="1" si="8">MAX(TREND(F$33:F$52,$E$33:$E$52,$E53),0)</f>
        <v>0</v>
      </c>
      <c r="G53" s="4">
        <f t="shared" ca="1" si="8"/>
        <v>0</v>
      </c>
      <c r="H53" s="4">
        <f t="shared" ca="1" si="8"/>
        <v>0</v>
      </c>
      <c r="I53" s="4">
        <f t="shared" ca="1" si="8"/>
        <v>0</v>
      </c>
      <c r="J53" s="4">
        <f t="shared" ca="1" si="8"/>
        <v>18.588421052631475</v>
      </c>
      <c r="K53" s="4">
        <f t="shared" ca="1" si="8"/>
        <v>30.623684210524516</v>
      </c>
      <c r="L53" s="4">
        <f t="shared" ca="1" si="8"/>
        <v>77.940526315789612</v>
      </c>
      <c r="M53" s="4">
        <f t="shared" ca="1" si="8"/>
        <v>61.930000000001201</v>
      </c>
      <c r="N53" s="4">
        <f t="shared" ca="1" si="8"/>
        <v>17.767894736842209</v>
      </c>
      <c r="O53" s="4">
        <f t="shared" ca="1" si="8"/>
        <v>0</v>
      </c>
      <c r="P53" s="4">
        <f t="shared" ca="1" si="8"/>
        <v>0</v>
      </c>
      <c r="Q53" s="4">
        <f t="shared" ca="1" si="8"/>
        <v>0</v>
      </c>
    </row>
    <row r="54" spans="1:17" x14ac:dyDescent="0.25">
      <c r="A54" s="10">
        <v>37012</v>
      </c>
      <c r="B54" s="58">
        <v>67.300000000000011</v>
      </c>
      <c r="C54" s="58">
        <v>31.300000000000004</v>
      </c>
      <c r="D54" s="86"/>
      <c r="E54" s="86">
        <f t="shared" si="7"/>
        <v>2018</v>
      </c>
      <c r="F54" s="4">
        <f t="shared" ca="1" si="8"/>
        <v>0</v>
      </c>
      <c r="G54" s="4">
        <f t="shared" ca="1" si="8"/>
        <v>0</v>
      </c>
      <c r="H54" s="4">
        <f t="shared" ca="1" si="8"/>
        <v>0</v>
      </c>
      <c r="I54" s="4">
        <f t="shared" ca="1" si="8"/>
        <v>0</v>
      </c>
      <c r="J54" s="4">
        <f t="shared" ca="1" si="8"/>
        <v>18.126842105263108</v>
      </c>
      <c r="K54" s="4">
        <f t="shared" ca="1" si="8"/>
        <v>25.730225563907879</v>
      </c>
      <c r="L54" s="4">
        <f t="shared" ca="1" si="8"/>
        <v>72.806766917292407</v>
      </c>
      <c r="M54" s="4">
        <f t="shared" ca="1" si="8"/>
        <v>57.868571428572977</v>
      </c>
      <c r="N54" s="4">
        <f t="shared" ca="1" si="8"/>
        <v>15.262932330826516</v>
      </c>
      <c r="O54" s="4">
        <f t="shared" ca="1" si="8"/>
        <v>0</v>
      </c>
      <c r="P54" s="4">
        <f t="shared" ca="1" si="8"/>
        <v>0</v>
      </c>
      <c r="Q54" s="4">
        <f t="shared" ca="1" si="8"/>
        <v>0</v>
      </c>
    </row>
    <row r="55" spans="1:17" x14ac:dyDescent="0.25">
      <c r="A55" s="10">
        <v>37043</v>
      </c>
      <c r="B55" s="58">
        <v>22.5</v>
      </c>
      <c r="C55" s="58">
        <v>123.29999999999998</v>
      </c>
      <c r="D55" s="86"/>
      <c r="E55" s="11" t="s">
        <v>58</v>
      </c>
      <c r="F55" s="4">
        <f t="shared" ref="F55:Q55" ca="1" si="9">AVERAGE(F43:F52)</f>
        <v>0</v>
      </c>
      <c r="G55" s="4">
        <f ca="1">AVERAGE(G43:G52)</f>
        <v>0</v>
      </c>
      <c r="H55" s="4">
        <f t="shared" ca="1" si="9"/>
        <v>0.22000000000000003</v>
      </c>
      <c r="I55" s="4">
        <f t="shared" ca="1" si="9"/>
        <v>0.32</v>
      </c>
      <c r="J55" s="4">
        <f t="shared" ca="1" si="9"/>
        <v>20.889999999999997</v>
      </c>
      <c r="K55" s="4">
        <f t="shared" ca="1" si="9"/>
        <v>56.129999999999995</v>
      </c>
      <c r="L55" s="4">
        <f t="shared" ca="1" si="9"/>
        <v>99.97999999999999</v>
      </c>
      <c r="M55" s="4">
        <f t="shared" ca="1" si="9"/>
        <v>80.190000000000012</v>
      </c>
      <c r="N55" s="4">
        <f t="shared" ca="1" si="9"/>
        <v>29.429999999999996</v>
      </c>
      <c r="O55" s="4">
        <f t="shared" ca="1" si="9"/>
        <v>2.87</v>
      </c>
      <c r="P55" s="4">
        <f t="shared" ca="1" si="9"/>
        <v>0</v>
      </c>
      <c r="Q55" s="4">
        <f t="shared" ca="1" si="9"/>
        <v>0</v>
      </c>
    </row>
    <row r="56" spans="1:17" x14ac:dyDescent="0.25">
      <c r="A56" s="10">
        <v>37073</v>
      </c>
      <c r="B56" s="58">
        <v>2.7</v>
      </c>
      <c r="C56" s="58">
        <v>172.20000000000005</v>
      </c>
      <c r="D56" s="86"/>
      <c r="E56" s="11" t="s">
        <v>59</v>
      </c>
      <c r="F56" s="4">
        <f t="shared" ref="F56:Q56" ca="1" si="10">AVERAGE(F33:F52)</f>
        <v>0</v>
      </c>
      <c r="G56" s="4">
        <f t="shared" ca="1" si="10"/>
        <v>0</v>
      </c>
      <c r="H56" s="4">
        <f t="shared" ca="1" si="10"/>
        <v>0.55500000000000005</v>
      </c>
      <c r="I56" s="4">
        <f t="shared" ca="1" si="10"/>
        <v>2.37</v>
      </c>
      <c r="J56" s="4">
        <f t="shared" ca="1" si="10"/>
        <v>23.434999999999999</v>
      </c>
      <c r="K56" s="4">
        <f t="shared" ca="1" si="10"/>
        <v>82.00500000000001</v>
      </c>
      <c r="L56" s="4">
        <f t="shared" ca="1" si="10"/>
        <v>131.84500000000003</v>
      </c>
      <c r="M56" s="4">
        <f t="shared" ca="1" si="10"/>
        <v>104.575</v>
      </c>
      <c r="N56" s="4">
        <f t="shared" ca="1" si="10"/>
        <v>44.07</v>
      </c>
      <c r="O56" s="4">
        <f t="shared" ca="1" si="10"/>
        <v>5.42</v>
      </c>
      <c r="P56" s="4">
        <f t="shared" ca="1" si="10"/>
        <v>0</v>
      </c>
      <c r="Q56" s="4">
        <f t="shared" ca="1" si="10"/>
        <v>0</v>
      </c>
    </row>
    <row r="57" spans="1:17" x14ac:dyDescent="0.25">
      <c r="A57" s="10">
        <v>37104</v>
      </c>
      <c r="B57" s="58">
        <v>0</v>
      </c>
      <c r="C57" s="58">
        <v>185.70000000000007</v>
      </c>
      <c r="D57" s="86"/>
    </row>
    <row r="58" spans="1:17" x14ac:dyDescent="0.25">
      <c r="A58" s="10">
        <v>37135</v>
      </c>
      <c r="B58" s="58">
        <v>60.800000000000011</v>
      </c>
      <c r="C58" s="58">
        <v>42.899999999999984</v>
      </c>
      <c r="D58" s="86"/>
    </row>
    <row r="59" spans="1:17" x14ac:dyDescent="0.25">
      <c r="A59" s="10">
        <v>37165</v>
      </c>
      <c r="B59" s="58">
        <v>191.79999999999998</v>
      </c>
      <c r="C59" s="58">
        <v>4.5999999999999996</v>
      </c>
      <c r="D59" s="86"/>
    </row>
    <row r="60" spans="1:17" x14ac:dyDescent="0.25">
      <c r="A60" s="10">
        <v>37196</v>
      </c>
      <c r="B60" s="58">
        <v>254.39999999999992</v>
      </c>
      <c r="C60" s="58">
        <v>0</v>
      </c>
      <c r="D60" s="86"/>
    </row>
    <row r="61" spans="1:17" x14ac:dyDescent="0.25">
      <c r="A61" s="10">
        <v>37226</v>
      </c>
      <c r="B61" s="58">
        <v>470</v>
      </c>
      <c r="C61" s="58">
        <v>0</v>
      </c>
      <c r="D61" s="86"/>
    </row>
    <row r="62" spans="1:17" x14ac:dyDescent="0.25">
      <c r="A62" s="10">
        <v>37257</v>
      </c>
      <c r="B62" s="58">
        <v>524.70000000000005</v>
      </c>
      <c r="C62" s="58">
        <v>0</v>
      </c>
      <c r="D62" s="86"/>
    </row>
    <row r="63" spans="1:17" x14ac:dyDescent="0.25">
      <c r="A63" s="10">
        <v>37288</v>
      </c>
      <c r="B63" s="58">
        <v>476.09999999999997</v>
      </c>
      <c r="C63" s="58">
        <v>0</v>
      </c>
      <c r="D63" s="86"/>
    </row>
    <row r="64" spans="1:17" ht="13.8" x14ac:dyDescent="0.25">
      <c r="A64" s="10">
        <v>37316</v>
      </c>
      <c r="B64" s="58">
        <v>486.19999999999987</v>
      </c>
      <c r="C64" s="58">
        <v>0</v>
      </c>
      <c r="D64" s="86"/>
      <c r="E64" s="12" t="s">
        <v>60</v>
      </c>
      <c r="J64" s="12" t="s">
        <v>231</v>
      </c>
    </row>
    <row r="65" spans="1:13" x14ac:dyDescent="0.25">
      <c r="A65" s="10">
        <v>37347</v>
      </c>
      <c r="B65" s="58">
        <v>259.7999999999999</v>
      </c>
      <c r="C65" s="58">
        <v>22.6</v>
      </c>
      <c r="D65" s="86"/>
      <c r="G65" s="13" t="s">
        <v>44</v>
      </c>
      <c r="H65" s="13" t="s">
        <v>45</v>
      </c>
      <c r="L65" s="4" t="s">
        <v>44</v>
      </c>
      <c r="M65" s="4" t="s">
        <v>45</v>
      </c>
    </row>
    <row r="66" spans="1:13" x14ac:dyDescent="0.25">
      <c r="A66" s="10">
        <v>37377</v>
      </c>
      <c r="B66" s="58">
        <v>170.8</v>
      </c>
      <c r="C66" s="58">
        <v>16.5</v>
      </c>
      <c r="D66" s="86"/>
      <c r="E66" s="4" t="s">
        <v>230</v>
      </c>
      <c r="F66" s="4" t="s">
        <v>61</v>
      </c>
      <c r="G66" s="4">
        <f t="shared" ref="G66:G77" ca="1" si="11">OFFSET($F$24,0,(ROW()-ROW(G$66)))</f>
        <v>729.54999999999984</v>
      </c>
      <c r="H66" s="4">
        <f t="shared" ref="H66:H77" ca="1" si="12">OFFSET($F$55,0,(ROW()-ROW(H$66)))</f>
        <v>0</v>
      </c>
      <c r="J66" s="85" t="s">
        <v>230</v>
      </c>
      <c r="K66" s="4" t="s">
        <v>61</v>
      </c>
      <c r="L66" s="14">
        <f ca="1">OFFSET($F$23,0,(ROW()-ROW(G$66)))</f>
        <v>772.15240601503683</v>
      </c>
      <c r="M66" s="14">
        <f ca="1">OFFSET($F$54,0,(ROW()-ROW(G$66)))</f>
        <v>0</v>
      </c>
    </row>
    <row r="67" spans="1:13" x14ac:dyDescent="0.25">
      <c r="A67" s="10">
        <v>37408</v>
      </c>
      <c r="B67" s="58">
        <v>12</v>
      </c>
      <c r="C67" s="58">
        <v>132</v>
      </c>
      <c r="D67" s="86"/>
      <c r="E67" s="85" t="s">
        <v>230</v>
      </c>
      <c r="F67" s="4" t="s">
        <v>62</v>
      </c>
      <c r="G67" s="4">
        <f t="shared" ca="1" si="11"/>
        <v>678.56000000000006</v>
      </c>
      <c r="H67" s="4">
        <f t="shared" ca="1" si="12"/>
        <v>0</v>
      </c>
      <c r="J67" s="85" t="s">
        <v>230</v>
      </c>
      <c r="K67" s="4" t="s">
        <v>62</v>
      </c>
      <c r="L67" s="14">
        <f t="shared" ref="L67:L77" ca="1" si="13">OFFSET($F$23,0,(ROW()-ROW(G$66)))</f>
        <v>759.75421052632009</v>
      </c>
      <c r="M67" s="14">
        <f t="shared" ref="M67:M77" ca="1" si="14">OFFSET($F$54,0,(ROW()-ROW(G$66)))</f>
        <v>0</v>
      </c>
    </row>
    <row r="68" spans="1:13" x14ac:dyDescent="0.25">
      <c r="A68" s="10">
        <v>37438</v>
      </c>
      <c r="B68" s="58">
        <v>0</v>
      </c>
      <c r="C68" s="58">
        <v>216.30000000000004</v>
      </c>
      <c r="D68" s="86"/>
      <c r="E68" s="85" t="s">
        <v>230</v>
      </c>
      <c r="F68" s="4" t="s">
        <v>63</v>
      </c>
      <c r="G68" s="4">
        <f t="shared" ca="1" si="11"/>
        <v>544.77</v>
      </c>
      <c r="H68" s="4">
        <f t="shared" ca="1" si="12"/>
        <v>0.22000000000000003</v>
      </c>
      <c r="J68" s="85" t="s">
        <v>230</v>
      </c>
      <c r="K68" s="4" t="s">
        <v>63</v>
      </c>
      <c r="L68" s="14">
        <f t="shared" ca="1" si="13"/>
        <v>589.76052631578932</v>
      </c>
      <c r="M68" s="14">
        <f t="shared" ca="1" si="14"/>
        <v>0</v>
      </c>
    </row>
    <row r="69" spans="1:13" x14ac:dyDescent="0.25">
      <c r="A69" s="10">
        <v>37469</v>
      </c>
      <c r="B69" s="58">
        <v>0</v>
      </c>
      <c r="C69" s="58">
        <v>168.30000000000004</v>
      </c>
      <c r="D69" s="86"/>
      <c r="E69" s="85" t="s">
        <v>230</v>
      </c>
      <c r="F69" s="4" t="s">
        <v>64</v>
      </c>
      <c r="G69" s="4">
        <f t="shared" ca="1" si="11"/>
        <v>328.11</v>
      </c>
      <c r="H69" s="4">
        <f t="shared" ca="1" si="12"/>
        <v>0.32</v>
      </c>
      <c r="J69" s="85" t="s">
        <v>230</v>
      </c>
      <c r="K69" s="4" t="s">
        <v>64</v>
      </c>
      <c r="L69" s="14">
        <f t="shared" ca="1" si="13"/>
        <v>365.67466165413498</v>
      </c>
      <c r="M69" s="14">
        <f t="shared" ca="1" si="14"/>
        <v>0</v>
      </c>
    </row>
    <row r="70" spans="1:13" x14ac:dyDescent="0.25">
      <c r="A70" s="10">
        <v>37500</v>
      </c>
      <c r="B70" s="58">
        <v>14.5</v>
      </c>
      <c r="C70" s="58">
        <v>105.19999999999999</v>
      </c>
      <c r="D70" s="86"/>
      <c r="E70" s="85" t="s">
        <v>230</v>
      </c>
      <c r="F70" s="4" t="s">
        <v>50</v>
      </c>
      <c r="G70" s="4">
        <f t="shared" ca="1" si="11"/>
        <v>134.47999999999999</v>
      </c>
      <c r="H70" s="4">
        <f t="shared" ca="1" si="12"/>
        <v>20.889999999999997</v>
      </c>
      <c r="J70" s="85" t="s">
        <v>230</v>
      </c>
      <c r="K70" s="4" t="s">
        <v>50</v>
      </c>
      <c r="L70" s="14">
        <f t="shared" ca="1" si="13"/>
        <v>144.3165413533834</v>
      </c>
      <c r="M70" s="14">
        <f t="shared" ca="1" si="14"/>
        <v>18.126842105263108</v>
      </c>
    </row>
    <row r="71" spans="1:13" x14ac:dyDescent="0.25">
      <c r="A71" s="10">
        <v>37530</v>
      </c>
      <c r="B71" s="58">
        <v>240.79999999999993</v>
      </c>
      <c r="C71" s="58">
        <v>16.100000000000001</v>
      </c>
      <c r="D71" s="86"/>
      <c r="E71" s="85" t="s">
        <v>230</v>
      </c>
      <c r="F71" s="4" t="s">
        <v>51</v>
      </c>
      <c r="G71" s="4">
        <f t="shared" ca="1" si="11"/>
        <v>30.429999999999996</v>
      </c>
      <c r="H71" s="4">
        <f t="shared" ca="1" si="12"/>
        <v>56.129999999999995</v>
      </c>
      <c r="J71" s="85" t="s">
        <v>230</v>
      </c>
      <c r="K71" s="4" t="s">
        <v>51</v>
      </c>
      <c r="L71" s="14">
        <f t="shared" ca="1" si="13"/>
        <v>33.885112781954831</v>
      </c>
      <c r="M71" s="14">
        <f t="shared" ca="1" si="14"/>
        <v>25.730225563907879</v>
      </c>
    </row>
    <row r="72" spans="1:13" x14ac:dyDescent="0.25">
      <c r="A72" s="10">
        <v>37561</v>
      </c>
      <c r="B72" s="58">
        <v>402.19999999999993</v>
      </c>
      <c r="C72" s="58">
        <v>0</v>
      </c>
      <c r="D72" s="86"/>
      <c r="E72" s="85" t="s">
        <v>230</v>
      </c>
      <c r="F72" s="4" t="s">
        <v>52</v>
      </c>
      <c r="G72" s="4">
        <f t="shared" ca="1" si="11"/>
        <v>7.85</v>
      </c>
      <c r="H72" s="4">
        <f t="shared" ca="1" si="12"/>
        <v>99.97999999999999</v>
      </c>
      <c r="J72" s="85" t="s">
        <v>230</v>
      </c>
      <c r="K72" s="4" t="s">
        <v>52</v>
      </c>
      <c r="L72" s="14">
        <f t="shared" ca="1" si="13"/>
        <v>10.315639097744452</v>
      </c>
      <c r="M72" s="14">
        <f t="shared" ca="1" si="14"/>
        <v>72.806766917292407</v>
      </c>
    </row>
    <row r="73" spans="1:13" x14ac:dyDescent="0.25">
      <c r="A73" s="10">
        <v>37591</v>
      </c>
      <c r="B73" s="58">
        <v>582.90000000000009</v>
      </c>
      <c r="C73" s="58">
        <v>0</v>
      </c>
      <c r="D73" s="86"/>
      <c r="E73" s="85" t="s">
        <v>230</v>
      </c>
      <c r="F73" s="4" t="s">
        <v>53</v>
      </c>
      <c r="G73" s="4">
        <f t="shared" ca="1" si="11"/>
        <v>10.43</v>
      </c>
      <c r="H73" s="4">
        <f t="shared" ca="1" si="12"/>
        <v>80.190000000000012</v>
      </c>
      <c r="J73" s="85" t="s">
        <v>230</v>
      </c>
      <c r="K73" s="4" t="s">
        <v>53</v>
      </c>
      <c r="L73" s="14">
        <f t="shared" ca="1" si="13"/>
        <v>13.408345864661896</v>
      </c>
      <c r="M73" s="14">
        <f t="shared" ca="1" si="14"/>
        <v>57.868571428572977</v>
      </c>
    </row>
    <row r="74" spans="1:13" x14ac:dyDescent="0.25">
      <c r="A74" s="10">
        <v>37622</v>
      </c>
      <c r="B74" s="58">
        <v>730.59999999999991</v>
      </c>
      <c r="C74" s="58">
        <v>0</v>
      </c>
      <c r="D74" s="86"/>
      <c r="E74" s="85" t="s">
        <v>230</v>
      </c>
      <c r="F74" s="4" t="s">
        <v>65</v>
      </c>
      <c r="G74" s="4">
        <f t="shared" ca="1" si="11"/>
        <v>70.580000000000013</v>
      </c>
      <c r="H74" s="4">
        <f t="shared" ca="1" si="12"/>
        <v>29.429999999999996</v>
      </c>
      <c r="J74" s="85" t="s">
        <v>230</v>
      </c>
      <c r="K74" s="4" t="s">
        <v>65</v>
      </c>
      <c r="L74" s="14">
        <f t="shared" ca="1" si="13"/>
        <v>84.142255639098039</v>
      </c>
      <c r="M74" s="14">
        <f t="shared" ca="1" si="14"/>
        <v>15.262932330826516</v>
      </c>
    </row>
    <row r="75" spans="1:13" x14ac:dyDescent="0.25">
      <c r="A75" s="10">
        <v>37653</v>
      </c>
      <c r="B75" s="58">
        <v>621.69999999999993</v>
      </c>
      <c r="C75" s="58">
        <v>0</v>
      </c>
      <c r="D75" s="86"/>
      <c r="E75" s="85" t="s">
        <v>230</v>
      </c>
      <c r="F75" s="4" t="s">
        <v>66</v>
      </c>
      <c r="G75" s="4">
        <f t="shared" ca="1" si="11"/>
        <v>241.15</v>
      </c>
      <c r="H75" s="4">
        <f t="shared" ca="1" si="12"/>
        <v>2.87</v>
      </c>
      <c r="J75" s="85" t="s">
        <v>230</v>
      </c>
      <c r="K75" s="4" t="s">
        <v>66</v>
      </c>
      <c r="L75" s="14">
        <f t="shared" ca="1" si="13"/>
        <v>266.85789473684144</v>
      </c>
      <c r="M75" s="14">
        <f t="shared" ca="1" si="14"/>
        <v>0</v>
      </c>
    </row>
    <row r="76" spans="1:13" x14ac:dyDescent="0.25">
      <c r="A76" s="10">
        <v>37681</v>
      </c>
      <c r="B76" s="58">
        <v>490.29999999999995</v>
      </c>
      <c r="C76" s="58">
        <v>0</v>
      </c>
      <c r="D76" s="86"/>
      <c r="E76" s="85" t="s">
        <v>230</v>
      </c>
      <c r="F76" s="4" t="s">
        <v>67</v>
      </c>
      <c r="G76" s="4">
        <f t="shared" ca="1" si="11"/>
        <v>421.52</v>
      </c>
      <c r="H76" s="4">
        <f t="shared" ca="1" si="12"/>
        <v>0</v>
      </c>
      <c r="J76" s="85" t="s">
        <v>230</v>
      </c>
      <c r="K76" s="4" t="s">
        <v>67</v>
      </c>
      <c r="L76" s="14">
        <f t="shared" ca="1" si="13"/>
        <v>441.74248120300763</v>
      </c>
      <c r="M76" s="14">
        <f t="shared" ca="1" si="14"/>
        <v>0</v>
      </c>
    </row>
    <row r="77" spans="1:13" x14ac:dyDescent="0.25">
      <c r="A77" s="10">
        <v>37712</v>
      </c>
      <c r="B77" s="58">
        <v>289.79999999999984</v>
      </c>
      <c r="C77" s="58">
        <v>5.0999999999999996</v>
      </c>
      <c r="D77" s="86"/>
      <c r="E77" s="85" t="s">
        <v>230</v>
      </c>
      <c r="F77" s="4" t="s">
        <v>68</v>
      </c>
      <c r="G77" s="4">
        <f t="shared" ca="1" si="11"/>
        <v>610.56000000000006</v>
      </c>
      <c r="H77" s="4">
        <f t="shared" ca="1" si="12"/>
        <v>0</v>
      </c>
      <c r="J77" s="85" t="s">
        <v>230</v>
      </c>
      <c r="K77" s="4" t="s">
        <v>68</v>
      </c>
      <c r="L77" s="14">
        <f t="shared" ca="1" si="13"/>
        <v>618.50390977443658</v>
      </c>
      <c r="M77" s="14">
        <f t="shared" ca="1" si="14"/>
        <v>0</v>
      </c>
    </row>
    <row r="78" spans="1:13" x14ac:dyDescent="0.25">
      <c r="A78" s="10">
        <v>37742</v>
      </c>
      <c r="B78" s="58">
        <v>128.50000000000003</v>
      </c>
      <c r="C78" s="58">
        <v>2.6</v>
      </c>
      <c r="D78" s="86"/>
      <c r="G78" s="14"/>
      <c r="H78" s="14"/>
      <c r="L78" s="14"/>
      <c r="M78" s="14"/>
    </row>
    <row r="79" spans="1:13" x14ac:dyDescent="0.25">
      <c r="A79" s="10">
        <v>37773</v>
      </c>
      <c r="B79" s="58">
        <v>27.6</v>
      </c>
      <c r="C79" s="58">
        <v>72.8</v>
      </c>
      <c r="D79" s="86"/>
    </row>
    <row r="80" spans="1:13" x14ac:dyDescent="0.25">
      <c r="A80" s="10">
        <v>37803</v>
      </c>
      <c r="B80" s="58">
        <v>0</v>
      </c>
      <c r="C80" s="58">
        <v>156.4</v>
      </c>
      <c r="D80" s="86"/>
    </row>
    <row r="81" spans="1:4" x14ac:dyDescent="0.25">
      <c r="A81" s="10">
        <v>37834</v>
      </c>
      <c r="B81" s="58">
        <v>0</v>
      </c>
      <c r="C81" s="58">
        <v>163.80000000000001</v>
      </c>
      <c r="D81" s="86"/>
    </row>
    <row r="82" spans="1:4" x14ac:dyDescent="0.25">
      <c r="A82" s="10">
        <v>37865</v>
      </c>
      <c r="B82" s="58">
        <v>42.7</v>
      </c>
      <c r="C82" s="58">
        <v>48.3</v>
      </c>
      <c r="D82" s="86"/>
    </row>
    <row r="83" spans="1:4" x14ac:dyDescent="0.25">
      <c r="A83" s="10">
        <v>37895</v>
      </c>
      <c r="B83" s="58">
        <v>218.59999999999997</v>
      </c>
      <c r="C83" s="58">
        <v>3</v>
      </c>
      <c r="D83" s="86"/>
    </row>
    <row r="84" spans="1:4" x14ac:dyDescent="0.25">
      <c r="A84" s="10">
        <v>37926</v>
      </c>
      <c r="B84" s="58">
        <v>335.49999999999994</v>
      </c>
      <c r="C84" s="58">
        <v>0</v>
      </c>
      <c r="D84" s="86"/>
    </row>
    <row r="85" spans="1:4" x14ac:dyDescent="0.25">
      <c r="A85" s="10">
        <v>37956</v>
      </c>
      <c r="B85" s="58">
        <v>531.90000000000009</v>
      </c>
      <c r="C85" s="58">
        <v>0</v>
      </c>
      <c r="D85" s="86"/>
    </row>
    <row r="86" spans="1:4" x14ac:dyDescent="0.25">
      <c r="A86" s="10">
        <v>37987</v>
      </c>
      <c r="B86" s="58">
        <v>748.19999999999993</v>
      </c>
      <c r="C86" s="58">
        <v>0</v>
      </c>
      <c r="D86" s="86"/>
    </row>
    <row r="87" spans="1:4" x14ac:dyDescent="0.25">
      <c r="A87" s="10">
        <v>38018</v>
      </c>
      <c r="B87" s="58">
        <v>557.70000000000005</v>
      </c>
      <c r="C87" s="58">
        <v>0</v>
      </c>
      <c r="D87" s="86"/>
    </row>
    <row r="88" spans="1:4" x14ac:dyDescent="0.25">
      <c r="A88" s="10">
        <v>38047</v>
      </c>
      <c r="B88" s="58">
        <v>408.99999999999989</v>
      </c>
      <c r="C88" s="58">
        <v>0</v>
      </c>
      <c r="D88" s="86"/>
    </row>
    <row r="89" spans="1:4" x14ac:dyDescent="0.25">
      <c r="A89" s="10">
        <v>38078</v>
      </c>
      <c r="B89" s="58">
        <v>239.89999999999992</v>
      </c>
      <c r="C89" s="58">
        <v>12.100000000000001</v>
      </c>
      <c r="D89" s="86"/>
    </row>
    <row r="90" spans="1:4" x14ac:dyDescent="0.25">
      <c r="A90" s="10">
        <v>38108</v>
      </c>
      <c r="B90" s="58">
        <v>93.700000000000031</v>
      </c>
      <c r="C90" s="58">
        <v>37.4</v>
      </c>
      <c r="D90" s="86"/>
    </row>
    <row r="91" spans="1:4" x14ac:dyDescent="0.25">
      <c r="A91" s="10">
        <v>38139</v>
      </c>
      <c r="B91" s="58">
        <v>16</v>
      </c>
      <c r="C91" s="58">
        <v>76.999999999999986</v>
      </c>
      <c r="D91" s="86"/>
    </row>
    <row r="92" spans="1:4" x14ac:dyDescent="0.25">
      <c r="A92" s="10">
        <v>38169</v>
      </c>
      <c r="B92" s="58">
        <v>2.2000000000000002</v>
      </c>
      <c r="C92" s="58">
        <v>138.5</v>
      </c>
      <c r="D92" s="86"/>
    </row>
    <row r="93" spans="1:4" x14ac:dyDescent="0.25">
      <c r="A93" s="10">
        <v>38200</v>
      </c>
      <c r="B93" s="58">
        <v>3.7</v>
      </c>
      <c r="C93" s="58">
        <v>90.09999999999998</v>
      </c>
      <c r="D93" s="86"/>
    </row>
    <row r="94" spans="1:4" x14ac:dyDescent="0.25">
      <c r="A94" s="10">
        <v>38231</v>
      </c>
      <c r="B94" s="58">
        <v>18.7</v>
      </c>
      <c r="C94" s="58">
        <v>77.999999999999986</v>
      </c>
      <c r="D94" s="86"/>
    </row>
    <row r="95" spans="1:4" x14ac:dyDescent="0.25">
      <c r="A95" s="10">
        <v>38261</v>
      </c>
      <c r="B95" s="58">
        <v>176.89999999999998</v>
      </c>
      <c r="C95" s="58">
        <v>2.8</v>
      </c>
      <c r="D95" s="86"/>
    </row>
    <row r="96" spans="1:4" x14ac:dyDescent="0.25">
      <c r="A96" s="10">
        <v>38292</v>
      </c>
      <c r="B96" s="58">
        <v>343.49999999999989</v>
      </c>
      <c r="C96" s="58">
        <v>0</v>
      </c>
      <c r="D96" s="86"/>
    </row>
    <row r="97" spans="1:4" x14ac:dyDescent="0.25">
      <c r="A97" s="10">
        <v>38322</v>
      </c>
      <c r="B97" s="58">
        <v>589.10000000000014</v>
      </c>
      <c r="C97" s="58">
        <v>0</v>
      </c>
      <c r="D97" s="86"/>
    </row>
    <row r="98" spans="1:4" x14ac:dyDescent="0.25">
      <c r="A98" s="10">
        <v>38353</v>
      </c>
      <c r="B98" s="58">
        <v>688.99999999999989</v>
      </c>
      <c r="C98" s="58">
        <v>0</v>
      </c>
      <c r="D98" s="86"/>
    </row>
    <row r="99" spans="1:4" x14ac:dyDescent="0.25">
      <c r="A99" s="10">
        <v>38384</v>
      </c>
      <c r="B99" s="58">
        <v>543.30000000000007</v>
      </c>
      <c r="C99" s="58">
        <v>0</v>
      </c>
      <c r="D99" s="86"/>
    </row>
    <row r="100" spans="1:4" x14ac:dyDescent="0.25">
      <c r="A100" s="10">
        <v>38412</v>
      </c>
      <c r="B100" s="58">
        <v>523.4</v>
      </c>
      <c r="C100" s="58">
        <v>0</v>
      </c>
      <c r="D100" s="86"/>
    </row>
    <row r="101" spans="1:4" x14ac:dyDescent="0.25">
      <c r="A101" s="10">
        <v>38443</v>
      </c>
      <c r="B101" s="86">
        <v>310.3</v>
      </c>
      <c r="C101" s="86">
        <v>0</v>
      </c>
      <c r="D101" s="86"/>
    </row>
    <row r="102" spans="1:4" x14ac:dyDescent="0.25">
      <c r="A102" s="10">
        <v>38473</v>
      </c>
      <c r="B102" s="86">
        <v>198.5</v>
      </c>
      <c r="C102" s="86">
        <v>0</v>
      </c>
      <c r="D102" s="86"/>
    </row>
    <row r="103" spans="1:4" x14ac:dyDescent="0.25">
      <c r="A103" s="10">
        <v>38504</v>
      </c>
      <c r="B103" s="86">
        <v>11.4</v>
      </c>
      <c r="C103" s="86">
        <v>121.1</v>
      </c>
      <c r="D103" s="86"/>
    </row>
    <row r="104" spans="1:4" x14ac:dyDescent="0.25">
      <c r="A104" s="10">
        <v>38534</v>
      </c>
      <c r="B104" s="86">
        <v>1.5</v>
      </c>
      <c r="C104" s="86">
        <v>137.5</v>
      </c>
      <c r="D104" s="86"/>
    </row>
    <row r="105" spans="1:4" x14ac:dyDescent="0.25">
      <c r="A105" s="10">
        <v>38565</v>
      </c>
      <c r="B105" s="86">
        <v>4.5</v>
      </c>
      <c r="C105" s="86">
        <v>106.3</v>
      </c>
      <c r="D105" s="86"/>
    </row>
    <row r="106" spans="1:4" x14ac:dyDescent="0.25">
      <c r="A106" s="10">
        <v>38596</v>
      </c>
      <c r="B106" s="86">
        <v>30.5</v>
      </c>
      <c r="C106" s="86">
        <v>34.700000000000003</v>
      </c>
      <c r="D106" s="86"/>
    </row>
    <row r="107" spans="1:4" x14ac:dyDescent="0.25">
      <c r="A107" s="10">
        <v>38626</v>
      </c>
      <c r="B107" s="86">
        <v>228.3</v>
      </c>
      <c r="C107" s="86">
        <v>8.6999999999999993</v>
      </c>
      <c r="D107" s="86"/>
    </row>
    <row r="108" spans="1:4" x14ac:dyDescent="0.25">
      <c r="A108" s="10">
        <v>38657</v>
      </c>
      <c r="B108" s="86">
        <v>392.7</v>
      </c>
      <c r="C108" s="86">
        <v>0</v>
      </c>
      <c r="D108" s="86"/>
    </row>
    <row r="109" spans="1:4" x14ac:dyDescent="0.25">
      <c r="A109" s="10">
        <v>38687</v>
      </c>
      <c r="B109" s="86">
        <v>702.3</v>
      </c>
      <c r="C109" s="86">
        <v>0</v>
      </c>
      <c r="D109" s="86"/>
    </row>
    <row r="110" spans="1:4" x14ac:dyDescent="0.25">
      <c r="A110" s="10">
        <v>38718</v>
      </c>
      <c r="B110" s="86">
        <v>554.70000000000005</v>
      </c>
      <c r="C110" s="86">
        <v>0</v>
      </c>
      <c r="D110" s="86"/>
    </row>
    <row r="111" spans="1:4" x14ac:dyDescent="0.25">
      <c r="A111" s="10">
        <v>38749</v>
      </c>
      <c r="B111" s="86">
        <v>609.29999999999995</v>
      </c>
      <c r="C111" s="86">
        <v>0</v>
      </c>
      <c r="D111" s="86"/>
    </row>
    <row r="112" spans="1:4" x14ac:dyDescent="0.25">
      <c r="A112" s="10">
        <v>38777</v>
      </c>
      <c r="B112" s="86">
        <v>545.70000000000005</v>
      </c>
      <c r="C112" s="86">
        <v>0</v>
      </c>
      <c r="D112" s="86"/>
    </row>
    <row r="113" spans="1:4" x14ac:dyDescent="0.25">
      <c r="A113" s="10">
        <v>38808</v>
      </c>
      <c r="B113" s="86">
        <v>286.10000000000002</v>
      </c>
      <c r="C113" s="86">
        <v>0</v>
      </c>
      <c r="D113" s="86"/>
    </row>
    <row r="114" spans="1:4" x14ac:dyDescent="0.25">
      <c r="A114" s="10">
        <v>38838</v>
      </c>
      <c r="B114" s="86">
        <v>151.9</v>
      </c>
      <c r="C114" s="86">
        <v>22.9</v>
      </c>
      <c r="D114" s="86"/>
    </row>
    <row r="115" spans="1:4" x14ac:dyDescent="0.25">
      <c r="A115" s="10">
        <v>38869</v>
      </c>
      <c r="B115" s="86">
        <v>26.7</v>
      </c>
      <c r="C115" s="86">
        <v>44.4</v>
      </c>
      <c r="D115" s="86"/>
    </row>
    <row r="116" spans="1:4" x14ac:dyDescent="0.25">
      <c r="A116" s="10">
        <v>38899</v>
      </c>
      <c r="B116" s="86">
        <v>3.3</v>
      </c>
      <c r="C116" s="86">
        <v>133.69999999999999</v>
      </c>
      <c r="D116" s="86"/>
    </row>
    <row r="117" spans="1:4" x14ac:dyDescent="0.25">
      <c r="A117" s="10">
        <v>38930</v>
      </c>
      <c r="B117" s="86">
        <v>5.3</v>
      </c>
      <c r="C117" s="86">
        <v>68.2</v>
      </c>
      <c r="D117" s="86"/>
    </row>
    <row r="118" spans="1:4" x14ac:dyDescent="0.25">
      <c r="A118" s="10">
        <v>38961</v>
      </c>
      <c r="B118" s="86">
        <v>98.5</v>
      </c>
      <c r="C118" s="86">
        <v>5</v>
      </c>
      <c r="D118" s="86"/>
    </row>
    <row r="119" spans="1:4" x14ac:dyDescent="0.25">
      <c r="A119" s="10">
        <v>38991</v>
      </c>
      <c r="B119" s="86">
        <v>307.89999999999998</v>
      </c>
      <c r="C119" s="86">
        <v>0.7</v>
      </c>
      <c r="D119" s="86"/>
    </row>
    <row r="120" spans="1:4" x14ac:dyDescent="0.25">
      <c r="A120" s="10">
        <v>39022</v>
      </c>
      <c r="B120" s="86">
        <v>383.4</v>
      </c>
      <c r="C120" s="86">
        <v>0</v>
      </c>
      <c r="D120" s="86"/>
    </row>
    <row r="121" spans="1:4" x14ac:dyDescent="0.25">
      <c r="A121" s="10">
        <v>39052</v>
      </c>
      <c r="B121" s="86">
        <v>511.9</v>
      </c>
      <c r="C121" s="86">
        <v>0</v>
      </c>
      <c r="D121" s="86"/>
    </row>
    <row r="122" spans="1:4" x14ac:dyDescent="0.25">
      <c r="A122" s="10">
        <v>39083</v>
      </c>
      <c r="B122" s="86">
        <v>655.6</v>
      </c>
      <c r="C122" s="86">
        <v>0</v>
      </c>
      <c r="D122" s="86"/>
    </row>
    <row r="123" spans="1:4" x14ac:dyDescent="0.25">
      <c r="A123" s="10">
        <v>39114</v>
      </c>
      <c r="B123" s="86">
        <v>758.7</v>
      </c>
      <c r="C123" s="86">
        <v>0</v>
      </c>
      <c r="D123" s="86"/>
    </row>
    <row r="124" spans="1:4" x14ac:dyDescent="0.25">
      <c r="A124" s="10">
        <v>39142</v>
      </c>
      <c r="B124" s="86">
        <v>527</v>
      </c>
      <c r="C124" s="86">
        <v>0</v>
      </c>
      <c r="D124" s="86"/>
    </row>
    <row r="125" spans="1:4" x14ac:dyDescent="0.25">
      <c r="A125" s="10">
        <v>39173</v>
      </c>
      <c r="B125" s="86">
        <v>371.1</v>
      </c>
      <c r="C125" s="86">
        <v>0</v>
      </c>
      <c r="D125" s="86"/>
    </row>
    <row r="126" spans="1:4" x14ac:dyDescent="0.25">
      <c r="A126" s="10">
        <v>39203</v>
      </c>
      <c r="B126" s="86">
        <v>131.9</v>
      </c>
      <c r="C126" s="86">
        <v>22.7</v>
      </c>
      <c r="D126" s="86"/>
    </row>
    <row r="127" spans="1:4" x14ac:dyDescent="0.25">
      <c r="A127" s="10">
        <v>39234</v>
      </c>
      <c r="B127" s="86">
        <v>23.2</v>
      </c>
      <c r="C127" s="86">
        <v>70.2</v>
      </c>
      <c r="D127" s="86"/>
    </row>
    <row r="128" spans="1:4" x14ac:dyDescent="0.25">
      <c r="A128" s="10">
        <v>39264</v>
      </c>
      <c r="B128" s="86">
        <v>11.3</v>
      </c>
      <c r="C128" s="86">
        <v>71.599999999999994</v>
      </c>
      <c r="D128" s="86"/>
    </row>
    <row r="129" spans="1:4" x14ac:dyDescent="0.25">
      <c r="A129" s="10">
        <v>39295</v>
      </c>
      <c r="B129" s="86">
        <v>11.5</v>
      </c>
      <c r="C129" s="86">
        <v>89.1</v>
      </c>
      <c r="D129" s="86"/>
    </row>
    <row r="130" spans="1:4" x14ac:dyDescent="0.25">
      <c r="A130" s="10">
        <v>39326</v>
      </c>
      <c r="B130" s="86">
        <v>61</v>
      </c>
      <c r="C130" s="86">
        <v>35</v>
      </c>
      <c r="D130" s="86"/>
    </row>
    <row r="131" spans="1:4" x14ac:dyDescent="0.25">
      <c r="A131" s="10">
        <v>39356</v>
      </c>
      <c r="B131" s="86">
        <v>149.9</v>
      </c>
      <c r="C131" s="86">
        <v>21.5</v>
      </c>
      <c r="D131" s="86"/>
    </row>
    <row r="132" spans="1:4" x14ac:dyDescent="0.25">
      <c r="A132" s="10">
        <v>39387</v>
      </c>
      <c r="B132" s="86">
        <v>468.7</v>
      </c>
      <c r="C132" s="86">
        <v>0</v>
      </c>
      <c r="D132" s="86"/>
    </row>
    <row r="133" spans="1:4" x14ac:dyDescent="0.25">
      <c r="A133" s="10">
        <v>39417</v>
      </c>
      <c r="B133" s="86">
        <v>657</v>
      </c>
      <c r="C133" s="86">
        <v>0</v>
      </c>
      <c r="D133" s="86"/>
    </row>
    <row r="134" spans="1:4" x14ac:dyDescent="0.25">
      <c r="A134" s="10">
        <v>39448</v>
      </c>
      <c r="B134" s="86">
        <v>639</v>
      </c>
      <c r="C134" s="86">
        <v>0</v>
      </c>
      <c r="D134" s="86"/>
    </row>
    <row r="135" spans="1:4" x14ac:dyDescent="0.25">
      <c r="A135" s="10">
        <v>39479</v>
      </c>
      <c r="B135" s="86">
        <v>692.5</v>
      </c>
      <c r="C135" s="86">
        <v>0</v>
      </c>
      <c r="D135" s="86"/>
    </row>
    <row r="136" spans="1:4" x14ac:dyDescent="0.25">
      <c r="A136" s="10">
        <v>39508</v>
      </c>
      <c r="B136" s="86">
        <v>627.29999999999995</v>
      </c>
      <c r="C136" s="86">
        <v>0</v>
      </c>
      <c r="D136" s="86"/>
    </row>
    <row r="137" spans="1:4" x14ac:dyDescent="0.25">
      <c r="A137" s="10">
        <v>39539</v>
      </c>
      <c r="B137" s="86">
        <v>265</v>
      </c>
      <c r="C137" s="86">
        <v>0</v>
      </c>
      <c r="D137" s="86"/>
    </row>
    <row r="138" spans="1:4" x14ac:dyDescent="0.25">
      <c r="A138" s="10">
        <v>39569</v>
      </c>
      <c r="B138" s="86">
        <v>208.8</v>
      </c>
      <c r="C138" s="86">
        <v>2.1</v>
      </c>
      <c r="D138" s="86"/>
    </row>
    <row r="139" spans="1:4" x14ac:dyDescent="0.25">
      <c r="A139" s="10">
        <v>39600</v>
      </c>
      <c r="B139" s="86">
        <v>24.1</v>
      </c>
      <c r="C139" s="86">
        <v>66.400000000000006</v>
      </c>
      <c r="D139" s="86"/>
    </row>
    <row r="140" spans="1:4" x14ac:dyDescent="0.25">
      <c r="A140" s="10">
        <v>39630</v>
      </c>
      <c r="B140" s="86">
        <v>4</v>
      </c>
      <c r="C140" s="86">
        <v>97</v>
      </c>
      <c r="D140" s="86"/>
    </row>
    <row r="141" spans="1:4" x14ac:dyDescent="0.25">
      <c r="A141" s="10">
        <v>39661</v>
      </c>
      <c r="B141" s="86">
        <v>12.4</v>
      </c>
      <c r="C141" s="86">
        <v>53.2</v>
      </c>
      <c r="D141" s="86"/>
    </row>
    <row r="142" spans="1:4" x14ac:dyDescent="0.25">
      <c r="A142" s="10">
        <v>39692</v>
      </c>
      <c r="B142" s="86">
        <v>56.7</v>
      </c>
      <c r="C142" s="86">
        <v>21.4</v>
      </c>
      <c r="D142" s="86"/>
    </row>
    <row r="143" spans="1:4" x14ac:dyDescent="0.25">
      <c r="A143" s="10">
        <v>39722</v>
      </c>
      <c r="B143" s="86">
        <v>286.8</v>
      </c>
      <c r="C143" s="86">
        <v>0</v>
      </c>
      <c r="D143" s="86"/>
    </row>
    <row r="144" spans="1:4" x14ac:dyDescent="0.25">
      <c r="A144" s="10">
        <v>39753</v>
      </c>
      <c r="B144" s="86">
        <v>468.3</v>
      </c>
      <c r="C144" s="86">
        <v>0</v>
      </c>
      <c r="D144" s="86"/>
    </row>
    <row r="145" spans="1:4" x14ac:dyDescent="0.25">
      <c r="A145" s="10">
        <v>39783</v>
      </c>
      <c r="B145" s="86">
        <v>671</v>
      </c>
      <c r="C145" s="86">
        <v>0</v>
      </c>
      <c r="D145" s="86"/>
    </row>
    <row r="146" spans="1:4" x14ac:dyDescent="0.25">
      <c r="A146" s="10">
        <v>39814</v>
      </c>
      <c r="B146" s="86">
        <v>849.6</v>
      </c>
      <c r="C146" s="86">
        <v>0</v>
      </c>
      <c r="D146" s="86"/>
    </row>
    <row r="147" spans="1:4" x14ac:dyDescent="0.25">
      <c r="A147" s="10">
        <v>39845</v>
      </c>
      <c r="B147" s="86">
        <v>612.70000000000005</v>
      </c>
      <c r="C147" s="86">
        <v>0</v>
      </c>
      <c r="D147" s="86"/>
    </row>
    <row r="148" spans="1:4" x14ac:dyDescent="0.25">
      <c r="A148" s="10">
        <v>39873</v>
      </c>
      <c r="B148" s="86">
        <v>533.29999999999995</v>
      </c>
      <c r="C148" s="86">
        <v>0</v>
      </c>
      <c r="D148" s="86"/>
    </row>
    <row r="149" spans="1:4" x14ac:dyDescent="0.25">
      <c r="A149" s="10">
        <v>39904</v>
      </c>
      <c r="B149" s="86">
        <v>307</v>
      </c>
      <c r="C149" s="86">
        <v>3.2</v>
      </c>
      <c r="D149" s="86"/>
    </row>
    <row r="150" spans="1:4" x14ac:dyDescent="0.25">
      <c r="A150" s="10">
        <v>39934</v>
      </c>
      <c r="B150" s="86">
        <v>156.9</v>
      </c>
      <c r="C150" s="86">
        <v>3.1</v>
      </c>
      <c r="D150" s="86"/>
    </row>
    <row r="151" spans="1:4" x14ac:dyDescent="0.25">
      <c r="A151" s="10">
        <v>39965</v>
      </c>
      <c r="B151" s="86">
        <v>49.7</v>
      </c>
      <c r="C151" s="86">
        <v>35.5</v>
      </c>
      <c r="D151" s="86"/>
    </row>
    <row r="152" spans="1:4" x14ac:dyDescent="0.25">
      <c r="A152" s="10">
        <v>39995</v>
      </c>
      <c r="B152" s="86">
        <v>20.2</v>
      </c>
      <c r="C152" s="86">
        <v>29.4</v>
      </c>
      <c r="D152" s="86"/>
    </row>
    <row r="153" spans="1:4" x14ac:dyDescent="0.25">
      <c r="A153" s="10">
        <v>40026</v>
      </c>
      <c r="B153" s="86">
        <v>17.899999999999999</v>
      </c>
      <c r="C153" s="86">
        <v>71.900000000000006</v>
      </c>
      <c r="D153" s="86"/>
    </row>
    <row r="154" spans="1:4" x14ac:dyDescent="0.25">
      <c r="A154" s="10">
        <v>40057</v>
      </c>
      <c r="B154" s="86">
        <v>71.2</v>
      </c>
      <c r="C154" s="86">
        <v>15.9</v>
      </c>
      <c r="D154" s="86"/>
    </row>
    <row r="155" spans="1:4" x14ac:dyDescent="0.25">
      <c r="A155" s="10">
        <v>40087</v>
      </c>
      <c r="B155" s="86">
        <v>301.2</v>
      </c>
      <c r="C155" s="86">
        <v>0</v>
      </c>
      <c r="D155" s="86"/>
    </row>
    <row r="156" spans="1:4" x14ac:dyDescent="0.25">
      <c r="A156" s="10">
        <v>40118</v>
      </c>
      <c r="B156" s="86">
        <v>356.7</v>
      </c>
      <c r="C156" s="86">
        <v>0</v>
      </c>
      <c r="D156" s="86"/>
    </row>
    <row r="157" spans="1:4" x14ac:dyDescent="0.25">
      <c r="A157" s="10">
        <v>40148</v>
      </c>
      <c r="B157" s="86">
        <v>637.29999999999995</v>
      </c>
      <c r="C157" s="86">
        <v>0</v>
      </c>
      <c r="D157" s="86"/>
    </row>
    <row r="158" spans="1:4" x14ac:dyDescent="0.25">
      <c r="A158" s="10">
        <v>40179</v>
      </c>
      <c r="B158" s="86">
        <v>733.1</v>
      </c>
      <c r="C158" s="86">
        <v>0</v>
      </c>
      <c r="D158" s="86"/>
    </row>
    <row r="159" spans="1:4" x14ac:dyDescent="0.25">
      <c r="A159" s="10">
        <v>40210</v>
      </c>
      <c r="B159" s="86">
        <v>633.4</v>
      </c>
      <c r="C159" s="86">
        <v>0</v>
      </c>
      <c r="D159" s="86"/>
    </row>
    <row r="160" spans="1:4" x14ac:dyDescent="0.25">
      <c r="A160" s="10">
        <v>40238</v>
      </c>
      <c r="B160" s="86">
        <v>450.2</v>
      </c>
      <c r="C160" s="86">
        <v>0</v>
      </c>
      <c r="D160" s="86"/>
    </row>
    <row r="161" spans="1:4" x14ac:dyDescent="0.25">
      <c r="A161" s="10">
        <v>40269</v>
      </c>
      <c r="B161" s="86">
        <v>236.4</v>
      </c>
      <c r="C161" s="86">
        <v>0</v>
      </c>
      <c r="D161" s="86"/>
    </row>
    <row r="162" spans="1:4" x14ac:dyDescent="0.25">
      <c r="A162" s="10">
        <v>40299</v>
      </c>
      <c r="B162" s="86">
        <v>121.1</v>
      </c>
      <c r="C162" s="86">
        <v>34.9</v>
      </c>
      <c r="D162" s="86"/>
    </row>
    <row r="163" spans="1:4" x14ac:dyDescent="0.25">
      <c r="A163" s="10">
        <v>40330</v>
      </c>
      <c r="B163" s="86">
        <v>23.6</v>
      </c>
      <c r="C163" s="86">
        <v>57.5</v>
      </c>
      <c r="D163" s="86"/>
    </row>
    <row r="164" spans="1:4" x14ac:dyDescent="0.25">
      <c r="A164" s="10">
        <v>40360</v>
      </c>
      <c r="B164" s="86">
        <v>5.6</v>
      </c>
      <c r="C164" s="86">
        <v>129.69999999999999</v>
      </c>
      <c r="D164" s="86"/>
    </row>
    <row r="165" spans="1:4" x14ac:dyDescent="0.25">
      <c r="A165" s="10">
        <v>40391</v>
      </c>
      <c r="B165" s="86">
        <v>6</v>
      </c>
      <c r="C165" s="86">
        <v>121.7</v>
      </c>
      <c r="D165" s="86"/>
    </row>
    <row r="166" spans="1:4" x14ac:dyDescent="0.25">
      <c r="A166" s="10">
        <v>40422</v>
      </c>
      <c r="B166" s="86">
        <v>87.9</v>
      </c>
      <c r="C166" s="86">
        <v>24.1</v>
      </c>
      <c r="D166" s="86"/>
    </row>
    <row r="167" spans="1:4" x14ac:dyDescent="0.25">
      <c r="A167" s="10">
        <v>40452</v>
      </c>
      <c r="B167" s="86">
        <v>239.5</v>
      </c>
      <c r="C167" s="86">
        <v>0</v>
      </c>
      <c r="D167" s="86"/>
    </row>
    <row r="168" spans="1:4" x14ac:dyDescent="0.25">
      <c r="A168" s="10">
        <v>40483</v>
      </c>
      <c r="B168" s="86">
        <v>413.6</v>
      </c>
      <c r="C168" s="86">
        <v>0</v>
      </c>
      <c r="D168" s="86"/>
    </row>
    <row r="169" spans="1:4" x14ac:dyDescent="0.25">
      <c r="A169" s="10">
        <v>40513</v>
      </c>
      <c r="B169" s="86">
        <v>713.5</v>
      </c>
      <c r="C169" s="86">
        <v>0</v>
      </c>
      <c r="D169" s="86"/>
    </row>
    <row r="170" spans="1:4" x14ac:dyDescent="0.25">
      <c r="A170" s="10">
        <v>40544</v>
      </c>
      <c r="B170" s="86">
        <v>798.8</v>
      </c>
      <c r="C170" s="86">
        <v>0</v>
      </c>
      <c r="D170" s="86"/>
    </row>
    <row r="171" spans="1:4" x14ac:dyDescent="0.25">
      <c r="A171" s="10">
        <v>40575</v>
      </c>
      <c r="B171" s="86">
        <v>677.8</v>
      </c>
      <c r="C171" s="86">
        <v>0</v>
      </c>
      <c r="D171" s="86"/>
    </row>
    <row r="172" spans="1:4" x14ac:dyDescent="0.25">
      <c r="A172" s="10">
        <v>40603</v>
      </c>
      <c r="B172" s="86">
        <v>599.6</v>
      </c>
      <c r="C172" s="86">
        <v>0</v>
      </c>
      <c r="D172" s="86"/>
    </row>
    <row r="173" spans="1:4" x14ac:dyDescent="0.25">
      <c r="A173" s="10">
        <v>40634</v>
      </c>
      <c r="B173" s="86">
        <v>330.4</v>
      </c>
      <c r="C173" s="86">
        <v>0</v>
      </c>
      <c r="D173" s="86"/>
    </row>
    <row r="174" spans="1:4" x14ac:dyDescent="0.25">
      <c r="A174" s="10">
        <v>40664</v>
      </c>
      <c r="B174" s="86">
        <v>126.4</v>
      </c>
      <c r="C174" s="86">
        <v>17.399999999999999</v>
      </c>
      <c r="D174" s="86"/>
    </row>
    <row r="175" spans="1:4" x14ac:dyDescent="0.25">
      <c r="A175" s="10">
        <v>40695</v>
      </c>
      <c r="B175" s="86">
        <v>27</v>
      </c>
      <c r="C175" s="86">
        <v>39.6</v>
      </c>
      <c r="D175" s="86"/>
    </row>
    <row r="176" spans="1:4" x14ac:dyDescent="0.25">
      <c r="A176" s="10">
        <v>40725</v>
      </c>
      <c r="B176" s="86">
        <v>0</v>
      </c>
      <c r="C176" s="86">
        <v>160.9</v>
      </c>
      <c r="D176" s="86"/>
    </row>
    <row r="177" spans="1:4" x14ac:dyDescent="0.25">
      <c r="A177" s="10">
        <v>40756</v>
      </c>
      <c r="B177" s="86">
        <v>1.5</v>
      </c>
      <c r="C177" s="86">
        <v>82.9</v>
      </c>
      <c r="D177" s="86"/>
    </row>
    <row r="178" spans="1:4" x14ac:dyDescent="0.25">
      <c r="A178" s="10">
        <v>40787</v>
      </c>
      <c r="B178" s="86">
        <v>71.900000000000006</v>
      </c>
      <c r="C178" s="86">
        <v>29</v>
      </c>
      <c r="D178" s="86"/>
    </row>
    <row r="179" spans="1:4" x14ac:dyDescent="0.25">
      <c r="A179" s="10">
        <v>40817</v>
      </c>
      <c r="B179" s="86">
        <v>234.6</v>
      </c>
      <c r="C179" s="86">
        <v>0</v>
      </c>
      <c r="D179" s="86" t="s">
        <v>151</v>
      </c>
    </row>
    <row r="180" spans="1:4" x14ac:dyDescent="0.25">
      <c r="A180" s="10">
        <v>40848</v>
      </c>
      <c r="B180" s="86">
        <v>347.9</v>
      </c>
      <c r="C180" s="86">
        <v>0</v>
      </c>
      <c r="D180" s="86"/>
    </row>
    <row r="181" spans="1:4" x14ac:dyDescent="0.25">
      <c r="A181" s="10">
        <v>40878</v>
      </c>
      <c r="B181" s="86">
        <v>548.4</v>
      </c>
      <c r="C181" s="86">
        <v>0</v>
      </c>
      <c r="D181" s="86"/>
    </row>
    <row r="182" spans="1:4" x14ac:dyDescent="0.25">
      <c r="A182" s="10">
        <v>40909</v>
      </c>
      <c r="B182" s="86">
        <v>644.79999999999995</v>
      </c>
      <c r="C182" s="86">
        <v>0</v>
      </c>
      <c r="D182" s="86"/>
    </row>
    <row r="183" spans="1:4" x14ac:dyDescent="0.25">
      <c r="A183" s="10">
        <v>40940</v>
      </c>
      <c r="B183" s="86">
        <v>553</v>
      </c>
      <c r="C183" s="86">
        <v>0</v>
      </c>
      <c r="D183" s="86"/>
    </row>
    <row r="184" spans="1:4" x14ac:dyDescent="0.25">
      <c r="A184" s="10">
        <v>40969</v>
      </c>
      <c r="B184" s="86">
        <v>331.1</v>
      </c>
      <c r="C184" s="86">
        <v>2.2000000000000002</v>
      </c>
      <c r="D184" s="86"/>
    </row>
    <row r="185" spans="1:4" x14ac:dyDescent="0.25">
      <c r="A185" s="10">
        <v>41000</v>
      </c>
      <c r="B185" s="86">
        <v>334.6</v>
      </c>
      <c r="C185" s="86">
        <v>0</v>
      </c>
      <c r="D185" s="86"/>
    </row>
    <row r="186" spans="1:4" x14ac:dyDescent="0.25">
      <c r="A186" s="10">
        <v>41030</v>
      </c>
      <c r="B186" s="86">
        <v>87.2</v>
      </c>
      <c r="C186" s="86">
        <v>28.5</v>
      </c>
      <c r="D186" s="86"/>
    </row>
    <row r="187" spans="1:4" x14ac:dyDescent="0.25">
      <c r="A187" s="10">
        <v>41061</v>
      </c>
      <c r="B187" s="86">
        <v>28.2</v>
      </c>
      <c r="C187" s="86">
        <v>81.7</v>
      </c>
      <c r="D187" s="86"/>
    </row>
    <row r="188" spans="1:4" x14ac:dyDescent="0.25">
      <c r="A188" s="10">
        <v>41091</v>
      </c>
      <c r="B188" s="86">
        <v>0</v>
      </c>
      <c r="C188" s="86">
        <v>161</v>
      </c>
      <c r="D188" s="86"/>
    </row>
    <row r="189" spans="1:4" x14ac:dyDescent="0.25">
      <c r="A189" s="10">
        <v>41122</v>
      </c>
      <c r="B189" s="86">
        <v>7.8</v>
      </c>
      <c r="C189" s="86">
        <v>79.599999999999994</v>
      </c>
      <c r="D189" s="86"/>
    </row>
    <row r="190" spans="1:4" x14ac:dyDescent="0.25">
      <c r="A190" s="10">
        <v>41153</v>
      </c>
      <c r="B190" s="86">
        <v>103.4</v>
      </c>
      <c r="C190" s="86">
        <v>27.7</v>
      </c>
      <c r="D190" s="86"/>
    </row>
    <row r="191" spans="1:4" x14ac:dyDescent="0.25">
      <c r="A191" s="10">
        <v>41183</v>
      </c>
      <c r="B191" s="86">
        <v>250.5</v>
      </c>
      <c r="C191" s="86">
        <v>0.7</v>
      </c>
      <c r="D191" s="86"/>
    </row>
    <row r="192" spans="1:4" x14ac:dyDescent="0.25">
      <c r="A192" s="10">
        <v>41214</v>
      </c>
      <c r="B192" s="86">
        <f>420.4+18.6+19.5</f>
        <v>458.5</v>
      </c>
      <c r="C192" s="86">
        <v>0</v>
      </c>
      <c r="D192" s="86">
        <v>2</v>
      </c>
    </row>
    <row r="193" spans="1:4" x14ac:dyDescent="0.25">
      <c r="A193" s="10">
        <v>41244</v>
      </c>
      <c r="B193" s="86">
        <v>535.9</v>
      </c>
      <c r="C193" s="86">
        <v>0</v>
      </c>
      <c r="D193" s="86"/>
    </row>
    <row r="194" spans="1:4" x14ac:dyDescent="0.25">
      <c r="A194" s="10">
        <v>41275</v>
      </c>
      <c r="B194" s="86">
        <v>657.4</v>
      </c>
      <c r="C194" s="86">
        <v>0</v>
      </c>
      <c r="D194" s="86"/>
    </row>
    <row r="195" spans="1:4" x14ac:dyDescent="0.25">
      <c r="A195" s="10">
        <v>41306</v>
      </c>
      <c r="B195" s="86">
        <v>657</v>
      </c>
      <c r="C195" s="86">
        <v>0</v>
      </c>
      <c r="D195" s="86"/>
    </row>
    <row r="196" spans="1:4" x14ac:dyDescent="0.25">
      <c r="A196" s="10">
        <v>41334</v>
      </c>
      <c r="B196" s="86">
        <v>581.9</v>
      </c>
      <c r="C196" s="86">
        <v>0</v>
      </c>
      <c r="D196" s="86"/>
    </row>
    <row r="197" spans="1:4" x14ac:dyDescent="0.25">
      <c r="A197" s="10">
        <v>41365</v>
      </c>
      <c r="B197" s="86">
        <v>362.2</v>
      </c>
      <c r="C197" s="86">
        <v>0</v>
      </c>
      <c r="D197" s="86"/>
    </row>
    <row r="198" spans="1:4" x14ac:dyDescent="0.25">
      <c r="A198" s="10">
        <v>41395</v>
      </c>
      <c r="B198" s="86">
        <v>122.2</v>
      </c>
      <c r="C198" s="86">
        <v>27</v>
      </c>
      <c r="D198" s="86"/>
    </row>
    <row r="199" spans="1:4" x14ac:dyDescent="0.25">
      <c r="A199" s="10">
        <v>41426</v>
      </c>
      <c r="B199" s="86">
        <v>41.1</v>
      </c>
      <c r="C199" s="86">
        <f>52.7+4.1</f>
        <v>56.800000000000004</v>
      </c>
      <c r="D199" s="86">
        <v>1</v>
      </c>
    </row>
    <row r="200" spans="1:4" x14ac:dyDescent="0.25">
      <c r="A200" s="10">
        <v>41456</v>
      </c>
      <c r="B200" s="86">
        <v>7.1</v>
      </c>
      <c r="C200" s="86">
        <v>108.8</v>
      </c>
      <c r="D200" s="86"/>
    </row>
    <row r="201" spans="1:4" x14ac:dyDescent="0.25">
      <c r="A201" s="10">
        <v>41487</v>
      </c>
      <c r="B201" s="86">
        <v>18.399999999999999</v>
      </c>
      <c r="C201" s="86">
        <v>57.5</v>
      </c>
      <c r="D201" s="86"/>
    </row>
    <row r="202" spans="1:4" x14ac:dyDescent="0.25">
      <c r="A202" s="10">
        <v>41518</v>
      </c>
      <c r="B202" s="86">
        <v>94.9</v>
      </c>
      <c r="C202" s="86">
        <v>26</v>
      </c>
      <c r="D202" s="86"/>
    </row>
    <row r="203" spans="1:4" x14ac:dyDescent="0.25">
      <c r="A203" s="10">
        <v>41548</v>
      </c>
      <c r="B203" s="86">
        <f>184+14.1+13.5+15</f>
        <v>226.6</v>
      </c>
      <c r="C203" s="86">
        <v>2.6</v>
      </c>
      <c r="D203" s="86">
        <v>3</v>
      </c>
    </row>
    <row r="204" spans="1:4" x14ac:dyDescent="0.25">
      <c r="A204" s="10">
        <v>41579</v>
      </c>
      <c r="B204" s="86">
        <v>492.1</v>
      </c>
      <c r="C204" s="86">
        <v>0</v>
      </c>
      <c r="D204" s="86"/>
    </row>
    <row r="205" spans="1:4" x14ac:dyDescent="0.25">
      <c r="A205" s="10">
        <v>41609</v>
      </c>
      <c r="B205" s="86">
        <f>675.7+12</f>
        <v>687.7</v>
      </c>
      <c r="C205" s="86">
        <v>0</v>
      </c>
      <c r="D205" s="86">
        <v>1</v>
      </c>
    </row>
    <row r="206" spans="1:4" x14ac:dyDescent="0.25">
      <c r="A206" s="10">
        <v>41640</v>
      </c>
      <c r="B206" s="86">
        <v>810.4</v>
      </c>
      <c r="C206" s="86">
        <v>0</v>
      </c>
      <c r="D206" s="86"/>
    </row>
    <row r="207" spans="1:4" x14ac:dyDescent="0.25">
      <c r="A207" s="10">
        <v>41671</v>
      </c>
      <c r="B207" s="86">
        <v>730</v>
      </c>
      <c r="C207" s="86">
        <v>0</v>
      </c>
      <c r="D207" s="86"/>
    </row>
    <row r="208" spans="1:4" x14ac:dyDescent="0.25">
      <c r="A208" s="10">
        <v>41699</v>
      </c>
      <c r="B208" s="86">
        <v>696.3</v>
      </c>
      <c r="C208" s="86">
        <v>0</v>
      </c>
      <c r="D208" s="86"/>
    </row>
    <row r="209" spans="1:4" x14ac:dyDescent="0.25">
      <c r="A209" s="10">
        <v>41730</v>
      </c>
      <c r="B209" s="86">
        <f>339.3+14.5</f>
        <v>353.8</v>
      </c>
      <c r="C209" s="86">
        <v>0</v>
      </c>
      <c r="D209" s="86">
        <v>1</v>
      </c>
    </row>
    <row r="210" spans="1:4" x14ac:dyDescent="0.25">
      <c r="A210" s="10">
        <v>41760</v>
      </c>
      <c r="B210" s="86">
        <v>142.5</v>
      </c>
      <c r="C210" s="86">
        <v>12.2</v>
      </c>
      <c r="D210" s="86"/>
    </row>
    <row r="211" spans="1:4" x14ac:dyDescent="0.25">
      <c r="A211" s="10">
        <v>41791</v>
      </c>
      <c r="B211" s="86">
        <v>19.7</v>
      </c>
      <c r="C211" s="86">
        <v>71.900000000000006</v>
      </c>
      <c r="D211" s="86"/>
    </row>
    <row r="212" spans="1:4" x14ac:dyDescent="0.25">
      <c r="A212" s="10">
        <v>41821</v>
      </c>
      <c r="B212" s="86">
        <v>21.5</v>
      </c>
      <c r="C212" s="86">
        <v>47.6</v>
      </c>
      <c r="D212" s="86"/>
    </row>
    <row r="213" spans="1:4" x14ac:dyDescent="0.25">
      <c r="A213" s="10">
        <v>41852</v>
      </c>
      <c r="B213" s="86">
        <v>14.5</v>
      </c>
      <c r="C213" s="86">
        <v>53.4</v>
      </c>
      <c r="D213" s="86"/>
    </row>
    <row r="214" spans="1:4" x14ac:dyDescent="0.25">
      <c r="A214" s="10">
        <v>41883</v>
      </c>
      <c r="B214" s="86">
        <f>64.7+21.5</f>
        <v>86.2</v>
      </c>
      <c r="C214" s="86">
        <v>17.600000000000001</v>
      </c>
      <c r="D214" s="86">
        <v>7</v>
      </c>
    </row>
    <row r="215" spans="1:4" x14ac:dyDescent="0.25">
      <c r="A215" s="10">
        <v>41913</v>
      </c>
      <c r="B215" s="86">
        <f>237.4+9.7</f>
        <v>247.1</v>
      </c>
      <c r="C215" s="86">
        <v>0</v>
      </c>
      <c r="D215" s="86">
        <v>1</v>
      </c>
    </row>
    <row r="216" spans="1:4" x14ac:dyDescent="0.25">
      <c r="A216" s="10">
        <v>41944</v>
      </c>
      <c r="B216" s="86">
        <v>503.7</v>
      </c>
      <c r="C216" s="86">
        <v>0</v>
      </c>
      <c r="D216" s="86"/>
    </row>
    <row r="217" spans="1:4" x14ac:dyDescent="0.25">
      <c r="A217" s="10">
        <v>41974</v>
      </c>
      <c r="B217" s="86">
        <f>549.9+17.6</f>
        <v>567.5</v>
      </c>
      <c r="C217" s="86">
        <v>0</v>
      </c>
      <c r="D217" s="86">
        <v>1</v>
      </c>
    </row>
    <row r="218" spans="1:4" x14ac:dyDescent="0.25">
      <c r="A218" s="10">
        <v>42005</v>
      </c>
      <c r="B218" s="86">
        <f>786.2+26.7</f>
        <v>812.90000000000009</v>
      </c>
      <c r="C218" s="86">
        <v>0</v>
      </c>
      <c r="D218" s="86">
        <v>1</v>
      </c>
    </row>
    <row r="219" spans="1:4" x14ac:dyDescent="0.25">
      <c r="A219" s="10">
        <v>42036</v>
      </c>
      <c r="B219" s="86">
        <v>871.4</v>
      </c>
      <c r="C219" s="86">
        <v>0</v>
      </c>
      <c r="D219" s="86"/>
    </row>
    <row r="220" spans="1:4" x14ac:dyDescent="0.25">
      <c r="A220" s="10">
        <v>42064</v>
      </c>
      <c r="B220" s="86">
        <v>640.1</v>
      </c>
      <c r="C220" s="86">
        <v>0</v>
      </c>
      <c r="D220" s="86"/>
    </row>
    <row r="221" spans="1:4" x14ac:dyDescent="0.25">
      <c r="A221" s="10">
        <v>42095</v>
      </c>
      <c r="B221" s="86">
        <f>329.7+6.9</f>
        <v>336.59999999999997</v>
      </c>
      <c r="C221" s="86">
        <v>0</v>
      </c>
      <c r="D221" s="86">
        <v>1</v>
      </c>
    </row>
    <row r="222" spans="1:4" x14ac:dyDescent="0.25">
      <c r="A222" s="10">
        <v>42125</v>
      </c>
      <c r="B222" s="86">
        <v>104.7</v>
      </c>
      <c r="C222" s="86">
        <v>34.9</v>
      </c>
      <c r="D222" s="86"/>
    </row>
    <row r="223" spans="1:4" x14ac:dyDescent="0.25">
      <c r="A223" s="10">
        <v>42156</v>
      </c>
      <c r="B223" s="86">
        <v>29.7</v>
      </c>
      <c r="C223" s="86">
        <v>30.4</v>
      </c>
      <c r="D223" s="86"/>
    </row>
    <row r="224" spans="1:4" x14ac:dyDescent="0.25">
      <c r="A224" s="10">
        <v>42186</v>
      </c>
      <c r="B224" s="86">
        <v>7</v>
      </c>
      <c r="C224" s="86">
        <v>76.400000000000006</v>
      </c>
      <c r="D224" s="86"/>
    </row>
    <row r="225" spans="1:4" x14ac:dyDescent="0.25">
      <c r="A225" s="10">
        <v>42217</v>
      </c>
      <c r="B225" s="86">
        <v>14</v>
      </c>
      <c r="C225" s="86">
        <v>61.6</v>
      </c>
      <c r="D225" s="86"/>
    </row>
    <row r="226" spans="1:4" x14ac:dyDescent="0.25">
      <c r="A226" s="10">
        <v>42248</v>
      </c>
      <c r="B226" s="86">
        <v>34.6</v>
      </c>
      <c r="C226" s="86">
        <v>54.2</v>
      </c>
      <c r="D226" s="86"/>
    </row>
    <row r="227" spans="1:4" x14ac:dyDescent="0.25">
      <c r="A227" s="10">
        <v>42278</v>
      </c>
      <c r="B227" s="86">
        <f>249.4+5.5</f>
        <v>254.9</v>
      </c>
      <c r="C227" s="86">
        <v>0</v>
      </c>
      <c r="D227" s="86">
        <v>1</v>
      </c>
    </row>
    <row r="228" spans="1:4" x14ac:dyDescent="0.25">
      <c r="A228" s="10">
        <v>42309</v>
      </c>
      <c r="B228" s="86">
        <f>334.9+14.9</f>
        <v>349.79999999999995</v>
      </c>
      <c r="C228" s="86">
        <v>0</v>
      </c>
      <c r="D228" s="86">
        <v>1</v>
      </c>
    </row>
    <row r="229" spans="1:4" x14ac:dyDescent="0.25">
      <c r="A229" s="10">
        <v>42339</v>
      </c>
      <c r="B229" s="86">
        <f>426.5+12.5+8.8</f>
        <v>447.8</v>
      </c>
      <c r="C229" s="86">
        <v>0</v>
      </c>
      <c r="D229" s="86">
        <v>2</v>
      </c>
    </row>
    <row r="230" spans="1:4" x14ac:dyDescent="0.25">
      <c r="A230" s="10">
        <v>42370</v>
      </c>
      <c r="B230" s="86">
        <f>649.9+18.6+25.4</f>
        <v>693.9</v>
      </c>
      <c r="C230" s="86">
        <v>0</v>
      </c>
      <c r="D230" s="86">
        <v>2</v>
      </c>
    </row>
    <row r="231" spans="1:4" x14ac:dyDescent="0.25">
      <c r="A231" s="10">
        <v>42401</v>
      </c>
      <c r="B231" s="86">
        <v>599.1</v>
      </c>
      <c r="C231" s="86">
        <v>0</v>
      </c>
      <c r="D231" s="86"/>
    </row>
    <row r="232" spans="1:4" x14ac:dyDescent="0.25">
      <c r="A232" s="10">
        <v>42430</v>
      </c>
      <c r="B232" s="86">
        <f>434.3+26.6</f>
        <v>460.90000000000003</v>
      </c>
      <c r="C232" s="86">
        <v>0</v>
      </c>
      <c r="D232" s="86">
        <v>1</v>
      </c>
    </row>
    <row r="233" spans="1:4" x14ac:dyDescent="0.25">
      <c r="A233" s="10">
        <v>42461</v>
      </c>
      <c r="B233" s="86">
        <f>336.7+22.4+10.9+14</f>
        <v>383.99999999999994</v>
      </c>
      <c r="C233" s="86">
        <v>0</v>
      </c>
      <c r="D233" s="86">
        <v>3</v>
      </c>
    </row>
    <row r="234" spans="1:4" x14ac:dyDescent="0.25">
      <c r="A234" s="10">
        <v>42491</v>
      </c>
      <c r="B234" s="86">
        <f>143.1</f>
        <v>143.1</v>
      </c>
      <c r="C234" s="86">
        <v>26.1</v>
      </c>
      <c r="D234" s="86"/>
    </row>
    <row r="235" spans="1:4" x14ac:dyDescent="0.25">
      <c r="A235" s="10">
        <v>42522</v>
      </c>
      <c r="B235" s="86">
        <v>38</v>
      </c>
      <c r="C235" s="86">
        <f>49.4+1.9</f>
        <v>51.3</v>
      </c>
      <c r="D235" s="86">
        <v>1</v>
      </c>
    </row>
    <row r="236" spans="1:4" x14ac:dyDescent="0.25">
      <c r="A236" s="10">
        <v>42552</v>
      </c>
      <c r="B236" s="86">
        <v>1.8</v>
      </c>
      <c r="C236" s="86">
        <f>114.4+3</f>
        <v>117.4</v>
      </c>
      <c r="D236" s="86">
        <v>1</v>
      </c>
    </row>
    <row r="237" spans="1:4" x14ac:dyDescent="0.25">
      <c r="A237" s="10">
        <v>42583</v>
      </c>
      <c r="B237" s="86">
        <v>0.3</v>
      </c>
      <c r="C237" s="86">
        <f>127.9+3.1</f>
        <v>131</v>
      </c>
      <c r="D237" s="86">
        <v>1</v>
      </c>
    </row>
    <row r="238" spans="1:4" x14ac:dyDescent="0.25">
      <c r="A238" s="10">
        <v>42614</v>
      </c>
      <c r="B238" s="86">
        <f>36.8+1.2</f>
        <v>38</v>
      </c>
      <c r="C238" s="86">
        <v>43.4</v>
      </c>
      <c r="D238" s="86">
        <v>1</v>
      </c>
    </row>
    <row r="239" spans="1:4" x14ac:dyDescent="0.25">
      <c r="A239" s="10">
        <v>42644</v>
      </c>
      <c r="B239" s="86">
        <f>219+1.4</f>
        <v>220.4</v>
      </c>
      <c r="C239" s="86">
        <f>3.5+0.4</f>
        <v>3.9</v>
      </c>
      <c r="D239" s="86">
        <v>2</v>
      </c>
    </row>
    <row r="240" spans="1:4" x14ac:dyDescent="0.25">
      <c r="A240" s="10">
        <v>42675</v>
      </c>
      <c r="B240" s="86">
        <v>355.9</v>
      </c>
      <c r="C240" s="86">
        <v>0</v>
      </c>
      <c r="D240" s="86"/>
    </row>
    <row r="241" spans="1:4" x14ac:dyDescent="0.25">
      <c r="A241" s="10">
        <v>42705</v>
      </c>
      <c r="B241" s="86">
        <v>639.5</v>
      </c>
      <c r="C241" s="86">
        <v>0</v>
      </c>
      <c r="D241" s="86"/>
    </row>
    <row r="242" spans="1:4" x14ac:dyDescent="0.25">
      <c r="A242" s="10">
        <v>42005</v>
      </c>
      <c r="B242" s="4">
        <f>786.2+26.7</f>
        <v>812.90000000000009</v>
      </c>
      <c r="C242" s="85">
        <v>0</v>
      </c>
      <c r="D242" s="4">
        <v>1</v>
      </c>
    </row>
    <row r="243" spans="1:4" x14ac:dyDescent="0.25">
      <c r="A243" s="10">
        <v>42036</v>
      </c>
      <c r="B243" s="4">
        <v>871.4</v>
      </c>
      <c r="C243" s="85">
        <v>0</v>
      </c>
    </row>
    <row r="244" spans="1:4" x14ac:dyDescent="0.25">
      <c r="A244" s="10">
        <v>42064</v>
      </c>
      <c r="B244" s="4">
        <v>640.1</v>
      </c>
      <c r="C244" s="85">
        <v>0</v>
      </c>
    </row>
    <row r="245" spans="1:4" x14ac:dyDescent="0.25">
      <c r="A245" s="10">
        <v>42095</v>
      </c>
      <c r="B245" s="4">
        <f>329.7+6.9</f>
        <v>336.59999999999997</v>
      </c>
      <c r="C245" s="85">
        <v>0</v>
      </c>
      <c r="D245" s="4">
        <v>1</v>
      </c>
    </row>
    <row r="246" spans="1:4" x14ac:dyDescent="0.25">
      <c r="A246" s="10">
        <v>42125</v>
      </c>
      <c r="B246" s="4">
        <v>104.7</v>
      </c>
      <c r="C246" s="4">
        <v>34.9</v>
      </c>
    </row>
    <row r="247" spans="1:4" x14ac:dyDescent="0.25">
      <c r="A247" s="10">
        <v>42156</v>
      </c>
      <c r="B247" s="4">
        <v>29.7</v>
      </c>
      <c r="C247" s="4">
        <v>30.4</v>
      </c>
    </row>
    <row r="248" spans="1:4" x14ac:dyDescent="0.25">
      <c r="A248" s="10">
        <v>42186</v>
      </c>
      <c r="B248" s="4">
        <v>7</v>
      </c>
      <c r="C248" s="4">
        <v>76.400000000000006</v>
      </c>
    </row>
    <row r="249" spans="1:4" x14ac:dyDescent="0.25">
      <c r="A249" s="10">
        <v>42217</v>
      </c>
      <c r="B249" s="4">
        <v>14</v>
      </c>
      <c r="C249" s="4">
        <v>61.6</v>
      </c>
    </row>
    <row r="250" spans="1:4" x14ac:dyDescent="0.25">
      <c r="A250" s="10">
        <v>42248</v>
      </c>
      <c r="B250" s="4">
        <v>34.6</v>
      </c>
      <c r="C250" s="4">
        <v>54.2</v>
      </c>
    </row>
    <row r="251" spans="1:4" x14ac:dyDescent="0.25">
      <c r="A251" s="10">
        <v>42278</v>
      </c>
      <c r="B251" s="4">
        <f>249.4+5.5</f>
        <v>254.9</v>
      </c>
      <c r="C251" s="4">
        <v>0</v>
      </c>
      <c r="D251" s="4">
        <v>1</v>
      </c>
    </row>
    <row r="252" spans="1:4" x14ac:dyDescent="0.25">
      <c r="A252" s="10">
        <v>42309</v>
      </c>
      <c r="B252" s="4">
        <f>334.9+14.9</f>
        <v>349.79999999999995</v>
      </c>
      <c r="C252" s="4">
        <v>0</v>
      </c>
      <c r="D252" s="4">
        <v>1</v>
      </c>
    </row>
    <row r="253" spans="1:4" x14ac:dyDescent="0.25">
      <c r="A253" s="10">
        <v>42339</v>
      </c>
      <c r="B253" s="4">
        <f>426.5+12.5+8.8</f>
        <v>447.8</v>
      </c>
      <c r="C253" s="4">
        <v>0</v>
      </c>
      <c r="D253" s="4">
        <v>2</v>
      </c>
    </row>
    <row r="254" spans="1:4" x14ac:dyDescent="0.25">
      <c r="A254" s="10">
        <v>42370</v>
      </c>
      <c r="B254" s="4">
        <f>649.9+18.6+25.4</f>
        <v>693.9</v>
      </c>
      <c r="C254" s="4">
        <v>0</v>
      </c>
      <c r="D254" s="4">
        <v>2</v>
      </c>
    </row>
    <row r="255" spans="1:4" x14ac:dyDescent="0.25">
      <c r="A255" s="10">
        <v>42401</v>
      </c>
      <c r="B255" s="4">
        <v>599.1</v>
      </c>
      <c r="C255" s="4">
        <v>0</v>
      </c>
    </row>
    <row r="256" spans="1:4" x14ac:dyDescent="0.25">
      <c r="A256" s="10">
        <v>42430</v>
      </c>
      <c r="B256" s="4">
        <f>434.3+26.6</f>
        <v>460.90000000000003</v>
      </c>
      <c r="C256" s="4">
        <v>0</v>
      </c>
      <c r="D256" s="4">
        <v>1</v>
      </c>
    </row>
    <row r="257" spans="1:4" x14ac:dyDescent="0.25">
      <c r="A257" s="10">
        <v>42461</v>
      </c>
      <c r="B257" s="4">
        <f>336.7+22.4+10.9+14</f>
        <v>383.99999999999994</v>
      </c>
      <c r="C257" s="4">
        <v>0</v>
      </c>
      <c r="D257" s="4">
        <v>3</v>
      </c>
    </row>
    <row r="258" spans="1:4" x14ac:dyDescent="0.25">
      <c r="A258" s="10">
        <v>42491</v>
      </c>
      <c r="B258" s="4">
        <f>143.1</f>
        <v>143.1</v>
      </c>
      <c r="C258" s="4">
        <v>26.1</v>
      </c>
    </row>
    <row r="259" spans="1:4" x14ac:dyDescent="0.25">
      <c r="A259" s="10">
        <v>42522</v>
      </c>
      <c r="B259" s="4">
        <v>38</v>
      </c>
      <c r="C259" s="4">
        <f>49.4+1.9</f>
        <v>51.3</v>
      </c>
      <c r="D259" s="4">
        <v>1</v>
      </c>
    </row>
    <row r="260" spans="1:4" x14ac:dyDescent="0.25">
      <c r="A260" s="10">
        <v>42552</v>
      </c>
      <c r="B260" s="4">
        <v>1.8</v>
      </c>
      <c r="C260" s="4">
        <f>114.4+3</f>
        <v>117.4</v>
      </c>
      <c r="D260" s="4">
        <v>1</v>
      </c>
    </row>
    <row r="261" spans="1:4" x14ac:dyDescent="0.25">
      <c r="A261" s="10">
        <v>42583</v>
      </c>
      <c r="B261" s="4">
        <v>0.3</v>
      </c>
      <c r="C261" s="4">
        <f>127.9+3.1</f>
        <v>131</v>
      </c>
      <c r="D261" s="4">
        <v>1</v>
      </c>
    </row>
    <row r="262" spans="1:4" x14ac:dyDescent="0.25">
      <c r="A262" s="10">
        <v>42614</v>
      </c>
      <c r="B262" s="4">
        <f>36.8+1.2</f>
        <v>38</v>
      </c>
      <c r="C262" s="4">
        <v>43.4</v>
      </c>
      <c r="D262" s="4">
        <v>1</v>
      </c>
    </row>
    <row r="263" spans="1:4" x14ac:dyDescent="0.25">
      <c r="A263" s="10">
        <v>42644</v>
      </c>
      <c r="B263" s="4">
        <f>219+1.4</f>
        <v>220.4</v>
      </c>
      <c r="C263" s="4">
        <f>3.5+0.4</f>
        <v>3.9</v>
      </c>
      <c r="D263" s="4">
        <v>2</v>
      </c>
    </row>
    <row r="264" spans="1:4" x14ac:dyDescent="0.25">
      <c r="A264" s="10">
        <v>42675</v>
      </c>
      <c r="B264" s="4">
        <v>355.9</v>
      </c>
      <c r="C264" s="4">
        <v>0</v>
      </c>
    </row>
    <row r="265" spans="1:4" x14ac:dyDescent="0.25">
      <c r="A265" s="10">
        <v>42705</v>
      </c>
      <c r="B265" s="4">
        <v>639.5</v>
      </c>
      <c r="C265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C4" sqref="C4"/>
    </sheetView>
  </sheetViews>
  <sheetFormatPr defaultColWidth="9.109375" defaultRowHeight="13.2" x14ac:dyDescent="0.25"/>
  <cols>
    <col min="1" max="1" width="9.109375" style="86"/>
    <col min="2" max="2" width="10.44140625" style="4" customWidth="1"/>
    <col min="3" max="3" width="12" style="4" bestFit="1" customWidth="1"/>
    <col min="4" max="16384" width="9.109375" style="4"/>
  </cols>
  <sheetData>
    <row r="1" spans="1:10" x14ac:dyDescent="0.25">
      <c r="B1" s="15" t="s">
        <v>69</v>
      </c>
      <c r="C1" s="15" t="s">
        <v>131</v>
      </c>
      <c r="E1" s="16"/>
      <c r="F1" s="16"/>
      <c r="G1" s="16"/>
      <c r="H1" s="16"/>
      <c r="I1" s="16"/>
      <c r="J1" s="16"/>
    </row>
    <row r="2" spans="1:10" ht="14.4" x14ac:dyDescent="0.3">
      <c r="A2" s="17">
        <v>39083</v>
      </c>
      <c r="B2" s="5">
        <v>6454.7</v>
      </c>
      <c r="C2" s="5">
        <v>254</v>
      </c>
      <c r="F2" s="17"/>
      <c r="G2" s="17"/>
      <c r="H2" s="17"/>
      <c r="I2" s="17"/>
      <c r="J2" s="17"/>
    </row>
    <row r="3" spans="1:10" ht="14.4" x14ac:dyDescent="0.3">
      <c r="A3" s="17">
        <v>39114</v>
      </c>
      <c r="B3" s="5">
        <v>6435.8</v>
      </c>
      <c r="C3" s="5">
        <v>253.3</v>
      </c>
      <c r="E3" s="16"/>
      <c r="F3" s="18"/>
      <c r="G3" s="18"/>
      <c r="H3" s="18"/>
      <c r="I3" s="18"/>
      <c r="J3" s="18"/>
    </row>
    <row r="4" spans="1:10" ht="14.4" x14ac:dyDescent="0.3">
      <c r="A4" s="17">
        <v>39142</v>
      </c>
      <c r="B4" s="5">
        <v>6409.9</v>
      </c>
      <c r="C4" s="5">
        <v>250.9</v>
      </c>
      <c r="E4" s="16"/>
      <c r="F4" s="18"/>
      <c r="G4" s="18"/>
      <c r="H4" s="18"/>
      <c r="I4" s="18"/>
      <c r="J4" s="18"/>
    </row>
    <row r="5" spans="1:10" ht="14.4" x14ac:dyDescent="0.3">
      <c r="A5" s="17">
        <v>39173</v>
      </c>
      <c r="B5" s="5">
        <v>6427.5</v>
      </c>
      <c r="C5" s="5">
        <v>249.3</v>
      </c>
      <c r="E5" s="16"/>
      <c r="F5" s="18"/>
      <c r="G5" s="18"/>
      <c r="H5" s="18"/>
      <c r="I5" s="18"/>
      <c r="J5" s="18"/>
    </row>
    <row r="6" spans="1:10" ht="14.4" x14ac:dyDescent="0.3">
      <c r="A6" s="17">
        <v>39203</v>
      </c>
      <c r="B6" s="5">
        <v>6484.1</v>
      </c>
      <c r="C6" s="5">
        <v>248.9</v>
      </c>
    </row>
    <row r="7" spans="1:10" ht="14.4" x14ac:dyDescent="0.3">
      <c r="A7" s="17">
        <v>39234</v>
      </c>
      <c r="B7" s="5">
        <v>6557.6</v>
      </c>
      <c r="C7" s="5">
        <v>250.2</v>
      </c>
    </row>
    <row r="8" spans="1:10" ht="14.4" x14ac:dyDescent="0.3">
      <c r="A8" s="17">
        <v>39264</v>
      </c>
      <c r="B8" s="5">
        <v>6623.6</v>
      </c>
      <c r="C8" s="5">
        <v>254.9</v>
      </c>
    </row>
    <row r="9" spans="1:10" ht="14.4" x14ac:dyDescent="0.3">
      <c r="A9" s="17">
        <v>39295</v>
      </c>
      <c r="B9" s="5">
        <v>6646.3</v>
      </c>
      <c r="C9" s="5">
        <v>257.8</v>
      </c>
    </row>
    <row r="10" spans="1:10" ht="14.4" x14ac:dyDescent="0.3">
      <c r="A10" s="17">
        <v>39326</v>
      </c>
      <c r="B10" s="5">
        <v>6618.1</v>
      </c>
      <c r="C10" s="5">
        <v>260.2</v>
      </c>
    </row>
    <row r="11" spans="1:10" ht="14.4" x14ac:dyDescent="0.3">
      <c r="A11" s="17">
        <v>39356</v>
      </c>
      <c r="B11" s="5">
        <v>6613</v>
      </c>
      <c r="C11" s="5">
        <v>259.2</v>
      </c>
    </row>
    <row r="12" spans="1:10" ht="14.4" x14ac:dyDescent="0.3">
      <c r="A12" s="17">
        <v>39387</v>
      </c>
      <c r="B12" s="5">
        <v>6593.3</v>
      </c>
      <c r="C12" s="5">
        <v>255.7</v>
      </c>
    </row>
    <row r="13" spans="1:10" ht="14.4" x14ac:dyDescent="0.3">
      <c r="A13" s="17">
        <v>39417</v>
      </c>
      <c r="B13" s="5">
        <v>6596.3</v>
      </c>
      <c r="C13" s="5">
        <v>251.7</v>
      </c>
    </row>
    <row r="14" spans="1:10" ht="14.4" x14ac:dyDescent="0.3">
      <c r="A14" s="17">
        <v>39448</v>
      </c>
      <c r="B14" s="5">
        <v>6544</v>
      </c>
      <c r="C14" s="5">
        <v>247</v>
      </c>
    </row>
    <row r="15" spans="1:10" ht="14.4" x14ac:dyDescent="0.3">
      <c r="A15" s="17">
        <v>39479</v>
      </c>
      <c r="B15" s="5">
        <v>6522.8</v>
      </c>
      <c r="C15" s="5">
        <v>245.3</v>
      </c>
    </row>
    <row r="16" spans="1:10" ht="14.4" x14ac:dyDescent="0.3">
      <c r="A16" s="17">
        <v>39508</v>
      </c>
      <c r="B16" s="5">
        <v>6505.5</v>
      </c>
      <c r="C16" s="5">
        <v>244.3</v>
      </c>
    </row>
    <row r="17" spans="1:3" ht="14.4" x14ac:dyDescent="0.3">
      <c r="A17" s="17">
        <v>39539</v>
      </c>
      <c r="B17" s="5">
        <v>6535.8</v>
      </c>
      <c r="C17" s="5">
        <v>244.1</v>
      </c>
    </row>
    <row r="18" spans="1:3" ht="14.4" x14ac:dyDescent="0.3">
      <c r="A18" s="17">
        <v>39569</v>
      </c>
      <c r="B18" s="5">
        <v>6590.4</v>
      </c>
      <c r="C18" s="5">
        <v>245.1</v>
      </c>
    </row>
    <row r="19" spans="1:3" ht="14.4" x14ac:dyDescent="0.3">
      <c r="A19" s="17">
        <v>39600</v>
      </c>
      <c r="B19" s="5">
        <v>6658</v>
      </c>
      <c r="C19" s="5">
        <v>248</v>
      </c>
    </row>
    <row r="20" spans="1:3" ht="14.4" x14ac:dyDescent="0.3">
      <c r="A20" s="17">
        <v>39630</v>
      </c>
      <c r="B20" s="5">
        <v>6696.5</v>
      </c>
      <c r="C20" s="5">
        <v>251.1</v>
      </c>
    </row>
    <row r="21" spans="1:3" ht="14.4" x14ac:dyDescent="0.3">
      <c r="A21" s="17">
        <v>39661</v>
      </c>
      <c r="B21" s="5">
        <v>6700.1</v>
      </c>
      <c r="C21" s="5">
        <v>253.3</v>
      </c>
    </row>
    <row r="22" spans="1:3" ht="14.4" x14ac:dyDescent="0.3">
      <c r="A22" s="17">
        <v>39692</v>
      </c>
      <c r="B22" s="5">
        <v>6670.4</v>
      </c>
      <c r="C22" s="5">
        <v>252.7</v>
      </c>
    </row>
    <row r="23" spans="1:3" ht="14.4" x14ac:dyDescent="0.3">
      <c r="A23" s="17">
        <v>39722</v>
      </c>
      <c r="B23" s="5">
        <v>6670.2</v>
      </c>
      <c r="C23" s="5">
        <v>252.3</v>
      </c>
    </row>
    <row r="24" spans="1:3" ht="14.4" x14ac:dyDescent="0.3">
      <c r="A24" s="17">
        <v>39753</v>
      </c>
      <c r="B24" s="5">
        <v>6627.6</v>
      </c>
      <c r="C24" s="5">
        <v>250.5</v>
      </c>
    </row>
    <row r="25" spans="1:3" ht="14.4" x14ac:dyDescent="0.3">
      <c r="A25" s="17">
        <v>39783</v>
      </c>
      <c r="B25" s="5">
        <v>6607.1</v>
      </c>
      <c r="C25" s="5">
        <v>248.2</v>
      </c>
    </row>
    <row r="26" spans="1:3" ht="14.4" x14ac:dyDescent="0.3">
      <c r="A26" s="17">
        <v>39814</v>
      </c>
      <c r="B26" s="5">
        <v>6506.5</v>
      </c>
      <c r="C26" s="5">
        <v>245.8</v>
      </c>
    </row>
    <row r="27" spans="1:3" ht="14.4" x14ac:dyDescent="0.3">
      <c r="A27" s="17">
        <v>39845</v>
      </c>
      <c r="B27" s="5">
        <v>6436.2</v>
      </c>
      <c r="C27" s="5">
        <v>242.2</v>
      </c>
    </row>
    <row r="28" spans="1:3" ht="14.4" x14ac:dyDescent="0.3">
      <c r="A28" s="17">
        <v>39873</v>
      </c>
      <c r="B28" s="5">
        <v>6363.8</v>
      </c>
      <c r="C28" s="5">
        <v>238.1</v>
      </c>
    </row>
    <row r="29" spans="1:3" ht="14.4" x14ac:dyDescent="0.3">
      <c r="A29" s="17">
        <v>39904</v>
      </c>
      <c r="B29" s="5">
        <v>6359.6</v>
      </c>
      <c r="C29" s="5">
        <v>234.6</v>
      </c>
    </row>
    <row r="30" spans="1:3" ht="14.4" x14ac:dyDescent="0.3">
      <c r="A30" s="17">
        <v>39934</v>
      </c>
      <c r="B30" s="5">
        <v>6382.1</v>
      </c>
      <c r="C30" s="5">
        <v>235</v>
      </c>
    </row>
    <row r="31" spans="1:3" ht="14.4" x14ac:dyDescent="0.3">
      <c r="A31" s="17">
        <v>39965</v>
      </c>
      <c r="B31" s="5">
        <v>6429.4</v>
      </c>
      <c r="C31" s="5">
        <v>237.3</v>
      </c>
    </row>
    <row r="32" spans="1:3" ht="14.4" x14ac:dyDescent="0.3">
      <c r="A32" s="17">
        <v>39995</v>
      </c>
      <c r="B32" s="5">
        <v>6467</v>
      </c>
      <c r="C32" s="5">
        <v>238.3</v>
      </c>
    </row>
    <row r="33" spans="1:3" ht="14.4" x14ac:dyDescent="0.3">
      <c r="A33" s="17">
        <v>40026</v>
      </c>
      <c r="B33" s="5">
        <v>6487.6</v>
      </c>
      <c r="C33" s="5">
        <v>236.8</v>
      </c>
    </row>
    <row r="34" spans="1:3" ht="14.4" x14ac:dyDescent="0.3">
      <c r="A34" s="17">
        <v>40057</v>
      </c>
      <c r="B34" s="5">
        <v>6470.2</v>
      </c>
      <c r="C34" s="5">
        <v>235.2</v>
      </c>
    </row>
    <row r="35" spans="1:3" ht="14.4" x14ac:dyDescent="0.3">
      <c r="A35" s="17">
        <v>40087</v>
      </c>
      <c r="B35" s="5">
        <v>6472.1</v>
      </c>
      <c r="C35" s="5">
        <v>237.4</v>
      </c>
    </row>
    <row r="36" spans="1:3" ht="14.4" x14ac:dyDescent="0.3">
      <c r="A36" s="17">
        <v>40118</v>
      </c>
      <c r="B36" s="5">
        <v>6465.6</v>
      </c>
      <c r="C36" s="5">
        <v>241.3</v>
      </c>
    </row>
    <row r="37" spans="1:3" ht="14.4" x14ac:dyDescent="0.3">
      <c r="A37" s="17">
        <v>40148</v>
      </c>
      <c r="B37" s="5">
        <v>6467.5</v>
      </c>
      <c r="C37" s="5">
        <v>244.6</v>
      </c>
    </row>
    <row r="38" spans="1:3" ht="14.4" x14ac:dyDescent="0.3">
      <c r="A38" s="17">
        <v>40179</v>
      </c>
      <c r="B38" s="5">
        <v>6434.5</v>
      </c>
      <c r="C38" s="5">
        <v>243.1</v>
      </c>
    </row>
    <row r="39" spans="1:3" ht="14.4" x14ac:dyDescent="0.3">
      <c r="A39" s="17">
        <v>40210</v>
      </c>
      <c r="B39" s="5">
        <v>6404.1</v>
      </c>
      <c r="C39" s="5">
        <v>240.7</v>
      </c>
    </row>
    <row r="40" spans="1:3" ht="14.4" x14ac:dyDescent="0.3">
      <c r="A40" s="17">
        <v>40238</v>
      </c>
      <c r="B40" s="5">
        <v>6377.2</v>
      </c>
      <c r="C40" s="5">
        <v>238.3</v>
      </c>
    </row>
    <row r="41" spans="1:3" ht="14.4" x14ac:dyDescent="0.3">
      <c r="A41" s="17">
        <v>40269</v>
      </c>
      <c r="B41" s="5">
        <v>6401.7</v>
      </c>
      <c r="C41" s="5">
        <v>240.4</v>
      </c>
    </row>
    <row r="42" spans="1:3" ht="14.4" x14ac:dyDescent="0.3">
      <c r="A42" s="17">
        <v>40299</v>
      </c>
      <c r="B42" s="5">
        <v>6468.9</v>
      </c>
      <c r="C42" s="5">
        <v>242</v>
      </c>
    </row>
    <row r="43" spans="1:3" ht="14.4" x14ac:dyDescent="0.3">
      <c r="A43" s="17">
        <v>40330</v>
      </c>
      <c r="B43" s="5">
        <v>6578.9</v>
      </c>
      <c r="C43" s="5">
        <v>245</v>
      </c>
    </row>
    <row r="44" spans="1:3" ht="14.4" x14ac:dyDescent="0.3">
      <c r="A44" s="17">
        <v>40360</v>
      </c>
      <c r="B44" s="5">
        <v>6640.9</v>
      </c>
      <c r="C44" s="5">
        <v>243.3</v>
      </c>
    </row>
    <row r="45" spans="1:3" ht="14.4" x14ac:dyDescent="0.3">
      <c r="A45" s="17">
        <v>40391</v>
      </c>
      <c r="B45" s="5">
        <v>6662.6</v>
      </c>
      <c r="C45" s="5">
        <v>241.9</v>
      </c>
    </row>
    <row r="46" spans="1:3" ht="14.4" x14ac:dyDescent="0.3">
      <c r="A46" s="17">
        <v>40422</v>
      </c>
      <c r="B46" s="5">
        <v>6611.2</v>
      </c>
      <c r="C46" s="5">
        <v>237.4</v>
      </c>
    </row>
    <row r="47" spans="1:3" ht="14.4" x14ac:dyDescent="0.3">
      <c r="A47" s="17">
        <v>40452</v>
      </c>
      <c r="B47" s="5">
        <v>6587.1</v>
      </c>
      <c r="C47" s="5">
        <v>236.2</v>
      </c>
    </row>
    <row r="48" spans="1:3" ht="14.4" x14ac:dyDescent="0.3">
      <c r="A48" s="17">
        <v>40483</v>
      </c>
      <c r="B48" s="5">
        <v>6566.6</v>
      </c>
      <c r="C48" s="5">
        <v>237.2</v>
      </c>
    </row>
    <row r="49" spans="1:3" ht="14.4" x14ac:dyDescent="0.3">
      <c r="A49" s="17">
        <v>40513</v>
      </c>
      <c r="B49" s="5">
        <v>6584.1</v>
      </c>
      <c r="C49" s="5">
        <v>237.7</v>
      </c>
    </row>
    <row r="50" spans="1:3" ht="14.4" x14ac:dyDescent="0.3">
      <c r="A50" s="17">
        <v>40544</v>
      </c>
      <c r="B50" s="5">
        <v>6571.2</v>
      </c>
      <c r="C50" s="5">
        <v>236.6</v>
      </c>
    </row>
    <row r="51" spans="1:3" ht="14.4" x14ac:dyDescent="0.3">
      <c r="A51" s="17">
        <v>40575</v>
      </c>
      <c r="B51" s="5">
        <v>6548.1</v>
      </c>
      <c r="C51" s="5">
        <v>235</v>
      </c>
    </row>
    <row r="52" spans="1:3" ht="14.4" x14ac:dyDescent="0.3">
      <c r="A52" s="17">
        <v>40603</v>
      </c>
      <c r="B52" s="5">
        <v>6523.7</v>
      </c>
      <c r="C52" s="5">
        <v>235.9</v>
      </c>
    </row>
    <row r="53" spans="1:3" ht="14.4" x14ac:dyDescent="0.3">
      <c r="A53" s="17">
        <v>40634</v>
      </c>
      <c r="B53" s="5">
        <v>6550</v>
      </c>
      <c r="C53" s="5">
        <v>237.5</v>
      </c>
    </row>
    <row r="54" spans="1:3" ht="14.4" x14ac:dyDescent="0.3">
      <c r="A54" s="17">
        <v>40664</v>
      </c>
      <c r="B54" s="5">
        <v>6612</v>
      </c>
      <c r="C54" s="5">
        <v>237.5</v>
      </c>
    </row>
    <row r="55" spans="1:3" ht="14.4" x14ac:dyDescent="0.3">
      <c r="A55" s="17">
        <v>40695</v>
      </c>
      <c r="B55" s="5">
        <v>6706.8</v>
      </c>
      <c r="C55" s="5">
        <v>237.1</v>
      </c>
    </row>
    <row r="56" spans="1:3" ht="14.4" x14ac:dyDescent="0.3">
      <c r="A56" s="17">
        <v>40725</v>
      </c>
      <c r="B56" s="5">
        <v>6755.3</v>
      </c>
      <c r="C56" s="5">
        <v>237.9</v>
      </c>
    </row>
    <row r="57" spans="1:3" ht="14.4" x14ac:dyDescent="0.3">
      <c r="A57" s="17">
        <v>40756</v>
      </c>
      <c r="B57" s="5">
        <v>6778</v>
      </c>
      <c r="C57" s="5">
        <v>240.8</v>
      </c>
    </row>
    <row r="58" spans="1:3" ht="14.4" x14ac:dyDescent="0.3">
      <c r="A58" s="17">
        <v>40787</v>
      </c>
      <c r="B58" s="5">
        <v>6734.6</v>
      </c>
      <c r="C58" s="5">
        <v>240.7</v>
      </c>
    </row>
    <row r="59" spans="1:3" ht="14.4" x14ac:dyDescent="0.3">
      <c r="A59" s="17">
        <v>40817</v>
      </c>
      <c r="B59" s="5">
        <v>6702.2</v>
      </c>
      <c r="C59" s="5">
        <v>239.8</v>
      </c>
    </row>
    <row r="60" spans="1:3" ht="14.4" x14ac:dyDescent="0.3">
      <c r="A60" s="17">
        <v>40848</v>
      </c>
      <c r="B60" s="5">
        <v>6669.4</v>
      </c>
      <c r="C60" s="5">
        <v>236.7</v>
      </c>
    </row>
    <row r="61" spans="1:3" ht="14.4" x14ac:dyDescent="0.3">
      <c r="A61" s="17">
        <v>40878</v>
      </c>
      <c r="B61" s="5">
        <v>6668.3</v>
      </c>
      <c r="C61" s="5">
        <v>237</v>
      </c>
    </row>
    <row r="62" spans="1:3" ht="14.4" x14ac:dyDescent="0.3">
      <c r="A62" s="17">
        <v>40909</v>
      </c>
      <c r="B62" s="5">
        <v>6635.9</v>
      </c>
      <c r="C62" s="5">
        <v>235.8</v>
      </c>
    </row>
    <row r="63" spans="1:3" ht="14.4" x14ac:dyDescent="0.3">
      <c r="A63" s="17">
        <v>40940</v>
      </c>
      <c r="B63" s="5">
        <v>6598</v>
      </c>
      <c r="C63" s="5">
        <v>234</v>
      </c>
    </row>
    <row r="64" spans="1:3" ht="14.4" x14ac:dyDescent="0.3">
      <c r="A64" s="17">
        <v>40969</v>
      </c>
      <c r="B64" s="5">
        <v>6569.8</v>
      </c>
      <c r="C64" s="5">
        <v>232.9</v>
      </c>
    </row>
    <row r="65" spans="1:3" ht="14.4" x14ac:dyDescent="0.3">
      <c r="A65" s="17">
        <v>41000</v>
      </c>
      <c r="B65" s="5">
        <v>6603.3</v>
      </c>
      <c r="C65" s="5">
        <v>238</v>
      </c>
    </row>
    <row r="66" spans="1:3" ht="14.4" x14ac:dyDescent="0.3">
      <c r="A66" s="17">
        <v>41030</v>
      </c>
      <c r="B66" s="5">
        <v>6658.1</v>
      </c>
      <c r="C66" s="5">
        <v>243.3</v>
      </c>
    </row>
    <row r="67" spans="1:3" ht="14.4" x14ac:dyDescent="0.3">
      <c r="A67" s="17">
        <v>41061</v>
      </c>
      <c r="B67" s="5">
        <v>6737.2</v>
      </c>
      <c r="C67" s="5">
        <v>247.1</v>
      </c>
    </row>
    <row r="68" spans="1:3" ht="14.4" x14ac:dyDescent="0.3">
      <c r="A68" s="17">
        <v>41091</v>
      </c>
      <c r="B68" s="5">
        <v>6778.6</v>
      </c>
      <c r="C68" s="5">
        <v>248.4</v>
      </c>
    </row>
    <row r="69" spans="1:3" ht="14.4" x14ac:dyDescent="0.3">
      <c r="A69" s="17">
        <v>41122</v>
      </c>
      <c r="B69" s="5">
        <v>6797.9</v>
      </c>
      <c r="C69" s="5">
        <v>249.7</v>
      </c>
    </row>
    <row r="70" spans="1:3" ht="14.4" x14ac:dyDescent="0.3">
      <c r="A70" s="17">
        <v>41153</v>
      </c>
      <c r="B70" s="5">
        <v>6763.1</v>
      </c>
      <c r="C70" s="5">
        <v>248.8</v>
      </c>
    </row>
    <row r="71" spans="1:3" ht="14.4" x14ac:dyDescent="0.3">
      <c r="A71" s="17">
        <v>41183</v>
      </c>
      <c r="B71" s="5">
        <v>6740.9</v>
      </c>
      <c r="C71" s="5">
        <v>244.5</v>
      </c>
    </row>
    <row r="72" spans="1:3" ht="14.4" x14ac:dyDescent="0.3">
      <c r="A72" s="17">
        <v>41214</v>
      </c>
      <c r="B72" s="5">
        <v>6727.4</v>
      </c>
      <c r="C72" s="5">
        <v>242</v>
      </c>
    </row>
    <row r="73" spans="1:3" ht="14.4" x14ac:dyDescent="0.3">
      <c r="A73" s="17">
        <v>41244</v>
      </c>
      <c r="B73" s="5">
        <v>6740.2</v>
      </c>
      <c r="C73" s="5">
        <v>240.2</v>
      </c>
    </row>
    <row r="74" spans="1:3" ht="14.4" x14ac:dyDescent="0.3">
      <c r="A74" s="17">
        <v>41275</v>
      </c>
      <c r="B74" s="5">
        <v>6721.7</v>
      </c>
      <c r="C74" s="5">
        <v>241.3</v>
      </c>
    </row>
    <row r="75" spans="1:3" ht="14.4" x14ac:dyDescent="0.3">
      <c r="A75" s="17">
        <v>41306</v>
      </c>
      <c r="B75" s="5">
        <v>6702</v>
      </c>
      <c r="C75" s="5">
        <v>238.3</v>
      </c>
    </row>
    <row r="76" spans="1:3" ht="14.4" x14ac:dyDescent="0.3">
      <c r="A76" s="17">
        <v>41334</v>
      </c>
      <c r="B76" s="5">
        <v>6675.8</v>
      </c>
      <c r="C76" s="5">
        <v>237.7</v>
      </c>
    </row>
    <row r="77" spans="1:3" ht="14.4" x14ac:dyDescent="0.3">
      <c r="A77" s="17">
        <v>41365</v>
      </c>
      <c r="B77" s="5">
        <v>6703.7</v>
      </c>
      <c r="C77" s="5">
        <v>236.8</v>
      </c>
    </row>
    <row r="78" spans="1:3" ht="14.4" x14ac:dyDescent="0.3">
      <c r="A78" s="17">
        <v>41395</v>
      </c>
      <c r="B78" s="5">
        <v>6770.3</v>
      </c>
      <c r="C78" s="5">
        <v>238.9</v>
      </c>
    </row>
    <row r="79" spans="1:3" ht="14.4" x14ac:dyDescent="0.3">
      <c r="A79" s="17">
        <v>41426</v>
      </c>
      <c r="B79" s="5">
        <v>6861.8</v>
      </c>
      <c r="C79" s="5">
        <v>242.6</v>
      </c>
    </row>
    <row r="80" spans="1:3" ht="14.4" x14ac:dyDescent="0.3">
      <c r="A80" s="17">
        <v>41456</v>
      </c>
      <c r="B80" s="5">
        <v>6917.1</v>
      </c>
      <c r="C80" s="5">
        <v>244.6</v>
      </c>
    </row>
    <row r="81" spans="1:3" ht="14.4" x14ac:dyDescent="0.3">
      <c r="A81" s="17">
        <v>41487</v>
      </c>
      <c r="B81" s="5">
        <v>6934.7</v>
      </c>
      <c r="C81" s="5">
        <v>245.6</v>
      </c>
    </row>
    <row r="82" spans="1:3" ht="14.4" x14ac:dyDescent="0.3">
      <c r="A82" s="17">
        <v>41518</v>
      </c>
      <c r="B82" s="5">
        <v>6906.9</v>
      </c>
      <c r="C82" s="5">
        <v>243.4</v>
      </c>
    </row>
    <row r="83" spans="1:3" ht="14.4" x14ac:dyDescent="0.3">
      <c r="A83" s="17">
        <v>41548</v>
      </c>
      <c r="B83" s="5">
        <v>6889</v>
      </c>
      <c r="C83" s="5">
        <v>241.6</v>
      </c>
    </row>
    <row r="84" spans="1:3" ht="14.4" x14ac:dyDescent="0.3">
      <c r="A84" s="17">
        <v>41579</v>
      </c>
      <c r="B84" s="5">
        <v>6863.8</v>
      </c>
      <c r="C84" s="5">
        <v>238.8</v>
      </c>
    </row>
    <row r="85" spans="1:3" ht="14.4" x14ac:dyDescent="0.3">
      <c r="A85" s="17">
        <v>41609</v>
      </c>
      <c r="B85" s="5">
        <v>6849.3</v>
      </c>
      <c r="C85" s="5">
        <v>237.8</v>
      </c>
    </row>
    <row r="86" spans="1:3" ht="14.4" x14ac:dyDescent="0.3">
      <c r="A86" s="17">
        <v>41640</v>
      </c>
      <c r="B86" s="5">
        <v>6806.1</v>
      </c>
      <c r="C86" s="5">
        <v>234.8</v>
      </c>
    </row>
    <row r="87" spans="1:3" ht="14.4" x14ac:dyDescent="0.3">
      <c r="A87" s="17">
        <v>41671</v>
      </c>
      <c r="B87" s="5">
        <v>6772.3</v>
      </c>
      <c r="C87" s="5">
        <v>233.9</v>
      </c>
    </row>
    <row r="88" spans="1:3" ht="14.4" x14ac:dyDescent="0.3">
      <c r="A88" s="17">
        <v>41699</v>
      </c>
      <c r="B88" s="5">
        <v>6751.3</v>
      </c>
      <c r="C88" s="5">
        <v>232.7</v>
      </c>
    </row>
    <row r="89" spans="1:3" ht="14.4" x14ac:dyDescent="0.3">
      <c r="A89" s="17">
        <v>41730</v>
      </c>
      <c r="B89" s="5">
        <v>6785</v>
      </c>
      <c r="C89" s="5">
        <v>236</v>
      </c>
    </row>
    <row r="90" spans="1:3" ht="14.4" x14ac:dyDescent="0.3">
      <c r="A90" s="17">
        <v>41760</v>
      </c>
      <c r="B90" s="5">
        <v>6842.6</v>
      </c>
      <c r="C90" s="5">
        <v>239.7</v>
      </c>
    </row>
    <row r="91" spans="1:3" ht="14.4" x14ac:dyDescent="0.3">
      <c r="A91" s="17">
        <v>41791</v>
      </c>
      <c r="B91" s="5">
        <v>6912.9</v>
      </c>
      <c r="C91" s="5">
        <v>245.2</v>
      </c>
    </row>
    <row r="92" spans="1:3" ht="14.4" x14ac:dyDescent="0.3">
      <c r="A92" s="17">
        <v>41821</v>
      </c>
      <c r="B92" s="5">
        <v>6957.8</v>
      </c>
      <c r="C92" s="5">
        <v>249.4</v>
      </c>
    </row>
    <row r="93" spans="1:3" ht="14.4" x14ac:dyDescent="0.3">
      <c r="A93" s="17">
        <v>41852</v>
      </c>
      <c r="B93" s="5">
        <v>6969.7</v>
      </c>
      <c r="C93" s="5">
        <v>251.5</v>
      </c>
    </row>
    <row r="94" spans="1:3" ht="14.4" x14ac:dyDescent="0.3">
      <c r="A94" s="17">
        <v>41883</v>
      </c>
      <c r="B94" s="5">
        <v>6944.1</v>
      </c>
      <c r="C94" s="5">
        <v>248.2</v>
      </c>
    </row>
    <row r="95" spans="1:3" ht="14.4" x14ac:dyDescent="0.3">
      <c r="A95" s="17">
        <v>41913</v>
      </c>
      <c r="B95" s="5">
        <v>6936.6</v>
      </c>
      <c r="C95" s="5">
        <v>245.7</v>
      </c>
    </row>
    <row r="96" spans="1:3" ht="14.4" x14ac:dyDescent="0.3">
      <c r="A96" s="17">
        <v>41944</v>
      </c>
      <c r="B96" s="5">
        <v>6914.3</v>
      </c>
      <c r="C96" s="5">
        <v>244.2</v>
      </c>
    </row>
    <row r="97" spans="1:3" ht="14.4" x14ac:dyDescent="0.3">
      <c r="A97" s="17">
        <v>41974</v>
      </c>
      <c r="B97" s="5">
        <v>6903.2</v>
      </c>
      <c r="C97" s="5">
        <v>246</v>
      </c>
    </row>
    <row r="98" spans="1:3" ht="14.4" x14ac:dyDescent="0.3">
      <c r="A98" s="17">
        <v>42005</v>
      </c>
      <c r="B98" s="5">
        <v>6845.1</v>
      </c>
      <c r="C98" s="5">
        <v>247.2</v>
      </c>
    </row>
    <row r="99" spans="1:3" ht="14.4" x14ac:dyDescent="0.3">
      <c r="A99" s="17">
        <v>42036</v>
      </c>
      <c r="B99" s="5">
        <v>6810.3</v>
      </c>
      <c r="C99" s="5">
        <v>246.5</v>
      </c>
    </row>
    <row r="100" spans="1:3" ht="14.4" x14ac:dyDescent="0.3">
      <c r="A100" s="17">
        <v>42064</v>
      </c>
      <c r="B100" s="5">
        <v>6783.7</v>
      </c>
      <c r="C100" s="5">
        <v>244.5</v>
      </c>
    </row>
    <row r="101" spans="1:3" ht="14.4" x14ac:dyDescent="0.3">
      <c r="A101" s="17">
        <v>42095</v>
      </c>
      <c r="B101" s="5">
        <v>6805.6</v>
      </c>
      <c r="C101" s="5">
        <v>241.6</v>
      </c>
    </row>
    <row r="102" spans="1:3" ht="14.4" x14ac:dyDescent="0.3">
      <c r="A102" s="17">
        <v>42125</v>
      </c>
      <c r="B102" s="5">
        <v>6870.9</v>
      </c>
      <c r="C102" s="5">
        <v>243.2</v>
      </c>
    </row>
    <row r="103" spans="1:3" ht="14.4" x14ac:dyDescent="0.3">
      <c r="A103" s="17">
        <v>42156</v>
      </c>
      <c r="B103" s="5">
        <v>6965.8</v>
      </c>
      <c r="C103" s="5">
        <v>251.7</v>
      </c>
    </row>
    <row r="104" spans="1:3" ht="14.4" x14ac:dyDescent="0.3">
      <c r="A104" s="17">
        <v>42186</v>
      </c>
      <c r="B104" s="5">
        <v>7032.3</v>
      </c>
      <c r="C104" s="5">
        <v>257.2</v>
      </c>
    </row>
    <row r="105" spans="1:3" ht="14.4" x14ac:dyDescent="0.3">
      <c r="A105" s="17">
        <v>42217</v>
      </c>
      <c r="B105" s="5">
        <v>7045.7</v>
      </c>
      <c r="C105" s="5">
        <v>262.10000000000002</v>
      </c>
    </row>
    <row r="106" spans="1:3" ht="14.4" x14ac:dyDescent="0.3">
      <c r="A106" s="17">
        <v>42248</v>
      </c>
      <c r="B106" s="5">
        <v>6994.9</v>
      </c>
      <c r="C106" s="5">
        <v>256.39999999999998</v>
      </c>
    </row>
    <row r="107" spans="1:3" ht="14.4" x14ac:dyDescent="0.3">
      <c r="A107" s="17">
        <v>42278</v>
      </c>
      <c r="B107" s="5">
        <v>6969</v>
      </c>
      <c r="C107" s="5">
        <v>257.10000000000002</v>
      </c>
    </row>
    <row r="108" spans="1:3" ht="14.4" x14ac:dyDescent="0.3">
      <c r="A108" s="17">
        <v>42309</v>
      </c>
      <c r="B108" s="5">
        <v>6936.9</v>
      </c>
      <c r="C108" s="5">
        <v>253.9</v>
      </c>
    </row>
    <row r="109" spans="1:3" ht="14.4" x14ac:dyDescent="0.3">
      <c r="A109" s="17">
        <v>42339</v>
      </c>
      <c r="B109" s="5">
        <v>6948.2</v>
      </c>
      <c r="C109" s="5">
        <v>255.3</v>
      </c>
    </row>
    <row r="110" spans="1:3" ht="14.4" x14ac:dyDescent="0.3">
      <c r="A110" s="17">
        <v>42370</v>
      </c>
      <c r="B110" s="5">
        <v>6919.2</v>
      </c>
      <c r="C110" s="5">
        <v>253.1</v>
      </c>
    </row>
    <row r="111" spans="1:3" x14ac:dyDescent="0.25">
      <c r="A111" s="17">
        <v>42401</v>
      </c>
      <c r="B111" s="4">
        <v>6896.8</v>
      </c>
      <c r="C111" s="4">
        <v>250</v>
      </c>
    </row>
    <row r="112" spans="1:3" x14ac:dyDescent="0.25">
      <c r="A112" s="17">
        <v>42430</v>
      </c>
      <c r="B112" s="4">
        <v>6872.4</v>
      </c>
      <c r="C112" s="4">
        <v>246.4</v>
      </c>
    </row>
    <row r="113" spans="1:3" x14ac:dyDescent="0.25">
      <c r="A113" s="17">
        <v>42461</v>
      </c>
      <c r="B113" s="4">
        <v>6890.3</v>
      </c>
      <c r="C113" s="4">
        <v>243.7</v>
      </c>
    </row>
    <row r="114" spans="1:3" x14ac:dyDescent="0.25">
      <c r="A114" s="17">
        <v>42491</v>
      </c>
      <c r="B114" s="4">
        <v>6962.5</v>
      </c>
      <c r="C114" s="4">
        <v>245.7</v>
      </c>
    </row>
    <row r="115" spans="1:3" x14ac:dyDescent="0.25">
      <c r="A115" s="17">
        <v>42522</v>
      </c>
      <c r="B115" s="4">
        <v>7047.3</v>
      </c>
      <c r="C115" s="4">
        <v>248</v>
      </c>
    </row>
    <row r="116" spans="1:3" x14ac:dyDescent="0.25">
      <c r="A116" s="17">
        <v>42552</v>
      </c>
      <c r="B116" s="4">
        <v>7090.8</v>
      </c>
      <c r="C116" s="4">
        <v>249.5</v>
      </c>
    </row>
    <row r="117" spans="1:3" x14ac:dyDescent="0.25">
      <c r="A117" s="17">
        <v>42583</v>
      </c>
      <c r="B117" s="4">
        <v>7083.3</v>
      </c>
      <c r="C117" s="4">
        <v>250.2</v>
      </c>
    </row>
    <row r="118" spans="1:3" x14ac:dyDescent="0.25">
      <c r="A118" s="17">
        <v>42614</v>
      </c>
      <c r="B118" s="4">
        <v>7037</v>
      </c>
      <c r="C118" s="4">
        <v>248.7</v>
      </c>
    </row>
    <row r="119" spans="1:3" x14ac:dyDescent="0.25">
      <c r="A119" s="17">
        <v>42644</v>
      </c>
      <c r="B119" s="4">
        <v>7033.4</v>
      </c>
      <c r="C119" s="4">
        <v>247.6</v>
      </c>
    </row>
    <row r="120" spans="1:3" x14ac:dyDescent="0.25">
      <c r="A120" s="17">
        <v>42675</v>
      </c>
      <c r="B120" s="4">
        <v>7026.9</v>
      </c>
      <c r="C120" s="4">
        <v>242.3</v>
      </c>
    </row>
    <row r="121" spans="1:3" x14ac:dyDescent="0.25">
      <c r="A121" s="17">
        <v>42705</v>
      </c>
      <c r="B121" s="4">
        <v>7041.6</v>
      </c>
      <c r="C121" s="4">
        <v>240.6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5" sqref="B15"/>
    </sheetView>
  </sheetViews>
  <sheetFormatPr defaultColWidth="9.109375" defaultRowHeight="13.2" x14ac:dyDescent="0.25"/>
  <cols>
    <col min="1" max="1" width="20.10937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16384" width="9.109375" style="4"/>
  </cols>
  <sheetData>
    <row r="1" spans="1:5" x14ac:dyDescent="0.25">
      <c r="A1" s="4" t="s">
        <v>199</v>
      </c>
    </row>
    <row r="2" spans="1:5" x14ac:dyDescent="0.25">
      <c r="A2" s="4" t="s">
        <v>178</v>
      </c>
    </row>
    <row r="4" spans="1:5" x14ac:dyDescent="0.25">
      <c r="B4" s="4" t="s">
        <v>70</v>
      </c>
      <c r="C4" s="4" t="s">
        <v>71</v>
      </c>
      <c r="D4" s="4" t="s">
        <v>72</v>
      </c>
      <c r="E4" s="4" t="s">
        <v>73</v>
      </c>
    </row>
    <row r="5" spans="1:5" x14ac:dyDescent="0.25">
      <c r="A5" s="4" t="s">
        <v>74</v>
      </c>
      <c r="B5" s="4">
        <v>10397563.9954574</v>
      </c>
      <c r="C5" s="4">
        <v>229283.83679466101</v>
      </c>
      <c r="D5" s="4">
        <v>45.348002461984102</v>
      </c>
      <c r="E5" s="19">
        <v>6.6009967990525297E-74</v>
      </c>
    </row>
    <row r="6" spans="1:5" x14ac:dyDescent="0.25">
      <c r="A6" s="4" t="s">
        <v>133</v>
      </c>
      <c r="B6" s="4">
        <v>5573.61521734493</v>
      </c>
      <c r="C6" s="4">
        <v>326.22151753485502</v>
      </c>
      <c r="D6" s="4">
        <v>17.085369657596001</v>
      </c>
      <c r="E6" s="19">
        <v>5.6196555647333699E-33</v>
      </c>
    </row>
    <row r="7" spans="1:5" x14ac:dyDescent="0.25">
      <c r="A7" s="4" t="s">
        <v>134</v>
      </c>
      <c r="B7" s="4">
        <v>27524.663952570801</v>
      </c>
      <c r="C7" s="4">
        <v>2309.5485050558</v>
      </c>
      <c r="D7" s="4">
        <v>11.9177682964081</v>
      </c>
      <c r="E7" s="19">
        <v>1.2078124938378399E-21</v>
      </c>
    </row>
    <row r="8" spans="1:5" x14ac:dyDescent="0.25">
      <c r="A8" s="4" t="s">
        <v>75</v>
      </c>
      <c r="B8" s="4">
        <v>-4275.0571334042697</v>
      </c>
      <c r="C8" s="4">
        <v>1274.8096846006699</v>
      </c>
      <c r="D8" s="4">
        <v>-3.3534865517933601</v>
      </c>
      <c r="E8" s="19">
        <v>1.0894118913038499E-3</v>
      </c>
    </row>
    <row r="9" spans="1:5" x14ac:dyDescent="0.25">
      <c r="A9" s="4" t="s">
        <v>41</v>
      </c>
      <c r="B9" s="4">
        <v>-1419959.8612913999</v>
      </c>
      <c r="C9" s="4">
        <v>139197.88274896101</v>
      </c>
      <c r="D9" s="4">
        <v>-10.201016231347801</v>
      </c>
      <c r="E9" s="19">
        <v>1.1244980383982701E-17</v>
      </c>
    </row>
    <row r="10" spans="1:5" x14ac:dyDescent="0.25">
      <c r="A10" s="4" t="s">
        <v>47</v>
      </c>
      <c r="B10" s="4">
        <v>-473349.26469262998</v>
      </c>
      <c r="C10" s="4">
        <v>184501.592022233</v>
      </c>
      <c r="D10" s="4">
        <v>-2.5655565326265002</v>
      </c>
      <c r="E10" s="19">
        <v>1.1622426222577699E-2</v>
      </c>
    </row>
    <row r="11" spans="1:5" x14ac:dyDescent="0.25">
      <c r="A11" s="4" t="s">
        <v>51</v>
      </c>
      <c r="B11" s="4">
        <v>-773164.55099904304</v>
      </c>
      <c r="C11" s="4">
        <v>189477.975602683</v>
      </c>
      <c r="D11" s="4">
        <v>-4.0804982665652698</v>
      </c>
      <c r="E11" s="19">
        <v>8.4498124572979702E-5</v>
      </c>
    </row>
    <row r="12" spans="1:5" x14ac:dyDescent="0.25">
      <c r="A12" s="4" t="s">
        <v>54</v>
      </c>
      <c r="B12" s="4">
        <v>772942.00624980999</v>
      </c>
      <c r="C12" s="4">
        <v>175757.84315800099</v>
      </c>
      <c r="D12" s="19">
        <v>4.3977667930014199</v>
      </c>
      <c r="E12" s="19">
        <v>2.50277352640804E-5</v>
      </c>
    </row>
    <row r="14" spans="1:5" x14ac:dyDescent="0.25">
      <c r="A14" s="4" t="s">
        <v>76</v>
      </c>
      <c r="B14" s="4">
        <v>11823416.2322591</v>
      </c>
      <c r="C14" s="4" t="s">
        <v>77</v>
      </c>
      <c r="D14" s="19">
        <v>1558242.8331673101</v>
      </c>
    </row>
    <row r="15" spans="1:5" x14ac:dyDescent="0.25">
      <c r="A15" s="4" t="s">
        <v>78</v>
      </c>
      <c r="B15" s="4">
        <v>26121531051248.398</v>
      </c>
      <c r="C15" s="4" t="s">
        <v>79</v>
      </c>
      <c r="D15" s="4">
        <v>482936.80312719801</v>
      </c>
    </row>
    <row r="16" spans="1:5" x14ac:dyDescent="0.25">
      <c r="A16" s="4" t="s">
        <v>80</v>
      </c>
      <c r="B16" s="4">
        <v>0.90959730220794099</v>
      </c>
      <c r="C16" s="4" t="s">
        <v>81</v>
      </c>
      <c r="D16" s="19">
        <v>0.90394713359593704</v>
      </c>
    </row>
    <row r="17" spans="1:4" x14ac:dyDescent="0.25">
      <c r="A17" s="4" t="s">
        <v>179</v>
      </c>
      <c r="B17" s="4">
        <v>160.98586868284201</v>
      </c>
      <c r="C17" s="4" t="s">
        <v>82</v>
      </c>
      <c r="D17" s="19">
        <v>2.12523622330542E-55</v>
      </c>
    </row>
    <row r="18" spans="1:4" x14ac:dyDescent="0.25">
      <c r="A18" s="4" t="s">
        <v>83</v>
      </c>
      <c r="B18" s="4">
        <v>-1736.6499814978199</v>
      </c>
      <c r="C18" s="4" t="s">
        <v>84</v>
      </c>
      <c r="D18" s="4">
        <v>3489.2999629956498</v>
      </c>
    </row>
    <row r="19" spans="1:4" x14ac:dyDescent="0.25">
      <c r="A19" s="4" t="s">
        <v>85</v>
      </c>
      <c r="B19" s="4">
        <v>3511.5998969379102</v>
      </c>
      <c r="C19" s="4" t="s">
        <v>86</v>
      </c>
      <c r="D19" s="4">
        <v>3498.35606907181</v>
      </c>
    </row>
    <row r="20" spans="1:4" x14ac:dyDescent="0.25">
      <c r="A20" s="4" t="s">
        <v>87</v>
      </c>
      <c r="B20" s="4">
        <v>0.184465542368251</v>
      </c>
      <c r="C20" s="4" t="s">
        <v>88</v>
      </c>
      <c r="D20" s="4">
        <v>1.6117282304546501</v>
      </c>
    </row>
    <row r="21" spans="1:4" x14ac:dyDescent="0.25">
      <c r="A21" s="4" t="s">
        <v>200</v>
      </c>
      <c r="B21" s="4">
        <v>0.30270999999999998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opLeftCell="M1" workbookViewId="0">
      <selection activeCell="Z29" sqref="Z29"/>
    </sheetView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2.44140625" style="20" bestFit="1" customWidth="1"/>
    <col min="4" max="4" width="11.33203125" style="4" bestFit="1" customWidth="1"/>
    <col min="5" max="5" width="11.109375" style="4" bestFit="1" customWidth="1"/>
    <col min="6" max="6" width="11.109375" style="86" customWidth="1"/>
    <col min="7" max="7" width="7.77734375" style="4" bestFit="1" customWidth="1"/>
    <col min="8" max="8" width="10.5546875" style="4" bestFit="1" customWidth="1"/>
    <col min="9" max="10" width="10.5546875" style="86" customWidth="1"/>
    <col min="11" max="11" width="9.109375" style="4"/>
    <col min="12" max="12" width="11" style="20" bestFit="1" customWidth="1"/>
    <col min="13" max="13" width="13.44140625" style="20" bestFit="1" customWidth="1"/>
    <col min="14" max="14" width="13.33203125" style="20" bestFit="1" customWidth="1"/>
    <col min="15" max="15" width="13.33203125" style="20" customWidth="1"/>
    <col min="16" max="16" width="11.33203125" style="20" bestFit="1" customWidth="1"/>
    <col min="17" max="17" width="12.44140625" style="20" bestFit="1" customWidth="1"/>
    <col min="18" max="19" width="12.44140625" style="20" customWidth="1"/>
    <col min="20" max="20" width="15.5546875" style="20" bestFit="1" customWidth="1"/>
    <col min="21" max="21" width="10.109375" style="4" bestFit="1" customWidth="1"/>
    <col min="22" max="16384" width="9.109375" style="4"/>
  </cols>
  <sheetData>
    <row r="1" spans="1:21" x14ac:dyDescent="0.3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4" t="str">
        <f>'Monthly Data'!AK1</f>
        <v>London_HDD</v>
      </c>
      <c r="E1" s="56" t="str">
        <f>'Monthly Data'!AL1</f>
        <v>London_CDD</v>
      </c>
      <c r="F1" s="86" t="str">
        <f>'Monthly Data'!AT1</f>
        <v>Trend</v>
      </c>
      <c r="G1" s="4" t="str">
        <f>'Monthly Data'!AO1</f>
        <v>Shoulder</v>
      </c>
      <c r="H1" s="4" t="str">
        <f>'Monthly Data'!AV1</f>
        <v>Feb</v>
      </c>
      <c r="I1" s="86" t="str">
        <f>'Monthly Data'!AZ1</f>
        <v>June</v>
      </c>
      <c r="J1" s="86" t="str">
        <f>'Monthly Data'!BC1</f>
        <v>Sept</v>
      </c>
      <c r="L1" s="20" t="s">
        <v>74</v>
      </c>
      <c r="M1" s="20" t="str">
        <f>D1</f>
        <v>London_HDD</v>
      </c>
      <c r="N1" s="20" t="str">
        <f>E1</f>
        <v>London_CDD</v>
      </c>
      <c r="O1" s="20" t="str">
        <f>F1</f>
        <v>Trend</v>
      </c>
      <c r="P1" s="20" t="str">
        <f>G1</f>
        <v>Shoulder</v>
      </c>
      <c r="Q1" s="20" t="str">
        <f>H1</f>
        <v>Feb</v>
      </c>
      <c r="R1" s="20" t="str">
        <f t="shared" ref="R1:S1" si="0">I1</f>
        <v>June</v>
      </c>
      <c r="S1" s="20" t="str">
        <f t="shared" si="0"/>
        <v>Sept</v>
      </c>
      <c r="T1" s="20" t="s">
        <v>90</v>
      </c>
      <c r="U1" s="21" t="s">
        <v>91</v>
      </c>
    </row>
    <row r="2" spans="1:21" x14ac:dyDescent="0.3">
      <c r="A2" s="22">
        <f>'Monthly Data'!A2</f>
        <v>39083</v>
      </c>
      <c r="B2" s="4">
        <f t="shared" ref="B2:B49" si="1">YEAR(A2)</f>
        <v>2007</v>
      </c>
      <c r="C2" s="20">
        <f ca="1">'Monthly Data'!E2</f>
        <v>14581608.920969907</v>
      </c>
      <c r="D2" s="56">
        <f>'Monthly Data'!AK2</f>
        <v>655.6</v>
      </c>
      <c r="E2" s="56">
        <f>'Monthly Data'!AL2</f>
        <v>0</v>
      </c>
      <c r="F2" s="86">
        <f>'Monthly Data'!AT2</f>
        <v>1</v>
      </c>
      <c r="G2" s="56">
        <f>'Monthly Data'!AO2</f>
        <v>0</v>
      </c>
      <c r="H2" s="86">
        <f>'Monthly Data'!AV2</f>
        <v>0</v>
      </c>
      <c r="I2" s="86">
        <f>'Monthly Data'!AZ2</f>
        <v>0</v>
      </c>
      <c r="J2" s="86">
        <f>'Monthly Data'!BC2</f>
        <v>0</v>
      </c>
      <c r="L2" s="20">
        <f>'Res OLS model'!$B$5</f>
        <v>10397563.9954574</v>
      </c>
      <c r="M2" s="20">
        <f>'Res OLS model'!$B$6*D2</f>
        <v>3654062.1364913364</v>
      </c>
      <c r="N2" s="20">
        <f>'Res OLS model'!$B$7*E2</f>
        <v>0</v>
      </c>
      <c r="O2" s="20">
        <f>'Res OLS model'!$B$8*F2</f>
        <v>-4275.0571334042697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>SUM(L2:S2)</f>
        <v>14047351.074815331</v>
      </c>
      <c r="U2" s="23">
        <f t="shared" ref="U2:U33" ca="1" si="2">ABS(T2-C2)/C2</f>
        <v>3.6639156148691961E-2</v>
      </c>
    </row>
    <row r="3" spans="1:21" x14ac:dyDescent="0.3">
      <c r="A3" s="22">
        <f>'Monthly Data'!A3</f>
        <v>39114</v>
      </c>
      <c r="B3" s="4">
        <f t="shared" si="1"/>
        <v>2007</v>
      </c>
      <c r="C3" s="20">
        <f ca="1">'Monthly Data'!E3</f>
        <v>14900347.320969908</v>
      </c>
      <c r="D3" s="56">
        <f>'Monthly Data'!AK3</f>
        <v>758.7</v>
      </c>
      <c r="E3" s="56">
        <f>'Monthly Data'!AL3</f>
        <v>0</v>
      </c>
      <c r="F3" s="86">
        <f>'Monthly Data'!AT3</f>
        <v>2</v>
      </c>
      <c r="G3" s="56">
        <f>'Monthly Data'!AO3</f>
        <v>0</v>
      </c>
      <c r="H3" s="86">
        <f>'Monthly Data'!AV3</f>
        <v>1</v>
      </c>
      <c r="I3" s="86">
        <f>'Monthly Data'!AZ3</f>
        <v>0</v>
      </c>
      <c r="J3" s="86">
        <f>'Monthly Data'!BC3</f>
        <v>0</v>
      </c>
      <c r="L3" s="20">
        <f>'Res OLS model'!$B$5</f>
        <v>10397563.9954574</v>
      </c>
      <c r="M3" s="20">
        <f>'Res OLS model'!$B$6*D3</f>
        <v>4228701.8653995991</v>
      </c>
      <c r="N3" s="20">
        <f>'Res OLS model'!$B$7*E3</f>
        <v>0</v>
      </c>
      <c r="O3" s="20">
        <f>'Res OLS model'!$B$8*F3</f>
        <v>-8550.1142668085395</v>
      </c>
      <c r="P3" s="20">
        <f>'Res OLS model'!$B$9*G3</f>
        <v>0</v>
      </c>
      <c r="Q3" s="20">
        <f>'Res OLS model'!$B$10*H3</f>
        <v>-473349.26469262998</v>
      </c>
      <c r="R3" s="20">
        <f>'Res OLS model'!$B$11*I3</f>
        <v>0</v>
      </c>
      <c r="S3" s="20">
        <f>'Res OLS model'!$B$12*J3</f>
        <v>0</v>
      </c>
      <c r="T3" s="20">
        <f t="shared" ref="T3:T66" si="3">SUM(L3:S3)</f>
        <v>14144366.481897559</v>
      </c>
      <c r="U3" s="23">
        <f t="shared" ca="1" si="2"/>
        <v>5.0735786407369428E-2</v>
      </c>
    </row>
    <row r="4" spans="1:21" x14ac:dyDescent="0.3">
      <c r="A4" s="22">
        <f>'Monthly Data'!A4</f>
        <v>39142</v>
      </c>
      <c r="B4" s="4">
        <f t="shared" si="1"/>
        <v>2007</v>
      </c>
      <c r="C4" s="20">
        <f ca="1">'Monthly Data'!E4</f>
        <v>13266443.320969906</v>
      </c>
      <c r="D4" s="56">
        <f>'Monthly Data'!AK4</f>
        <v>527</v>
      </c>
      <c r="E4" s="56">
        <f>'Monthly Data'!AL4</f>
        <v>0</v>
      </c>
      <c r="F4" s="86">
        <f>'Monthly Data'!AT4</f>
        <v>3</v>
      </c>
      <c r="G4" s="56">
        <f>'Monthly Data'!AO4</f>
        <v>1</v>
      </c>
      <c r="H4" s="86">
        <f>'Monthly Data'!AV4</f>
        <v>0</v>
      </c>
      <c r="I4" s="86">
        <f>'Monthly Data'!AZ4</f>
        <v>0</v>
      </c>
      <c r="J4" s="86">
        <f>'Monthly Data'!BC4</f>
        <v>0</v>
      </c>
      <c r="L4" s="20">
        <f>'Res OLS model'!$B$5</f>
        <v>10397563.9954574</v>
      </c>
      <c r="M4" s="20">
        <f>'Res OLS model'!$B$6*D4</f>
        <v>2937295.2195407781</v>
      </c>
      <c r="N4" s="20">
        <f>'Res OLS model'!$B$7*E4</f>
        <v>0</v>
      </c>
      <c r="O4" s="20">
        <f>'Res OLS model'!$B$8*F4</f>
        <v>-12825.17140021281</v>
      </c>
      <c r="P4" s="20">
        <f>'Res OLS model'!$B$9*G4</f>
        <v>-1419959.8612913999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si="3"/>
        <v>11902074.182306565</v>
      </c>
      <c r="U4" s="23">
        <f t="shared" ca="1" si="2"/>
        <v>0.10284362625713851</v>
      </c>
    </row>
    <row r="5" spans="1:21" x14ac:dyDescent="0.3">
      <c r="A5" s="22">
        <f>'Monthly Data'!A5</f>
        <v>39173</v>
      </c>
      <c r="B5" s="4">
        <f t="shared" si="1"/>
        <v>2007</v>
      </c>
      <c r="C5" s="20">
        <f ca="1">'Monthly Data'!E5</f>
        <v>11367902.320969908</v>
      </c>
      <c r="D5" s="56">
        <f>'Monthly Data'!AK5</f>
        <v>371.1</v>
      </c>
      <c r="E5" s="56">
        <f>'Monthly Data'!AL5</f>
        <v>0</v>
      </c>
      <c r="F5" s="86">
        <f>'Monthly Data'!AT5</f>
        <v>4</v>
      </c>
      <c r="G5" s="56">
        <f>'Monthly Data'!AO5</f>
        <v>1</v>
      </c>
      <c r="H5" s="86">
        <f>'Monthly Data'!AV5</f>
        <v>0</v>
      </c>
      <c r="I5" s="86">
        <f>'Monthly Data'!AZ5</f>
        <v>0</v>
      </c>
      <c r="J5" s="86">
        <f>'Monthly Data'!BC5</f>
        <v>0</v>
      </c>
      <c r="L5" s="20">
        <f>'Res OLS model'!$B$5</f>
        <v>10397563.9954574</v>
      </c>
      <c r="M5" s="20">
        <f>'Res OLS model'!$B$6*D5</f>
        <v>2068368.6071567037</v>
      </c>
      <c r="N5" s="20">
        <f>'Res OLS model'!$B$7*E5</f>
        <v>0</v>
      </c>
      <c r="O5" s="20">
        <f>'Res OLS model'!$B$8*F5</f>
        <v>-17100.228533617079</v>
      </c>
      <c r="P5" s="20">
        <f>'Res OLS model'!$B$9*G5</f>
        <v>-1419959.8612913999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si="3"/>
        <v>11028872.512789087</v>
      </c>
      <c r="U5" s="23">
        <f t="shared" ca="1" si="2"/>
        <v>2.9823427278700812E-2</v>
      </c>
    </row>
    <row r="6" spans="1:21" x14ac:dyDescent="0.3">
      <c r="A6" s="22">
        <f>'Monthly Data'!A6</f>
        <v>39203</v>
      </c>
      <c r="B6" s="4">
        <f t="shared" si="1"/>
        <v>2007</v>
      </c>
      <c r="C6" s="20">
        <f ca="1">'Monthly Data'!E6</f>
        <v>10571719.320969908</v>
      </c>
      <c r="D6" s="56">
        <f>'Monthly Data'!AK6</f>
        <v>131.9</v>
      </c>
      <c r="E6" s="56">
        <f>'Monthly Data'!AL6</f>
        <v>22.7</v>
      </c>
      <c r="F6" s="86">
        <f>'Monthly Data'!AT6</f>
        <v>5</v>
      </c>
      <c r="G6" s="56">
        <f>'Monthly Data'!AO6</f>
        <v>1</v>
      </c>
      <c r="H6" s="86">
        <f>'Monthly Data'!AV6</f>
        <v>0</v>
      </c>
      <c r="I6" s="86">
        <f>'Monthly Data'!AZ6</f>
        <v>0</v>
      </c>
      <c r="J6" s="86">
        <f>'Monthly Data'!BC6</f>
        <v>0</v>
      </c>
      <c r="L6" s="20">
        <f>'Res OLS model'!$B$5</f>
        <v>10397563.9954574</v>
      </c>
      <c r="M6" s="20">
        <f>'Res OLS model'!$B$6*D6</f>
        <v>735159.84716779634</v>
      </c>
      <c r="N6" s="20">
        <f>'Res OLS model'!$B$7*E6</f>
        <v>624809.87172335712</v>
      </c>
      <c r="O6" s="20">
        <f>'Res OLS model'!$B$8*F6</f>
        <v>-21375.285667021348</v>
      </c>
      <c r="P6" s="20">
        <f>'Res OLS model'!$B$9*G6</f>
        <v>-1419959.8612913999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si="3"/>
        <v>10316198.567390133</v>
      </c>
      <c r="U6" s="23">
        <f t="shared" ca="1" si="2"/>
        <v>2.4170217333799968E-2</v>
      </c>
    </row>
    <row r="7" spans="1:21" x14ac:dyDescent="0.3">
      <c r="A7" s="22">
        <f>'Monthly Data'!A7</f>
        <v>39234</v>
      </c>
      <c r="B7" s="4">
        <f t="shared" si="1"/>
        <v>2007</v>
      </c>
      <c r="C7" s="20">
        <f ca="1">'Monthly Data'!E7</f>
        <v>12208403.320969908</v>
      </c>
      <c r="D7" s="56">
        <f>'Monthly Data'!AK7</f>
        <v>23.2</v>
      </c>
      <c r="E7" s="56">
        <f>'Monthly Data'!AL7</f>
        <v>70.2</v>
      </c>
      <c r="F7" s="86">
        <f>'Monthly Data'!AT7</f>
        <v>6</v>
      </c>
      <c r="G7" s="56">
        <f>'Monthly Data'!AO7</f>
        <v>0</v>
      </c>
      <c r="H7" s="86">
        <f>'Monthly Data'!AV7</f>
        <v>0</v>
      </c>
      <c r="I7" s="86">
        <f>'Monthly Data'!AZ7</f>
        <v>1</v>
      </c>
      <c r="J7" s="86">
        <f>'Monthly Data'!BC7</f>
        <v>0</v>
      </c>
      <c r="L7" s="20">
        <f>'Res OLS model'!$B$5</f>
        <v>10397563.9954574</v>
      </c>
      <c r="M7" s="20">
        <f>'Res OLS model'!$B$6*D7</f>
        <v>129307.87304240237</v>
      </c>
      <c r="N7" s="20">
        <f>'Res OLS model'!$B$7*E7</f>
        <v>1932231.4094704704</v>
      </c>
      <c r="O7" s="20">
        <f>'Res OLS model'!$B$8*F7</f>
        <v>-25650.34280042562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-773164.55099904304</v>
      </c>
      <c r="S7" s="20">
        <f>'Res OLS model'!$B$12*J7</f>
        <v>0</v>
      </c>
      <c r="T7" s="20">
        <f t="shared" si="3"/>
        <v>11660288.384170804</v>
      </c>
      <c r="U7" s="23">
        <f t="shared" ca="1" si="2"/>
        <v>4.4896529250276922E-2</v>
      </c>
    </row>
    <row r="8" spans="1:21" x14ac:dyDescent="0.3">
      <c r="A8" s="22">
        <f>'Monthly Data'!A8</f>
        <v>39264</v>
      </c>
      <c r="B8" s="4">
        <f t="shared" si="1"/>
        <v>2007</v>
      </c>
      <c r="C8" s="20">
        <f ca="1">'Monthly Data'!E8</f>
        <v>12684446.320969908</v>
      </c>
      <c r="D8" s="56">
        <f>'Monthly Data'!AK8</f>
        <v>11.3</v>
      </c>
      <c r="E8" s="56">
        <f>'Monthly Data'!AL8</f>
        <v>71.599999999999994</v>
      </c>
      <c r="F8" s="86">
        <f>'Monthly Data'!AT8</f>
        <v>7</v>
      </c>
      <c r="G8" s="56">
        <f>'Monthly Data'!AO8</f>
        <v>0</v>
      </c>
      <c r="H8" s="86">
        <f>'Monthly Data'!AV8</f>
        <v>0</v>
      </c>
      <c r="I8" s="86">
        <f>'Monthly Data'!AZ8</f>
        <v>0</v>
      </c>
      <c r="J8" s="86">
        <f>'Monthly Data'!BC8</f>
        <v>0</v>
      </c>
      <c r="L8" s="20">
        <f>'Res OLS model'!$B$5</f>
        <v>10397563.9954574</v>
      </c>
      <c r="M8" s="20">
        <f>'Res OLS model'!$B$6*D8</f>
        <v>62981.851955997714</v>
      </c>
      <c r="N8" s="20">
        <f>'Res OLS model'!$B$7*E8</f>
        <v>1970765.9390040692</v>
      </c>
      <c r="O8" s="20">
        <f>'Res OLS model'!$B$8*F8</f>
        <v>-29925.399933829889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si="3"/>
        <v>12401386.386483636</v>
      </c>
      <c r="U8" s="23">
        <f t="shared" ca="1" si="2"/>
        <v>2.2315513608056944E-2</v>
      </c>
    </row>
    <row r="9" spans="1:21" x14ac:dyDescent="0.3">
      <c r="A9" s="22">
        <f>'Monthly Data'!A9</f>
        <v>39295</v>
      </c>
      <c r="B9" s="4">
        <f t="shared" si="1"/>
        <v>2007</v>
      </c>
      <c r="C9" s="20">
        <f ca="1">'Monthly Data'!E9</f>
        <v>12052546.320969908</v>
      </c>
      <c r="D9" s="56">
        <f>'Monthly Data'!AK9</f>
        <v>11.5</v>
      </c>
      <c r="E9" s="56">
        <f>'Monthly Data'!AL9</f>
        <v>89.1</v>
      </c>
      <c r="F9" s="86">
        <f>'Monthly Data'!AT9</f>
        <v>8</v>
      </c>
      <c r="G9" s="56">
        <f>'Monthly Data'!AO9</f>
        <v>0</v>
      </c>
      <c r="H9" s="86">
        <f>'Monthly Data'!AV9</f>
        <v>0</v>
      </c>
      <c r="I9" s="86">
        <f>'Monthly Data'!AZ9</f>
        <v>0</v>
      </c>
      <c r="J9" s="86">
        <f>'Monthly Data'!BC9</f>
        <v>0</v>
      </c>
      <c r="L9" s="20">
        <f>'Res OLS model'!$B$5</f>
        <v>10397563.9954574</v>
      </c>
      <c r="M9" s="20">
        <f>'Res OLS model'!$B$6*D9</f>
        <v>64096.574999466699</v>
      </c>
      <c r="N9" s="20">
        <f>'Res OLS model'!$B$7*E9</f>
        <v>2452447.5581740583</v>
      </c>
      <c r="O9" s="20">
        <f>'Res OLS model'!$B$8*F9</f>
        <v>-34200.457067234158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si="3"/>
        <v>12879907.671563691</v>
      </c>
      <c r="U9" s="23">
        <f t="shared" ca="1" si="2"/>
        <v>6.8646187167460099E-2</v>
      </c>
    </row>
    <row r="10" spans="1:21" x14ac:dyDescent="0.3">
      <c r="A10" s="22">
        <f>'Monthly Data'!A10</f>
        <v>39326</v>
      </c>
      <c r="B10" s="4">
        <f t="shared" si="1"/>
        <v>2007</v>
      </c>
      <c r="C10" s="20">
        <f ca="1">'Monthly Data'!E10</f>
        <v>10146484.320969908</v>
      </c>
      <c r="D10" s="56">
        <f>'Monthly Data'!AK10</f>
        <v>61</v>
      </c>
      <c r="E10" s="56">
        <f>'Monthly Data'!AL10</f>
        <v>35</v>
      </c>
      <c r="F10" s="86">
        <f>'Monthly Data'!AT10</f>
        <v>9</v>
      </c>
      <c r="G10" s="56">
        <f>'Monthly Data'!AO10</f>
        <v>1</v>
      </c>
      <c r="H10" s="86">
        <f>'Monthly Data'!AV10</f>
        <v>0</v>
      </c>
      <c r="I10" s="86">
        <f>'Monthly Data'!AZ10</f>
        <v>0</v>
      </c>
      <c r="J10" s="86">
        <f>'Monthly Data'!BC10</f>
        <v>1</v>
      </c>
      <c r="L10" s="20">
        <f>'Res OLS model'!$B$5</f>
        <v>10397563.9954574</v>
      </c>
      <c r="M10" s="20">
        <f>'Res OLS model'!$B$6*D10</f>
        <v>339990.52825804072</v>
      </c>
      <c r="N10" s="20">
        <f>'Res OLS model'!$B$7*E10</f>
        <v>963363.23833997804</v>
      </c>
      <c r="O10" s="20">
        <f>'Res OLS model'!$B$8*F10</f>
        <v>-38475.514200638427</v>
      </c>
      <c r="P10" s="20">
        <f>'Res OLS model'!$B$9*G10</f>
        <v>-1419959.8612913999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772942.00624980999</v>
      </c>
      <c r="T10" s="20">
        <f t="shared" si="3"/>
        <v>11015424.392813189</v>
      </c>
      <c r="U10" s="23">
        <f t="shared" ca="1" si="2"/>
        <v>8.563952245482985E-2</v>
      </c>
    </row>
    <row r="11" spans="1:21" x14ac:dyDescent="0.3">
      <c r="A11" s="22">
        <f>'Monthly Data'!A11</f>
        <v>39356</v>
      </c>
      <c r="B11" s="4">
        <f t="shared" si="1"/>
        <v>2007</v>
      </c>
      <c r="C11" s="20">
        <f ca="1">'Monthly Data'!E11</f>
        <v>10490269.320969908</v>
      </c>
      <c r="D11" s="56">
        <f>'Monthly Data'!AK11</f>
        <v>149.9</v>
      </c>
      <c r="E11" s="56">
        <f>'Monthly Data'!AL11</f>
        <v>21.5</v>
      </c>
      <c r="F11" s="86">
        <f>'Monthly Data'!AT11</f>
        <v>10</v>
      </c>
      <c r="G11" s="56">
        <f>'Monthly Data'!AO11</f>
        <v>1</v>
      </c>
      <c r="H11" s="86">
        <f>'Monthly Data'!AV11</f>
        <v>0</v>
      </c>
      <c r="I11" s="86">
        <f>'Monthly Data'!AZ11</f>
        <v>0</v>
      </c>
      <c r="J11" s="86">
        <f>'Monthly Data'!BC11</f>
        <v>0</v>
      </c>
      <c r="L11" s="20">
        <f>'Res OLS model'!$B$5</f>
        <v>10397563.9954574</v>
      </c>
      <c r="M11" s="20">
        <f>'Res OLS model'!$B$6*D11</f>
        <v>835484.92108000501</v>
      </c>
      <c r="N11" s="20">
        <f>'Res OLS model'!$B$7*E11</f>
        <v>591780.27498027228</v>
      </c>
      <c r="O11" s="20">
        <f>'Res OLS model'!$B$8*F11</f>
        <v>-42750.571334042696</v>
      </c>
      <c r="P11" s="20">
        <f>'Res OLS model'!$B$9*G11</f>
        <v>-1419959.8612913999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si="3"/>
        <v>10362118.758892234</v>
      </c>
      <c r="U11" s="23">
        <f t="shared" ca="1" si="2"/>
        <v>1.2216136512482278E-2</v>
      </c>
    </row>
    <row r="12" spans="1:21" x14ac:dyDescent="0.3">
      <c r="A12" s="22">
        <f>'Monthly Data'!A12</f>
        <v>39387</v>
      </c>
      <c r="B12" s="4">
        <f t="shared" si="1"/>
        <v>2007</v>
      </c>
      <c r="C12" s="20">
        <f ca="1">'Monthly Data'!E12</f>
        <v>11374243.320969908</v>
      </c>
      <c r="D12" s="56">
        <f>'Monthly Data'!AK12</f>
        <v>468.7</v>
      </c>
      <c r="E12" s="56">
        <f>'Monthly Data'!AL12</f>
        <v>0</v>
      </c>
      <c r="F12" s="86">
        <f>'Monthly Data'!AT12</f>
        <v>11</v>
      </c>
      <c r="G12" s="56">
        <f>'Monthly Data'!AO12</f>
        <v>1</v>
      </c>
      <c r="H12" s="86">
        <f>'Monthly Data'!AV12</f>
        <v>0</v>
      </c>
      <c r="I12" s="86">
        <f>'Monthly Data'!AZ12</f>
        <v>0</v>
      </c>
      <c r="J12" s="86">
        <f>'Monthly Data'!BC12</f>
        <v>0</v>
      </c>
      <c r="L12" s="20">
        <f>'Res OLS model'!$B$5</f>
        <v>10397563.9954574</v>
      </c>
      <c r="M12" s="20">
        <f>'Res OLS model'!$B$6*D12</f>
        <v>2612353.4523695684</v>
      </c>
      <c r="N12" s="20">
        <f>'Res OLS model'!$B$7*E12</f>
        <v>0</v>
      </c>
      <c r="O12" s="20">
        <f>'Res OLS model'!$B$8*F12</f>
        <v>-47025.628467446964</v>
      </c>
      <c r="P12" s="20">
        <f>'Res OLS model'!$B$9*G12</f>
        <v>-1419959.8612913999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si="3"/>
        <v>11542931.958068123</v>
      </c>
      <c r="U12" s="23">
        <f t="shared" ca="1" si="2"/>
        <v>1.4830756854587058E-2</v>
      </c>
    </row>
    <row r="13" spans="1:21" x14ac:dyDescent="0.3">
      <c r="A13" s="22">
        <f>'Monthly Data'!A13</f>
        <v>39417</v>
      </c>
      <c r="B13" s="4">
        <f t="shared" si="1"/>
        <v>2007</v>
      </c>
      <c r="C13" s="20">
        <f ca="1">'Monthly Data'!E13</f>
        <v>14349894.320969908</v>
      </c>
      <c r="D13" s="56">
        <f>'Monthly Data'!AK13</f>
        <v>657</v>
      </c>
      <c r="E13" s="56">
        <f>'Monthly Data'!AL13</f>
        <v>0</v>
      </c>
      <c r="F13" s="86">
        <f>'Monthly Data'!AT13</f>
        <v>12</v>
      </c>
      <c r="G13" s="56">
        <f>'Monthly Data'!AO13</f>
        <v>0</v>
      </c>
      <c r="H13" s="86">
        <f>'Monthly Data'!AV13</f>
        <v>0</v>
      </c>
      <c r="I13" s="86">
        <f>'Monthly Data'!AZ13</f>
        <v>0</v>
      </c>
      <c r="J13" s="86">
        <f>'Monthly Data'!BC13</f>
        <v>0</v>
      </c>
      <c r="L13" s="20">
        <f>'Res OLS model'!$B$5</f>
        <v>10397563.9954574</v>
      </c>
      <c r="M13" s="20">
        <f>'Res OLS model'!$B$6*D13</f>
        <v>3661865.1977956188</v>
      </c>
      <c r="N13" s="20">
        <f>'Res OLS model'!$B$7*E13</f>
        <v>0</v>
      </c>
      <c r="O13" s="20">
        <f>'Res OLS model'!$B$8*F13</f>
        <v>-51300.68560085124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si="3"/>
        <v>14008128.507652167</v>
      </c>
      <c r="U13" s="23">
        <f t="shared" ca="1" si="2"/>
        <v>2.3816608378662989E-2</v>
      </c>
    </row>
    <row r="14" spans="1:21" x14ac:dyDescent="0.3">
      <c r="A14" s="22">
        <f>'Monthly Data'!A14</f>
        <v>39448</v>
      </c>
      <c r="B14" s="4">
        <f t="shared" si="1"/>
        <v>2008</v>
      </c>
      <c r="C14" s="20">
        <f ca="1">'Monthly Data'!E14</f>
        <v>13687822.136470912</v>
      </c>
      <c r="D14" s="56">
        <f>'Monthly Data'!AK14</f>
        <v>639</v>
      </c>
      <c r="E14" s="56">
        <f>'Monthly Data'!AL14</f>
        <v>0</v>
      </c>
      <c r="F14" s="86">
        <f>'Monthly Data'!AT14</f>
        <v>13</v>
      </c>
      <c r="G14" s="56">
        <f>'Monthly Data'!AO14</f>
        <v>0</v>
      </c>
      <c r="H14" s="86">
        <f>'Monthly Data'!AV14</f>
        <v>0</v>
      </c>
      <c r="I14" s="86">
        <f>'Monthly Data'!AZ14</f>
        <v>0</v>
      </c>
      <c r="J14" s="86">
        <f>'Monthly Data'!BC14</f>
        <v>0</v>
      </c>
      <c r="L14" s="20">
        <f>'Res OLS model'!$B$5</f>
        <v>10397563.9954574</v>
      </c>
      <c r="M14" s="20">
        <f>'Res OLS model'!$B$6*D14</f>
        <v>3561540.1238834104</v>
      </c>
      <c r="N14" s="20">
        <f>'Res OLS model'!$B$7*E14</f>
        <v>0</v>
      </c>
      <c r="O14" s="20">
        <f>'Res OLS model'!$B$8*F14</f>
        <v>-55575.742734255509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si="3"/>
        <v>13903528.376606556</v>
      </c>
      <c r="U14" s="23">
        <f t="shared" ca="1" si="2"/>
        <v>1.5758989120767352E-2</v>
      </c>
    </row>
    <row r="15" spans="1:21" x14ac:dyDescent="0.3">
      <c r="A15" s="22">
        <f>'Monthly Data'!A15</f>
        <v>39479</v>
      </c>
      <c r="B15" s="4">
        <f t="shared" si="1"/>
        <v>2008</v>
      </c>
      <c r="C15" s="20">
        <f ca="1">'Monthly Data'!E15</f>
        <v>13785723.616470911</v>
      </c>
      <c r="D15" s="56">
        <f>'Monthly Data'!AK15</f>
        <v>692.5</v>
      </c>
      <c r="E15" s="56">
        <f>'Monthly Data'!AL15</f>
        <v>0</v>
      </c>
      <c r="F15" s="86">
        <f>'Monthly Data'!AT15</f>
        <v>14</v>
      </c>
      <c r="G15" s="56">
        <f>'Monthly Data'!AO15</f>
        <v>0</v>
      </c>
      <c r="H15" s="86">
        <f>'Monthly Data'!AV15</f>
        <v>1</v>
      </c>
      <c r="I15" s="86">
        <f>'Monthly Data'!AZ15</f>
        <v>0</v>
      </c>
      <c r="J15" s="86">
        <f>'Monthly Data'!BC15</f>
        <v>0</v>
      </c>
      <c r="L15" s="20">
        <f>'Res OLS model'!$B$5</f>
        <v>10397563.9954574</v>
      </c>
      <c r="M15" s="20">
        <f>'Res OLS model'!$B$6*D15</f>
        <v>3859728.5380113642</v>
      </c>
      <c r="N15" s="20">
        <f>'Res OLS model'!$B$7*E15</f>
        <v>0</v>
      </c>
      <c r="O15" s="20">
        <f>'Res OLS model'!$B$8*F15</f>
        <v>-59850.799867659778</v>
      </c>
      <c r="P15" s="20">
        <f>'Res OLS model'!$B$9*G15</f>
        <v>0</v>
      </c>
      <c r="Q15" s="20">
        <f>'Res OLS model'!$B$10*H15</f>
        <v>-473349.26469262998</v>
      </c>
      <c r="R15" s="20">
        <f>'Res OLS model'!$B$11*I15</f>
        <v>0</v>
      </c>
      <c r="S15" s="20">
        <f>'Res OLS model'!$B$12*J15</f>
        <v>0</v>
      </c>
      <c r="T15" s="20">
        <f t="shared" si="3"/>
        <v>13724092.468908474</v>
      </c>
      <c r="U15" s="23">
        <f t="shared" ca="1" si="2"/>
        <v>4.4706501651317803E-3</v>
      </c>
    </row>
    <row r="16" spans="1:21" x14ac:dyDescent="0.3">
      <c r="A16" s="22">
        <f>'Monthly Data'!A16</f>
        <v>39508</v>
      </c>
      <c r="B16" s="4">
        <f t="shared" si="1"/>
        <v>2008</v>
      </c>
      <c r="C16" s="20">
        <f ca="1">'Monthly Data'!E16</f>
        <v>12643963.896470912</v>
      </c>
      <c r="D16" s="56">
        <f>'Monthly Data'!AK16</f>
        <v>627.29999999999995</v>
      </c>
      <c r="E16" s="56">
        <f>'Monthly Data'!AL16</f>
        <v>0</v>
      </c>
      <c r="F16" s="86">
        <f>'Monthly Data'!AT16</f>
        <v>15</v>
      </c>
      <c r="G16" s="56">
        <f>'Monthly Data'!AO16</f>
        <v>1</v>
      </c>
      <c r="H16" s="86">
        <f>'Monthly Data'!AV16</f>
        <v>0</v>
      </c>
      <c r="I16" s="86">
        <f>'Monthly Data'!AZ16</f>
        <v>0</v>
      </c>
      <c r="J16" s="86">
        <f>'Monthly Data'!BC16</f>
        <v>0</v>
      </c>
      <c r="L16" s="20">
        <f>'Res OLS model'!$B$5</f>
        <v>10397563.9954574</v>
      </c>
      <c r="M16" s="20">
        <f>'Res OLS model'!$B$6*D16</f>
        <v>3496328.8258404741</v>
      </c>
      <c r="N16" s="20">
        <f>'Res OLS model'!$B$7*E16</f>
        <v>0</v>
      </c>
      <c r="O16" s="20">
        <f>'Res OLS model'!$B$8*F16</f>
        <v>-64125.857001064047</v>
      </c>
      <c r="P16" s="20">
        <f>'Res OLS model'!$B$9*G16</f>
        <v>-1419959.8612913999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si="3"/>
        <v>12409807.103005409</v>
      </c>
      <c r="U16" s="23">
        <f t="shared" ca="1" si="2"/>
        <v>1.8519255146786574E-2</v>
      </c>
    </row>
    <row r="17" spans="1:21" x14ac:dyDescent="0.3">
      <c r="A17" s="22">
        <f>'Monthly Data'!A17</f>
        <v>39539</v>
      </c>
      <c r="B17" s="4">
        <f t="shared" si="1"/>
        <v>2008</v>
      </c>
      <c r="C17" s="20">
        <f ca="1">'Monthly Data'!E17</f>
        <v>10212184.296470912</v>
      </c>
      <c r="D17" s="56">
        <f>'Monthly Data'!AK17</f>
        <v>265</v>
      </c>
      <c r="E17" s="56">
        <f>'Monthly Data'!AL17</f>
        <v>0</v>
      </c>
      <c r="F17" s="86">
        <f>'Monthly Data'!AT17</f>
        <v>16</v>
      </c>
      <c r="G17" s="56">
        <f>'Monthly Data'!AO17</f>
        <v>1</v>
      </c>
      <c r="H17" s="86">
        <f>'Monthly Data'!AV17</f>
        <v>0</v>
      </c>
      <c r="I17" s="86">
        <f>'Monthly Data'!AZ17</f>
        <v>0</v>
      </c>
      <c r="J17" s="86">
        <f>'Monthly Data'!BC17</f>
        <v>0</v>
      </c>
      <c r="L17" s="20">
        <f>'Res OLS model'!$B$5</f>
        <v>10397563.9954574</v>
      </c>
      <c r="M17" s="20">
        <f>'Res OLS model'!$B$6*D17</f>
        <v>1477008.0325964065</v>
      </c>
      <c r="N17" s="20">
        <f>'Res OLS model'!$B$7*E17</f>
        <v>0</v>
      </c>
      <c r="O17" s="20">
        <f>'Res OLS model'!$B$8*F17</f>
        <v>-68400.914134468316</v>
      </c>
      <c r="P17" s="20">
        <f>'Res OLS model'!$B$9*G17</f>
        <v>-1419959.8612913999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si="3"/>
        <v>10386211.252627937</v>
      </c>
      <c r="U17" s="23">
        <f t="shared" ca="1" si="2"/>
        <v>1.7041110021600817E-2</v>
      </c>
    </row>
    <row r="18" spans="1:21" x14ac:dyDescent="0.3">
      <c r="A18" s="22">
        <f>'Monthly Data'!A18</f>
        <v>39569</v>
      </c>
      <c r="B18" s="4">
        <f t="shared" si="1"/>
        <v>2008</v>
      </c>
      <c r="C18" s="20">
        <f ca="1">'Monthly Data'!E18</f>
        <v>10279757.096470911</v>
      </c>
      <c r="D18" s="56">
        <f>'Monthly Data'!AK18</f>
        <v>208.8</v>
      </c>
      <c r="E18" s="56">
        <f>'Monthly Data'!AL18</f>
        <v>2.1</v>
      </c>
      <c r="F18" s="86">
        <f>'Monthly Data'!AT18</f>
        <v>17</v>
      </c>
      <c r="G18" s="56">
        <f>'Monthly Data'!AO18</f>
        <v>1</v>
      </c>
      <c r="H18" s="86">
        <f>'Monthly Data'!AV18</f>
        <v>0</v>
      </c>
      <c r="I18" s="86">
        <f>'Monthly Data'!AZ18</f>
        <v>0</v>
      </c>
      <c r="J18" s="86">
        <f>'Monthly Data'!BC18</f>
        <v>0</v>
      </c>
      <c r="L18" s="20">
        <f>'Res OLS model'!$B$5</f>
        <v>10397563.9954574</v>
      </c>
      <c r="M18" s="20">
        <f>'Res OLS model'!$B$6*D18</f>
        <v>1163770.8573816214</v>
      </c>
      <c r="N18" s="20">
        <f>'Res OLS model'!$B$7*E18</f>
        <v>57801.794300398687</v>
      </c>
      <c r="O18" s="20">
        <f>'Res OLS model'!$B$8*F18</f>
        <v>-72675.971267872592</v>
      </c>
      <c r="P18" s="20">
        <f>'Res OLS model'!$B$9*G18</f>
        <v>-1419959.8612913999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si="3"/>
        <v>10126500.814580146</v>
      </c>
      <c r="U18" s="23">
        <f t="shared" ca="1" si="2"/>
        <v>1.4908550897898009E-2</v>
      </c>
    </row>
    <row r="19" spans="1:21" x14ac:dyDescent="0.3">
      <c r="A19" s="22">
        <f>'Monthly Data'!A19</f>
        <v>39600</v>
      </c>
      <c r="B19" s="4">
        <f t="shared" si="1"/>
        <v>2008</v>
      </c>
      <c r="C19" s="20">
        <f ca="1">'Monthly Data'!E19</f>
        <v>10871040.896470912</v>
      </c>
      <c r="D19" s="56">
        <f>'Monthly Data'!AK19</f>
        <v>24.1</v>
      </c>
      <c r="E19" s="56">
        <f>'Monthly Data'!AL19</f>
        <v>66.400000000000006</v>
      </c>
      <c r="F19" s="86">
        <f>'Monthly Data'!AT19</f>
        <v>18</v>
      </c>
      <c r="G19" s="56">
        <f>'Monthly Data'!AO19</f>
        <v>0</v>
      </c>
      <c r="H19" s="86">
        <f>'Monthly Data'!AV19</f>
        <v>0</v>
      </c>
      <c r="I19" s="86">
        <f>'Monthly Data'!AZ19</f>
        <v>1</v>
      </c>
      <c r="J19" s="86">
        <f>'Monthly Data'!BC19</f>
        <v>0</v>
      </c>
      <c r="L19" s="20">
        <f>'Res OLS model'!$B$5</f>
        <v>10397563.9954574</v>
      </c>
      <c r="M19" s="20">
        <f>'Res OLS model'!$B$6*D19</f>
        <v>134324.12673801283</v>
      </c>
      <c r="N19" s="20">
        <f>'Res OLS model'!$B$7*E19</f>
        <v>1827637.6864507014</v>
      </c>
      <c r="O19" s="20">
        <f>'Res OLS model'!$B$8*F19</f>
        <v>-76951.028401276853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-773164.55099904304</v>
      </c>
      <c r="S19" s="20">
        <f>'Res OLS model'!$B$12*J19</f>
        <v>0</v>
      </c>
      <c r="T19" s="20">
        <f t="shared" si="3"/>
        <v>11509410.229245795</v>
      </c>
      <c r="U19" s="23">
        <f t="shared" ca="1" si="2"/>
        <v>5.8722006370348426E-2</v>
      </c>
    </row>
    <row r="20" spans="1:21" x14ac:dyDescent="0.3">
      <c r="A20" s="22">
        <f>'Monthly Data'!A20</f>
        <v>39630</v>
      </c>
      <c r="B20" s="4">
        <f t="shared" si="1"/>
        <v>2008</v>
      </c>
      <c r="C20" s="20">
        <f ca="1">'Monthly Data'!E20</f>
        <v>12420189.896470912</v>
      </c>
      <c r="D20" s="56">
        <f>'Monthly Data'!AK20</f>
        <v>4</v>
      </c>
      <c r="E20" s="56">
        <f>'Monthly Data'!AL20</f>
        <v>97</v>
      </c>
      <c r="F20" s="86">
        <f>'Monthly Data'!AT20</f>
        <v>19</v>
      </c>
      <c r="G20" s="56">
        <f>'Monthly Data'!AO20</f>
        <v>0</v>
      </c>
      <c r="H20" s="86">
        <f>'Monthly Data'!AV20</f>
        <v>0</v>
      </c>
      <c r="I20" s="86">
        <f>'Monthly Data'!AZ20</f>
        <v>0</v>
      </c>
      <c r="J20" s="86">
        <f>'Monthly Data'!BC20</f>
        <v>0</v>
      </c>
      <c r="L20" s="20">
        <f>'Res OLS model'!$B$5</f>
        <v>10397563.9954574</v>
      </c>
      <c r="M20" s="20">
        <f>'Res OLS model'!$B$6*D20</f>
        <v>22294.46086937972</v>
      </c>
      <c r="N20" s="20">
        <f>'Res OLS model'!$B$7*E20</f>
        <v>2669892.4033993678</v>
      </c>
      <c r="O20" s="20">
        <f>'Res OLS model'!$B$8*F20</f>
        <v>-81226.08553468113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si="3"/>
        <v>13008524.774191465</v>
      </c>
      <c r="U20" s="23">
        <f t="shared" ca="1" si="2"/>
        <v>4.7369233693256463E-2</v>
      </c>
    </row>
    <row r="21" spans="1:21" x14ac:dyDescent="0.3">
      <c r="A21" s="22">
        <f>'Monthly Data'!A21</f>
        <v>39661</v>
      </c>
      <c r="B21" s="4">
        <f t="shared" si="1"/>
        <v>2008</v>
      </c>
      <c r="C21" s="20">
        <f ca="1">'Monthly Data'!E21</f>
        <v>12069420.896470912</v>
      </c>
      <c r="D21" s="56">
        <f>'Monthly Data'!AK21</f>
        <v>12.4</v>
      </c>
      <c r="E21" s="56">
        <f>'Monthly Data'!AL21</f>
        <v>53.2</v>
      </c>
      <c r="F21" s="86">
        <f>'Monthly Data'!AT21</f>
        <v>20</v>
      </c>
      <c r="G21" s="56">
        <f>'Monthly Data'!AO21</f>
        <v>0</v>
      </c>
      <c r="H21" s="86">
        <f>'Monthly Data'!AV21</f>
        <v>0</v>
      </c>
      <c r="I21" s="86">
        <f>'Monthly Data'!AZ21</f>
        <v>0</v>
      </c>
      <c r="J21" s="86">
        <f>'Monthly Data'!BC21</f>
        <v>0</v>
      </c>
      <c r="L21" s="20">
        <f>'Res OLS model'!$B$5</f>
        <v>10397563.9954574</v>
      </c>
      <c r="M21" s="20">
        <f>'Res OLS model'!$B$6*D21</f>
        <v>69112.828695077129</v>
      </c>
      <c r="N21" s="20">
        <f>'Res OLS model'!$B$7*E21</f>
        <v>1464312.1222767667</v>
      </c>
      <c r="O21" s="20">
        <f>'Res OLS model'!$B$8*F21</f>
        <v>-85501.142668085391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si="3"/>
        <v>11845487.803761158</v>
      </c>
      <c r="U21" s="23">
        <f t="shared" ca="1" si="2"/>
        <v>1.8553756193491561E-2</v>
      </c>
    </row>
    <row r="22" spans="1:21" x14ac:dyDescent="0.3">
      <c r="A22" s="22">
        <f>'Monthly Data'!A22</f>
        <v>39692</v>
      </c>
      <c r="B22" s="4">
        <f t="shared" si="1"/>
        <v>2008</v>
      </c>
      <c r="C22" s="20">
        <f ca="1">'Monthly Data'!E22</f>
        <v>9822708.8964709118</v>
      </c>
      <c r="D22" s="56">
        <f>'Monthly Data'!AK22</f>
        <v>56.7</v>
      </c>
      <c r="E22" s="56">
        <f>'Monthly Data'!AL22</f>
        <v>21.4</v>
      </c>
      <c r="F22" s="86">
        <f>'Monthly Data'!AT22</f>
        <v>21</v>
      </c>
      <c r="G22" s="56">
        <f>'Monthly Data'!AO22</f>
        <v>1</v>
      </c>
      <c r="H22" s="86">
        <f>'Monthly Data'!AV22</f>
        <v>0</v>
      </c>
      <c r="I22" s="86">
        <f>'Monthly Data'!AZ22</f>
        <v>0</v>
      </c>
      <c r="J22" s="86">
        <f>'Monthly Data'!BC22</f>
        <v>1</v>
      </c>
      <c r="L22" s="20">
        <f>'Res OLS model'!$B$5</f>
        <v>10397563.9954574</v>
      </c>
      <c r="M22" s="20">
        <f>'Res OLS model'!$B$6*D22</f>
        <v>316023.98282345757</v>
      </c>
      <c r="N22" s="20">
        <f>'Res OLS model'!$B$7*E22</f>
        <v>589027.80858501513</v>
      </c>
      <c r="O22" s="20">
        <f>'Res OLS model'!$B$8*F22</f>
        <v>-89776.199801489667</v>
      </c>
      <c r="P22" s="20">
        <f>'Res OLS model'!$B$9*G22</f>
        <v>-1419959.8612913999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772942.00624980999</v>
      </c>
      <c r="T22" s="20">
        <f t="shared" si="3"/>
        <v>10565821.732022792</v>
      </c>
      <c r="U22" s="23">
        <f t="shared" ca="1" si="2"/>
        <v>7.5652535709254787E-2</v>
      </c>
    </row>
    <row r="23" spans="1:21" x14ac:dyDescent="0.3">
      <c r="A23" s="22">
        <f>'Monthly Data'!A23</f>
        <v>39722</v>
      </c>
      <c r="B23" s="4">
        <f t="shared" si="1"/>
        <v>2008</v>
      </c>
      <c r="C23" s="20">
        <f ca="1">'Monthly Data'!E23</f>
        <v>10052323.896470912</v>
      </c>
      <c r="D23" s="56">
        <f>'Monthly Data'!AK23</f>
        <v>286.8</v>
      </c>
      <c r="E23" s="56">
        <f>'Monthly Data'!AL23</f>
        <v>0</v>
      </c>
      <c r="F23" s="86">
        <f>'Monthly Data'!AT23</f>
        <v>22</v>
      </c>
      <c r="G23" s="56">
        <f>'Monthly Data'!AO23</f>
        <v>1</v>
      </c>
      <c r="H23" s="86">
        <f>'Monthly Data'!AV23</f>
        <v>0</v>
      </c>
      <c r="I23" s="86">
        <f>'Monthly Data'!AZ23</f>
        <v>0</v>
      </c>
      <c r="J23" s="86">
        <f>'Monthly Data'!BC23</f>
        <v>0</v>
      </c>
      <c r="L23" s="20">
        <f>'Res OLS model'!$B$5</f>
        <v>10397563.9954574</v>
      </c>
      <c r="M23" s="20">
        <f>'Res OLS model'!$B$6*D23</f>
        <v>1598512.844334526</v>
      </c>
      <c r="N23" s="20">
        <f>'Res OLS model'!$B$7*E23</f>
        <v>0</v>
      </c>
      <c r="O23" s="20">
        <f>'Res OLS model'!$B$8*F23</f>
        <v>-94051.256934893929</v>
      </c>
      <c r="P23" s="20">
        <f>'Res OLS model'!$B$9*G23</f>
        <v>-1419959.8612913999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si="3"/>
        <v>10482065.721565632</v>
      </c>
      <c r="U23" s="23">
        <f t="shared" ca="1" si="2"/>
        <v>4.2750495260662123E-2</v>
      </c>
    </row>
    <row r="24" spans="1:21" x14ac:dyDescent="0.3">
      <c r="A24" s="22">
        <f>'Monthly Data'!A24</f>
        <v>39753</v>
      </c>
      <c r="B24" s="4">
        <f t="shared" si="1"/>
        <v>2008</v>
      </c>
      <c r="C24" s="20">
        <f ca="1">'Monthly Data'!E24</f>
        <v>11103226.896470912</v>
      </c>
      <c r="D24" s="56">
        <f>'Monthly Data'!AK24</f>
        <v>468.3</v>
      </c>
      <c r="E24" s="56">
        <f>'Monthly Data'!AL24</f>
        <v>0</v>
      </c>
      <c r="F24" s="86">
        <f>'Monthly Data'!AT24</f>
        <v>23</v>
      </c>
      <c r="G24" s="56">
        <f>'Monthly Data'!AO24</f>
        <v>1</v>
      </c>
      <c r="H24" s="86">
        <f>'Monthly Data'!AV24</f>
        <v>0</v>
      </c>
      <c r="I24" s="86">
        <f>'Monthly Data'!AZ24</f>
        <v>0</v>
      </c>
      <c r="J24" s="86">
        <f>'Monthly Data'!BC24</f>
        <v>0</v>
      </c>
      <c r="L24" s="20">
        <f>'Res OLS model'!$B$5</f>
        <v>10397563.9954574</v>
      </c>
      <c r="M24" s="20">
        <f>'Res OLS model'!$B$6*D24</f>
        <v>2610124.0062826308</v>
      </c>
      <c r="N24" s="20">
        <f>'Res OLS model'!$B$7*E24</f>
        <v>0</v>
      </c>
      <c r="O24" s="20">
        <f>'Res OLS model'!$B$8*F24</f>
        <v>-98326.314068298205</v>
      </c>
      <c r="P24" s="20">
        <f>'Res OLS model'!$B$9*G24</f>
        <v>-1419959.8612913999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si="3"/>
        <v>11489401.826380333</v>
      </c>
      <c r="U24" s="23">
        <f t="shared" ca="1" si="2"/>
        <v>3.4780423160780789E-2</v>
      </c>
    </row>
    <row r="25" spans="1:21" x14ac:dyDescent="0.3">
      <c r="A25" s="22">
        <f>'Monthly Data'!A25</f>
        <v>39783</v>
      </c>
      <c r="B25" s="4">
        <f t="shared" si="1"/>
        <v>2008</v>
      </c>
      <c r="C25" s="20">
        <f ca="1">'Monthly Data'!E25</f>
        <v>14751336.896470912</v>
      </c>
      <c r="D25" s="56">
        <f>'Monthly Data'!AK25</f>
        <v>671</v>
      </c>
      <c r="E25" s="56">
        <f>'Monthly Data'!AL25</f>
        <v>0</v>
      </c>
      <c r="F25" s="86">
        <f>'Monthly Data'!AT25</f>
        <v>24</v>
      </c>
      <c r="G25" s="56">
        <f>'Monthly Data'!AO25</f>
        <v>0</v>
      </c>
      <c r="H25" s="86">
        <f>'Monthly Data'!AV25</f>
        <v>0</v>
      </c>
      <c r="I25" s="86">
        <f>'Monthly Data'!AZ25</f>
        <v>0</v>
      </c>
      <c r="J25" s="86">
        <f>'Monthly Data'!BC25</f>
        <v>0</v>
      </c>
      <c r="L25" s="20">
        <f>'Res OLS model'!$B$5</f>
        <v>10397563.9954574</v>
      </c>
      <c r="M25" s="20">
        <f>'Res OLS model'!$B$6*D25</f>
        <v>3739895.8108384479</v>
      </c>
      <c r="N25" s="20">
        <f>'Res OLS model'!$B$7*E25</f>
        <v>0</v>
      </c>
      <c r="O25" s="20">
        <f>'Res OLS model'!$B$8*F25</f>
        <v>-102601.37120170248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si="3"/>
        <v>14034858.435094144</v>
      </c>
      <c r="U25" s="23">
        <f t="shared" ca="1" si="2"/>
        <v>4.8570408662293979E-2</v>
      </c>
    </row>
    <row r="26" spans="1:21" x14ac:dyDescent="0.3">
      <c r="A26" s="22">
        <f>'Monthly Data'!A26</f>
        <v>39814</v>
      </c>
      <c r="B26" s="4">
        <f t="shared" si="1"/>
        <v>2009</v>
      </c>
      <c r="C26" s="20">
        <f ca="1">'Monthly Data'!E26</f>
        <v>14994049.254319351</v>
      </c>
      <c r="D26" s="56">
        <f>'Monthly Data'!AK26</f>
        <v>849.6</v>
      </c>
      <c r="E26" s="56">
        <f>'Monthly Data'!AL26</f>
        <v>0</v>
      </c>
      <c r="F26" s="86">
        <f>'Monthly Data'!AT26</f>
        <v>25</v>
      </c>
      <c r="G26" s="56">
        <f>'Monthly Data'!AO26</f>
        <v>0</v>
      </c>
      <c r="H26" s="86">
        <f>'Monthly Data'!AV26</f>
        <v>0</v>
      </c>
      <c r="I26" s="86">
        <f>'Monthly Data'!AZ26</f>
        <v>0</v>
      </c>
      <c r="J26" s="86">
        <f>'Monthly Data'!BC26</f>
        <v>0</v>
      </c>
      <c r="L26" s="20">
        <f>'Res OLS model'!$B$5</f>
        <v>10397563.9954574</v>
      </c>
      <c r="M26" s="20">
        <f>'Res OLS model'!$B$6*D26</f>
        <v>4735343.4886562526</v>
      </c>
      <c r="N26" s="20">
        <f>'Res OLS model'!$B$7*E26</f>
        <v>0</v>
      </c>
      <c r="O26" s="20">
        <f>'Res OLS model'!$B$8*F26</f>
        <v>-106876.42833510674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si="3"/>
        <v>15026031.055778546</v>
      </c>
      <c r="U26" s="23">
        <f t="shared" ca="1" si="2"/>
        <v>2.1329662799381604E-3</v>
      </c>
    </row>
    <row r="27" spans="1:21" x14ac:dyDescent="0.3">
      <c r="A27" s="22">
        <f>'Monthly Data'!A27</f>
        <v>39845</v>
      </c>
      <c r="B27" s="4">
        <f t="shared" si="1"/>
        <v>2009</v>
      </c>
      <c r="C27" s="20">
        <f ca="1">'Monthly Data'!E27</f>
        <v>13874031.254319351</v>
      </c>
      <c r="D27" s="56">
        <f>'Monthly Data'!AK27</f>
        <v>612.70000000000005</v>
      </c>
      <c r="E27" s="56">
        <f>'Monthly Data'!AL27</f>
        <v>0</v>
      </c>
      <c r="F27" s="86">
        <f>'Monthly Data'!AT27</f>
        <v>26</v>
      </c>
      <c r="G27" s="56">
        <f>'Monthly Data'!AO27</f>
        <v>0</v>
      </c>
      <c r="H27" s="86">
        <f>'Monthly Data'!AV27</f>
        <v>1</v>
      </c>
      <c r="I27" s="86">
        <f>'Monthly Data'!AZ27</f>
        <v>0</v>
      </c>
      <c r="J27" s="86">
        <f>'Monthly Data'!BC27</f>
        <v>0</v>
      </c>
      <c r="L27" s="20">
        <f>'Res OLS model'!$B$5</f>
        <v>10397563.9954574</v>
      </c>
      <c r="M27" s="20">
        <f>'Res OLS model'!$B$6*D27</f>
        <v>3414954.0436672387</v>
      </c>
      <c r="N27" s="20">
        <f>'Res OLS model'!$B$7*E27</f>
        <v>0</v>
      </c>
      <c r="O27" s="20">
        <f>'Res OLS model'!$B$8*F27</f>
        <v>-111151.48546851102</v>
      </c>
      <c r="P27" s="20">
        <f>'Res OLS model'!$B$9*G27</f>
        <v>0</v>
      </c>
      <c r="Q27" s="20">
        <f>'Res OLS model'!$B$10*H27</f>
        <v>-473349.26469262998</v>
      </c>
      <c r="R27" s="20">
        <f>'Res OLS model'!$B$11*I27</f>
        <v>0</v>
      </c>
      <c r="S27" s="20">
        <f>'Res OLS model'!$B$12*J27</f>
        <v>0</v>
      </c>
      <c r="T27" s="20">
        <f t="shared" si="3"/>
        <v>13228017.288963497</v>
      </c>
      <c r="U27" s="23">
        <f t="shared" ca="1" si="2"/>
        <v>4.6562816063624862E-2</v>
      </c>
    </row>
    <row r="28" spans="1:21" x14ac:dyDescent="0.3">
      <c r="A28" s="22">
        <f>'Monthly Data'!A28</f>
        <v>39873</v>
      </c>
      <c r="B28" s="4">
        <f t="shared" si="1"/>
        <v>2009</v>
      </c>
      <c r="C28" s="20">
        <f ca="1">'Monthly Data'!E28</f>
        <v>11835174.254319351</v>
      </c>
      <c r="D28" s="56">
        <f>'Monthly Data'!AK28</f>
        <v>533.29999999999995</v>
      </c>
      <c r="E28" s="56">
        <f>'Monthly Data'!AL28</f>
        <v>0</v>
      </c>
      <c r="F28" s="86">
        <f>'Monthly Data'!AT28</f>
        <v>27</v>
      </c>
      <c r="G28" s="56">
        <f>'Monthly Data'!AO28</f>
        <v>1</v>
      </c>
      <c r="H28" s="86">
        <f>'Monthly Data'!AV28</f>
        <v>0</v>
      </c>
      <c r="I28" s="86">
        <f>'Monthly Data'!AZ28</f>
        <v>0</v>
      </c>
      <c r="J28" s="86">
        <f>'Monthly Data'!BC28</f>
        <v>0</v>
      </c>
      <c r="L28" s="20">
        <f>'Res OLS model'!$B$5</f>
        <v>10397563.9954574</v>
      </c>
      <c r="M28" s="20">
        <f>'Res OLS model'!$B$6*D28</f>
        <v>2972408.9954100507</v>
      </c>
      <c r="N28" s="20">
        <f>'Res OLS model'!$B$7*E28</f>
        <v>0</v>
      </c>
      <c r="O28" s="20">
        <f>'Res OLS model'!$B$8*F28</f>
        <v>-115426.54260191528</v>
      </c>
      <c r="P28" s="20">
        <f>'Res OLS model'!$B$9*G28</f>
        <v>-1419959.8612913999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si="3"/>
        <v>11834586.586974137</v>
      </c>
      <c r="U28" s="23">
        <f t="shared" ca="1" si="2"/>
        <v>4.9654304413824812E-5</v>
      </c>
    </row>
    <row r="29" spans="1:21" x14ac:dyDescent="0.3">
      <c r="A29" s="22">
        <f>'Monthly Data'!A29</f>
        <v>39904</v>
      </c>
      <c r="B29" s="4">
        <f t="shared" si="1"/>
        <v>2009</v>
      </c>
      <c r="C29" s="20">
        <f ca="1">'Monthly Data'!E29</f>
        <v>11370094.254319351</v>
      </c>
      <c r="D29" s="56">
        <f>'Monthly Data'!AK29</f>
        <v>307</v>
      </c>
      <c r="E29" s="56">
        <f>'Monthly Data'!AL29</f>
        <v>3.2</v>
      </c>
      <c r="F29" s="86">
        <f>'Monthly Data'!AT29</f>
        <v>28</v>
      </c>
      <c r="G29" s="56">
        <f>'Monthly Data'!AO29</f>
        <v>1</v>
      </c>
      <c r="H29" s="86">
        <f>'Monthly Data'!AV29</f>
        <v>0</v>
      </c>
      <c r="I29" s="86">
        <f>'Monthly Data'!AZ29</f>
        <v>0</v>
      </c>
      <c r="J29" s="86">
        <f>'Monthly Data'!BC29</f>
        <v>0</v>
      </c>
      <c r="L29" s="20">
        <f>'Res OLS model'!$B$5</f>
        <v>10397563.9954574</v>
      </c>
      <c r="M29" s="20">
        <f>'Res OLS model'!$B$6*D29</f>
        <v>1711099.8717248936</v>
      </c>
      <c r="N29" s="20">
        <f>'Res OLS model'!$B$7*E29</f>
        <v>88078.924648226573</v>
      </c>
      <c r="O29" s="20">
        <f>'Res OLS model'!$B$8*F29</f>
        <v>-119701.59973531956</v>
      </c>
      <c r="P29" s="20">
        <f>'Res OLS model'!$B$9*G29</f>
        <v>-1419959.8612913999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si="3"/>
        <v>10657081.330803802</v>
      </c>
      <c r="U29" s="23">
        <f t="shared" ca="1" si="2"/>
        <v>6.2709499813045494E-2</v>
      </c>
    </row>
    <row r="30" spans="1:21" x14ac:dyDescent="0.3">
      <c r="A30" s="22">
        <f>'Monthly Data'!A30</f>
        <v>39934</v>
      </c>
      <c r="B30" s="4">
        <f t="shared" si="1"/>
        <v>2009</v>
      </c>
      <c r="C30" s="20">
        <f ca="1">'Monthly Data'!E30</f>
        <v>9112702.0543193519</v>
      </c>
      <c r="D30" s="56">
        <f>'Monthly Data'!AK30</f>
        <v>156.9</v>
      </c>
      <c r="E30" s="56">
        <f>'Monthly Data'!AL30</f>
        <v>3.1</v>
      </c>
      <c r="F30" s="86">
        <f>'Monthly Data'!AT30</f>
        <v>29</v>
      </c>
      <c r="G30" s="56">
        <f>'Monthly Data'!AO30</f>
        <v>1</v>
      </c>
      <c r="H30" s="86">
        <f>'Monthly Data'!AV30</f>
        <v>0</v>
      </c>
      <c r="I30" s="86">
        <f>'Monthly Data'!AZ30</f>
        <v>0</v>
      </c>
      <c r="J30" s="86">
        <f>'Monthly Data'!BC30</f>
        <v>0</v>
      </c>
      <c r="L30" s="20">
        <f>'Res OLS model'!$B$5</f>
        <v>10397563.9954574</v>
      </c>
      <c r="M30" s="20">
        <f>'Res OLS model'!$B$6*D30</f>
        <v>874500.22760141955</v>
      </c>
      <c r="N30" s="20">
        <f>'Res OLS model'!$B$7*E30</f>
        <v>85326.458252969489</v>
      </c>
      <c r="O30" s="20">
        <f>'Res OLS model'!$B$8*F30</f>
        <v>-123976.65686872382</v>
      </c>
      <c r="P30" s="20">
        <f>'Res OLS model'!$B$9*G30</f>
        <v>-1419959.8612913999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si="3"/>
        <v>9813454.1631516665</v>
      </c>
      <c r="U30" s="23">
        <f t="shared" ca="1" si="2"/>
        <v>7.6898389155625191E-2</v>
      </c>
    </row>
    <row r="31" spans="1:21" x14ac:dyDescent="0.3">
      <c r="A31" s="22">
        <f>'Monthly Data'!A31</f>
        <v>39965</v>
      </c>
      <c r="B31" s="4">
        <f t="shared" si="1"/>
        <v>2009</v>
      </c>
      <c r="C31" s="20">
        <f ca="1">'Monthly Data'!E31</f>
        <v>10026613.45431935</v>
      </c>
      <c r="D31" s="56">
        <f>'Monthly Data'!AK31</f>
        <v>49.7</v>
      </c>
      <c r="E31" s="56">
        <f>'Monthly Data'!AL31</f>
        <v>35.5</v>
      </c>
      <c r="F31" s="86">
        <f>'Monthly Data'!AT31</f>
        <v>30</v>
      </c>
      <c r="G31" s="56">
        <f>'Monthly Data'!AO31</f>
        <v>0</v>
      </c>
      <c r="H31" s="86">
        <f>'Monthly Data'!AV31</f>
        <v>0</v>
      </c>
      <c r="I31" s="86">
        <f>'Monthly Data'!AZ31</f>
        <v>1</v>
      </c>
      <c r="J31" s="86">
        <f>'Monthly Data'!BC31</f>
        <v>0</v>
      </c>
      <c r="L31" s="20">
        <f>'Res OLS model'!$B$5</f>
        <v>10397563.9954574</v>
      </c>
      <c r="M31" s="20">
        <f>'Res OLS model'!$B$6*D31</f>
        <v>277008.67630204302</v>
      </c>
      <c r="N31" s="20">
        <f>'Res OLS model'!$B$7*E31</f>
        <v>977125.57031626347</v>
      </c>
      <c r="O31" s="20">
        <f>'Res OLS model'!$B$8*F31</f>
        <v>-128251.71400212809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-773164.55099904304</v>
      </c>
      <c r="S31" s="20">
        <f>'Res OLS model'!$B$12*J31</f>
        <v>0</v>
      </c>
      <c r="T31" s="20">
        <f t="shared" si="3"/>
        <v>10750281.977074536</v>
      </c>
      <c r="U31" s="23">
        <f t="shared" ca="1" si="2"/>
        <v>7.2174770280331993E-2</v>
      </c>
    </row>
    <row r="32" spans="1:21" x14ac:dyDescent="0.3">
      <c r="A32" s="22">
        <f>'Monthly Data'!A32</f>
        <v>39995</v>
      </c>
      <c r="B32" s="4">
        <f t="shared" si="1"/>
        <v>2009</v>
      </c>
      <c r="C32" s="20">
        <f ca="1">'Monthly Data'!E32</f>
        <v>11170286.254319351</v>
      </c>
      <c r="D32" s="56">
        <f>'Monthly Data'!AK32</f>
        <v>20.2</v>
      </c>
      <c r="E32" s="56">
        <f>'Monthly Data'!AL32</f>
        <v>29.4</v>
      </c>
      <c r="F32" s="86">
        <f>'Monthly Data'!AT32</f>
        <v>31</v>
      </c>
      <c r="G32" s="56">
        <f>'Monthly Data'!AO32</f>
        <v>0</v>
      </c>
      <c r="H32" s="86">
        <f>'Monthly Data'!AV32</f>
        <v>0</v>
      </c>
      <c r="I32" s="86">
        <f>'Monthly Data'!AZ32</f>
        <v>0</v>
      </c>
      <c r="J32" s="86">
        <f>'Monthly Data'!BC32</f>
        <v>0</v>
      </c>
      <c r="L32" s="20">
        <f>'Res OLS model'!$B$5</f>
        <v>10397563.9954574</v>
      </c>
      <c r="M32" s="20">
        <f>'Res OLS model'!$B$6*D32</f>
        <v>112587.02739036758</v>
      </c>
      <c r="N32" s="20">
        <f>'Res OLS model'!$B$7*E32</f>
        <v>809225.12020558154</v>
      </c>
      <c r="O32" s="20">
        <f>'Res OLS model'!$B$8*F32</f>
        <v>-132526.77113553236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si="3"/>
        <v>11186849.371917816</v>
      </c>
      <c r="U32" s="23">
        <f t="shared" ca="1" si="2"/>
        <v>1.4827836298340205E-3</v>
      </c>
    </row>
    <row r="33" spans="1:21" x14ac:dyDescent="0.3">
      <c r="A33" s="22">
        <f>'Monthly Data'!A33</f>
        <v>40026</v>
      </c>
      <c r="B33" s="4">
        <f t="shared" si="1"/>
        <v>2009</v>
      </c>
      <c r="C33" s="20">
        <f ca="1">'Monthly Data'!E33</f>
        <v>11765460.254319351</v>
      </c>
      <c r="D33" s="56">
        <f>'Monthly Data'!AK33</f>
        <v>17.899999999999999</v>
      </c>
      <c r="E33" s="56">
        <f>'Monthly Data'!AL33</f>
        <v>71.900000000000006</v>
      </c>
      <c r="F33" s="86">
        <f>'Monthly Data'!AT33</f>
        <v>32</v>
      </c>
      <c r="G33" s="56">
        <f>'Monthly Data'!AO33</f>
        <v>0</v>
      </c>
      <c r="H33" s="86">
        <f>'Monthly Data'!AV33</f>
        <v>0</v>
      </c>
      <c r="I33" s="86">
        <f>'Monthly Data'!AZ33</f>
        <v>0</v>
      </c>
      <c r="J33" s="86">
        <f>'Monthly Data'!BC33</f>
        <v>0</v>
      </c>
      <c r="L33" s="20">
        <f>'Res OLS model'!$B$5</f>
        <v>10397563.9954574</v>
      </c>
      <c r="M33" s="20">
        <f>'Res OLS model'!$B$6*D33</f>
        <v>99767.712390474233</v>
      </c>
      <c r="N33" s="20">
        <f>'Res OLS model'!$B$7*E33</f>
        <v>1979023.3381898408</v>
      </c>
      <c r="O33" s="20">
        <f>'Res OLS model'!$B$8*F33</f>
        <v>-136801.82826893663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si="3"/>
        <v>12339553.217768779</v>
      </c>
      <c r="U33" s="23">
        <f t="shared" ca="1" si="2"/>
        <v>4.8794773093442399E-2</v>
      </c>
    </row>
    <row r="34" spans="1:21" x14ac:dyDescent="0.3">
      <c r="A34" s="22">
        <f>'Monthly Data'!A34</f>
        <v>40057</v>
      </c>
      <c r="B34" s="4">
        <f t="shared" si="1"/>
        <v>2009</v>
      </c>
      <c r="C34" s="20">
        <f ca="1">'Monthly Data'!E34</f>
        <v>10472733.254319351</v>
      </c>
      <c r="D34" s="56">
        <f>'Monthly Data'!AK34</f>
        <v>71.2</v>
      </c>
      <c r="E34" s="56">
        <f>'Monthly Data'!AL34</f>
        <v>15.9</v>
      </c>
      <c r="F34" s="86">
        <f>'Monthly Data'!AT34</f>
        <v>33</v>
      </c>
      <c r="G34" s="56">
        <f>'Monthly Data'!AO34</f>
        <v>1</v>
      </c>
      <c r="H34" s="86">
        <f>'Monthly Data'!AV34</f>
        <v>0</v>
      </c>
      <c r="I34" s="86">
        <f>'Monthly Data'!AZ34</f>
        <v>0</v>
      </c>
      <c r="J34" s="86">
        <f>'Monthly Data'!BC34</f>
        <v>1</v>
      </c>
      <c r="L34" s="20">
        <f>'Res OLS model'!$B$5</f>
        <v>10397563.9954574</v>
      </c>
      <c r="M34" s="20">
        <f>'Res OLS model'!$B$6*D34</f>
        <v>396841.40347495902</v>
      </c>
      <c r="N34" s="20">
        <f>'Res OLS model'!$B$7*E34</f>
        <v>437642.15684587572</v>
      </c>
      <c r="O34" s="20">
        <f>'Res OLS model'!$B$8*F34</f>
        <v>-141076.88540234091</v>
      </c>
      <c r="P34" s="20">
        <f>'Res OLS model'!$B$9*G34</f>
        <v>-1419959.8612913999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772942.00624980999</v>
      </c>
      <c r="T34" s="20">
        <f t="shared" si="3"/>
        <v>10443952.815334303</v>
      </c>
      <c r="U34" s="23">
        <f t="shared" ref="U34:U65" ca="1" si="4">ABS(T34-C34)/C34</f>
        <v>2.7481306251333883E-3</v>
      </c>
    </row>
    <row r="35" spans="1:21" x14ac:dyDescent="0.3">
      <c r="A35" s="22">
        <f>'Monthly Data'!A35</f>
        <v>40087</v>
      </c>
      <c r="B35" s="4">
        <f t="shared" si="1"/>
        <v>2009</v>
      </c>
      <c r="C35" s="20">
        <f ca="1">'Monthly Data'!E35</f>
        <v>10701899.254319351</v>
      </c>
      <c r="D35" s="56">
        <f>'Monthly Data'!AK35</f>
        <v>301.2</v>
      </c>
      <c r="E35" s="56">
        <f>'Monthly Data'!AL35</f>
        <v>0</v>
      </c>
      <c r="F35" s="86">
        <f>'Monthly Data'!AT35</f>
        <v>34</v>
      </c>
      <c r="G35" s="56">
        <f>'Monthly Data'!AO35</f>
        <v>1</v>
      </c>
      <c r="H35" s="86">
        <f>'Monthly Data'!AV35</f>
        <v>0</v>
      </c>
      <c r="I35" s="86">
        <f>'Monthly Data'!AZ35</f>
        <v>0</v>
      </c>
      <c r="J35" s="86">
        <f>'Monthly Data'!BC35</f>
        <v>0</v>
      </c>
      <c r="L35" s="20">
        <f>'Res OLS model'!$B$5</f>
        <v>10397563.9954574</v>
      </c>
      <c r="M35" s="20">
        <f>'Res OLS model'!$B$6*D35</f>
        <v>1678772.9034642929</v>
      </c>
      <c r="N35" s="20">
        <f>'Res OLS model'!$B$7*E35</f>
        <v>0</v>
      </c>
      <c r="O35" s="20">
        <f>'Res OLS model'!$B$8*F35</f>
        <v>-145351.94253574518</v>
      </c>
      <c r="P35" s="20">
        <f>'Res OLS model'!$B$9*G35</f>
        <v>-1419959.8612913999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si="3"/>
        <v>10511025.095094549</v>
      </c>
      <c r="U35" s="23">
        <f t="shared" ca="1" si="4"/>
        <v>1.7835540653941839E-2</v>
      </c>
    </row>
    <row r="36" spans="1:21" x14ac:dyDescent="0.3">
      <c r="A36" s="22">
        <f>'Monthly Data'!A36</f>
        <v>40118</v>
      </c>
      <c r="B36" s="4">
        <f t="shared" si="1"/>
        <v>2009</v>
      </c>
      <c r="C36" s="20">
        <f ca="1">'Monthly Data'!E36</f>
        <v>10944291.254319351</v>
      </c>
      <c r="D36" s="56">
        <f>'Monthly Data'!AK36</f>
        <v>356.7</v>
      </c>
      <c r="E36" s="56">
        <f>'Monthly Data'!AL36</f>
        <v>0</v>
      </c>
      <c r="F36" s="86">
        <f>'Monthly Data'!AT36</f>
        <v>35</v>
      </c>
      <c r="G36" s="56">
        <f>'Monthly Data'!AO36</f>
        <v>1</v>
      </c>
      <c r="H36" s="86">
        <f>'Monthly Data'!AV36</f>
        <v>0</v>
      </c>
      <c r="I36" s="86">
        <f>'Monthly Data'!AZ36</f>
        <v>0</v>
      </c>
      <c r="J36" s="86">
        <f>'Monthly Data'!BC36</f>
        <v>0</v>
      </c>
      <c r="L36" s="20">
        <f>'Res OLS model'!$B$5</f>
        <v>10397563.9954574</v>
      </c>
      <c r="M36" s="20">
        <f>'Res OLS model'!$B$6*D36</f>
        <v>1988108.5480269364</v>
      </c>
      <c r="N36" s="20">
        <f>'Res OLS model'!$B$7*E36</f>
        <v>0</v>
      </c>
      <c r="O36" s="20">
        <f>'Res OLS model'!$B$8*F36</f>
        <v>-149626.99966914943</v>
      </c>
      <c r="P36" s="20">
        <f>'Res OLS model'!$B$9*G36</f>
        <v>-1419959.8612913999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si="3"/>
        <v>10816085.682523787</v>
      </c>
      <c r="U36" s="23">
        <f t="shared" ca="1" si="4"/>
        <v>1.171437864877414E-2</v>
      </c>
    </row>
    <row r="37" spans="1:21" x14ac:dyDescent="0.3">
      <c r="A37" s="22">
        <f>'Monthly Data'!A37</f>
        <v>40148</v>
      </c>
      <c r="B37" s="4">
        <f t="shared" si="1"/>
        <v>2009</v>
      </c>
      <c r="C37" s="20">
        <f ca="1">'Monthly Data'!E37</f>
        <v>13904019.45431935</v>
      </c>
      <c r="D37" s="56">
        <f>'Monthly Data'!AK37</f>
        <v>637.29999999999995</v>
      </c>
      <c r="E37" s="56">
        <f>'Monthly Data'!AL37</f>
        <v>0</v>
      </c>
      <c r="F37" s="86">
        <f>'Monthly Data'!AT37</f>
        <v>36</v>
      </c>
      <c r="G37" s="56">
        <f>'Monthly Data'!AO37</f>
        <v>0</v>
      </c>
      <c r="H37" s="86">
        <f>'Monthly Data'!AV37</f>
        <v>0</v>
      </c>
      <c r="I37" s="86">
        <f>'Monthly Data'!AZ37</f>
        <v>0</v>
      </c>
      <c r="J37" s="86">
        <f>'Monthly Data'!BC37</f>
        <v>0</v>
      </c>
      <c r="L37" s="20">
        <f>'Res OLS model'!$B$5</f>
        <v>10397563.9954574</v>
      </c>
      <c r="M37" s="20">
        <f>'Res OLS model'!$B$6*D37</f>
        <v>3552064.9780139239</v>
      </c>
      <c r="N37" s="20">
        <f>'Res OLS model'!$B$7*E37</f>
        <v>0</v>
      </c>
      <c r="O37" s="20">
        <f>'Res OLS model'!$B$8*F37</f>
        <v>-153902.05680255371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si="3"/>
        <v>13795726.916668769</v>
      </c>
      <c r="U37" s="23">
        <f t="shared" ca="1" si="4"/>
        <v>7.7885778286177418E-3</v>
      </c>
    </row>
    <row r="38" spans="1:21" x14ac:dyDescent="0.3">
      <c r="A38" s="22">
        <f>'Monthly Data'!A38</f>
        <v>40179</v>
      </c>
      <c r="B38" s="4">
        <f t="shared" si="1"/>
        <v>2010</v>
      </c>
      <c r="C38" s="20">
        <f ca="1">'Monthly Data'!E38</f>
        <v>14717052.807938807</v>
      </c>
      <c r="D38" s="56">
        <f>'Monthly Data'!AK38</f>
        <v>733.1</v>
      </c>
      <c r="E38" s="56">
        <f>'Monthly Data'!AL38</f>
        <v>0</v>
      </c>
      <c r="F38" s="86">
        <f>'Monthly Data'!AT38</f>
        <v>37</v>
      </c>
      <c r="G38" s="56">
        <f>'Monthly Data'!AO38</f>
        <v>0</v>
      </c>
      <c r="H38" s="86">
        <f>'Monthly Data'!AV38</f>
        <v>0</v>
      </c>
      <c r="I38" s="86">
        <f>'Monthly Data'!AZ38</f>
        <v>0</v>
      </c>
      <c r="J38" s="86">
        <f>'Monthly Data'!BC38</f>
        <v>0</v>
      </c>
      <c r="L38" s="20">
        <f>'Res OLS model'!$B$5</f>
        <v>10397563.9954574</v>
      </c>
      <c r="M38" s="20">
        <f>'Res OLS model'!$B$6*D38</f>
        <v>4086017.3158355681</v>
      </c>
      <c r="N38" s="20">
        <f>'Res OLS model'!$B$7*E38</f>
        <v>0</v>
      </c>
      <c r="O38" s="20">
        <f>'Res OLS model'!$B$8*F38</f>
        <v>-158177.11393595798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si="3"/>
        <v>14325404.19735701</v>
      </c>
      <c r="U38" s="23">
        <f t="shared" ca="1" si="4"/>
        <v>2.661189136798707E-2</v>
      </c>
    </row>
    <row r="39" spans="1:21" x14ac:dyDescent="0.3">
      <c r="A39" s="22">
        <f>'Monthly Data'!A39</f>
        <v>40210</v>
      </c>
      <c r="B39" s="4">
        <f t="shared" si="1"/>
        <v>2010</v>
      </c>
      <c r="C39" s="20">
        <f ca="1">'Monthly Data'!E39</f>
        <v>14375081.807938807</v>
      </c>
      <c r="D39" s="56">
        <f>'Monthly Data'!AK39</f>
        <v>633.4</v>
      </c>
      <c r="E39" s="56">
        <f>'Monthly Data'!AL39</f>
        <v>0</v>
      </c>
      <c r="F39" s="86">
        <f>'Monthly Data'!AT39</f>
        <v>38</v>
      </c>
      <c r="G39" s="56">
        <f>'Monthly Data'!AO39</f>
        <v>0</v>
      </c>
      <c r="H39" s="86">
        <f>'Monthly Data'!AV39</f>
        <v>1</v>
      </c>
      <c r="I39" s="86">
        <f>'Monthly Data'!AZ39</f>
        <v>0</v>
      </c>
      <c r="J39" s="86">
        <f>'Monthly Data'!BC39</f>
        <v>0</v>
      </c>
      <c r="L39" s="20">
        <f>'Res OLS model'!$B$5</f>
        <v>10397563.9954574</v>
      </c>
      <c r="M39" s="20">
        <f>'Res OLS model'!$B$6*D39</f>
        <v>3530327.8786662784</v>
      </c>
      <c r="N39" s="20">
        <f>'Res OLS model'!$B$7*E39</f>
        <v>0</v>
      </c>
      <c r="O39" s="20">
        <f>'Res OLS model'!$B$8*F39</f>
        <v>-162452.17106936226</v>
      </c>
      <c r="P39" s="20">
        <f>'Res OLS model'!$B$9*G39</f>
        <v>0</v>
      </c>
      <c r="Q39" s="20">
        <f>'Res OLS model'!$B$10*H39</f>
        <v>-473349.26469262998</v>
      </c>
      <c r="R39" s="20">
        <f>'Res OLS model'!$B$11*I39</f>
        <v>0</v>
      </c>
      <c r="S39" s="20">
        <f>'Res OLS model'!$B$12*J39</f>
        <v>0</v>
      </c>
      <c r="T39" s="20">
        <f t="shared" si="3"/>
        <v>13292090.438361684</v>
      </c>
      <c r="U39" s="23">
        <f t="shared" ca="1" si="4"/>
        <v>7.5338101309380248E-2</v>
      </c>
    </row>
    <row r="40" spans="1:21" x14ac:dyDescent="0.3">
      <c r="A40" s="22">
        <f>'Monthly Data'!A40</f>
        <v>40238</v>
      </c>
      <c r="B40" s="4">
        <f t="shared" si="1"/>
        <v>2010</v>
      </c>
      <c r="C40" s="20">
        <f ca="1">'Monthly Data'!E40</f>
        <v>10713254.807938807</v>
      </c>
      <c r="D40" s="56">
        <f>'Monthly Data'!AK40</f>
        <v>450.2</v>
      </c>
      <c r="E40" s="56">
        <f>'Monthly Data'!AL40</f>
        <v>0</v>
      </c>
      <c r="F40" s="86">
        <f>'Monthly Data'!AT40</f>
        <v>39</v>
      </c>
      <c r="G40" s="56">
        <f>'Monthly Data'!AO40</f>
        <v>1</v>
      </c>
      <c r="H40" s="86">
        <f>'Monthly Data'!AV40</f>
        <v>0</v>
      </c>
      <c r="I40" s="86">
        <f>'Monthly Data'!AZ40</f>
        <v>0</v>
      </c>
      <c r="J40" s="86">
        <f>'Monthly Data'!BC40</f>
        <v>0</v>
      </c>
      <c r="L40" s="20">
        <f>'Res OLS model'!$B$5</f>
        <v>10397563.9954574</v>
      </c>
      <c r="M40" s="20">
        <f>'Res OLS model'!$B$6*D40</f>
        <v>2509241.5708486876</v>
      </c>
      <c r="N40" s="20">
        <f>'Res OLS model'!$B$7*E40</f>
        <v>0</v>
      </c>
      <c r="O40" s="20">
        <f>'Res OLS model'!$B$8*F40</f>
        <v>-166727.22820276651</v>
      </c>
      <c r="P40" s="20">
        <f>'Res OLS model'!$B$9*G40</f>
        <v>-1419959.8612913999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si="3"/>
        <v>11320118.476811923</v>
      </c>
      <c r="U40" s="23">
        <f t="shared" ca="1" si="4"/>
        <v>5.6646059461165271E-2</v>
      </c>
    </row>
    <row r="41" spans="1:21" x14ac:dyDescent="0.3">
      <c r="A41" s="22">
        <f>'Monthly Data'!A41</f>
        <v>40269</v>
      </c>
      <c r="B41" s="4">
        <f t="shared" si="1"/>
        <v>2010</v>
      </c>
      <c r="C41" s="20">
        <f ca="1">'Monthly Data'!E41</f>
        <v>10191264.807938807</v>
      </c>
      <c r="D41" s="56">
        <f>'Monthly Data'!AK41</f>
        <v>236.4</v>
      </c>
      <c r="E41" s="56">
        <f>'Monthly Data'!AL41</f>
        <v>0</v>
      </c>
      <c r="F41" s="86">
        <f>'Monthly Data'!AT41</f>
        <v>40</v>
      </c>
      <c r="G41" s="56">
        <f>'Monthly Data'!AO41</f>
        <v>1</v>
      </c>
      <c r="H41" s="86">
        <f>'Monthly Data'!AV41</f>
        <v>0</v>
      </c>
      <c r="I41" s="86">
        <f>'Monthly Data'!AZ41</f>
        <v>0</v>
      </c>
      <c r="J41" s="86">
        <f>'Monthly Data'!BC41</f>
        <v>0</v>
      </c>
      <c r="L41" s="20">
        <f>'Res OLS model'!$B$5</f>
        <v>10397563.9954574</v>
      </c>
      <c r="M41" s="20">
        <f>'Res OLS model'!$B$6*D41</f>
        <v>1317602.6373803415</v>
      </c>
      <c r="N41" s="20">
        <f>'Res OLS model'!$B$7*E41</f>
        <v>0</v>
      </c>
      <c r="O41" s="20">
        <f>'Res OLS model'!$B$8*F41</f>
        <v>-171002.28533617078</v>
      </c>
      <c r="P41" s="20">
        <f>'Res OLS model'!$B$9*G41</f>
        <v>-1419959.8612913999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si="3"/>
        <v>10124204.486210171</v>
      </c>
      <c r="U41" s="23">
        <f t="shared" ca="1" si="4"/>
        <v>6.5801765524134779E-3</v>
      </c>
    </row>
    <row r="42" spans="1:21" x14ac:dyDescent="0.3">
      <c r="A42" s="22">
        <f>'Monthly Data'!A42</f>
        <v>40299</v>
      </c>
      <c r="B42" s="4">
        <f t="shared" si="1"/>
        <v>2010</v>
      </c>
      <c r="C42" s="20">
        <f ca="1">'Monthly Data'!E42</f>
        <v>10178147.807938807</v>
      </c>
      <c r="D42" s="56">
        <f>'Monthly Data'!AK42</f>
        <v>121.1</v>
      </c>
      <c r="E42" s="56">
        <f>'Monthly Data'!AL42</f>
        <v>34.9</v>
      </c>
      <c r="F42" s="86">
        <f>'Monthly Data'!AT42</f>
        <v>41</v>
      </c>
      <c r="G42" s="56">
        <f>'Monthly Data'!AO42</f>
        <v>1</v>
      </c>
      <c r="H42" s="86">
        <f>'Monthly Data'!AV42</f>
        <v>0</v>
      </c>
      <c r="I42" s="86">
        <f>'Monthly Data'!AZ42</f>
        <v>0</v>
      </c>
      <c r="J42" s="86">
        <f>'Monthly Data'!BC42</f>
        <v>0</v>
      </c>
      <c r="L42" s="20">
        <f>'Res OLS model'!$B$5</f>
        <v>10397563.9954574</v>
      </c>
      <c r="M42" s="20">
        <f>'Res OLS model'!$B$6*D42</f>
        <v>674964.802820471</v>
      </c>
      <c r="N42" s="20">
        <f>'Res OLS model'!$B$7*E42</f>
        <v>960610.77194472088</v>
      </c>
      <c r="O42" s="20">
        <f>'Res OLS model'!$B$8*F42</f>
        <v>-175277.34246957506</v>
      </c>
      <c r="P42" s="20">
        <f>'Res OLS model'!$B$9*G42</f>
        <v>-1419959.8612913999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si="3"/>
        <v>10437902.366461616</v>
      </c>
      <c r="U42" s="23">
        <f t="shared" ca="1" si="4"/>
        <v>2.5520808247666095E-2</v>
      </c>
    </row>
    <row r="43" spans="1:21" x14ac:dyDescent="0.3">
      <c r="A43" s="22">
        <f>'Monthly Data'!A43</f>
        <v>40330</v>
      </c>
      <c r="B43" s="4">
        <f t="shared" si="1"/>
        <v>2010</v>
      </c>
      <c r="C43" s="20">
        <f ca="1">'Monthly Data'!E43</f>
        <v>12149657.807938807</v>
      </c>
      <c r="D43" s="56">
        <f>'Monthly Data'!AK43</f>
        <v>23.6</v>
      </c>
      <c r="E43" s="56">
        <f>'Monthly Data'!AL43</f>
        <v>57.5</v>
      </c>
      <c r="F43" s="86">
        <f>'Monthly Data'!AT43</f>
        <v>42</v>
      </c>
      <c r="G43" s="56">
        <f>'Monthly Data'!AO43</f>
        <v>0</v>
      </c>
      <c r="H43" s="86">
        <f>'Monthly Data'!AV43</f>
        <v>0</v>
      </c>
      <c r="I43" s="86">
        <f>'Monthly Data'!AZ43</f>
        <v>1</v>
      </c>
      <c r="J43" s="86">
        <f>'Monthly Data'!BC43</f>
        <v>0</v>
      </c>
      <c r="L43" s="20">
        <f>'Res OLS model'!$B$5</f>
        <v>10397563.9954574</v>
      </c>
      <c r="M43" s="20">
        <f>'Res OLS model'!$B$6*D43</f>
        <v>131537.31912934035</v>
      </c>
      <c r="N43" s="20">
        <f>'Res OLS model'!$B$7*E43</f>
        <v>1582668.1772728211</v>
      </c>
      <c r="O43" s="20">
        <f>'Res OLS model'!$B$8*F43</f>
        <v>-179552.39960297933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-773164.55099904304</v>
      </c>
      <c r="S43" s="20">
        <f>'Res OLS model'!$B$12*J43</f>
        <v>0</v>
      </c>
      <c r="T43" s="20">
        <f t="shared" si="3"/>
        <v>11159052.541257538</v>
      </c>
      <c r="U43" s="23">
        <f t="shared" ca="1" si="4"/>
        <v>8.1533593977765315E-2</v>
      </c>
    </row>
    <row r="44" spans="1:21" x14ac:dyDescent="0.3">
      <c r="A44" s="22">
        <f>'Monthly Data'!A44</f>
        <v>40360</v>
      </c>
      <c r="B44" s="4">
        <f t="shared" si="1"/>
        <v>2010</v>
      </c>
      <c r="C44" s="20">
        <f ca="1">'Monthly Data'!E44</f>
        <v>13218725.807938807</v>
      </c>
      <c r="D44" s="56">
        <f>'Monthly Data'!AK44</f>
        <v>5.6</v>
      </c>
      <c r="E44" s="56">
        <f>'Monthly Data'!AL44</f>
        <v>129.69999999999999</v>
      </c>
      <c r="F44" s="86">
        <f>'Monthly Data'!AT44</f>
        <v>43</v>
      </c>
      <c r="G44" s="56">
        <f>'Monthly Data'!AO44</f>
        <v>0</v>
      </c>
      <c r="H44" s="86">
        <f>'Monthly Data'!AV44</f>
        <v>0</v>
      </c>
      <c r="I44" s="86">
        <f>'Monthly Data'!AZ44</f>
        <v>0</v>
      </c>
      <c r="J44" s="86">
        <f>'Monthly Data'!BC44</f>
        <v>0</v>
      </c>
      <c r="L44" s="20">
        <f>'Res OLS model'!$B$5</f>
        <v>10397563.9954574</v>
      </c>
      <c r="M44" s="20">
        <f>'Res OLS model'!$B$6*D44</f>
        <v>31212.245217131607</v>
      </c>
      <c r="N44" s="20">
        <f>'Res OLS model'!$B$7*E44</f>
        <v>3569948.9146484328</v>
      </c>
      <c r="O44" s="20">
        <f>'Res OLS model'!$B$8*F44</f>
        <v>-183827.45673638361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si="3"/>
        <v>13814897.698586579</v>
      </c>
      <c r="U44" s="23">
        <f t="shared" ca="1" si="4"/>
        <v>4.5100556536979391E-2</v>
      </c>
    </row>
    <row r="45" spans="1:21" x14ac:dyDescent="0.3">
      <c r="A45" s="22">
        <f>'Monthly Data'!A45</f>
        <v>40391</v>
      </c>
      <c r="B45" s="4">
        <f t="shared" si="1"/>
        <v>2010</v>
      </c>
      <c r="C45" s="20">
        <f ca="1">'Monthly Data'!E45</f>
        <v>13112190.807938807</v>
      </c>
      <c r="D45" s="56">
        <f>'Monthly Data'!AK45</f>
        <v>6</v>
      </c>
      <c r="E45" s="56">
        <f>'Monthly Data'!AL45</f>
        <v>121.7</v>
      </c>
      <c r="F45" s="86">
        <f>'Monthly Data'!AT45</f>
        <v>44</v>
      </c>
      <c r="G45" s="56">
        <f>'Monthly Data'!AO45</f>
        <v>0</v>
      </c>
      <c r="H45" s="86">
        <f>'Monthly Data'!AV45</f>
        <v>0</v>
      </c>
      <c r="I45" s="86">
        <f>'Monthly Data'!AZ45</f>
        <v>0</v>
      </c>
      <c r="J45" s="86">
        <f>'Monthly Data'!BC45</f>
        <v>0</v>
      </c>
      <c r="L45" s="20">
        <f>'Res OLS model'!$B$5</f>
        <v>10397563.9954574</v>
      </c>
      <c r="M45" s="20">
        <f>'Res OLS model'!$B$6*D45</f>
        <v>33441.69130406958</v>
      </c>
      <c r="N45" s="20">
        <f>'Res OLS model'!$B$7*E45</f>
        <v>3349751.6030278667</v>
      </c>
      <c r="O45" s="20">
        <f>'Res OLS model'!$B$8*F45</f>
        <v>-188102.51386978786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si="3"/>
        <v>13592654.775919547</v>
      </c>
      <c r="U45" s="23">
        <f t="shared" ca="1" si="4"/>
        <v>3.6642539375635275E-2</v>
      </c>
    </row>
    <row r="46" spans="1:21" x14ac:dyDescent="0.3">
      <c r="A46" s="22">
        <f>'Monthly Data'!A46</f>
        <v>40422</v>
      </c>
      <c r="B46" s="4">
        <f t="shared" si="1"/>
        <v>2010</v>
      </c>
      <c r="C46" s="20">
        <f ca="1">'Monthly Data'!E46</f>
        <v>10595662.807938807</v>
      </c>
      <c r="D46" s="56">
        <f>'Monthly Data'!AK46</f>
        <v>87.9</v>
      </c>
      <c r="E46" s="56">
        <f>'Monthly Data'!AL46</f>
        <v>24.1</v>
      </c>
      <c r="F46" s="86">
        <f>'Monthly Data'!AT46</f>
        <v>45</v>
      </c>
      <c r="G46" s="56">
        <f>'Monthly Data'!AO46</f>
        <v>1</v>
      </c>
      <c r="H46" s="86">
        <f>'Monthly Data'!AV46</f>
        <v>0</v>
      </c>
      <c r="I46" s="86">
        <f>'Monthly Data'!AZ46</f>
        <v>0</v>
      </c>
      <c r="J46" s="86">
        <f>'Monthly Data'!BC46</f>
        <v>1</v>
      </c>
      <c r="L46" s="20">
        <f>'Res OLS model'!$B$5</f>
        <v>10397563.9954574</v>
      </c>
      <c r="M46" s="20">
        <f>'Res OLS model'!$B$6*D46</f>
        <v>489920.77760461939</v>
      </c>
      <c r="N46" s="20">
        <f>'Res OLS model'!$B$7*E46</f>
        <v>663344.40125695639</v>
      </c>
      <c r="O46" s="20">
        <f>'Res OLS model'!$B$8*F46</f>
        <v>-192377.57100319213</v>
      </c>
      <c r="P46" s="20">
        <f>'Res OLS model'!$B$9*G46</f>
        <v>-1419959.8612913999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772942.00624980999</v>
      </c>
      <c r="T46" s="20">
        <f t="shared" si="3"/>
        <v>10711433.748274192</v>
      </c>
      <c r="U46" s="23">
        <f t="shared" ca="1" si="4"/>
        <v>1.0926257510633884E-2</v>
      </c>
    </row>
    <row r="47" spans="1:21" x14ac:dyDescent="0.3">
      <c r="A47" s="22">
        <f>'Monthly Data'!A47</f>
        <v>40452</v>
      </c>
      <c r="B47" s="4">
        <f t="shared" si="1"/>
        <v>2010</v>
      </c>
      <c r="C47" s="20">
        <f ca="1">'Monthly Data'!E47</f>
        <v>9940945.007938806</v>
      </c>
      <c r="D47" s="56">
        <f>'Monthly Data'!AK47</f>
        <v>239.5</v>
      </c>
      <c r="E47" s="56">
        <f>'Monthly Data'!AL47</f>
        <v>0</v>
      </c>
      <c r="F47" s="86">
        <f>'Monthly Data'!AT47</f>
        <v>46</v>
      </c>
      <c r="G47" s="56">
        <f>'Monthly Data'!AO47</f>
        <v>1</v>
      </c>
      <c r="H47" s="86">
        <f>'Monthly Data'!AV47</f>
        <v>0</v>
      </c>
      <c r="I47" s="86">
        <f>'Monthly Data'!AZ47</f>
        <v>0</v>
      </c>
      <c r="J47" s="86">
        <f>'Monthly Data'!BC47</f>
        <v>0</v>
      </c>
      <c r="L47" s="20">
        <f>'Res OLS model'!$B$5</f>
        <v>10397563.9954574</v>
      </c>
      <c r="M47" s="20">
        <f>'Res OLS model'!$B$6*D47</f>
        <v>1334880.8445541107</v>
      </c>
      <c r="N47" s="20">
        <f>'Res OLS model'!$B$7*E47</f>
        <v>0</v>
      </c>
      <c r="O47" s="20">
        <f>'Res OLS model'!$B$8*F47</f>
        <v>-196652.62813659641</v>
      </c>
      <c r="P47" s="20">
        <f>'Res OLS model'!$B$9*G47</f>
        <v>-1419959.8612913999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si="3"/>
        <v>10115832.350583516</v>
      </c>
      <c r="U47" s="23">
        <f t="shared" ca="1" si="4"/>
        <v>1.7592627512278323E-2</v>
      </c>
    </row>
    <row r="48" spans="1:21" x14ac:dyDescent="0.3">
      <c r="A48" s="22">
        <f>'Monthly Data'!A48</f>
        <v>40483</v>
      </c>
      <c r="B48" s="4">
        <f t="shared" si="1"/>
        <v>2010</v>
      </c>
      <c r="C48" s="20">
        <f ca="1">'Monthly Data'!E48</f>
        <v>11403864.607938807</v>
      </c>
      <c r="D48" s="56">
        <f>'Monthly Data'!AK48</f>
        <v>413.6</v>
      </c>
      <c r="E48" s="56">
        <f>'Monthly Data'!AL48</f>
        <v>0</v>
      </c>
      <c r="F48" s="86">
        <f>'Monthly Data'!AT48</f>
        <v>47</v>
      </c>
      <c r="G48" s="56">
        <f>'Monthly Data'!AO48</f>
        <v>1</v>
      </c>
      <c r="H48" s="86">
        <f>'Monthly Data'!AV48</f>
        <v>0</v>
      </c>
      <c r="I48" s="86">
        <f>'Monthly Data'!AZ48</f>
        <v>0</v>
      </c>
      <c r="J48" s="86">
        <f>'Monthly Data'!BC48</f>
        <v>0</v>
      </c>
      <c r="L48" s="20">
        <f>'Res OLS model'!$B$5</f>
        <v>10397563.9954574</v>
      </c>
      <c r="M48" s="20">
        <f>'Res OLS model'!$B$6*D48</f>
        <v>2305247.2538938629</v>
      </c>
      <c r="N48" s="20">
        <f>'Res OLS model'!$B$7*E48</f>
        <v>0</v>
      </c>
      <c r="O48" s="20">
        <f>'Res OLS model'!$B$8*F48</f>
        <v>-200927.68527000069</v>
      </c>
      <c r="P48" s="20">
        <f>'Res OLS model'!$B$9*G48</f>
        <v>-1419959.8612913999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si="3"/>
        <v>11081923.702789864</v>
      </c>
      <c r="U48" s="23">
        <f t="shared" ca="1" si="4"/>
        <v>2.823085999502524E-2</v>
      </c>
    </row>
    <row r="49" spans="1:21" x14ac:dyDescent="0.3">
      <c r="A49" s="22">
        <f>'Monthly Data'!A49</f>
        <v>40513</v>
      </c>
      <c r="B49" s="4">
        <f t="shared" si="1"/>
        <v>2010</v>
      </c>
      <c r="C49" s="20">
        <f ca="1">'Monthly Data'!E49</f>
        <v>14482720.807938807</v>
      </c>
      <c r="D49" s="56">
        <f>'Monthly Data'!AK49</f>
        <v>713.5</v>
      </c>
      <c r="E49" s="56">
        <f>'Monthly Data'!AL49</f>
        <v>0</v>
      </c>
      <c r="F49" s="86">
        <f>'Monthly Data'!AT49</f>
        <v>48</v>
      </c>
      <c r="G49" s="56">
        <f>'Monthly Data'!AO49</f>
        <v>0</v>
      </c>
      <c r="H49" s="86">
        <f>'Monthly Data'!AV49</f>
        <v>0</v>
      </c>
      <c r="I49" s="86">
        <f>'Monthly Data'!AZ49</f>
        <v>0</v>
      </c>
      <c r="J49" s="86">
        <f>'Monthly Data'!BC49</f>
        <v>0</v>
      </c>
      <c r="L49" s="20">
        <f>'Res OLS model'!$B$5</f>
        <v>10397563.9954574</v>
      </c>
      <c r="M49" s="20">
        <f>'Res OLS model'!$B$6*D49</f>
        <v>3976774.4575756076</v>
      </c>
      <c r="N49" s="20">
        <f>'Res OLS model'!$B$7*E49</f>
        <v>0</v>
      </c>
      <c r="O49" s="20">
        <f>'Res OLS model'!$B$8*F49</f>
        <v>-205202.74240340496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si="3"/>
        <v>14169135.710629603</v>
      </c>
      <c r="U49" s="23">
        <f t="shared" ca="1" si="4"/>
        <v>2.1652360869741403E-2</v>
      </c>
    </row>
    <row r="50" spans="1:21" x14ac:dyDescent="0.3">
      <c r="A50" s="22">
        <f>'Monthly Data'!A50</f>
        <v>40544</v>
      </c>
      <c r="B50" s="56">
        <f t="shared" ref="B50:B84" si="5">YEAR(A50)</f>
        <v>2011</v>
      </c>
      <c r="C50" s="20">
        <f ca="1">'Monthly Data'!E50</f>
        <v>14730818.468051754</v>
      </c>
      <c r="D50" s="56">
        <f>'Monthly Data'!AK50</f>
        <v>798.8</v>
      </c>
      <c r="E50" s="56">
        <f>'Monthly Data'!AL50</f>
        <v>0</v>
      </c>
      <c r="F50" s="86">
        <f>'Monthly Data'!AT50</f>
        <v>49</v>
      </c>
      <c r="G50" s="56">
        <f>'Monthly Data'!AO50</f>
        <v>0</v>
      </c>
      <c r="H50" s="86">
        <f>'Monthly Data'!AV50</f>
        <v>0</v>
      </c>
      <c r="I50" s="86">
        <f>'Monthly Data'!AZ50</f>
        <v>0</v>
      </c>
      <c r="J50" s="86">
        <f>'Monthly Data'!BC50</f>
        <v>0</v>
      </c>
      <c r="L50" s="20">
        <f>'Res OLS model'!$B$5</f>
        <v>10397563.9954574</v>
      </c>
      <c r="M50" s="20">
        <f>'Res OLS model'!$B$6*D50</f>
        <v>4452203.8356151301</v>
      </c>
      <c r="N50" s="20">
        <f>'Res OLS model'!$B$7*E50</f>
        <v>0</v>
      </c>
      <c r="O50" s="20">
        <f>'Res OLS model'!$B$8*F50</f>
        <v>-209477.79953680921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si="3"/>
        <v>14640290.03153572</v>
      </c>
      <c r="U50" s="23">
        <f t="shared" ca="1" si="4"/>
        <v>6.1455130081449205E-3</v>
      </c>
    </row>
    <row r="51" spans="1:21" x14ac:dyDescent="0.3">
      <c r="A51" s="22">
        <f>'Monthly Data'!A51</f>
        <v>40575</v>
      </c>
      <c r="B51" s="56">
        <f t="shared" si="5"/>
        <v>2011</v>
      </c>
      <c r="C51" s="20">
        <f ca="1">'Monthly Data'!E51</f>
        <v>12474857.468051754</v>
      </c>
      <c r="D51" s="56">
        <f>'Monthly Data'!AK51</f>
        <v>677.8</v>
      </c>
      <c r="E51" s="56">
        <f>'Monthly Data'!AL51</f>
        <v>0</v>
      </c>
      <c r="F51" s="86">
        <f>'Monthly Data'!AT51</f>
        <v>50</v>
      </c>
      <c r="G51" s="56">
        <f>'Monthly Data'!AO51</f>
        <v>0</v>
      </c>
      <c r="H51" s="86">
        <f>'Monthly Data'!AV51</f>
        <v>1</v>
      </c>
      <c r="I51" s="86">
        <f>'Monthly Data'!AZ51</f>
        <v>0</v>
      </c>
      <c r="J51" s="86">
        <f>'Monthly Data'!BC51</f>
        <v>0</v>
      </c>
      <c r="L51" s="20">
        <f>'Res OLS model'!$B$5</f>
        <v>10397563.9954574</v>
      </c>
      <c r="M51" s="20">
        <f>'Res OLS model'!$B$6*D51</f>
        <v>3777796.3943163934</v>
      </c>
      <c r="N51" s="20">
        <f>'Res OLS model'!$B$7*E51</f>
        <v>0</v>
      </c>
      <c r="O51" s="20">
        <f>'Res OLS model'!$B$8*F51</f>
        <v>-213752.85667021348</v>
      </c>
      <c r="P51" s="20">
        <f>'Res OLS model'!$B$9*G51</f>
        <v>0</v>
      </c>
      <c r="Q51" s="20">
        <f>'Res OLS model'!$B$10*H51</f>
        <v>-473349.26469262998</v>
      </c>
      <c r="R51" s="20">
        <f>'Res OLS model'!$B$11*I51</f>
        <v>0</v>
      </c>
      <c r="S51" s="20">
        <f>'Res OLS model'!$B$12*J51</f>
        <v>0</v>
      </c>
      <c r="T51" s="20">
        <f t="shared" si="3"/>
        <v>13488258.268410949</v>
      </c>
      <c r="U51" s="23">
        <f t="shared" ca="1" si="4"/>
        <v>8.1235461243106433E-2</v>
      </c>
    </row>
    <row r="52" spans="1:21" x14ac:dyDescent="0.3">
      <c r="A52" s="22">
        <f>'Monthly Data'!A52</f>
        <v>40603</v>
      </c>
      <c r="B52" s="56">
        <f t="shared" si="5"/>
        <v>2011</v>
      </c>
      <c r="C52" s="20">
        <f ca="1">'Monthly Data'!E52</f>
        <v>11284297.468051754</v>
      </c>
      <c r="D52" s="56">
        <f>'Monthly Data'!AK52</f>
        <v>599.6</v>
      </c>
      <c r="E52" s="56">
        <f>'Monthly Data'!AL52</f>
        <v>0</v>
      </c>
      <c r="F52" s="86">
        <f>'Monthly Data'!AT52</f>
        <v>51</v>
      </c>
      <c r="G52" s="56">
        <f>'Monthly Data'!AO52</f>
        <v>1</v>
      </c>
      <c r="H52" s="86">
        <f>'Monthly Data'!AV52</f>
        <v>0</v>
      </c>
      <c r="I52" s="86">
        <f>'Monthly Data'!AZ52</f>
        <v>0</v>
      </c>
      <c r="J52" s="86">
        <f>'Monthly Data'!BC52</f>
        <v>0</v>
      </c>
      <c r="L52" s="20">
        <f>'Res OLS model'!$B$5</f>
        <v>10397563.9954574</v>
      </c>
      <c r="M52" s="20">
        <f>'Res OLS model'!$B$6*D52</f>
        <v>3341939.68432002</v>
      </c>
      <c r="N52" s="20">
        <f>'Res OLS model'!$B$7*E52</f>
        <v>0</v>
      </c>
      <c r="O52" s="20">
        <f>'Res OLS model'!$B$8*F52</f>
        <v>-218027.91380361776</v>
      </c>
      <c r="P52" s="20">
        <f>'Res OLS model'!$B$9*G52</f>
        <v>-1419959.8612913999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si="3"/>
        <v>12101515.904682402</v>
      </c>
      <c r="U52" s="23">
        <f t="shared" ca="1" si="4"/>
        <v>7.2420851979874412E-2</v>
      </c>
    </row>
    <row r="53" spans="1:21" x14ac:dyDescent="0.3">
      <c r="A53" s="22">
        <f>'Monthly Data'!A53</f>
        <v>40634</v>
      </c>
      <c r="B53" s="56">
        <f t="shared" si="5"/>
        <v>2011</v>
      </c>
      <c r="C53" s="20">
        <f ca="1">'Monthly Data'!E53</f>
        <v>11134118.468051754</v>
      </c>
      <c r="D53" s="56">
        <f>'Monthly Data'!AK53</f>
        <v>330.4</v>
      </c>
      <c r="E53" s="56">
        <f>'Monthly Data'!AL53</f>
        <v>0</v>
      </c>
      <c r="F53" s="86">
        <f>'Monthly Data'!AT53</f>
        <v>52</v>
      </c>
      <c r="G53" s="56">
        <f>'Monthly Data'!AO53</f>
        <v>1</v>
      </c>
      <c r="H53" s="86">
        <f>'Monthly Data'!AV53</f>
        <v>0</v>
      </c>
      <c r="I53" s="86">
        <f>'Monthly Data'!AZ53</f>
        <v>0</v>
      </c>
      <c r="J53" s="86">
        <f>'Monthly Data'!BC53</f>
        <v>0</v>
      </c>
      <c r="L53" s="20">
        <f>'Res OLS model'!$B$5</f>
        <v>10397563.9954574</v>
      </c>
      <c r="M53" s="20">
        <f>'Res OLS model'!$B$6*D53</f>
        <v>1841522.4678107647</v>
      </c>
      <c r="N53" s="20">
        <f>'Res OLS model'!$B$7*E53</f>
        <v>0</v>
      </c>
      <c r="O53" s="20">
        <f>'Res OLS model'!$B$8*F53</f>
        <v>-222302.97093702204</v>
      </c>
      <c r="P53" s="20">
        <f>'Res OLS model'!$B$9*G53</f>
        <v>-1419959.8612913999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si="3"/>
        <v>10596823.631039742</v>
      </c>
      <c r="U53" s="23">
        <f t="shared" ca="1" si="4"/>
        <v>4.8256612191950862E-2</v>
      </c>
    </row>
    <row r="54" spans="1:21" x14ac:dyDescent="0.3">
      <c r="A54" s="22">
        <f>'Monthly Data'!A54</f>
        <v>40664</v>
      </c>
      <c r="B54" s="56">
        <f t="shared" si="5"/>
        <v>2011</v>
      </c>
      <c r="C54" s="20">
        <f ca="1">'Monthly Data'!E54</f>
        <v>10309537.648051754</v>
      </c>
      <c r="D54" s="56">
        <f>'Monthly Data'!AK54</f>
        <v>126.4</v>
      </c>
      <c r="E54" s="56">
        <f>'Monthly Data'!AL54</f>
        <v>17.399999999999999</v>
      </c>
      <c r="F54" s="86">
        <f>'Monthly Data'!AT54</f>
        <v>53</v>
      </c>
      <c r="G54" s="56">
        <f>'Monthly Data'!AO54</f>
        <v>1</v>
      </c>
      <c r="H54" s="86">
        <f>'Monthly Data'!AV54</f>
        <v>0</v>
      </c>
      <c r="I54" s="86">
        <f>'Monthly Data'!AZ54</f>
        <v>0</v>
      </c>
      <c r="J54" s="86">
        <f>'Monthly Data'!BC54</f>
        <v>0</v>
      </c>
      <c r="L54" s="20">
        <f>'Res OLS model'!$B$5</f>
        <v>10397563.9954574</v>
      </c>
      <c r="M54" s="20">
        <f>'Res OLS model'!$B$6*D54</f>
        <v>704504.96347239916</v>
      </c>
      <c r="N54" s="20">
        <f>'Res OLS model'!$B$7*E54</f>
        <v>478929.15277473192</v>
      </c>
      <c r="O54" s="20">
        <f>'Res OLS model'!$B$8*F54</f>
        <v>-226578.02807042628</v>
      </c>
      <c r="P54" s="20">
        <f>'Res OLS model'!$B$9*G54</f>
        <v>-1419959.8612913999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si="3"/>
        <v>9934460.2223427072</v>
      </c>
      <c r="U54" s="23">
        <f t="shared" ca="1" si="4"/>
        <v>3.6381595228950618E-2</v>
      </c>
    </row>
    <row r="55" spans="1:21" x14ac:dyDescent="0.3">
      <c r="A55" s="22">
        <f>'Monthly Data'!A55</f>
        <v>40695</v>
      </c>
      <c r="B55" s="56">
        <f t="shared" si="5"/>
        <v>2011</v>
      </c>
      <c r="C55" s="20">
        <f ca="1">'Monthly Data'!E55</f>
        <v>10923118.348051753</v>
      </c>
      <c r="D55" s="56">
        <f>'Monthly Data'!AK55</f>
        <v>27</v>
      </c>
      <c r="E55" s="56">
        <f>'Monthly Data'!AL55</f>
        <v>39.6</v>
      </c>
      <c r="F55" s="86">
        <f>'Monthly Data'!AT55</f>
        <v>54</v>
      </c>
      <c r="G55" s="56">
        <f>'Monthly Data'!AO55</f>
        <v>0</v>
      </c>
      <c r="H55" s="86">
        <f>'Monthly Data'!AV55</f>
        <v>0</v>
      </c>
      <c r="I55" s="86">
        <f>'Monthly Data'!AZ55</f>
        <v>1</v>
      </c>
      <c r="J55" s="86">
        <f>'Monthly Data'!BC55</f>
        <v>0</v>
      </c>
      <c r="L55" s="20">
        <f>'Res OLS model'!$B$5</f>
        <v>10397563.9954574</v>
      </c>
      <c r="M55" s="20">
        <f>'Res OLS model'!$B$6*D55</f>
        <v>150487.61086831312</v>
      </c>
      <c r="N55" s="20">
        <f>'Res OLS model'!$B$7*E55</f>
        <v>1089976.6925218038</v>
      </c>
      <c r="O55" s="20">
        <f>'Res OLS model'!$B$8*F55</f>
        <v>-230853.08520383056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-773164.55099904304</v>
      </c>
      <c r="S55" s="20">
        <f>'Res OLS model'!$B$12*J55</f>
        <v>0</v>
      </c>
      <c r="T55" s="20">
        <f t="shared" si="3"/>
        <v>10634010.662644641</v>
      </c>
      <c r="U55" s="23">
        <f t="shared" ca="1" si="4"/>
        <v>2.6467504625973099E-2</v>
      </c>
    </row>
    <row r="56" spans="1:21" x14ac:dyDescent="0.3">
      <c r="A56" s="22">
        <f>'Monthly Data'!A56</f>
        <v>40725</v>
      </c>
      <c r="B56" s="56">
        <f t="shared" si="5"/>
        <v>2011</v>
      </c>
      <c r="C56" s="20">
        <f ca="1">'Monthly Data'!E56</f>
        <v>13973996.748051755</v>
      </c>
      <c r="D56" s="56">
        <f>'Monthly Data'!AK56</f>
        <v>0</v>
      </c>
      <c r="E56" s="56">
        <f>'Monthly Data'!AL56</f>
        <v>160.9</v>
      </c>
      <c r="F56" s="86">
        <f>'Monthly Data'!AT56</f>
        <v>55</v>
      </c>
      <c r="G56" s="56">
        <f>'Monthly Data'!AO56</f>
        <v>0</v>
      </c>
      <c r="H56" s="86">
        <f>'Monthly Data'!AV56</f>
        <v>0</v>
      </c>
      <c r="I56" s="86">
        <f>'Monthly Data'!AZ56</f>
        <v>0</v>
      </c>
      <c r="J56" s="86">
        <f>'Monthly Data'!BC56</f>
        <v>0</v>
      </c>
      <c r="L56" s="20">
        <f>'Res OLS model'!$B$5</f>
        <v>10397563.9954574</v>
      </c>
      <c r="M56" s="20">
        <f>'Res OLS model'!$B$6*D56</f>
        <v>0</v>
      </c>
      <c r="N56" s="20">
        <f>'Res OLS model'!$B$7*E56</f>
        <v>4428718.4299686421</v>
      </c>
      <c r="O56" s="20">
        <f>'Res OLS model'!$B$8*F56</f>
        <v>-235128.14233723484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si="3"/>
        <v>14591154.283088807</v>
      </c>
      <c r="U56" s="23">
        <f t="shared" ca="1" si="4"/>
        <v>4.4164711511264346E-2</v>
      </c>
    </row>
    <row r="57" spans="1:21" x14ac:dyDescent="0.3">
      <c r="A57" s="22">
        <f>'Monthly Data'!A57</f>
        <v>40756</v>
      </c>
      <c r="B57" s="56">
        <f t="shared" si="5"/>
        <v>2011</v>
      </c>
      <c r="C57" s="20">
        <f ca="1">'Monthly Data'!E57</f>
        <v>13088259.428051755</v>
      </c>
      <c r="D57" s="56">
        <f>'Monthly Data'!AK57</f>
        <v>1.5</v>
      </c>
      <c r="E57" s="56">
        <f>'Monthly Data'!AL57</f>
        <v>82.9</v>
      </c>
      <c r="F57" s="86">
        <f>'Monthly Data'!AT57</f>
        <v>56</v>
      </c>
      <c r="G57" s="56">
        <f>'Monthly Data'!AO57</f>
        <v>0</v>
      </c>
      <c r="H57" s="86">
        <f>'Monthly Data'!AV57</f>
        <v>0</v>
      </c>
      <c r="I57" s="86">
        <f>'Monthly Data'!AZ57</f>
        <v>0</v>
      </c>
      <c r="J57" s="86">
        <f>'Monthly Data'!BC57</f>
        <v>0</v>
      </c>
      <c r="L57" s="20">
        <f>'Res OLS model'!$B$5</f>
        <v>10397563.9954574</v>
      </c>
      <c r="M57" s="20">
        <f>'Res OLS model'!$B$6*D57</f>
        <v>8360.422826017395</v>
      </c>
      <c r="N57" s="20">
        <f>'Res OLS model'!$B$7*E57</f>
        <v>2281794.6416681195</v>
      </c>
      <c r="O57" s="20">
        <f>'Res OLS model'!$B$8*F57</f>
        <v>-239403.19947063911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si="3"/>
        <v>12448315.860480897</v>
      </c>
      <c r="U57" s="23">
        <f t="shared" ca="1" si="4"/>
        <v>4.8894474554751099E-2</v>
      </c>
    </row>
    <row r="58" spans="1:21" x14ac:dyDescent="0.3">
      <c r="A58" s="22">
        <f>'Monthly Data'!A58</f>
        <v>40787</v>
      </c>
      <c r="B58" s="56">
        <f t="shared" si="5"/>
        <v>2011</v>
      </c>
      <c r="C58" s="20">
        <f ca="1">'Monthly Data'!E58</f>
        <v>10428037.298051752</v>
      </c>
      <c r="D58" s="56">
        <f>'Monthly Data'!AK58</f>
        <v>71.900000000000006</v>
      </c>
      <c r="E58" s="56">
        <f>'Monthly Data'!AL58</f>
        <v>29</v>
      </c>
      <c r="F58" s="86">
        <f>'Monthly Data'!AT58</f>
        <v>57</v>
      </c>
      <c r="G58" s="56">
        <f>'Monthly Data'!AO58</f>
        <v>1</v>
      </c>
      <c r="H58" s="86">
        <f>'Monthly Data'!AV58</f>
        <v>0</v>
      </c>
      <c r="I58" s="86">
        <f>'Monthly Data'!AZ58</f>
        <v>0</v>
      </c>
      <c r="J58" s="86">
        <f>'Monthly Data'!BC58</f>
        <v>1</v>
      </c>
      <c r="L58" s="20">
        <f>'Res OLS model'!$B$5</f>
        <v>10397563.9954574</v>
      </c>
      <c r="M58" s="20">
        <f>'Res OLS model'!$B$6*D58</f>
        <v>400742.93412710051</v>
      </c>
      <c r="N58" s="20">
        <f>'Res OLS model'!$B$7*E58</f>
        <v>798215.25462455326</v>
      </c>
      <c r="O58" s="20">
        <f>'Res OLS model'!$B$8*F58</f>
        <v>-243678.25660404339</v>
      </c>
      <c r="P58" s="20">
        <f>'Res OLS model'!$B$9*G58</f>
        <v>-1419959.8612913999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772942.00624980999</v>
      </c>
      <c r="T58" s="20">
        <f t="shared" si="3"/>
        <v>10705826.072563419</v>
      </c>
      <c r="U58" s="23">
        <f t="shared" ca="1" si="4"/>
        <v>2.6638644125636726E-2</v>
      </c>
    </row>
    <row r="59" spans="1:21" x14ac:dyDescent="0.3">
      <c r="A59" s="22">
        <f>'Monthly Data'!A59</f>
        <v>40817</v>
      </c>
      <c r="B59" s="56">
        <f t="shared" si="5"/>
        <v>2011</v>
      </c>
      <c r="C59" s="20">
        <f ca="1">'Monthly Data'!E59</f>
        <v>9961883.1680517532</v>
      </c>
      <c r="D59" s="56">
        <f>'Monthly Data'!AK59</f>
        <v>234.6</v>
      </c>
      <c r="E59" s="56">
        <f>'Monthly Data'!AL59</f>
        <v>0</v>
      </c>
      <c r="F59" s="86">
        <f>'Monthly Data'!AT59</f>
        <v>58</v>
      </c>
      <c r="G59" s="56">
        <f>'Monthly Data'!AO59</f>
        <v>1</v>
      </c>
      <c r="H59" s="86">
        <f>'Monthly Data'!AV59</f>
        <v>0</v>
      </c>
      <c r="I59" s="86">
        <f>'Monthly Data'!AZ59</f>
        <v>0</v>
      </c>
      <c r="J59" s="86">
        <f>'Monthly Data'!BC59</f>
        <v>0</v>
      </c>
      <c r="L59" s="20">
        <f>'Res OLS model'!$B$5</f>
        <v>10397563.9954574</v>
      </c>
      <c r="M59" s="20">
        <f>'Res OLS model'!$B$6*D59</f>
        <v>1307570.1299891206</v>
      </c>
      <c r="N59" s="20">
        <f>'Res OLS model'!$B$7*E59</f>
        <v>0</v>
      </c>
      <c r="O59" s="20">
        <f>'Res OLS model'!$B$8*F59</f>
        <v>-247953.31373744764</v>
      </c>
      <c r="P59" s="20">
        <f>'Res OLS model'!$B$9*G59</f>
        <v>-1419959.8612913999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si="3"/>
        <v>10037220.950417673</v>
      </c>
      <c r="U59" s="23">
        <f t="shared" ca="1" si="4"/>
        <v>7.5626044890319509E-3</v>
      </c>
    </row>
    <row r="60" spans="1:21" x14ac:dyDescent="0.3">
      <c r="A60" s="22">
        <f>'Monthly Data'!A60</f>
        <v>40848</v>
      </c>
      <c r="B60" s="56">
        <f t="shared" si="5"/>
        <v>2011</v>
      </c>
      <c r="C60" s="20">
        <f ca="1">'Monthly Data'!E60</f>
        <v>10558824.248051753</v>
      </c>
      <c r="D60" s="56">
        <f>'Monthly Data'!AK60</f>
        <v>347.9</v>
      </c>
      <c r="E60" s="56">
        <f>'Monthly Data'!AL60</f>
        <v>0</v>
      </c>
      <c r="F60" s="86">
        <f>'Monthly Data'!AT60</f>
        <v>59</v>
      </c>
      <c r="G60" s="56">
        <f>'Monthly Data'!AO60</f>
        <v>1</v>
      </c>
      <c r="H60" s="86">
        <f>'Monthly Data'!AV60</f>
        <v>0</v>
      </c>
      <c r="I60" s="86">
        <f>'Monthly Data'!AZ60</f>
        <v>0</v>
      </c>
      <c r="J60" s="86">
        <f>'Monthly Data'!BC60</f>
        <v>0</v>
      </c>
      <c r="L60" s="20">
        <f>'Res OLS model'!$B$5</f>
        <v>10397563.9954574</v>
      </c>
      <c r="M60" s="20">
        <f>'Res OLS model'!$B$6*D60</f>
        <v>1939060.7341143009</v>
      </c>
      <c r="N60" s="20">
        <f>'Res OLS model'!$B$7*E60</f>
        <v>0</v>
      </c>
      <c r="O60" s="20">
        <f>'Res OLS model'!$B$8*F60</f>
        <v>-252228.37087085191</v>
      </c>
      <c r="P60" s="20">
        <f>'Res OLS model'!$B$9*G60</f>
        <v>-1419959.8612913999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si="3"/>
        <v>10664436.49740945</v>
      </c>
      <c r="U60" s="23">
        <f t="shared" ca="1" si="4"/>
        <v>1.000227363166723E-2</v>
      </c>
    </row>
    <row r="61" spans="1:21" x14ac:dyDescent="0.3">
      <c r="A61" s="22">
        <f>'Monthly Data'!A61</f>
        <v>40878</v>
      </c>
      <c r="B61" s="56">
        <f t="shared" si="5"/>
        <v>2011</v>
      </c>
      <c r="C61" s="20">
        <f ca="1">'Monthly Data'!E61</f>
        <v>12756788.608051755</v>
      </c>
      <c r="D61" s="56">
        <f>'Monthly Data'!AK61</f>
        <v>548.4</v>
      </c>
      <c r="E61" s="56">
        <f>'Monthly Data'!AL61</f>
        <v>0</v>
      </c>
      <c r="F61" s="86">
        <f>'Monthly Data'!AT61</f>
        <v>60</v>
      </c>
      <c r="G61" s="56">
        <f>'Monthly Data'!AO61</f>
        <v>0</v>
      </c>
      <c r="H61" s="86">
        <f>'Monthly Data'!AV61</f>
        <v>0</v>
      </c>
      <c r="I61" s="86">
        <f>'Monthly Data'!AZ61</f>
        <v>0</v>
      </c>
      <c r="J61" s="86">
        <f>'Monthly Data'!BC61</f>
        <v>0</v>
      </c>
      <c r="L61" s="20">
        <f>'Res OLS model'!$B$5</f>
        <v>10397563.9954574</v>
      </c>
      <c r="M61" s="20">
        <f>'Res OLS model'!$B$6*D61</f>
        <v>3056570.5851919595</v>
      </c>
      <c r="N61" s="20">
        <f>'Res OLS model'!$B$7*E61</f>
        <v>0</v>
      </c>
      <c r="O61" s="20">
        <f>'Res OLS model'!$B$8*F61</f>
        <v>-256503.42800425619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si="3"/>
        <v>13197631.152645104</v>
      </c>
      <c r="U61" s="23">
        <f t="shared" ca="1" si="4"/>
        <v>3.4557486067857288E-2</v>
      </c>
    </row>
    <row r="62" spans="1:21" x14ac:dyDescent="0.3">
      <c r="A62" s="22">
        <f>'Monthly Data'!A62</f>
        <v>40909</v>
      </c>
      <c r="B62" s="56">
        <f t="shared" si="5"/>
        <v>2012</v>
      </c>
      <c r="C62" s="20">
        <f ca="1">'Monthly Data'!E62</f>
        <v>13701990.338784929</v>
      </c>
      <c r="D62" s="56">
        <f>'Monthly Data'!AK62</f>
        <v>644.79999999999995</v>
      </c>
      <c r="E62" s="56">
        <f>'Monthly Data'!AL62</f>
        <v>0</v>
      </c>
      <c r="F62" s="86">
        <f>'Monthly Data'!AT62</f>
        <v>61</v>
      </c>
      <c r="G62" s="56">
        <f>'Monthly Data'!AO62</f>
        <v>0</v>
      </c>
      <c r="H62" s="86">
        <f>'Monthly Data'!AV62</f>
        <v>0</v>
      </c>
      <c r="I62" s="86">
        <f>'Monthly Data'!AZ62</f>
        <v>0</v>
      </c>
      <c r="J62" s="86">
        <f>'Monthly Data'!BC62</f>
        <v>0</v>
      </c>
      <c r="L62" s="20">
        <f>'Res OLS model'!$B$5</f>
        <v>10397563.9954574</v>
      </c>
      <c r="M62" s="20">
        <f>'Res OLS model'!$B$6*D62</f>
        <v>3593867.0921440106</v>
      </c>
      <c r="N62" s="20">
        <f>'Res OLS model'!$B$7*E62</f>
        <v>0</v>
      </c>
      <c r="O62" s="20">
        <f>'Res OLS model'!$B$8*F62</f>
        <v>-260778.48513766046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si="3"/>
        <v>13730652.60246375</v>
      </c>
      <c r="U62" s="23">
        <f t="shared" ca="1" si="4"/>
        <v>2.0918321331528924E-3</v>
      </c>
    </row>
    <row r="63" spans="1:21" x14ac:dyDescent="0.3">
      <c r="A63" s="22">
        <f>'Monthly Data'!A63</f>
        <v>40940</v>
      </c>
      <c r="B63" s="56">
        <f t="shared" si="5"/>
        <v>2012</v>
      </c>
      <c r="C63" s="20">
        <f ca="1">'Monthly Data'!E63</f>
        <v>12419248.918784933</v>
      </c>
      <c r="D63" s="56">
        <f>'Monthly Data'!AK63</f>
        <v>553</v>
      </c>
      <c r="E63" s="56">
        <f>'Monthly Data'!AL63</f>
        <v>0</v>
      </c>
      <c r="F63" s="86">
        <f>'Monthly Data'!AT63</f>
        <v>62</v>
      </c>
      <c r="G63" s="56">
        <f>'Monthly Data'!AO63</f>
        <v>0</v>
      </c>
      <c r="H63" s="86">
        <f>'Monthly Data'!AV63</f>
        <v>1</v>
      </c>
      <c r="I63" s="86">
        <f>'Monthly Data'!AZ63</f>
        <v>0</v>
      </c>
      <c r="J63" s="86">
        <f>'Monthly Data'!BC63</f>
        <v>0</v>
      </c>
      <c r="L63" s="20">
        <f>'Res OLS model'!$B$5</f>
        <v>10397563.9954574</v>
      </c>
      <c r="M63" s="20">
        <f>'Res OLS model'!$B$6*D63</f>
        <v>3082209.2151917461</v>
      </c>
      <c r="N63" s="20">
        <f>'Res OLS model'!$B$7*E63</f>
        <v>0</v>
      </c>
      <c r="O63" s="20">
        <f>'Res OLS model'!$B$8*F63</f>
        <v>-265053.54227106471</v>
      </c>
      <c r="P63" s="20">
        <f>'Res OLS model'!$B$9*G63</f>
        <v>0</v>
      </c>
      <c r="Q63" s="20">
        <f>'Res OLS model'!$B$10*H63</f>
        <v>-473349.26469262998</v>
      </c>
      <c r="R63" s="20">
        <f>'Res OLS model'!$B$11*I63</f>
        <v>0</v>
      </c>
      <c r="S63" s="20">
        <f>'Res OLS model'!$B$12*J63</f>
        <v>0</v>
      </c>
      <c r="T63" s="20">
        <f t="shared" si="3"/>
        <v>12741370.403685451</v>
      </c>
      <c r="U63" s="23">
        <f t="shared" ca="1" si="4"/>
        <v>2.5937275837453214E-2</v>
      </c>
    </row>
    <row r="64" spans="1:21" x14ac:dyDescent="0.3">
      <c r="A64" s="22">
        <f>'Monthly Data'!A64</f>
        <v>40969</v>
      </c>
      <c r="B64" s="56">
        <f t="shared" si="5"/>
        <v>2012</v>
      </c>
      <c r="C64" s="20">
        <f ca="1">'Monthly Data'!E64</f>
        <v>10625784.518784931</v>
      </c>
      <c r="D64" s="56">
        <f>'Monthly Data'!AK64</f>
        <v>331.1</v>
      </c>
      <c r="E64" s="56">
        <f>'Monthly Data'!AL64</f>
        <v>2.2000000000000002</v>
      </c>
      <c r="F64" s="86">
        <f>'Monthly Data'!AT64</f>
        <v>63</v>
      </c>
      <c r="G64" s="56">
        <f>'Monthly Data'!AO64</f>
        <v>1</v>
      </c>
      <c r="H64" s="86">
        <f>'Monthly Data'!AV64</f>
        <v>0</v>
      </c>
      <c r="I64" s="86">
        <f>'Monthly Data'!AZ64</f>
        <v>0</v>
      </c>
      <c r="J64" s="86">
        <f>'Monthly Data'!BC64</f>
        <v>0</v>
      </c>
      <c r="L64" s="20">
        <f>'Res OLS model'!$B$5</f>
        <v>10397563.9954574</v>
      </c>
      <c r="M64" s="20">
        <f>'Res OLS model'!$B$6*D64</f>
        <v>1845423.9984629063</v>
      </c>
      <c r="N64" s="20">
        <f>'Res OLS model'!$B$7*E64</f>
        <v>60554.260695655765</v>
      </c>
      <c r="O64" s="20">
        <f>'Res OLS model'!$B$8*F64</f>
        <v>-269328.59940446902</v>
      </c>
      <c r="P64" s="20">
        <f>'Res OLS model'!$B$9*G64</f>
        <v>-1419959.8612913999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si="3"/>
        <v>10614253.793920092</v>
      </c>
      <c r="U64" s="23">
        <f t="shared" ca="1" si="4"/>
        <v>1.085164567797691E-3</v>
      </c>
    </row>
    <row r="65" spans="1:21" x14ac:dyDescent="0.3">
      <c r="A65" s="22">
        <f>'Monthly Data'!A65</f>
        <v>41000</v>
      </c>
      <c r="B65" s="56">
        <f t="shared" si="5"/>
        <v>2012</v>
      </c>
      <c r="C65" s="20">
        <f ca="1">'Monthly Data'!E65</f>
        <v>9308329.4287849367</v>
      </c>
      <c r="D65" s="56">
        <f>'Monthly Data'!AK65</f>
        <v>334.6</v>
      </c>
      <c r="E65" s="56">
        <f>'Monthly Data'!AL65</f>
        <v>0</v>
      </c>
      <c r="F65" s="86">
        <f>'Monthly Data'!AT65</f>
        <v>64</v>
      </c>
      <c r="G65" s="56">
        <f>'Monthly Data'!AO65</f>
        <v>1</v>
      </c>
      <c r="H65" s="86">
        <f>'Monthly Data'!AV65</f>
        <v>0</v>
      </c>
      <c r="I65" s="86">
        <f>'Monthly Data'!AZ65</f>
        <v>0</v>
      </c>
      <c r="J65" s="86">
        <f>'Monthly Data'!BC65</f>
        <v>0</v>
      </c>
      <c r="L65" s="20">
        <f>'Res OLS model'!$B$5</f>
        <v>10397563.9954574</v>
      </c>
      <c r="M65" s="20">
        <f>'Res OLS model'!$B$6*D65</f>
        <v>1864931.6517236137</v>
      </c>
      <c r="N65" s="20">
        <f>'Res OLS model'!$B$7*E65</f>
        <v>0</v>
      </c>
      <c r="O65" s="20">
        <f>'Res OLS model'!$B$8*F65</f>
        <v>-273603.65653787326</v>
      </c>
      <c r="P65" s="20">
        <f>'Res OLS model'!$B$9*G65</f>
        <v>-1419959.8612913999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si="3"/>
        <v>10568932.129351741</v>
      </c>
      <c r="U65" s="23">
        <f t="shared" ca="1" si="4"/>
        <v>0.13542738363648105</v>
      </c>
    </row>
    <row r="66" spans="1:21" x14ac:dyDescent="0.3">
      <c r="A66" s="22">
        <f>'Monthly Data'!A66</f>
        <v>41030</v>
      </c>
      <c r="B66" s="56">
        <f t="shared" si="5"/>
        <v>2012</v>
      </c>
      <c r="C66" s="20">
        <f ca="1">'Monthly Data'!E66</f>
        <v>10160706.668784929</v>
      </c>
      <c r="D66" s="56">
        <f>'Monthly Data'!AK66</f>
        <v>87.2</v>
      </c>
      <c r="E66" s="56">
        <f>'Monthly Data'!AL66</f>
        <v>28.5</v>
      </c>
      <c r="F66" s="86">
        <f>'Monthly Data'!AT66</f>
        <v>65</v>
      </c>
      <c r="G66" s="56">
        <f>'Monthly Data'!AO66</f>
        <v>1</v>
      </c>
      <c r="H66" s="86">
        <f>'Monthly Data'!AV66</f>
        <v>0</v>
      </c>
      <c r="I66" s="86">
        <f>'Monthly Data'!AZ66</f>
        <v>0</v>
      </c>
      <c r="J66" s="86">
        <f>'Monthly Data'!BC66</f>
        <v>0</v>
      </c>
      <c r="L66" s="20">
        <f>'Res OLS model'!$B$5</f>
        <v>10397563.9954574</v>
      </c>
      <c r="M66" s="20">
        <f>'Res OLS model'!$B$6*D66</f>
        <v>486019.2469524779</v>
      </c>
      <c r="N66" s="20">
        <f>'Res OLS model'!$B$7*E66</f>
        <v>784452.92264826782</v>
      </c>
      <c r="O66" s="20">
        <f>'Res OLS model'!$B$8*F66</f>
        <v>-277878.71367127751</v>
      </c>
      <c r="P66" s="20">
        <f>'Res OLS model'!$B$9*G66</f>
        <v>-1419959.8612913999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si="3"/>
        <v>9970197.5900954679</v>
      </c>
      <c r="U66" s="23">
        <f t="shared" ref="U66:U97" ca="1" si="6">ABS(T66-C66)/C66</f>
        <v>1.8749589462584461E-2</v>
      </c>
    </row>
    <row r="67" spans="1:21" x14ac:dyDescent="0.3">
      <c r="A67" s="22">
        <f>'Monthly Data'!A67</f>
        <v>41061</v>
      </c>
      <c r="B67" s="56">
        <f t="shared" si="5"/>
        <v>2012</v>
      </c>
      <c r="C67" s="20">
        <f ca="1">'Monthly Data'!E67</f>
        <v>11226621.57878493</v>
      </c>
      <c r="D67" s="56">
        <f>'Monthly Data'!AK67</f>
        <v>28.2</v>
      </c>
      <c r="E67" s="56">
        <f>'Monthly Data'!AL67</f>
        <v>81.7</v>
      </c>
      <c r="F67" s="86">
        <f>'Monthly Data'!AT67</f>
        <v>66</v>
      </c>
      <c r="G67" s="56">
        <f>'Monthly Data'!AO67</f>
        <v>0</v>
      </c>
      <c r="H67" s="86">
        <f>'Monthly Data'!AV67</f>
        <v>0</v>
      </c>
      <c r="I67" s="86">
        <f>'Monthly Data'!AZ67</f>
        <v>1</v>
      </c>
      <c r="J67" s="86">
        <f>'Monthly Data'!BC67</f>
        <v>0</v>
      </c>
      <c r="L67" s="20">
        <f>'Res OLS model'!$B$5</f>
        <v>10397563.9954574</v>
      </c>
      <c r="M67" s="20">
        <f>'Res OLS model'!$B$6*D67</f>
        <v>157175.94912912702</v>
      </c>
      <c r="N67" s="20">
        <f>'Res OLS model'!$B$7*E67</f>
        <v>2248765.0449250345</v>
      </c>
      <c r="O67" s="20">
        <f>'Res OLS model'!$B$8*F67</f>
        <v>-282153.77080468182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-773164.55099904304</v>
      </c>
      <c r="S67" s="20">
        <f>'Res OLS model'!$B$12*J67</f>
        <v>0</v>
      </c>
      <c r="T67" s="20">
        <f t="shared" ref="T67:T121" si="7">SUM(L67:S67)</f>
        <v>11748186.667707836</v>
      </c>
      <c r="U67" s="23">
        <f t="shared" ca="1" si="6"/>
        <v>4.6457884525876778E-2</v>
      </c>
    </row>
    <row r="68" spans="1:21" x14ac:dyDescent="0.3">
      <c r="A68" s="22">
        <f>'Monthly Data'!A68</f>
        <v>41091</v>
      </c>
      <c r="B68" s="56">
        <f t="shared" si="5"/>
        <v>2012</v>
      </c>
      <c r="C68" s="20">
        <f ca="1">'Monthly Data'!E68</f>
        <v>14521070.218784928</v>
      </c>
      <c r="D68" s="56">
        <f>'Monthly Data'!AK68</f>
        <v>0</v>
      </c>
      <c r="E68" s="56">
        <f>'Monthly Data'!AL68</f>
        <v>161</v>
      </c>
      <c r="F68" s="86">
        <f>'Monthly Data'!AT68</f>
        <v>67</v>
      </c>
      <c r="G68" s="56">
        <f>'Monthly Data'!AO68</f>
        <v>0</v>
      </c>
      <c r="H68" s="86">
        <f>'Monthly Data'!AV68</f>
        <v>0</v>
      </c>
      <c r="I68" s="86">
        <f>'Monthly Data'!AZ68</f>
        <v>0</v>
      </c>
      <c r="J68" s="86">
        <f>'Monthly Data'!BC68</f>
        <v>0</v>
      </c>
      <c r="L68" s="20">
        <f>'Res OLS model'!$B$5</f>
        <v>10397563.9954574</v>
      </c>
      <c r="M68" s="20">
        <f>'Res OLS model'!$B$6*D68</f>
        <v>0</v>
      </c>
      <c r="N68" s="20">
        <f>'Res OLS model'!$B$7*E68</f>
        <v>4431470.8963638991</v>
      </c>
      <c r="O68" s="20">
        <f>'Res OLS model'!$B$8*F68</f>
        <v>-286428.82793808606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si="7"/>
        <v>14542606.063883213</v>
      </c>
      <c r="U68" s="23">
        <f t="shared" ca="1" si="6"/>
        <v>1.4830756117703732E-3</v>
      </c>
    </row>
    <row r="69" spans="1:21" x14ac:dyDescent="0.3">
      <c r="A69" s="22">
        <f>'Monthly Data'!A69</f>
        <v>41122</v>
      </c>
      <c r="B69" s="56">
        <f t="shared" si="5"/>
        <v>2012</v>
      </c>
      <c r="C69" s="20">
        <f ca="1">'Monthly Data'!E69</f>
        <v>12646001.058784934</v>
      </c>
      <c r="D69" s="56">
        <f>'Monthly Data'!AK69</f>
        <v>7.8</v>
      </c>
      <c r="E69" s="56">
        <f>'Monthly Data'!AL69</f>
        <v>79.599999999999994</v>
      </c>
      <c r="F69" s="86">
        <f>'Monthly Data'!AT69</f>
        <v>68</v>
      </c>
      <c r="G69" s="56">
        <f>'Monthly Data'!AO69</f>
        <v>0</v>
      </c>
      <c r="H69" s="86">
        <f>'Monthly Data'!AV69</f>
        <v>0</v>
      </c>
      <c r="I69" s="86">
        <f>'Monthly Data'!AZ69</f>
        <v>0</v>
      </c>
      <c r="J69" s="86">
        <f>'Monthly Data'!BC69</f>
        <v>0</v>
      </c>
      <c r="L69" s="20">
        <f>'Res OLS model'!$B$5</f>
        <v>10397563.9954574</v>
      </c>
      <c r="M69" s="20">
        <f>'Res OLS model'!$B$6*D69</f>
        <v>43474.198695290455</v>
      </c>
      <c r="N69" s="20">
        <f>'Res OLS model'!$B$7*E69</f>
        <v>2190963.2506246357</v>
      </c>
      <c r="O69" s="20">
        <f>'Res OLS model'!$B$8*F69</f>
        <v>-290703.88507149037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si="7"/>
        <v>12341297.559705837</v>
      </c>
      <c r="U69" s="23">
        <f t="shared" ca="1" si="6"/>
        <v>2.4094850036994533E-2</v>
      </c>
    </row>
    <row r="70" spans="1:21" x14ac:dyDescent="0.3">
      <c r="A70" s="22">
        <f>'Monthly Data'!A70</f>
        <v>41153</v>
      </c>
      <c r="B70" s="56">
        <f t="shared" si="5"/>
        <v>2012</v>
      </c>
      <c r="C70" s="20">
        <f ca="1">'Monthly Data'!E70</f>
        <v>10714417.028784934</v>
      </c>
      <c r="D70" s="56">
        <f>'Monthly Data'!AK70</f>
        <v>103.4</v>
      </c>
      <c r="E70" s="56">
        <f>'Monthly Data'!AL70</f>
        <v>27.7</v>
      </c>
      <c r="F70" s="86">
        <f>'Monthly Data'!AT70</f>
        <v>69</v>
      </c>
      <c r="G70" s="56">
        <f>'Monthly Data'!AO70</f>
        <v>1</v>
      </c>
      <c r="H70" s="86">
        <f>'Monthly Data'!AV70</f>
        <v>0</v>
      </c>
      <c r="I70" s="86">
        <f>'Monthly Data'!AZ70</f>
        <v>0</v>
      </c>
      <c r="J70" s="86">
        <f>'Monthly Data'!BC70</f>
        <v>1</v>
      </c>
      <c r="L70" s="20">
        <f>'Res OLS model'!$B$5</f>
        <v>10397563.9954574</v>
      </c>
      <c r="M70" s="20">
        <f>'Res OLS model'!$B$6*D70</f>
        <v>576311.81347346574</v>
      </c>
      <c r="N70" s="20">
        <f>'Res OLS model'!$B$7*E70</f>
        <v>762433.19148621114</v>
      </c>
      <c r="O70" s="20">
        <f>'Res OLS model'!$B$8*F70</f>
        <v>-294978.94220489461</v>
      </c>
      <c r="P70" s="20">
        <f>'Res OLS model'!$B$9*G70</f>
        <v>-1419959.8612913999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772942.00624980999</v>
      </c>
      <c r="T70" s="20">
        <f t="shared" si="7"/>
        <v>10794312.203170592</v>
      </c>
      <c r="U70" s="23">
        <f t="shared" ca="1" si="6"/>
        <v>7.4567915520755146E-3</v>
      </c>
    </row>
    <row r="71" spans="1:21" x14ac:dyDescent="0.3">
      <c r="A71" s="22">
        <f>'Monthly Data'!A71</f>
        <v>41183</v>
      </c>
      <c r="B71" s="56">
        <f t="shared" si="5"/>
        <v>2012</v>
      </c>
      <c r="C71" s="20">
        <f ca="1">'Monthly Data'!E71</f>
        <v>9933433.2287849337</v>
      </c>
      <c r="D71" s="56">
        <f>'Monthly Data'!AK71</f>
        <v>250.5</v>
      </c>
      <c r="E71" s="56">
        <f>'Monthly Data'!AL71</f>
        <v>0.7</v>
      </c>
      <c r="F71" s="86">
        <f>'Monthly Data'!AT71</f>
        <v>70</v>
      </c>
      <c r="G71" s="56">
        <f>'Monthly Data'!AO71</f>
        <v>1</v>
      </c>
      <c r="H71" s="86">
        <f>'Monthly Data'!AV71</f>
        <v>0</v>
      </c>
      <c r="I71" s="86">
        <f>'Monthly Data'!AZ71</f>
        <v>0</v>
      </c>
      <c r="J71" s="86">
        <f>'Monthly Data'!BC71</f>
        <v>0</v>
      </c>
      <c r="L71" s="20">
        <f>'Res OLS model'!$B$5</f>
        <v>10397563.9954574</v>
      </c>
      <c r="M71" s="20">
        <f>'Res OLS model'!$B$6*D71</f>
        <v>1396190.611944905</v>
      </c>
      <c r="N71" s="20">
        <f>'Res OLS model'!$B$7*E71</f>
        <v>19267.264766799559</v>
      </c>
      <c r="O71" s="20">
        <f>'Res OLS model'!$B$8*F71</f>
        <v>-299253.99933829886</v>
      </c>
      <c r="P71" s="20">
        <f>'Res OLS model'!$B$9*G71</f>
        <v>-1419959.8612913999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si="7"/>
        <v>10093808.011539405</v>
      </c>
      <c r="U71" s="23">
        <f t="shared" ca="1" si="6"/>
        <v>1.6144949994704772E-2</v>
      </c>
    </row>
    <row r="72" spans="1:21" x14ac:dyDescent="0.3">
      <c r="A72" s="22">
        <f>'Monthly Data'!A72</f>
        <v>41214</v>
      </c>
      <c r="B72" s="56">
        <f t="shared" si="5"/>
        <v>2012</v>
      </c>
      <c r="C72" s="20">
        <f ca="1">'Monthly Data'!E72</f>
        <v>11155987.468784932</v>
      </c>
      <c r="D72" s="56">
        <f>'Monthly Data'!AK72</f>
        <v>458.5</v>
      </c>
      <c r="E72" s="56">
        <f>'Monthly Data'!AL72</f>
        <v>0</v>
      </c>
      <c r="F72" s="86">
        <f>'Monthly Data'!AT72</f>
        <v>71</v>
      </c>
      <c r="G72" s="56">
        <f>'Monthly Data'!AO72</f>
        <v>1</v>
      </c>
      <c r="H72" s="86">
        <f>'Monthly Data'!AV72</f>
        <v>0</v>
      </c>
      <c r="I72" s="86">
        <f>'Monthly Data'!AZ72</f>
        <v>0</v>
      </c>
      <c r="J72" s="86">
        <f>'Monthly Data'!BC72</f>
        <v>0</v>
      </c>
      <c r="L72" s="20">
        <f>'Res OLS model'!$B$5</f>
        <v>10397563.9954574</v>
      </c>
      <c r="M72" s="20">
        <f>'Res OLS model'!$B$6*D72</f>
        <v>2555502.5771526503</v>
      </c>
      <c r="N72" s="20">
        <f>'Res OLS model'!$B$7*E72</f>
        <v>0</v>
      </c>
      <c r="O72" s="20">
        <f>'Res OLS model'!$B$8*F72</f>
        <v>-303529.05647170317</v>
      </c>
      <c r="P72" s="20">
        <f>'Res OLS model'!$B$9*G72</f>
        <v>-1419959.8612913999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si="7"/>
        <v>11229577.654846948</v>
      </c>
      <c r="U72" s="23">
        <f t="shared" ca="1" si="6"/>
        <v>6.5964744284560187E-3</v>
      </c>
    </row>
    <row r="73" spans="1:21" x14ac:dyDescent="0.3">
      <c r="A73" s="22">
        <f>'Monthly Data'!A73</f>
        <v>41244</v>
      </c>
      <c r="B73" s="56">
        <f t="shared" si="5"/>
        <v>2012</v>
      </c>
      <c r="C73" s="20">
        <f ca="1">'Monthly Data'!E73</f>
        <v>12721788.438784931</v>
      </c>
      <c r="D73" s="56">
        <f>'Monthly Data'!AK73</f>
        <v>535.9</v>
      </c>
      <c r="E73" s="56">
        <f>'Monthly Data'!AL73</f>
        <v>0</v>
      </c>
      <c r="F73" s="86">
        <f>'Monthly Data'!AT73</f>
        <v>72</v>
      </c>
      <c r="G73" s="56">
        <f>'Monthly Data'!AO73</f>
        <v>0</v>
      </c>
      <c r="H73" s="86">
        <f>'Monthly Data'!AV73</f>
        <v>0</v>
      </c>
      <c r="I73" s="86">
        <f>'Monthly Data'!AZ73</f>
        <v>0</v>
      </c>
      <c r="J73" s="86">
        <f>'Monthly Data'!BC73</f>
        <v>0</v>
      </c>
      <c r="L73" s="20">
        <f>'Res OLS model'!$B$5</f>
        <v>10397563.9954574</v>
      </c>
      <c r="M73" s="20">
        <f>'Res OLS model'!$B$6*D73</f>
        <v>2986900.3949751477</v>
      </c>
      <c r="N73" s="20">
        <f>'Res OLS model'!$B$7*E73</f>
        <v>0</v>
      </c>
      <c r="O73" s="20">
        <f>'Res OLS model'!$B$8*F73</f>
        <v>-307804.11360510741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si="7"/>
        <v>13076660.27682744</v>
      </c>
      <c r="U73" s="23">
        <f t="shared" ca="1" si="6"/>
        <v>2.7894807381060562E-2</v>
      </c>
    </row>
    <row r="74" spans="1:21" x14ac:dyDescent="0.3">
      <c r="A74" s="22">
        <f>'Monthly Data'!A74</f>
        <v>41275</v>
      </c>
      <c r="B74" s="56">
        <f t="shared" si="5"/>
        <v>2013</v>
      </c>
      <c r="C74" s="20">
        <f ca="1">'Monthly Data'!E74</f>
        <v>13766519.236842874</v>
      </c>
      <c r="D74" s="56">
        <f>'Monthly Data'!AK74</f>
        <v>657.4</v>
      </c>
      <c r="E74" s="56">
        <f>'Monthly Data'!AL74</f>
        <v>0</v>
      </c>
      <c r="F74" s="86">
        <f>'Monthly Data'!AT74</f>
        <v>73</v>
      </c>
      <c r="G74" s="56">
        <f>'Monthly Data'!AO74</f>
        <v>0</v>
      </c>
      <c r="H74" s="86">
        <f>'Monthly Data'!AV74</f>
        <v>0</v>
      </c>
      <c r="I74" s="86">
        <f>'Monthly Data'!AZ74</f>
        <v>0</v>
      </c>
      <c r="J74" s="86">
        <f>'Monthly Data'!BC74</f>
        <v>0</v>
      </c>
      <c r="L74" s="20">
        <f>'Res OLS model'!$B$5</f>
        <v>10397563.9954574</v>
      </c>
      <c r="M74" s="20">
        <f>'Res OLS model'!$B$6*D74</f>
        <v>3664094.6438825568</v>
      </c>
      <c r="N74" s="20">
        <f>'Res OLS model'!$B$7*E74</f>
        <v>0</v>
      </c>
      <c r="O74" s="20">
        <f>'Res OLS model'!$B$8*F74</f>
        <v>-312079.17073851172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si="7"/>
        <v>13749579.468601447</v>
      </c>
      <c r="U74" s="23">
        <f t="shared" ca="1" si="6"/>
        <v>1.2305048175207938E-3</v>
      </c>
    </row>
    <row r="75" spans="1:21" x14ac:dyDescent="0.3">
      <c r="A75" s="22">
        <f>'Monthly Data'!A75</f>
        <v>41306</v>
      </c>
      <c r="B75" s="56">
        <f t="shared" si="5"/>
        <v>2013</v>
      </c>
      <c r="C75" s="20">
        <f ca="1">'Monthly Data'!E75</f>
        <v>13037264.436842877</v>
      </c>
      <c r="D75" s="56">
        <f>'Monthly Data'!AK75</f>
        <v>657</v>
      </c>
      <c r="E75" s="56">
        <f>'Monthly Data'!AL75</f>
        <v>0</v>
      </c>
      <c r="F75" s="86">
        <f>'Monthly Data'!AT75</f>
        <v>74</v>
      </c>
      <c r="G75" s="56">
        <f>'Monthly Data'!AO75</f>
        <v>0</v>
      </c>
      <c r="H75" s="86">
        <f>'Monthly Data'!AV75</f>
        <v>1</v>
      </c>
      <c r="I75" s="86">
        <f>'Monthly Data'!AZ75</f>
        <v>0</v>
      </c>
      <c r="J75" s="86">
        <f>'Monthly Data'!BC75</f>
        <v>0</v>
      </c>
      <c r="L75" s="20">
        <f>'Res OLS model'!$B$5</f>
        <v>10397563.9954574</v>
      </c>
      <c r="M75" s="20">
        <f>'Res OLS model'!$B$6*D75</f>
        <v>3661865.1977956188</v>
      </c>
      <c r="N75" s="20">
        <f>'Res OLS model'!$B$7*E75</f>
        <v>0</v>
      </c>
      <c r="O75" s="20">
        <f>'Res OLS model'!$B$8*F75</f>
        <v>-316354.22787191597</v>
      </c>
      <c r="P75" s="20">
        <f>'Res OLS model'!$B$9*G75</f>
        <v>0</v>
      </c>
      <c r="Q75" s="20">
        <f>'Res OLS model'!$B$10*H75</f>
        <v>-473349.26469262998</v>
      </c>
      <c r="R75" s="20">
        <f>'Res OLS model'!$B$11*I75</f>
        <v>0</v>
      </c>
      <c r="S75" s="20">
        <f>'Res OLS model'!$B$12*J75</f>
        <v>0</v>
      </c>
      <c r="T75" s="20">
        <f t="shared" si="7"/>
        <v>13269725.700688472</v>
      </c>
      <c r="U75" s="23">
        <f t="shared" ca="1" si="6"/>
        <v>1.7830524568380062E-2</v>
      </c>
    </row>
    <row r="76" spans="1:21" x14ac:dyDescent="0.3">
      <c r="A76" s="22">
        <f>'Monthly Data'!A76</f>
        <v>41334</v>
      </c>
      <c r="B76" s="56">
        <f t="shared" si="5"/>
        <v>2013</v>
      </c>
      <c r="C76" s="20">
        <f ca="1">'Monthly Data'!E76</f>
        <v>11968675.47684288</v>
      </c>
      <c r="D76" s="56">
        <f>'Monthly Data'!AK76</f>
        <v>581.9</v>
      </c>
      <c r="E76" s="56">
        <f>'Monthly Data'!AL76</f>
        <v>0</v>
      </c>
      <c r="F76" s="86">
        <f>'Monthly Data'!AT76</f>
        <v>75</v>
      </c>
      <c r="G76" s="56">
        <f>'Monthly Data'!AO76</f>
        <v>1</v>
      </c>
      <c r="H76" s="86">
        <f>'Monthly Data'!AV76</f>
        <v>0</v>
      </c>
      <c r="I76" s="86">
        <f>'Monthly Data'!AZ76</f>
        <v>0</v>
      </c>
      <c r="J76" s="86">
        <f>'Monthly Data'!BC76</f>
        <v>0</v>
      </c>
      <c r="L76" s="20">
        <f>'Res OLS model'!$B$5</f>
        <v>10397563.9954574</v>
      </c>
      <c r="M76" s="20">
        <f>'Res OLS model'!$B$6*D76</f>
        <v>3243286.6949730148</v>
      </c>
      <c r="N76" s="20">
        <f>'Res OLS model'!$B$7*E76</f>
        <v>0</v>
      </c>
      <c r="O76" s="20">
        <f>'Res OLS model'!$B$8*F76</f>
        <v>-320629.28500532021</v>
      </c>
      <c r="P76" s="20">
        <f>'Res OLS model'!$B$9*G76</f>
        <v>-1419959.8612913999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si="7"/>
        <v>11900261.544133695</v>
      </c>
      <c r="U76" s="23">
        <f t="shared" ca="1" si="6"/>
        <v>5.7160821881713985E-3</v>
      </c>
    </row>
    <row r="77" spans="1:21" x14ac:dyDescent="0.3">
      <c r="A77" s="22">
        <f>'Monthly Data'!A77</f>
        <v>41365</v>
      </c>
      <c r="B77" s="56">
        <f t="shared" si="5"/>
        <v>2013</v>
      </c>
      <c r="C77" s="20">
        <f ca="1">'Monthly Data'!E77</f>
        <v>10955923.596842881</v>
      </c>
      <c r="D77" s="56">
        <f>'Monthly Data'!AK77</f>
        <v>362.2</v>
      </c>
      <c r="E77" s="56">
        <f>'Monthly Data'!AL77</f>
        <v>0</v>
      </c>
      <c r="F77" s="86">
        <f>'Monthly Data'!AT77</f>
        <v>76</v>
      </c>
      <c r="G77" s="56">
        <f>'Monthly Data'!AO77</f>
        <v>1</v>
      </c>
      <c r="H77" s="86">
        <f>'Monthly Data'!AV77</f>
        <v>0</v>
      </c>
      <c r="I77" s="86">
        <f>'Monthly Data'!AZ77</f>
        <v>0</v>
      </c>
      <c r="J77" s="86">
        <f>'Monthly Data'!BC77</f>
        <v>0</v>
      </c>
      <c r="L77" s="20">
        <f>'Res OLS model'!$B$5</f>
        <v>10397563.9954574</v>
      </c>
      <c r="M77" s="20">
        <f>'Res OLS model'!$B$6*D77</f>
        <v>2018763.4317223337</v>
      </c>
      <c r="N77" s="20">
        <f>'Res OLS model'!$B$7*E77</f>
        <v>0</v>
      </c>
      <c r="O77" s="20">
        <f>'Res OLS model'!$B$8*F77</f>
        <v>-324904.34213872452</v>
      </c>
      <c r="P77" s="20">
        <f>'Res OLS model'!$B$9*G77</f>
        <v>-1419959.8612913999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si="7"/>
        <v>10671463.22374961</v>
      </c>
      <c r="U77" s="23">
        <f t="shared" ca="1" si="6"/>
        <v>2.596407053945167E-2</v>
      </c>
    </row>
    <row r="78" spans="1:21" x14ac:dyDescent="0.3">
      <c r="A78" s="22">
        <f>'Monthly Data'!A78</f>
        <v>41395</v>
      </c>
      <c r="B78" s="56">
        <f t="shared" si="5"/>
        <v>2013</v>
      </c>
      <c r="C78" s="20">
        <f ca="1">'Monthly Data'!E78</f>
        <v>9805347.5568428785</v>
      </c>
      <c r="D78" s="56">
        <f>'Monthly Data'!AK78</f>
        <v>122.2</v>
      </c>
      <c r="E78" s="56">
        <f>'Monthly Data'!AL78</f>
        <v>27</v>
      </c>
      <c r="F78" s="86">
        <f>'Monthly Data'!AT78</f>
        <v>77</v>
      </c>
      <c r="G78" s="56">
        <f>'Monthly Data'!AO78</f>
        <v>1</v>
      </c>
      <c r="H78" s="86">
        <f>'Monthly Data'!AV78</f>
        <v>0</v>
      </c>
      <c r="I78" s="86">
        <f>'Monthly Data'!AZ78</f>
        <v>0</v>
      </c>
      <c r="J78" s="86">
        <f>'Monthly Data'!BC78</f>
        <v>0</v>
      </c>
      <c r="L78" s="20">
        <f>'Res OLS model'!$B$5</f>
        <v>10397563.9954574</v>
      </c>
      <c r="M78" s="20">
        <f>'Res OLS model'!$B$6*D78</f>
        <v>681095.77955955046</v>
      </c>
      <c r="N78" s="20">
        <f>'Res OLS model'!$B$7*E78</f>
        <v>743165.92671941163</v>
      </c>
      <c r="O78" s="20">
        <f>'Res OLS model'!$B$8*F78</f>
        <v>-329179.39927212877</v>
      </c>
      <c r="P78" s="20">
        <f>'Res OLS model'!$B$9*G78</f>
        <v>-1419959.8612913999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si="7"/>
        <v>10072686.441172834</v>
      </c>
      <c r="U78" s="23">
        <f t="shared" ca="1" si="6"/>
        <v>2.7264600543749993E-2</v>
      </c>
    </row>
    <row r="79" spans="1:21" x14ac:dyDescent="0.3">
      <c r="A79" s="22">
        <f>'Monthly Data'!A79</f>
        <v>41426</v>
      </c>
      <c r="B79" s="56">
        <f t="shared" si="5"/>
        <v>2013</v>
      </c>
      <c r="C79" s="20">
        <f ca="1">'Monthly Data'!E79</f>
        <v>10790040.57684288</v>
      </c>
      <c r="D79" s="56">
        <f>'Monthly Data'!AK79</f>
        <v>41.1</v>
      </c>
      <c r="E79" s="56">
        <f>'Monthly Data'!AL79</f>
        <v>56.800000000000004</v>
      </c>
      <c r="F79" s="86">
        <f>'Monthly Data'!AT79</f>
        <v>78</v>
      </c>
      <c r="G79" s="56">
        <f>'Monthly Data'!AO79</f>
        <v>0</v>
      </c>
      <c r="H79" s="86">
        <f>'Monthly Data'!AV79</f>
        <v>0</v>
      </c>
      <c r="I79" s="86">
        <f>'Monthly Data'!AZ79</f>
        <v>1</v>
      </c>
      <c r="J79" s="86">
        <f>'Monthly Data'!BC79</f>
        <v>0</v>
      </c>
      <c r="L79" s="20">
        <f>'Res OLS model'!$B$5</f>
        <v>10397563.9954574</v>
      </c>
      <c r="M79" s="20">
        <f>'Res OLS model'!$B$6*D79</f>
        <v>229075.58543287663</v>
      </c>
      <c r="N79" s="20">
        <f>'Res OLS model'!$B$7*E79</f>
        <v>1563400.9125060216</v>
      </c>
      <c r="O79" s="20">
        <f>'Res OLS model'!$B$8*F79</f>
        <v>-333454.45640553301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-773164.55099904304</v>
      </c>
      <c r="S79" s="20">
        <f>'Res OLS model'!$B$12*J79</f>
        <v>0</v>
      </c>
      <c r="T79" s="20">
        <f t="shared" si="7"/>
        <v>11083421.48599172</v>
      </c>
      <c r="U79" s="23">
        <f t="shared" ca="1" si="6"/>
        <v>2.7189972740091609E-2</v>
      </c>
    </row>
    <row r="80" spans="1:21" x14ac:dyDescent="0.3">
      <c r="A80" s="22">
        <f>'Monthly Data'!A80</f>
        <v>41456</v>
      </c>
      <c r="B80" s="56">
        <f t="shared" si="5"/>
        <v>2013</v>
      </c>
      <c r="C80" s="20">
        <f ca="1">'Monthly Data'!E80</f>
        <v>13306627.046842881</v>
      </c>
      <c r="D80" s="56">
        <f>'Monthly Data'!AK80</f>
        <v>7.1</v>
      </c>
      <c r="E80" s="56">
        <f>'Monthly Data'!AL80</f>
        <v>108.8</v>
      </c>
      <c r="F80" s="86">
        <f>'Monthly Data'!AT80</f>
        <v>79</v>
      </c>
      <c r="G80" s="56">
        <f>'Monthly Data'!AO80</f>
        <v>0</v>
      </c>
      <c r="H80" s="86">
        <f>'Monthly Data'!AV80</f>
        <v>0</v>
      </c>
      <c r="I80" s="86">
        <f>'Monthly Data'!AZ80</f>
        <v>0</v>
      </c>
      <c r="J80" s="86">
        <f>'Monthly Data'!BC80</f>
        <v>0</v>
      </c>
      <c r="L80" s="20">
        <f>'Res OLS model'!$B$5</f>
        <v>10397563.9954574</v>
      </c>
      <c r="M80" s="20">
        <f>'Res OLS model'!$B$6*D80</f>
        <v>39572.668043149002</v>
      </c>
      <c r="N80" s="20">
        <f>'Res OLS model'!$B$7*E80</f>
        <v>2994683.4380397033</v>
      </c>
      <c r="O80" s="20">
        <f>'Res OLS model'!$B$8*F80</f>
        <v>-337729.51353893732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si="7"/>
        <v>13094090.588001315</v>
      </c>
      <c r="U80" s="23">
        <f t="shared" ca="1" si="6"/>
        <v>1.5972226327030953E-2</v>
      </c>
    </row>
    <row r="81" spans="1:21" x14ac:dyDescent="0.3">
      <c r="A81" s="22">
        <f>'Monthly Data'!A81</f>
        <v>41487</v>
      </c>
      <c r="B81" s="56">
        <f t="shared" si="5"/>
        <v>2013</v>
      </c>
      <c r="C81" s="20">
        <f ca="1">'Monthly Data'!E81</f>
        <v>11765359.706842881</v>
      </c>
      <c r="D81" s="56">
        <f>'Monthly Data'!AK81</f>
        <v>18.399999999999999</v>
      </c>
      <c r="E81" s="56">
        <f>'Monthly Data'!AL81</f>
        <v>57.5</v>
      </c>
      <c r="F81" s="86">
        <f>'Monthly Data'!AT81</f>
        <v>80</v>
      </c>
      <c r="G81" s="56">
        <f>'Monthly Data'!AO81</f>
        <v>0</v>
      </c>
      <c r="H81" s="86">
        <f>'Monthly Data'!AV81</f>
        <v>0</v>
      </c>
      <c r="I81" s="86">
        <f>'Monthly Data'!AZ81</f>
        <v>0</v>
      </c>
      <c r="J81" s="86">
        <f>'Monthly Data'!BC81</f>
        <v>0</v>
      </c>
      <c r="L81" s="20">
        <f>'Res OLS model'!$B$5</f>
        <v>10397563.9954574</v>
      </c>
      <c r="M81" s="20">
        <f>'Res OLS model'!$B$6*D81</f>
        <v>102554.51999914671</v>
      </c>
      <c r="N81" s="20">
        <f>'Res OLS model'!$B$7*E81</f>
        <v>1582668.1772728211</v>
      </c>
      <c r="O81" s="20">
        <f>'Res OLS model'!$B$8*F81</f>
        <v>-342004.57067234156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si="7"/>
        <v>11740782.122057026</v>
      </c>
      <c r="U81" s="23">
        <f t="shared" ca="1" si="6"/>
        <v>2.0889786116407316E-3</v>
      </c>
    </row>
    <row r="82" spans="1:21" x14ac:dyDescent="0.3">
      <c r="A82" s="22">
        <f>'Monthly Data'!A82</f>
        <v>41518</v>
      </c>
      <c r="B82" s="56">
        <f t="shared" si="5"/>
        <v>2013</v>
      </c>
      <c r="C82" s="20">
        <f ca="1">'Monthly Data'!E82</f>
        <v>10845549.38684288</v>
      </c>
      <c r="D82" s="56">
        <f>'Monthly Data'!AK82</f>
        <v>94.9</v>
      </c>
      <c r="E82" s="56">
        <f>'Monthly Data'!AL82</f>
        <v>26</v>
      </c>
      <c r="F82" s="86">
        <f>'Monthly Data'!AT82</f>
        <v>81</v>
      </c>
      <c r="G82" s="56">
        <f>'Monthly Data'!AO82</f>
        <v>1</v>
      </c>
      <c r="H82" s="86">
        <f>'Monthly Data'!AV82</f>
        <v>0</v>
      </c>
      <c r="I82" s="86">
        <f>'Monthly Data'!AZ82</f>
        <v>0</v>
      </c>
      <c r="J82" s="86">
        <f>'Monthly Data'!BC82</f>
        <v>1</v>
      </c>
      <c r="L82" s="20">
        <f>'Res OLS model'!$B$5</f>
        <v>10397563.9954574</v>
      </c>
      <c r="M82" s="20">
        <f>'Res OLS model'!$B$6*D82</f>
        <v>528936.08412603394</v>
      </c>
      <c r="N82" s="20">
        <f>'Res OLS model'!$B$7*E82</f>
        <v>715641.26276684087</v>
      </c>
      <c r="O82" s="20">
        <f>'Res OLS model'!$B$8*F82</f>
        <v>-346279.62780574587</v>
      </c>
      <c r="P82" s="20">
        <f>'Res OLS model'!$B$9*G82</f>
        <v>-1419959.8612913999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772942.00624980999</v>
      </c>
      <c r="T82" s="20">
        <f t="shared" si="7"/>
        <v>10648843.85950294</v>
      </c>
      <c r="U82" s="23">
        <f t="shared" ca="1" si="6"/>
        <v>1.813698138506209E-2</v>
      </c>
    </row>
    <row r="83" spans="1:21" x14ac:dyDescent="0.3">
      <c r="A83" s="22">
        <f>'Monthly Data'!A83</f>
        <v>41548</v>
      </c>
      <c r="B83" s="56">
        <f t="shared" si="5"/>
        <v>2013</v>
      </c>
      <c r="C83" s="20">
        <f ca="1">'Monthly Data'!E83</f>
        <v>10013800.05684288</v>
      </c>
      <c r="D83" s="56">
        <f>'Monthly Data'!AK83</f>
        <v>226.6</v>
      </c>
      <c r="E83" s="56">
        <f>'Monthly Data'!AL83</f>
        <v>2.6</v>
      </c>
      <c r="F83" s="86">
        <f>'Monthly Data'!AT83</f>
        <v>82</v>
      </c>
      <c r="G83" s="56">
        <f>'Monthly Data'!AO83</f>
        <v>1</v>
      </c>
      <c r="H83" s="86">
        <f>'Monthly Data'!AV83</f>
        <v>0</v>
      </c>
      <c r="I83" s="86">
        <f>'Monthly Data'!AZ83</f>
        <v>0</v>
      </c>
      <c r="J83" s="86">
        <f>'Monthly Data'!BC83</f>
        <v>0</v>
      </c>
      <c r="L83" s="20">
        <f>'Res OLS model'!$B$5</f>
        <v>10397563.9954574</v>
      </c>
      <c r="M83" s="20">
        <f>'Res OLS model'!$B$6*D83</f>
        <v>1262981.208250361</v>
      </c>
      <c r="N83" s="20">
        <f>'Res OLS model'!$B$7*E83</f>
        <v>71564.126276684081</v>
      </c>
      <c r="O83" s="20">
        <f>'Res OLS model'!$B$8*F83</f>
        <v>-350554.68493915012</v>
      </c>
      <c r="P83" s="20">
        <f>'Res OLS model'!$B$9*G83</f>
        <v>-1419959.8612913999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si="7"/>
        <v>9961594.7837538961</v>
      </c>
      <c r="U83" s="23">
        <f t="shared" ca="1" si="6"/>
        <v>5.2133328798900855E-3</v>
      </c>
    </row>
    <row r="84" spans="1:21" x14ac:dyDescent="0.3">
      <c r="A84" s="22">
        <f>'Monthly Data'!A84</f>
        <v>41579</v>
      </c>
      <c r="B84" s="56">
        <f t="shared" si="5"/>
        <v>2013</v>
      </c>
      <c r="C84" s="20">
        <f ca="1">'Monthly Data'!E84</f>
        <v>11605954.256842878</v>
      </c>
      <c r="D84" s="56">
        <f>'Monthly Data'!AK84</f>
        <v>492.1</v>
      </c>
      <c r="E84" s="56">
        <f>'Monthly Data'!AL84</f>
        <v>0</v>
      </c>
      <c r="F84" s="86">
        <f>'Monthly Data'!AT84</f>
        <v>83</v>
      </c>
      <c r="G84" s="56">
        <f>'Monthly Data'!AO84</f>
        <v>1</v>
      </c>
      <c r="H84" s="86">
        <f>'Monthly Data'!AV84</f>
        <v>0</v>
      </c>
      <c r="I84" s="86">
        <f>'Monthly Data'!AZ84</f>
        <v>0</v>
      </c>
      <c r="J84" s="86">
        <f>'Monthly Data'!BC84</f>
        <v>0</v>
      </c>
      <c r="L84" s="20">
        <f>'Res OLS model'!$B$5</f>
        <v>10397563.9954574</v>
      </c>
      <c r="M84" s="20">
        <f>'Res OLS model'!$B$6*D84</f>
        <v>2742776.04845544</v>
      </c>
      <c r="N84" s="20">
        <f>'Res OLS model'!$B$7*E84</f>
        <v>0</v>
      </c>
      <c r="O84" s="20">
        <f>'Res OLS model'!$B$8*F84</f>
        <v>-354829.74207255436</v>
      </c>
      <c r="P84" s="20">
        <f>'Res OLS model'!$B$9*G84</f>
        <v>-1419959.8612913999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si="7"/>
        <v>11365550.440548886</v>
      </c>
      <c r="U84" s="23">
        <f t="shared" ca="1" si="6"/>
        <v>2.0713834551971448E-2</v>
      </c>
    </row>
    <row r="85" spans="1:21" x14ac:dyDescent="0.3">
      <c r="A85" s="22">
        <f>'Monthly Data'!A85</f>
        <v>41609</v>
      </c>
      <c r="B85" s="56">
        <f t="shared" ref="B85:B97" si="8">YEAR(A85)</f>
        <v>2013</v>
      </c>
      <c r="C85" s="20">
        <f ca="1">'Monthly Data'!E85</f>
        <v>13860420.196842877</v>
      </c>
      <c r="D85" s="56">
        <f>'Monthly Data'!AK85</f>
        <v>687.7</v>
      </c>
      <c r="E85" s="56">
        <f>'Monthly Data'!AL85</f>
        <v>0</v>
      </c>
      <c r="F85" s="86">
        <f>'Monthly Data'!AT85</f>
        <v>84</v>
      </c>
      <c r="G85" s="56">
        <f>'Monthly Data'!AO85</f>
        <v>0</v>
      </c>
      <c r="H85" s="86">
        <f>'Monthly Data'!AV85</f>
        <v>0</v>
      </c>
      <c r="I85" s="86">
        <f>'Monthly Data'!AZ85</f>
        <v>0</v>
      </c>
      <c r="J85" s="86">
        <f>'Monthly Data'!BC85</f>
        <v>0</v>
      </c>
      <c r="L85" s="20">
        <f>'Res OLS model'!$B$5</f>
        <v>10397563.9954574</v>
      </c>
      <c r="M85" s="20">
        <f>'Res OLS model'!$B$6*D85</f>
        <v>3832975.1849681088</v>
      </c>
      <c r="N85" s="20">
        <f>'Res OLS model'!$B$7*E85</f>
        <v>0</v>
      </c>
      <c r="O85" s="20">
        <f>'Res OLS model'!$B$8*F85</f>
        <v>-359104.79920595867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si="7"/>
        <v>13871434.381219549</v>
      </c>
      <c r="U85" s="23">
        <f t="shared" ca="1" si="6"/>
        <v>7.9465010585903577E-4</v>
      </c>
    </row>
    <row r="86" spans="1:21" x14ac:dyDescent="0.3">
      <c r="A86" s="22">
        <f>'Monthly Data'!A86</f>
        <v>41640</v>
      </c>
      <c r="B86" s="56">
        <f t="shared" si="8"/>
        <v>2014</v>
      </c>
      <c r="C86" s="20">
        <f ca="1">'Monthly Data'!E86</f>
        <v>14722169.100343866</v>
      </c>
      <c r="D86" s="56">
        <f>'Monthly Data'!AK86</f>
        <v>810.4</v>
      </c>
      <c r="E86" s="56">
        <f>'Monthly Data'!AL86</f>
        <v>0</v>
      </c>
      <c r="F86" s="86">
        <f>'Monthly Data'!AT86</f>
        <v>85</v>
      </c>
      <c r="G86" s="56">
        <f>'Monthly Data'!AO86</f>
        <v>0</v>
      </c>
      <c r="H86" s="86">
        <f>'Monthly Data'!AV86</f>
        <v>0</v>
      </c>
      <c r="I86" s="86">
        <f>'Monthly Data'!AZ86</f>
        <v>0</v>
      </c>
      <c r="J86" s="86">
        <f>'Monthly Data'!BC86</f>
        <v>0</v>
      </c>
      <c r="L86" s="20">
        <f>'Res OLS model'!$B$5</f>
        <v>10397563.9954574</v>
      </c>
      <c r="M86" s="20">
        <f>'Res OLS model'!$B$6*D86</f>
        <v>4516857.7721363315</v>
      </c>
      <c r="N86" s="20">
        <f>'Res OLS model'!$B$7*E86</f>
        <v>0</v>
      </c>
      <c r="O86" s="20">
        <f>'Res OLS model'!$B$8*F86</f>
        <v>-363379.85633936292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si="7"/>
        <v>14551041.911254367</v>
      </c>
      <c r="U86" s="23">
        <f t="shared" ca="1" si="6"/>
        <v>1.1623775540351754E-2</v>
      </c>
    </row>
    <row r="87" spans="1:21" x14ac:dyDescent="0.3">
      <c r="A87" s="22">
        <f>'Monthly Data'!A87</f>
        <v>41671</v>
      </c>
      <c r="B87" s="56">
        <f t="shared" si="8"/>
        <v>2014</v>
      </c>
      <c r="C87" s="20">
        <f ca="1">'Monthly Data'!E87</f>
        <v>13790924.590343861</v>
      </c>
      <c r="D87" s="56">
        <f>'Monthly Data'!AK87</f>
        <v>730</v>
      </c>
      <c r="E87" s="56">
        <f>'Monthly Data'!AL87</f>
        <v>0</v>
      </c>
      <c r="F87" s="86">
        <f>'Monthly Data'!AT87</f>
        <v>86</v>
      </c>
      <c r="G87" s="56">
        <f>'Monthly Data'!AO87</f>
        <v>0</v>
      </c>
      <c r="H87" s="86">
        <f>'Monthly Data'!AV87</f>
        <v>1</v>
      </c>
      <c r="I87" s="86">
        <f>'Monthly Data'!AZ87</f>
        <v>0</v>
      </c>
      <c r="J87" s="86">
        <f>'Monthly Data'!BC87</f>
        <v>0</v>
      </c>
      <c r="L87" s="20">
        <f>'Res OLS model'!$B$5</f>
        <v>10397563.9954574</v>
      </c>
      <c r="M87" s="20">
        <f>'Res OLS model'!$B$6*D87</f>
        <v>4068739.1086617988</v>
      </c>
      <c r="N87" s="20">
        <f>'Res OLS model'!$B$7*E87</f>
        <v>0</v>
      </c>
      <c r="O87" s="20">
        <f>'Res OLS model'!$B$8*F87</f>
        <v>-367654.91347276722</v>
      </c>
      <c r="P87" s="20">
        <f>'Res OLS model'!$B$9*G87</f>
        <v>0</v>
      </c>
      <c r="Q87" s="20">
        <f>'Res OLS model'!$B$10*H87</f>
        <v>-473349.26469262998</v>
      </c>
      <c r="R87" s="20">
        <f>'Res OLS model'!$B$11*I87</f>
        <v>0</v>
      </c>
      <c r="S87" s="20">
        <f>'Res OLS model'!$B$12*J87</f>
        <v>0</v>
      </c>
      <c r="T87" s="20">
        <f t="shared" si="7"/>
        <v>13625298.9259538</v>
      </c>
      <c r="U87" s="23">
        <f t="shared" ca="1" si="6"/>
        <v>1.2009757816095154E-2</v>
      </c>
    </row>
    <row r="88" spans="1:21" x14ac:dyDescent="0.3">
      <c r="A88" s="22">
        <f>'Monthly Data'!A88</f>
        <v>41699</v>
      </c>
      <c r="B88" s="56">
        <f t="shared" si="8"/>
        <v>2014</v>
      </c>
      <c r="C88" s="20">
        <f ca="1">'Monthly Data'!E88</f>
        <v>12528889.650343863</v>
      </c>
      <c r="D88" s="56">
        <f>'Monthly Data'!AK88</f>
        <v>696.3</v>
      </c>
      <c r="E88" s="56">
        <f>'Monthly Data'!AL88</f>
        <v>0</v>
      </c>
      <c r="F88" s="86">
        <f>'Monthly Data'!AT88</f>
        <v>87</v>
      </c>
      <c r="G88" s="56">
        <f>'Monthly Data'!AO88</f>
        <v>1</v>
      </c>
      <c r="H88" s="86">
        <f>'Monthly Data'!AV88</f>
        <v>0</v>
      </c>
      <c r="I88" s="86">
        <f>'Monthly Data'!AZ88</f>
        <v>0</v>
      </c>
      <c r="J88" s="86">
        <f>'Monthly Data'!BC88</f>
        <v>0</v>
      </c>
      <c r="L88" s="20">
        <f>'Res OLS model'!$B$5</f>
        <v>10397563.9954574</v>
      </c>
      <c r="M88" s="20">
        <f>'Res OLS model'!$B$6*D88</f>
        <v>3880908.2758372743</v>
      </c>
      <c r="N88" s="20">
        <f>'Res OLS model'!$B$7*E88</f>
        <v>0</v>
      </c>
      <c r="O88" s="20">
        <f>'Res OLS model'!$B$8*F88</f>
        <v>-371929.97060617147</v>
      </c>
      <c r="P88" s="20">
        <f>'Res OLS model'!$B$9*G88</f>
        <v>-1419959.8612913999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si="7"/>
        <v>12486582.439397104</v>
      </c>
      <c r="U88" s="23">
        <f t="shared" ca="1" si="6"/>
        <v>3.3767725734257753E-3</v>
      </c>
    </row>
    <row r="89" spans="1:21" x14ac:dyDescent="0.3">
      <c r="A89" s="22">
        <f>'Monthly Data'!A89</f>
        <v>41730</v>
      </c>
      <c r="B89" s="56">
        <f t="shared" si="8"/>
        <v>2014</v>
      </c>
      <c r="C89" s="20">
        <f ca="1">'Monthly Data'!E89</f>
        <v>10816440.440343862</v>
      </c>
      <c r="D89" s="56">
        <f>'Monthly Data'!AK89</f>
        <v>353.8</v>
      </c>
      <c r="E89" s="56">
        <f>'Monthly Data'!AL89</f>
        <v>0</v>
      </c>
      <c r="F89" s="86">
        <f>'Monthly Data'!AT89</f>
        <v>88</v>
      </c>
      <c r="G89" s="56">
        <f>'Monthly Data'!AO89</f>
        <v>1</v>
      </c>
      <c r="H89" s="86">
        <f>'Monthly Data'!AV89</f>
        <v>0</v>
      </c>
      <c r="I89" s="86">
        <f>'Monthly Data'!AZ89</f>
        <v>0</v>
      </c>
      <c r="J89" s="86">
        <f>'Monthly Data'!BC89</f>
        <v>0</v>
      </c>
      <c r="L89" s="20">
        <f>'Res OLS model'!$B$5</f>
        <v>10397563.9954574</v>
      </c>
      <c r="M89" s="20">
        <f>'Res OLS model'!$B$6*D89</f>
        <v>1971945.0638966362</v>
      </c>
      <c r="N89" s="20">
        <f>'Res OLS model'!$B$7*E89</f>
        <v>0</v>
      </c>
      <c r="O89" s="20">
        <f>'Res OLS model'!$B$8*F89</f>
        <v>-376205.02773957571</v>
      </c>
      <c r="P89" s="20">
        <f>'Res OLS model'!$B$9*G89</f>
        <v>-1419959.8612913999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si="7"/>
        <v>10573344.170323061</v>
      </c>
      <c r="U89" s="23">
        <f t="shared" ca="1" si="6"/>
        <v>2.2474701484425996E-2</v>
      </c>
    </row>
    <row r="90" spans="1:21" x14ac:dyDescent="0.3">
      <c r="A90" s="22">
        <f>'Monthly Data'!A90</f>
        <v>41760</v>
      </c>
      <c r="B90" s="56">
        <f t="shared" si="8"/>
        <v>2014</v>
      </c>
      <c r="C90" s="20">
        <f ca="1">'Monthly Data'!E90</f>
        <v>9703088.1603438631</v>
      </c>
      <c r="D90" s="56">
        <f>'Monthly Data'!AK90</f>
        <v>142.5</v>
      </c>
      <c r="E90" s="56">
        <f>'Monthly Data'!AL90</f>
        <v>12.2</v>
      </c>
      <c r="F90" s="86">
        <f>'Monthly Data'!AT90</f>
        <v>89</v>
      </c>
      <c r="G90" s="56">
        <f>'Monthly Data'!AO90</f>
        <v>1</v>
      </c>
      <c r="H90" s="86">
        <f>'Monthly Data'!AV90</f>
        <v>0</v>
      </c>
      <c r="I90" s="86">
        <f>'Monthly Data'!AZ90</f>
        <v>0</v>
      </c>
      <c r="J90" s="86">
        <f>'Monthly Data'!BC90</f>
        <v>0</v>
      </c>
      <c r="L90" s="20">
        <f>'Res OLS model'!$B$5</f>
        <v>10397563.9954574</v>
      </c>
      <c r="M90" s="20">
        <f>'Res OLS model'!$B$6*D90</f>
        <v>794240.16847165255</v>
      </c>
      <c r="N90" s="20">
        <f>'Res OLS model'!$B$7*E90</f>
        <v>335800.90022136376</v>
      </c>
      <c r="O90" s="20">
        <f>'Res OLS model'!$B$8*F90</f>
        <v>-380480.08487298002</v>
      </c>
      <c r="P90" s="20">
        <f>'Res OLS model'!$B$9*G90</f>
        <v>-1419959.8612913999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si="7"/>
        <v>9727165.1179860383</v>
      </c>
      <c r="U90" s="23">
        <f t="shared" ca="1" si="6"/>
        <v>2.4813705950417755E-3</v>
      </c>
    </row>
    <row r="91" spans="1:21" x14ac:dyDescent="0.3">
      <c r="A91" s="22">
        <f>'Monthly Data'!A91</f>
        <v>41791</v>
      </c>
      <c r="B91" s="56">
        <f t="shared" si="8"/>
        <v>2014</v>
      </c>
      <c r="C91" s="20">
        <f ca="1">'Monthly Data'!E91</f>
        <v>10912677.660343865</v>
      </c>
      <c r="D91" s="56">
        <f>'Monthly Data'!AK91</f>
        <v>19.7</v>
      </c>
      <c r="E91" s="56">
        <f>'Monthly Data'!AL91</f>
        <v>71.900000000000006</v>
      </c>
      <c r="F91" s="86">
        <f>'Monthly Data'!AT91</f>
        <v>90</v>
      </c>
      <c r="G91" s="56">
        <f>'Monthly Data'!AO91</f>
        <v>0</v>
      </c>
      <c r="H91" s="86">
        <f>'Monthly Data'!AV91</f>
        <v>0</v>
      </c>
      <c r="I91" s="86">
        <f>'Monthly Data'!AZ91</f>
        <v>1</v>
      </c>
      <c r="J91" s="86">
        <f>'Monthly Data'!BC91</f>
        <v>0</v>
      </c>
      <c r="L91" s="20">
        <f>'Res OLS model'!$B$5</f>
        <v>10397563.9954574</v>
      </c>
      <c r="M91" s="20">
        <f>'Res OLS model'!$B$6*D91</f>
        <v>109800.21978169512</v>
      </c>
      <c r="N91" s="20">
        <f>'Res OLS model'!$B$7*E91</f>
        <v>1979023.3381898408</v>
      </c>
      <c r="O91" s="20">
        <f>'Res OLS model'!$B$8*F91</f>
        <v>-384755.14200638427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-773164.55099904304</v>
      </c>
      <c r="S91" s="20">
        <f>'Res OLS model'!$B$12*J91</f>
        <v>0</v>
      </c>
      <c r="T91" s="20">
        <f t="shared" si="7"/>
        <v>11328467.860423507</v>
      </c>
      <c r="U91" s="23">
        <f t="shared" ca="1" si="6"/>
        <v>3.8101574427567252E-2</v>
      </c>
    </row>
    <row r="92" spans="1:21" x14ac:dyDescent="0.3">
      <c r="A92" s="22">
        <f>'Monthly Data'!A92</f>
        <v>41821</v>
      </c>
      <c r="B92" s="56">
        <f t="shared" si="8"/>
        <v>2014</v>
      </c>
      <c r="C92" s="20">
        <f ca="1">'Monthly Data'!E92</f>
        <v>11600834.720343864</v>
      </c>
      <c r="D92" s="56">
        <f>'Monthly Data'!AK92</f>
        <v>21.5</v>
      </c>
      <c r="E92" s="56">
        <f>'Monthly Data'!AL92</f>
        <v>47.6</v>
      </c>
      <c r="F92" s="86">
        <f>'Monthly Data'!AT92</f>
        <v>91</v>
      </c>
      <c r="G92" s="56">
        <f>'Monthly Data'!AO92</f>
        <v>0</v>
      </c>
      <c r="H92" s="86">
        <f>'Monthly Data'!AV92</f>
        <v>0</v>
      </c>
      <c r="I92" s="86">
        <f>'Monthly Data'!AZ92</f>
        <v>0</v>
      </c>
      <c r="J92" s="86">
        <f>'Monthly Data'!BC92</f>
        <v>0</v>
      </c>
      <c r="L92" s="20">
        <f>'Res OLS model'!$B$5</f>
        <v>10397563.9954574</v>
      </c>
      <c r="M92" s="20">
        <f>'Res OLS model'!$B$6*D92</f>
        <v>119832.727172916</v>
      </c>
      <c r="N92" s="20">
        <f>'Res OLS model'!$B$7*E92</f>
        <v>1310174.0041423701</v>
      </c>
      <c r="O92" s="20">
        <f>'Res OLS model'!$B$8*F92</f>
        <v>-389030.19913978857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si="7"/>
        <v>11438540.527632898</v>
      </c>
      <c r="U92" s="23">
        <f t="shared" ca="1" si="6"/>
        <v>1.3989871989673107E-2</v>
      </c>
    </row>
    <row r="93" spans="1:21" x14ac:dyDescent="0.3">
      <c r="A93" s="22">
        <f>'Monthly Data'!A93</f>
        <v>41852</v>
      </c>
      <c r="B93" s="56">
        <f t="shared" si="8"/>
        <v>2014</v>
      </c>
      <c r="C93" s="20">
        <f ca="1">'Monthly Data'!E93</f>
        <v>11466154.010343865</v>
      </c>
      <c r="D93" s="56">
        <f>'Monthly Data'!AK93</f>
        <v>14.5</v>
      </c>
      <c r="E93" s="56">
        <f>'Monthly Data'!AL93</f>
        <v>53.4</v>
      </c>
      <c r="F93" s="86">
        <f>'Monthly Data'!AT93</f>
        <v>92</v>
      </c>
      <c r="G93" s="56">
        <f>'Monthly Data'!AO93</f>
        <v>0</v>
      </c>
      <c r="H93" s="86">
        <f>'Monthly Data'!AV93</f>
        <v>0</v>
      </c>
      <c r="I93" s="86">
        <f>'Monthly Data'!AZ93</f>
        <v>0</v>
      </c>
      <c r="J93" s="86">
        <f>'Monthly Data'!BC93</f>
        <v>0</v>
      </c>
      <c r="L93" s="20">
        <f>'Res OLS model'!$B$5</f>
        <v>10397563.9954574</v>
      </c>
      <c r="M93" s="20">
        <f>'Res OLS model'!$B$6*D93</f>
        <v>80817.420651501481</v>
      </c>
      <c r="N93" s="20">
        <f>'Res OLS model'!$B$7*E93</f>
        <v>1469817.0550672808</v>
      </c>
      <c r="O93" s="20">
        <f>'Res OLS model'!$B$8*F93</f>
        <v>-393305.25627319282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si="7"/>
        <v>11554893.214902988</v>
      </c>
      <c r="U93" s="23">
        <f t="shared" ca="1" si="6"/>
        <v>7.7392301271262884E-3</v>
      </c>
    </row>
    <row r="94" spans="1:21" x14ac:dyDescent="0.3">
      <c r="A94" s="22">
        <f>'Monthly Data'!A94</f>
        <v>41883</v>
      </c>
      <c r="B94" s="56">
        <f t="shared" si="8"/>
        <v>2014</v>
      </c>
      <c r="C94" s="20">
        <f ca="1">'Monthly Data'!E94</f>
        <v>10578662.600343861</v>
      </c>
      <c r="D94" s="56">
        <f>'Monthly Data'!AK94</f>
        <v>86.2</v>
      </c>
      <c r="E94" s="56">
        <f>'Monthly Data'!AL94</f>
        <v>17.600000000000001</v>
      </c>
      <c r="F94" s="86">
        <f>'Monthly Data'!AT94</f>
        <v>93</v>
      </c>
      <c r="G94" s="56">
        <f>'Monthly Data'!AO94</f>
        <v>1</v>
      </c>
      <c r="H94" s="86">
        <f>'Monthly Data'!AV94</f>
        <v>0</v>
      </c>
      <c r="I94" s="86">
        <f>'Monthly Data'!AZ94</f>
        <v>0</v>
      </c>
      <c r="J94" s="86">
        <f>'Monthly Data'!BC94</f>
        <v>1</v>
      </c>
      <c r="L94" s="20">
        <f>'Res OLS model'!$B$5</f>
        <v>10397563.9954574</v>
      </c>
      <c r="M94" s="20">
        <f>'Res OLS model'!$B$6*D94</f>
        <v>480445.63173513301</v>
      </c>
      <c r="N94" s="20">
        <f>'Res OLS model'!$B$7*E94</f>
        <v>484434.08556524612</v>
      </c>
      <c r="O94" s="20">
        <f>'Res OLS model'!$B$8*F94</f>
        <v>-397580.31340659707</v>
      </c>
      <c r="P94" s="20">
        <f>'Res OLS model'!$B$9*G94</f>
        <v>-1419959.8612913999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772942.00624980999</v>
      </c>
      <c r="T94" s="20">
        <f t="shared" si="7"/>
        <v>10317845.544309592</v>
      </c>
      <c r="U94" s="23">
        <f t="shared" ca="1" si="6"/>
        <v>2.4655012253230472E-2</v>
      </c>
    </row>
    <row r="95" spans="1:21" x14ac:dyDescent="0.3">
      <c r="A95" s="22">
        <f>'Monthly Data'!A95</f>
        <v>41913</v>
      </c>
      <c r="B95" s="56">
        <f t="shared" si="8"/>
        <v>2014</v>
      </c>
      <c r="C95" s="20">
        <f ca="1">'Monthly Data'!E95</f>
        <v>9927126.3503438644</v>
      </c>
      <c r="D95" s="56">
        <f>'Monthly Data'!AK95</f>
        <v>247.1</v>
      </c>
      <c r="E95" s="56">
        <f>'Monthly Data'!AL95</f>
        <v>0</v>
      </c>
      <c r="F95" s="86">
        <f>'Monthly Data'!AT95</f>
        <v>94</v>
      </c>
      <c r="G95" s="56">
        <f>'Monthly Data'!AO95</f>
        <v>1</v>
      </c>
      <c r="H95" s="86">
        <f>'Monthly Data'!AV95</f>
        <v>0</v>
      </c>
      <c r="I95" s="86">
        <f>'Monthly Data'!AZ95</f>
        <v>0</v>
      </c>
      <c r="J95" s="86">
        <f>'Monthly Data'!BC95</f>
        <v>0</v>
      </c>
      <c r="L95" s="20">
        <f>'Res OLS model'!$B$5</f>
        <v>10397563.9954574</v>
      </c>
      <c r="M95" s="20">
        <f>'Res OLS model'!$B$6*D95</f>
        <v>1377240.3202059323</v>
      </c>
      <c r="N95" s="20">
        <f>'Res OLS model'!$B$7*E95</f>
        <v>0</v>
      </c>
      <c r="O95" s="20">
        <f>'Res OLS model'!$B$8*F95</f>
        <v>-401855.37054000137</v>
      </c>
      <c r="P95" s="20">
        <f>'Res OLS model'!$B$9*G95</f>
        <v>-1419959.8612913999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si="7"/>
        <v>9952989.0838319324</v>
      </c>
      <c r="U95" s="23">
        <f t="shared" ca="1" si="6"/>
        <v>2.6052588206628528E-3</v>
      </c>
    </row>
    <row r="96" spans="1:21" x14ac:dyDescent="0.3">
      <c r="A96" s="22">
        <f>'Monthly Data'!A96</f>
        <v>41944</v>
      </c>
      <c r="B96" s="56">
        <f t="shared" si="8"/>
        <v>2014</v>
      </c>
      <c r="C96" s="20">
        <f ca="1">'Monthly Data'!E96</f>
        <v>11544026.020343866</v>
      </c>
      <c r="D96" s="56">
        <f>'Monthly Data'!AK96</f>
        <v>503.7</v>
      </c>
      <c r="E96" s="56">
        <f>'Monthly Data'!AL96</f>
        <v>0</v>
      </c>
      <c r="F96" s="86">
        <f>'Monthly Data'!AT96</f>
        <v>95</v>
      </c>
      <c r="G96" s="56">
        <f>'Monthly Data'!AO96</f>
        <v>1</v>
      </c>
      <c r="H96" s="86">
        <f>'Monthly Data'!AV96</f>
        <v>0</v>
      </c>
      <c r="I96" s="86">
        <f>'Monthly Data'!AZ96</f>
        <v>0</v>
      </c>
      <c r="J96" s="86">
        <f>'Monthly Data'!BC96</f>
        <v>0</v>
      </c>
      <c r="L96" s="20">
        <f>'Res OLS model'!$B$5</f>
        <v>10397563.9954574</v>
      </c>
      <c r="M96" s="20">
        <f>'Res OLS model'!$B$6*D96</f>
        <v>2807429.9849766414</v>
      </c>
      <c r="N96" s="20">
        <f>'Res OLS model'!$B$7*E96</f>
        <v>0</v>
      </c>
      <c r="O96" s="20">
        <f>'Res OLS model'!$B$8*F96</f>
        <v>-406130.42767340562</v>
      </c>
      <c r="P96" s="20">
        <f>'Res OLS model'!$B$9*G96</f>
        <v>-1419959.8612913999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si="7"/>
        <v>11378903.691469237</v>
      </c>
      <c r="U96" s="23">
        <f t="shared" ca="1" si="6"/>
        <v>1.4303703801744413E-2</v>
      </c>
    </row>
    <row r="97" spans="1:21" x14ac:dyDescent="0.3">
      <c r="A97" s="22">
        <f>'Monthly Data'!A97</f>
        <v>41974</v>
      </c>
      <c r="B97" s="56">
        <f t="shared" si="8"/>
        <v>2014</v>
      </c>
      <c r="C97" s="20">
        <f ca="1">'Monthly Data'!E97</f>
        <v>13053158.70034386</v>
      </c>
      <c r="D97" s="56">
        <f>'Monthly Data'!AK97</f>
        <v>567.5</v>
      </c>
      <c r="E97" s="56">
        <f>'Monthly Data'!AL97</f>
        <v>0</v>
      </c>
      <c r="F97" s="86">
        <f>'Monthly Data'!AT97</f>
        <v>96</v>
      </c>
      <c r="G97" s="56">
        <f>'Monthly Data'!AO97</f>
        <v>0</v>
      </c>
      <c r="H97" s="86">
        <f>'Monthly Data'!AV97</f>
        <v>0</v>
      </c>
      <c r="I97" s="86">
        <f>'Monthly Data'!AZ97</f>
        <v>0</v>
      </c>
      <c r="J97" s="86">
        <f>'Monthly Data'!BC97</f>
        <v>0</v>
      </c>
      <c r="L97" s="20">
        <f>'Res OLS model'!$B$5</f>
        <v>10397563.9954574</v>
      </c>
      <c r="M97" s="20">
        <f>'Res OLS model'!$B$6*D97</f>
        <v>3163026.6358432476</v>
      </c>
      <c r="N97" s="20">
        <f>'Res OLS model'!$B$7*E97</f>
        <v>0</v>
      </c>
      <c r="O97" s="20">
        <f>'Res OLS model'!$B$8*F97</f>
        <v>-410405.48480680992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si="7"/>
        <v>13150185.146493837</v>
      </c>
      <c r="U97" s="23">
        <f t="shared" ca="1" si="6"/>
        <v>7.4331775455561532E-3</v>
      </c>
    </row>
    <row r="98" spans="1:21" s="80" customFormat="1" x14ac:dyDescent="0.3">
      <c r="A98" s="22">
        <f>'Monthly Data'!A98</f>
        <v>42005</v>
      </c>
      <c r="B98" s="80">
        <f t="shared" ref="B98:B121" si="9">YEAR(A98)</f>
        <v>2015</v>
      </c>
      <c r="C98" s="20">
        <f ca="1">'Monthly Data'!E98</f>
        <v>14179956.538303483</v>
      </c>
      <c r="D98" s="80">
        <f>'Monthly Data'!AK98</f>
        <v>812.90000000000009</v>
      </c>
      <c r="E98" s="80">
        <f>'Monthly Data'!AL98</f>
        <v>0</v>
      </c>
      <c r="F98" s="86">
        <f>'Monthly Data'!AT98</f>
        <v>97</v>
      </c>
      <c r="G98" s="80">
        <f>'Monthly Data'!AO98</f>
        <v>0</v>
      </c>
      <c r="H98" s="86">
        <f>'Monthly Data'!AV98</f>
        <v>0</v>
      </c>
      <c r="I98" s="86">
        <f>'Monthly Data'!AZ98</f>
        <v>0</v>
      </c>
      <c r="J98" s="86">
        <f>'Monthly Data'!BC98</f>
        <v>0</v>
      </c>
      <c r="L98" s="20">
        <f>'Res OLS model'!$B$5</f>
        <v>10397563.9954574</v>
      </c>
      <c r="M98" s="20">
        <f>'Res OLS model'!$B$6*D98</f>
        <v>4530791.8101796946</v>
      </c>
      <c r="N98" s="20">
        <f>'Res OLS model'!$B$7*E98</f>
        <v>0</v>
      </c>
      <c r="O98" s="20">
        <f>'Res OLS model'!$B$8*F98</f>
        <v>-414680.54194021417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si="7"/>
        <v>14513675.263696881</v>
      </c>
      <c r="U98" s="23">
        <f t="shared" ref="U98:U121" ca="1" si="10">ABS(T98-C98)/C98</f>
        <v>2.3534537957993238E-2</v>
      </c>
    </row>
    <row r="99" spans="1:21" s="80" customFormat="1" x14ac:dyDescent="0.3">
      <c r="A99" s="22">
        <f>'Monthly Data'!A99</f>
        <v>42036</v>
      </c>
      <c r="B99" s="80">
        <f t="shared" si="9"/>
        <v>2015</v>
      </c>
      <c r="C99" s="20">
        <f ca="1">'Monthly Data'!E99</f>
        <v>13790999.848303484</v>
      </c>
      <c r="D99" s="80">
        <f>'Monthly Data'!AK99</f>
        <v>871.4</v>
      </c>
      <c r="E99" s="80">
        <f>'Monthly Data'!AL99</f>
        <v>0</v>
      </c>
      <c r="F99" s="86">
        <f>'Monthly Data'!AT99</f>
        <v>98</v>
      </c>
      <c r="G99" s="80">
        <f>'Monthly Data'!AO99</f>
        <v>0</v>
      </c>
      <c r="H99" s="86">
        <f>'Monthly Data'!AV99</f>
        <v>1</v>
      </c>
      <c r="I99" s="86">
        <f>'Monthly Data'!AZ99</f>
        <v>0</v>
      </c>
      <c r="J99" s="86">
        <f>'Monthly Data'!BC99</f>
        <v>0</v>
      </c>
      <c r="L99" s="20">
        <f>'Res OLS model'!$B$5</f>
        <v>10397563.9954574</v>
      </c>
      <c r="M99" s="20">
        <f>'Res OLS model'!$B$6*D99</f>
        <v>4856848.3003943721</v>
      </c>
      <c r="N99" s="20">
        <f>'Res OLS model'!$B$7*E99</f>
        <v>0</v>
      </c>
      <c r="O99" s="20">
        <f>'Res OLS model'!$B$8*F99</f>
        <v>-418955.59907361842</v>
      </c>
      <c r="P99" s="20">
        <f>'Res OLS model'!$B$9*G99</f>
        <v>0</v>
      </c>
      <c r="Q99" s="20">
        <f>'Res OLS model'!$B$10*H99</f>
        <v>-473349.26469262998</v>
      </c>
      <c r="R99" s="20">
        <f>'Res OLS model'!$B$11*I99</f>
        <v>0</v>
      </c>
      <c r="S99" s="20">
        <f>'Res OLS model'!$B$12*J99</f>
        <v>0</v>
      </c>
      <c r="T99" s="20">
        <f t="shared" si="7"/>
        <v>14362107.432085522</v>
      </c>
      <c r="U99" s="23">
        <f t="shared" ca="1" si="10"/>
        <v>4.1411615551014108E-2</v>
      </c>
    </row>
    <row r="100" spans="1:21" s="80" customFormat="1" x14ac:dyDescent="0.3">
      <c r="A100" s="22">
        <f>'Monthly Data'!A100</f>
        <v>42064</v>
      </c>
      <c r="B100" s="80">
        <f t="shared" si="9"/>
        <v>2015</v>
      </c>
      <c r="C100" s="20">
        <f ca="1">'Monthly Data'!E100</f>
        <v>12167181.358303482</v>
      </c>
      <c r="D100" s="80">
        <f>'Monthly Data'!AK100</f>
        <v>640.1</v>
      </c>
      <c r="E100" s="80">
        <f>'Monthly Data'!AL100</f>
        <v>0</v>
      </c>
      <c r="F100" s="86">
        <f>'Monthly Data'!AT100</f>
        <v>99</v>
      </c>
      <c r="G100" s="80">
        <f>'Monthly Data'!AO100</f>
        <v>1</v>
      </c>
      <c r="H100" s="86">
        <f>'Monthly Data'!AV100</f>
        <v>0</v>
      </c>
      <c r="I100" s="86">
        <f>'Monthly Data'!AZ100</f>
        <v>0</v>
      </c>
      <c r="J100" s="86">
        <f>'Monthly Data'!BC100</f>
        <v>0</v>
      </c>
      <c r="L100" s="20">
        <f>'Res OLS model'!$B$5</f>
        <v>10397563.9954574</v>
      </c>
      <c r="M100" s="20">
        <f>'Res OLS model'!$B$6*D100</f>
        <v>3567671.1006224896</v>
      </c>
      <c r="N100" s="20">
        <f>'Res OLS model'!$B$7*E100</f>
        <v>0</v>
      </c>
      <c r="O100" s="20">
        <f>'Res OLS model'!$B$8*F100</f>
        <v>-423230.65620702272</v>
      </c>
      <c r="P100" s="20">
        <f>'Res OLS model'!$B$9*G100</f>
        <v>-1419959.8612913999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si="7"/>
        <v>12122044.578581467</v>
      </c>
      <c r="U100" s="23">
        <f t="shared" ca="1" si="10"/>
        <v>3.7097153722633457E-3</v>
      </c>
    </row>
    <row r="101" spans="1:21" s="80" customFormat="1" x14ac:dyDescent="0.3">
      <c r="A101" s="22">
        <f>'Monthly Data'!A101</f>
        <v>42095</v>
      </c>
      <c r="B101" s="80">
        <f t="shared" si="9"/>
        <v>2015</v>
      </c>
      <c r="C101" s="20">
        <f ca="1">'Monthly Data'!E101</f>
        <v>10541757.03830348</v>
      </c>
      <c r="D101" s="80">
        <f>'Monthly Data'!AK101</f>
        <v>336.59999999999997</v>
      </c>
      <c r="E101" s="80">
        <f>'Monthly Data'!AL101</f>
        <v>0</v>
      </c>
      <c r="F101" s="86">
        <f>'Monthly Data'!AT101</f>
        <v>100</v>
      </c>
      <c r="G101" s="80">
        <f>'Monthly Data'!AO101</f>
        <v>1</v>
      </c>
      <c r="H101" s="86">
        <f>'Monthly Data'!AV101</f>
        <v>0</v>
      </c>
      <c r="I101" s="86">
        <f>'Monthly Data'!AZ101</f>
        <v>0</v>
      </c>
      <c r="J101" s="86">
        <f>'Monthly Data'!BC101</f>
        <v>0</v>
      </c>
      <c r="L101" s="20">
        <f>'Res OLS model'!$B$5</f>
        <v>10397563.9954574</v>
      </c>
      <c r="M101" s="20">
        <f>'Res OLS model'!$B$6*D101</f>
        <v>1876078.8821583032</v>
      </c>
      <c r="N101" s="20">
        <f>'Res OLS model'!$B$7*E101</f>
        <v>0</v>
      </c>
      <c r="O101" s="20">
        <f>'Res OLS model'!$B$8*F101</f>
        <v>-427505.71334042697</v>
      </c>
      <c r="P101" s="20">
        <f>'Res OLS model'!$B$9*G101</f>
        <v>-1419959.8612913999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si="7"/>
        <v>10426177.302983876</v>
      </c>
      <c r="U101" s="23">
        <f t="shared" ca="1" si="10"/>
        <v>1.0963991571769697E-2</v>
      </c>
    </row>
    <row r="102" spans="1:21" s="80" customFormat="1" x14ac:dyDescent="0.3">
      <c r="A102" s="22">
        <f>'Monthly Data'!A102</f>
        <v>42125</v>
      </c>
      <c r="B102" s="80">
        <f t="shared" si="9"/>
        <v>2015</v>
      </c>
      <c r="C102" s="20">
        <f ca="1">'Monthly Data'!E102</f>
        <v>9816749.928303482</v>
      </c>
      <c r="D102" s="80">
        <f>'Monthly Data'!AK102</f>
        <v>104.7</v>
      </c>
      <c r="E102" s="80">
        <f>'Monthly Data'!AL102</f>
        <v>34.9</v>
      </c>
      <c r="F102" s="86">
        <f>'Monthly Data'!AT102</f>
        <v>101</v>
      </c>
      <c r="G102" s="80">
        <f>'Monthly Data'!AO102</f>
        <v>1</v>
      </c>
      <c r="H102" s="86">
        <f>'Monthly Data'!AV102</f>
        <v>0</v>
      </c>
      <c r="I102" s="86">
        <f>'Monthly Data'!AZ102</f>
        <v>0</v>
      </c>
      <c r="J102" s="86">
        <f>'Monthly Data'!BC102</f>
        <v>0</v>
      </c>
      <c r="L102" s="20">
        <f>'Res OLS model'!$B$5</f>
        <v>10397563.9954574</v>
      </c>
      <c r="M102" s="20">
        <f>'Res OLS model'!$B$6*D102</f>
        <v>583557.51325601421</v>
      </c>
      <c r="N102" s="20">
        <f>'Res OLS model'!$B$7*E102</f>
        <v>960610.77194472088</v>
      </c>
      <c r="O102" s="20">
        <f>'Res OLS model'!$B$8*F102</f>
        <v>-431780.77047383122</v>
      </c>
      <c r="P102" s="20">
        <f>'Res OLS model'!$B$9*G102</f>
        <v>-1419959.8612913999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si="7"/>
        <v>10089991.648892904</v>
      </c>
      <c r="U102" s="23">
        <f t="shared" ca="1" si="10"/>
        <v>2.7834234607689856E-2</v>
      </c>
    </row>
    <row r="103" spans="1:21" s="80" customFormat="1" x14ac:dyDescent="0.3">
      <c r="A103" s="22">
        <f>'Monthly Data'!A103</f>
        <v>42156</v>
      </c>
      <c r="B103" s="80">
        <f t="shared" si="9"/>
        <v>2015</v>
      </c>
      <c r="C103" s="20">
        <f ca="1">'Monthly Data'!E103</f>
        <v>10526013.478303481</v>
      </c>
      <c r="D103" s="80">
        <f>'Monthly Data'!AK103</f>
        <v>29.7</v>
      </c>
      <c r="E103" s="80">
        <f>'Monthly Data'!AL103</f>
        <v>30.4</v>
      </c>
      <c r="F103" s="86">
        <f>'Monthly Data'!AT103</f>
        <v>102</v>
      </c>
      <c r="G103" s="80">
        <f>'Monthly Data'!AO103</f>
        <v>0</v>
      </c>
      <c r="H103" s="86">
        <f>'Monthly Data'!AV103</f>
        <v>0</v>
      </c>
      <c r="I103" s="86">
        <f>'Monthly Data'!AZ103</f>
        <v>1</v>
      </c>
      <c r="J103" s="86">
        <f>'Monthly Data'!BC103</f>
        <v>0</v>
      </c>
      <c r="L103" s="20">
        <f>'Res OLS model'!$B$5</f>
        <v>10397563.9954574</v>
      </c>
      <c r="M103" s="20">
        <f>'Res OLS model'!$B$6*D103</f>
        <v>165536.37195514442</v>
      </c>
      <c r="N103" s="20">
        <f>'Res OLS model'!$B$7*E103</f>
        <v>836749.7841581523</v>
      </c>
      <c r="O103" s="20">
        <f>'Res OLS model'!$B$8*F103</f>
        <v>-436055.82760723552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-773164.55099904304</v>
      </c>
      <c r="S103" s="20">
        <f>'Res OLS model'!$B$12*J103</f>
        <v>0</v>
      </c>
      <c r="T103" s="20">
        <f t="shared" si="7"/>
        <v>10190629.772964418</v>
      </c>
      <c r="U103" s="23">
        <f t="shared" ca="1" si="10"/>
        <v>3.1862367080411347E-2</v>
      </c>
    </row>
    <row r="104" spans="1:21" s="80" customFormat="1" x14ac:dyDescent="0.3">
      <c r="A104" s="22">
        <f>'Monthly Data'!A104</f>
        <v>42186</v>
      </c>
      <c r="B104" s="80">
        <f t="shared" si="9"/>
        <v>2015</v>
      </c>
      <c r="C104" s="20">
        <f ca="1">'Monthly Data'!E104</f>
        <v>12091575.198303482</v>
      </c>
      <c r="D104" s="80">
        <f>'Monthly Data'!AK104</f>
        <v>7</v>
      </c>
      <c r="E104" s="80">
        <f>'Monthly Data'!AL104</f>
        <v>76.400000000000006</v>
      </c>
      <c r="F104" s="86">
        <f>'Monthly Data'!AT104</f>
        <v>103</v>
      </c>
      <c r="G104" s="80">
        <f>'Monthly Data'!AO104</f>
        <v>0</v>
      </c>
      <c r="H104" s="86">
        <f>'Monthly Data'!AV104</f>
        <v>0</v>
      </c>
      <c r="I104" s="86">
        <f>'Monthly Data'!AZ104</f>
        <v>0</v>
      </c>
      <c r="J104" s="86">
        <f>'Monthly Data'!BC104</f>
        <v>0</v>
      </c>
      <c r="L104" s="20">
        <f>'Res OLS model'!$B$5</f>
        <v>10397563.9954574</v>
      </c>
      <c r="M104" s="20">
        <f>'Res OLS model'!$B$6*D104</f>
        <v>39015.30652141451</v>
      </c>
      <c r="N104" s="20">
        <f>'Res OLS model'!$B$7*E104</f>
        <v>2102884.3259764095</v>
      </c>
      <c r="O104" s="20">
        <f>'Res OLS model'!$B$8*F104</f>
        <v>-440330.88474063977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si="7"/>
        <v>12099132.743214583</v>
      </c>
      <c r="U104" s="23">
        <f t="shared" ca="1" si="10"/>
        <v>6.2502567177201429E-4</v>
      </c>
    </row>
    <row r="105" spans="1:21" s="80" customFormat="1" x14ac:dyDescent="0.3">
      <c r="A105" s="22">
        <f>'Monthly Data'!A105</f>
        <v>42217</v>
      </c>
      <c r="B105" s="80">
        <f t="shared" si="9"/>
        <v>2015</v>
      </c>
      <c r="C105" s="20">
        <f ca="1">'Monthly Data'!E105</f>
        <v>12608290.718303479</v>
      </c>
      <c r="D105" s="80">
        <f>'Monthly Data'!AK105</f>
        <v>14</v>
      </c>
      <c r="E105" s="80">
        <f>'Monthly Data'!AL105</f>
        <v>61.6</v>
      </c>
      <c r="F105" s="86">
        <f>'Monthly Data'!AT105</f>
        <v>104</v>
      </c>
      <c r="G105" s="80">
        <f>'Monthly Data'!AO105</f>
        <v>0</v>
      </c>
      <c r="H105" s="86">
        <f>'Monthly Data'!AV105</f>
        <v>0</v>
      </c>
      <c r="I105" s="86">
        <f>'Monthly Data'!AZ105</f>
        <v>0</v>
      </c>
      <c r="J105" s="86">
        <f>'Monthly Data'!BC105</f>
        <v>0</v>
      </c>
      <c r="L105" s="20">
        <f>'Res OLS model'!$B$5</f>
        <v>10397563.9954574</v>
      </c>
      <c r="M105" s="20">
        <f>'Res OLS model'!$B$6*D105</f>
        <v>78030.61304282902</v>
      </c>
      <c r="N105" s="20">
        <f>'Res OLS model'!$B$7*E105</f>
        <v>1695519.2994783614</v>
      </c>
      <c r="O105" s="20">
        <f>'Res OLS model'!$B$8*F105</f>
        <v>-444605.94187404407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si="7"/>
        <v>11726507.966104547</v>
      </c>
      <c r="U105" s="23">
        <f t="shared" ca="1" si="10"/>
        <v>6.9936740189441141E-2</v>
      </c>
    </row>
    <row r="106" spans="1:21" s="80" customFormat="1" x14ac:dyDescent="0.3">
      <c r="A106" s="22">
        <f>'Monthly Data'!A106</f>
        <v>42248</v>
      </c>
      <c r="B106" s="80">
        <f t="shared" si="9"/>
        <v>2015</v>
      </c>
      <c r="C106" s="20">
        <f ca="1">'Monthly Data'!E106</f>
        <v>11472336.978303481</v>
      </c>
      <c r="D106" s="80">
        <f>'Monthly Data'!AK106</f>
        <v>34.6</v>
      </c>
      <c r="E106" s="80">
        <f>'Monthly Data'!AL106</f>
        <v>54.2</v>
      </c>
      <c r="F106" s="86">
        <f>'Monthly Data'!AT106</f>
        <v>105</v>
      </c>
      <c r="G106" s="80">
        <f>'Monthly Data'!AO106</f>
        <v>1</v>
      </c>
      <c r="H106" s="86">
        <f>'Monthly Data'!AV106</f>
        <v>0</v>
      </c>
      <c r="I106" s="86">
        <f>'Monthly Data'!AZ106</f>
        <v>0</v>
      </c>
      <c r="J106" s="86">
        <f>'Monthly Data'!BC106</f>
        <v>1</v>
      </c>
      <c r="L106" s="20">
        <f>'Res OLS model'!$B$5</f>
        <v>10397563.9954574</v>
      </c>
      <c r="M106" s="20">
        <f>'Res OLS model'!$B$6*D106</f>
        <v>192847.08652013459</v>
      </c>
      <c r="N106" s="20">
        <f>'Res OLS model'!$B$7*E106</f>
        <v>1491836.7862293376</v>
      </c>
      <c r="O106" s="20">
        <f>'Res OLS model'!$B$8*F106</f>
        <v>-448880.99900744832</v>
      </c>
      <c r="P106" s="20">
        <f>'Res OLS model'!$B$9*G106</f>
        <v>-1419959.8612913999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772942.00624980999</v>
      </c>
      <c r="T106" s="20">
        <f t="shared" si="7"/>
        <v>10986349.014157835</v>
      </c>
      <c r="U106" s="23">
        <f t="shared" ca="1" si="10"/>
        <v>4.2361723253487707E-2</v>
      </c>
    </row>
    <row r="107" spans="1:21" s="80" customFormat="1" x14ac:dyDescent="0.3">
      <c r="A107" s="22">
        <f>'Monthly Data'!A107</f>
        <v>42278</v>
      </c>
      <c r="B107" s="80">
        <f t="shared" si="9"/>
        <v>2015</v>
      </c>
      <c r="C107" s="20">
        <f ca="1">'Monthly Data'!E107</f>
        <v>9760874.6783034839</v>
      </c>
      <c r="D107" s="80">
        <f>'Monthly Data'!AK107</f>
        <v>254.9</v>
      </c>
      <c r="E107" s="80">
        <f>'Monthly Data'!AL107</f>
        <v>0</v>
      </c>
      <c r="F107" s="86">
        <f>'Monthly Data'!AT107</f>
        <v>106</v>
      </c>
      <c r="G107" s="80">
        <f>'Monthly Data'!AO107</f>
        <v>1</v>
      </c>
      <c r="H107" s="86">
        <f>'Monthly Data'!AV107</f>
        <v>0</v>
      </c>
      <c r="I107" s="86">
        <f>'Monthly Data'!AZ107</f>
        <v>0</v>
      </c>
      <c r="J107" s="86">
        <f>'Monthly Data'!BC107</f>
        <v>0</v>
      </c>
      <c r="L107" s="20">
        <f>'Res OLS model'!$B$5</f>
        <v>10397563.9954574</v>
      </c>
      <c r="M107" s="20">
        <f>'Res OLS model'!$B$6*D107</f>
        <v>1420714.5189012226</v>
      </c>
      <c r="N107" s="20">
        <f>'Res OLS model'!$B$7*E107</f>
        <v>0</v>
      </c>
      <c r="O107" s="20">
        <f>'Res OLS model'!$B$8*F107</f>
        <v>-453156.05614085257</v>
      </c>
      <c r="P107" s="20">
        <f>'Res OLS model'!$B$9*G107</f>
        <v>-1419959.8612913999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si="7"/>
        <v>9945162.5969263706</v>
      </c>
      <c r="U107" s="23">
        <f t="shared" ca="1" si="10"/>
        <v>1.8880266850728324E-2</v>
      </c>
    </row>
    <row r="108" spans="1:21" s="80" customFormat="1" x14ac:dyDescent="0.3">
      <c r="A108" s="22">
        <f>'Monthly Data'!A108</f>
        <v>42309</v>
      </c>
      <c r="B108" s="80">
        <f t="shared" si="9"/>
        <v>2015</v>
      </c>
      <c r="C108" s="20">
        <f ca="1">'Monthly Data'!E108</f>
        <v>10610626.948303482</v>
      </c>
      <c r="D108" s="80">
        <f>'Monthly Data'!AK108</f>
        <v>349.79999999999995</v>
      </c>
      <c r="E108" s="80">
        <f>'Monthly Data'!AL108</f>
        <v>0</v>
      </c>
      <c r="F108" s="86">
        <f>'Monthly Data'!AT108</f>
        <v>107</v>
      </c>
      <c r="G108" s="80">
        <f>'Monthly Data'!AO108</f>
        <v>1</v>
      </c>
      <c r="H108" s="86">
        <f>'Monthly Data'!AV108</f>
        <v>0</v>
      </c>
      <c r="I108" s="86">
        <f>'Monthly Data'!AZ108</f>
        <v>0</v>
      </c>
      <c r="J108" s="86">
        <f>'Monthly Data'!BC108</f>
        <v>0</v>
      </c>
      <c r="L108" s="20">
        <f>'Res OLS model'!$B$5</f>
        <v>10397563.9954574</v>
      </c>
      <c r="M108" s="20">
        <f>'Res OLS model'!$B$6*D108</f>
        <v>1949650.6030272562</v>
      </c>
      <c r="N108" s="20">
        <f>'Res OLS model'!$B$7*E108</f>
        <v>0</v>
      </c>
      <c r="O108" s="20">
        <f>'Res OLS model'!$B$8*F108</f>
        <v>-457431.11327425687</v>
      </c>
      <c r="P108" s="20">
        <f>'Res OLS model'!$B$9*G108</f>
        <v>-1419959.8612913999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si="7"/>
        <v>10469823.623918999</v>
      </c>
      <c r="U108" s="23">
        <f t="shared" ca="1" si="10"/>
        <v>1.3270028724079818E-2</v>
      </c>
    </row>
    <row r="109" spans="1:21" s="80" customFormat="1" x14ac:dyDescent="0.3">
      <c r="A109" s="22">
        <f>'Monthly Data'!A109</f>
        <v>42339</v>
      </c>
      <c r="B109" s="80">
        <f t="shared" si="9"/>
        <v>2015</v>
      </c>
      <c r="C109" s="20">
        <f ca="1">'Monthly Data'!E109</f>
        <v>11935835.708303479</v>
      </c>
      <c r="D109" s="80">
        <f>'Monthly Data'!AK109</f>
        <v>447.8</v>
      </c>
      <c r="E109" s="80">
        <f>'Monthly Data'!AL109</f>
        <v>0</v>
      </c>
      <c r="F109" s="86">
        <f>'Monthly Data'!AT109</f>
        <v>108</v>
      </c>
      <c r="G109" s="80">
        <f>'Monthly Data'!AO109</f>
        <v>0</v>
      </c>
      <c r="H109" s="86">
        <f>'Monthly Data'!AV109</f>
        <v>0</v>
      </c>
      <c r="I109" s="86">
        <f>'Monthly Data'!AZ109</f>
        <v>0</v>
      </c>
      <c r="J109" s="86">
        <f>'Monthly Data'!BC109</f>
        <v>0</v>
      </c>
      <c r="L109" s="20">
        <f>'Res OLS model'!$B$5</f>
        <v>10397563.9954574</v>
      </c>
      <c r="M109" s="20">
        <f>'Res OLS model'!$B$6*D109</f>
        <v>2495864.8943270599</v>
      </c>
      <c r="N109" s="20">
        <f>'Res OLS model'!$B$7*E109</f>
        <v>0</v>
      </c>
      <c r="O109" s="20">
        <f>'Res OLS model'!$B$8*F109</f>
        <v>-461706.17040766112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si="7"/>
        <v>12431722.719376799</v>
      </c>
      <c r="U109" s="23">
        <f t="shared" ca="1" si="10"/>
        <v>4.1546065411099981E-2</v>
      </c>
    </row>
    <row r="110" spans="1:21" s="80" customFormat="1" x14ac:dyDescent="0.3">
      <c r="A110" s="22">
        <f>'Monthly Data'!A110</f>
        <v>42370</v>
      </c>
      <c r="B110" s="80">
        <f t="shared" si="9"/>
        <v>2016</v>
      </c>
      <c r="C110" s="20">
        <f ca="1">'Monthly Data'!E110</f>
        <v>13040485.289731631</v>
      </c>
      <c r="D110" s="80">
        <f>'Monthly Data'!AK110</f>
        <v>693.9</v>
      </c>
      <c r="E110" s="80">
        <f>'Monthly Data'!AL110</f>
        <v>0</v>
      </c>
      <c r="F110" s="86">
        <f>'Monthly Data'!AT110</f>
        <v>109</v>
      </c>
      <c r="G110" s="80">
        <f>'Monthly Data'!AO110</f>
        <v>0</v>
      </c>
      <c r="H110" s="86">
        <f>'Monthly Data'!AV110</f>
        <v>0</v>
      </c>
      <c r="I110" s="86">
        <f>'Monthly Data'!AZ110</f>
        <v>0</v>
      </c>
      <c r="J110" s="86">
        <f>'Monthly Data'!BC110</f>
        <v>0</v>
      </c>
      <c r="L110" s="20">
        <f>'Res OLS model'!$B$5</f>
        <v>10397563.9954574</v>
      </c>
      <c r="M110" s="20">
        <f>'Res OLS model'!$B$6*D110</f>
        <v>3867531.5993156466</v>
      </c>
      <c r="N110" s="20">
        <f>'Res OLS model'!$B$7*E110</f>
        <v>0</v>
      </c>
      <c r="O110" s="20">
        <f>'Res OLS model'!$B$8*F110</f>
        <v>-465981.22754106543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si="7"/>
        <v>13799114.367231982</v>
      </c>
      <c r="U110" s="23">
        <f t="shared" ca="1" si="10"/>
        <v>5.8174911488739781E-2</v>
      </c>
    </row>
    <row r="111" spans="1:21" s="80" customFormat="1" x14ac:dyDescent="0.3">
      <c r="A111" s="22">
        <f>'Monthly Data'!A111</f>
        <v>42401</v>
      </c>
      <c r="B111" s="80">
        <f t="shared" si="9"/>
        <v>2016</v>
      </c>
      <c r="C111" s="20">
        <f ca="1">'Monthly Data'!E111</f>
        <v>12219959.469731636</v>
      </c>
      <c r="D111" s="80">
        <f>'Monthly Data'!AK111</f>
        <v>599.1</v>
      </c>
      <c r="E111" s="80">
        <f>'Monthly Data'!AL111</f>
        <v>0</v>
      </c>
      <c r="F111" s="86">
        <f>'Monthly Data'!AT111</f>
        <v>110</v>
      </c>
      <c r="G111" s="80">
        <f>'Monthly Data'!AO111</f>
        <v>0</v>
      </c>
      <c r="H111" s="86">
        <f>'Monthly Data'!AV111</f>
        <v>1</v>
      </c>
      <c r="I111" s="86">
        <f>'Monthly Data'!AZ111</f>
        <v>0</v>
      </c>
      <c r="J111" s="86">
        <f>'Monthly Data'!BC111</f>
        <v>0</v>
      </c>
      <c r="L111" s="20">
        <f>'Res OLS model'!$B$5</f>
        <v>10397563.9954574</v>
      </c>
      <c r="M111" s="20">
        <f>'Res OLS model'!$B$6*D111</f>
        <v>3339152.8767113476</v>
      </c>
      <c r="N111" s="20">
        <f>'Res OLS model'!$B$7*E111</f>
        <v>0</v>
      </c>
      <c r="O111" s="20">
        <f>'Res OLS model'!$B$8*F111</f>
        <v>-470256.28467446967</v>
      </c>
      <c r="P111" s="20">
        <f>'Res OLS model'!$B$9*G111</f>
        <v>0</v>
      </c>
      <c r="Q111" s="20">
        <f>'Res OLS model'!$B$10*H111</f>
        <v>-473349.26469262998</v>
      </c>
      <c r="R111" s="20">
        <f>'Res OLS model'!$B$11*I111</f>
        <v>0</v>
      </c>
      <c r="S111" s="20">
        <f>'Res OLS model'!$B$12*J111</f>
        <v>0</v>
      </c>
      <c r="T111" s="20">
        <f t="shared" si="7"/>
        <v>12793111.322801648</v>
      </c>
      <c r="U111" s="23">
        <f t="shared" ca="1" si="10"/>
        <v>4.6902925864008481E-2</v>
      </c>
    </row>
    <row r="112" spans="1:21" s="80" customFormat="1" x14ac:dyDescent="0.3">
      <c r="A112" s="22">
        <f>'Monthly Data'!A112</f>
        <v>42430</v>
      </c>
      <c r="B112" s="80">
        <f t="shared" si="9"/>
        <v>2016</v>
      </c>
      <c r="C112" s="20">
        <f ca="1">'Monthly Data'!E112</f>
        <v>11209716.929731634</v>
      </c>
      <c r="D112" s="80">
        <f>'Monthly Data'!AK112</f>
        <v>460.90000000000003</v>
      </c>
      <c r="E112" s="80">
        <f>'Monthly Data'!AL112</f>
        <v>0</v>
      </c>
      <c r="F112" s="86">
        <f>'Monthly Data'!AT112</f>
        <v>111</v>
      </c>
      <c r="G112" s="80">
        <f>'Monthly Data'!AO112</f>
        <v>1</v>
      </c>
      <c r="H112" s="86">
        <f>'Monthly Data'!AV112</f>
        <v>0</v>
      </c>
      <c r="I112" s="86">
        <f>'Monthly Data'!AZ112</f>
        <v>0</v>
      </c>
      <c r="J112" s="86">
        <f>'Monthly Data'!BC112</f>
        <v>0</v>
      </c>
      <c r="L112" s="20">
        <f>'Res OLS model'!$B$5</f>
        <v>10397563.9954574</v>
      </c>
      <c r="M112" s="20">
        <f>'Res OLS model'!$B$6*D112</f>
        <v>2568879.2536742785</v>
      </c>
      <c r="N112" s="20">
        <f>'Res OLS model'!$B$7*E112</f>
        <v>0</v>
      </c>
      <c r="O112" s="20">
        <f>'Res OLS model'!$B$8*F112</f>
        <v>-474531.34180787392</v>
      </c>
      <c r="P112" s="20">
        <f>'Res OLS model'!$B$9*G112</f>
        <v>-1419959.8612913999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si="7"/>
        <v>11071952.046032405</v>
      </c>
      <c r="U112" s="23">
        <f t="shared" ca="1" si="10"/>
        <v>1.2289773645740682E-2</v>
      </c>
    </row>
    <row r="113" spans="1:21" s="80" customFormat="1" x14ac:dyDescent="0.3">
      <c r="A113" s="22">
        <f>'Monthly Data'!A113</f>
        <v>42461</v>
      </c>
      <c r="B113" s="80">
        <f t="shared" si="9"/>
        <v>2016</v>
      </c>
      <c r="C113" s="20">
        <f ca="1">'Monthly Data'!E113</f>
        <v>10535031.609731635</v>
      </c>
      <c r="D113" s="80">
        <f>'Monthly Data'!AK113</f>
        <v>383.99999999999994</v>
      </c>
      <c r="E113" s="80">
        <f>'Monthly Data'!AL113</f>
        <v>0</v>
      </c>
      <c r="F113" s="86">
        <f>'Monthly Data'!AT113</f>
        <v>112</v>
      </c>
      <c r="G113" s="80">
        <f>'Monthly Data'!AO113</f>
        <v>1</v>
      </c>
      <c r="H113" s="86">
        <f>'Monthly Data'!AV113</f>
        <v>0</v>
      </c>
      <c r="I113" s="86">
        <f>'Monthly Data'!AZ113</f>
        <v>0</v>
      </c>
      <c r="J113" s="86">
        <f>'Monthly Data'!BC113</f>
        <v>0</v>
      </c>
      <c r="L113" s="20">
        <f>'Res OLS model'!$B$5</f>
        <v>10397563.9954574</v>
      </c>
      <c r="M113" s="20">
        <f>'Res OLS model'!$B$6*D113</f>
        <v>2140268.2434604526</v>
      </c>
      <c r="N113" s="20">
        <f>'Res OLS model'!$B$7*E113</f>
        <v>0</v>
      </c>
      <c r="O113" s="20">
        <f>'Res OLS model'!$B$8*F113</f>
        <v>-478806.39894127822</v>
      </c>
      <c r="P113" s="20">
        <f>'Res OLS model'!$B$9*G113</f>
        <v>-1419959.8612913999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si="7"/>
        <v>10639065.978685174</v>
      </c>
      <c r="U113" s="23">
        <f t="shared" ca="1" si="10"/>
        <v>9.8750884484711272E-3</v>
      </c>
    </row>
    <row r="114" spans="1:21" s="80" customFormat="1" x14ac:dyDescent="0.3">
      <c r="A114" s="22">
        <f>'Monthly Data'!A114</f>
        <v>42491</v>
      </c>
      <c r="B114" s="80">
        <f t="shared" si="9"/>
        <v>2016</v>
      </c>
      <c r="C114" s="20">
        <f ca="1">'Monthly Data'!E114</f>
        <v>9802426.5897316337</v>
      </c>
      <c r="D114" s="80">
        <f>'Monthly Data'!AK114</f>
        <v>143.1</v>
      </c>
      <c r="E114" s="80">
        <f>'Monthly Data'!AL114</f>
        <v>26.1</v>
      </c>
      <c r="F114" s="86">
        <f>'Monthly Data'!AT114</f>
        <v>113</v>
      </c>
      <c r="G114" s="80">
        <f>'Monthly Data'!AO114</f>
        <v>1</v>
      </c>
      <c r="H114" s="86">
        <f>'Monthly Data'!AV114</f>
        <v>0</v>
      </c>
      <c r="I114" s="86">
        <f>'Monthly Data'!AZ114</f>
        <v>0</v>
      </c>
      <c r="J114" s="86">
        <f>'Monthly Data'!BC114</f>
        <v>0</v>
      </c>
      <c r="L114" s="20">
        <f>'Res OLS model'!$B$5</f>
        <v>10397563.9954574</v>
      </c>
      <c r="M114" s="20">
        <f>'Res OLS model'!$B$6*D114</f>
        <v>797584.33760205947</v>
      </c>
      <c r="N114" s="20">
        <f>'Res OLS model'!$B$7*E114</f>
        <v>718393.72916209791</v>
      </c>
      <c r="O114" s="20">
        <f>'Res OLS model'!$B$8*F114</f>
        <v>-483081.45607468247</v>
      </c>
      <c r="P114" s="20">
        <f>'Res OLS model'!$B$9*G114</f>
        <v>-1419959.8612913999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si="7"/>
        <v>10010500.744855475</v>
      </c>
      <c r="U114" s="23">
        <f t="shared" ca="1" si="10"/>
        <v>2.1226800651769795E-2</v>
      </c>
    </row>
    <row r="115" spans="1:21" s="80" customFormat="1" x14ac:dyDescent="0.3">
      <c r="A115" s="22">
        <f>'Monthly Data'!A115</f>
        <v>42522</v>
      </c>
      <c r="B115" s="80">
        <f t="shared" si="9"/>
        <v>2016</v>
      </c>
      <c r="C115" s="20">
        <f ca="1">'Monthly Data'!E115</f>
        <v>11190418.029731637</v>
      </c>
      <c r="D115" s="80">
        <f>'Monthly Data'!AK115</f>
        <v>38</v>
      </c>
      <c r="E115" s="80">
        <f>'Monthly Data'!AL115</f>
        <v>51.3</v>
      </c>
      <c r="F115" s="86">
        <f>'Monthly Data'!AT115</f>
        <v>114</v>
      </c>
      <c r="G115" s="80">
        <f>'Monthly Data'!AO115</f>
        <v>0</v>
      </c>
      <c r="H115" s="86">
        <f>'Monthly Data'!AV115</f>
        <v>0</v>
      </c>
      <c r="I115" s="86">
        <f>'Monthly Data'!AZ115</f>
        <v>1</v>
      </c>
      <c r="J115" s="86">
        <f>'Monthly Data'!BC115</f>
        <v>0</v>
      </c>
      <c r="L115" s="20">
        <f>'Res OLS model'!$B$5</f>
        <v>10397563.9954574</v>
      </c>
      <c r="M115" s="20">
        <f>'Res OLS model'!$B$6*D115</f>
        <v>211797.37825910735</v>
      </c>
      <c r="N115" s="20">
        <f>'Res OLS model'!$B$7*E115</f>
        <v>1412015.260766882</v>
      </c>
      <c r="O115" s="20">
        <f>'Res OLS model'!$B$8*F115</f>
        <v>-487356.51320808678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-773164.55099904304</v>
      </c>
      <c r="S115" s="20">
        <f>'Res OLS model'!$B$12*J115</f>
        <v>0</v>
      </c>
      <c r="T115" s="20">
        <f t="shared" si="7"/>
        <v>10760855.570276259</v>
      </c>
      <c r="U115" s="23">
        <f t="shared" ca="1" si="10"/>
        <v>3.8386632055574771E-2</v>
      </c>
    </row>
    <row r="116" spans="1:21" s="80" customFormat="1" x14ac:dyDescent="0.3">
      <c r="A116" s="22">
        <f>'Monthly Data'!A116</f>
        <v>42552</v>
      </c>
      <c r="B116" s="80">
        <f t="shared" si="9"/>
        <v>2016</v>
      </c>
      <c r="C116" s="20">
        <f ca="1">'Monthly Data'!E116</f>
        <v>13653579.789731635</v>
      </c>
      <c r="D116" s="80">
        <f>'Monthly Data'!AK116</f>
        <v>1.8</v>
      </c>
      <c r="E116" s="80">
        <f>'Monthly Data'!AL116</f>
        <v>117.4</v>
      </c>
      <c r="F116" s="86">
        <f>'Monthly Data'!AT116</f>
        <v>115</v>
      </c>
      <c r="G116" s="80">
        <f>'Monthly Data'!AO116</f>
        <v>0</v>
      </c>
      <c r="H116" s="86">
        <f>'Monthly Data'!AV116</f>
        <v>0</v>
      </c>
      <c r="I116" s="86">
        <f>'Monthly Data'!AZ116</f>
        <v>0</v>
      </c>
      <c r="J116" s="86">
        <f>'Monthly Data'!BC116</f>
        <v>0</v>
      </c>
      <c r="L116" s="20">
        <f>'Res OLS model'!$B$5</f>
        <v>10397563.9954574</v>
      </c>
      <c r="M116" s="20">
        <f>'Res OLS model'!$B$6*D116</f>
        <v>10032.507391220874</v>
      </c>
      <c r="N116" s="20">
        <f>'Res OLS model'!$B$7*E116</f>
        <v>3231395.5480318121</v>
      </c>
      <c r="O116" s="20">
        <f>'Res OLS model'!$B$8*F116</f>
        <v>-491631.57034149102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si="7"/>
        <v>13147360.480538942</v>
      </c>
      <c r="U116" s="23">
        <f t="shared" ca="1" si="10"/>
        <v>3.7075940302000662E-2</v>
      </c>
    </row>
    <row r="117" spans="1:21" s="80" customFormat="1" x14ac:dyDescent="0.3">
      <c r="A117" s="22">
        <f>'Monthly Data'!A117</f>
        <v>42583</v>
      </c>
      <c r="B117" s="80">
        <f t="shared" si="9"/>
        <v>2016</v>
      </c>
      <c r="C117" s="20">
        <f ca="1">'Monthly Data'!E117</f>
        <v>14761841.349731633</v>
      </c>
      <c r="D117" s="80">
        <f>'Monthly Data'!AK117</f>
        <v>0.3</v>
      </c>
      <c r="E117" s="80">
        <f>'Monthly Data'!AL117</f>
        <v>131</v>
      </c>
      <c r="F117" s="86">
        <f>'Monthly Data'!AT117</f>
        <v>116</v>
      </c>
      <c r="G117" s="80">
        <f>'Monthly Data'!AO117</f>
        <v>0</v>
      </c>
      <c r="H117" s="86">
        <f>'Monthly Data'!AV117</f>
        <v>0</v>
      </c>
      <c r="I117" s="86">
        <f>'Monthly Data'!AZ117</f>
        <v>0</v>
      </c>
      <c r="J117" s="86">
        <f>'Monthly Data'!BC117</f>
        <v>0</v>
      </c>
      <c r="L117" s="20">
        <f>'Res OLS model'!$B$5</f>
        <v>10397563.9954574</v>
      </c>
      <c r="M117" s="20">
        <f>'Res OLS model'!$B$6*D117</f>
        <v>1672.0845652034789</v>
      </c>
      <c r="N117" s="20">
        <f>'Res OLS model'!$B$7*E117</f>
        <v>3605730.9777867752</v>
      </c>
      <c r="O117" s="20">
        <f>'Res OLS model'!$B$8*F117</f>
        <v>-495906.62747489527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si="7"/>
        <v>13509060.430334484</v>
      </c>
      <c r="U117" s="23">
        <f t="shared" ca="1" si="10"/>
        <v>8.4866168773716333E-2</v>
      </c>
    </row>
    <row r="118" spans="1:21" s="80" customFormat="1" x14ac:dyDescent="0.3">
      <c r="A118" s="22">
        <f>'Monthly Data'!A118</f>
        <v>42614</v>
      </c>
      <c r="B118" s="80">
        <f t="shared" si="9"/>
        <v>2016</v>
      </c>
      <c r="C118" s="20">
        <f ca="1">'Monthly Data'!E118</f>
        <v>11769949.059731634</v>
      </c>
      <c r="D118" s="80">
        <f>'Monthly Data'!AK118</f>
        <v>38</v>
      </c>
      <c r="E118" s="80">
        <f>'Monthly Data'!AL118</f>
        <v>43.4</v>
      </c>
      <c r="F118" s="86">
        <f>'Monthly Data'!AT118</f>
        <v>117</v>
      </c>
      <c r="G118" s="80">
        <f>'Monthly Data'!AO118</f>
        <v>1</v>
      </c>
      <c r="H118" s="86">
        <f>'Monthly Data'!AV118</f>
        <v>0</v>
      </c>
      <c r="I118" s="86">
        <f>'Monthly Data'!AZ118</f>
        <v>0</v>
      </c>
      <c r="J118" s="86">
        <f>'Monthly Data'!BC118</f>
        <v>1</v>
      </c>
      <c r="L118" s="20">
        <f>'Res OLS model'!$B$5</f>
        <v>10397563.9954574</v>
      </c>
      <c r="M118" s="20">
        <f>'Res OLS model'!$B$6*D118</f>
        <v>211797.37825910735</v>
      </c>
      <c r="N118" s="20">
        <f>'Res OLS model'!$B$7*E118</f>
        <v>1194570.4155415727</v>
      </c>
      <c r="O118" s="20">
        <f>'Res OLS model'!$B$8*F118</f>
        <v>-500181.68460829958</v>
      </c>
      <c r="P118" s="20">
        <f>'Res OLS model'!$B$9*G118</f>
        <v>-1419959.8612913999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772942.00624980999</v>
      </c>
      <c r="T118" s="20">
        <f t="shared" si="7"/>
        <v>10656732.249608191</v>
      </c>
      <c r="U118" s="23">
        <f t="shared" ca="1" si="10"/>
        <v>9.4581276815553686E-2</v>
      </c>
    </row>
    <row r="119" spans="1:21" s="80" customFormat="1" x14ac:dyDescent="0.3">
      <c r="A119" s="22">
        <f>'Monthly Data'!A119</f>
        <v>42644</v>
      </c>
      <c r="B119" s="80">
        <f t="shared" si="9"/>
        <v>2016</v>
      </c>
      <c r="C119" s="20">
        <f ca="1">'Monthly Data'!E119</f>
        <v>9824702.8897316344</v>
      </c>
      <c r="D119" s="80">
        <f>'Monthly Data'!AK119</f>
        <v>220.4</v>
      </c>
      <c r="E119" s="80">
        <f>'Monthly Data'!AL119</f>
        <v>3.9</v>
      </c>
      <c r="F119" s="86">
        <f>'Monthly Data'!AT119</f>
        <v>118</v>
      </c>
      <c r="G119" s="80">
        <f>'Monthly Data'!AO119</f>
        <v>1</v>
      </c>
      <c r="H119" s="86">
        <f>'Monthly Data'!AV119</f>
        <v>0</v>
      </c>
      <c r="I119" s="86">
        <f>'Monthly Data'!AZ119</f>
        <v>0</v>
      </c>
      <c r="J119" s="86">
        <f>'Monthly Data'!BC119</f>
        <v>0</v>
      </c>
      <c r="L119" s="20">
        <f>'Res OLS model'!$B$5</f>
        <v>10397563.9954574</v>
      </c>
      <c r="M119" s="20">
        <f>'Res OLS model'!$B$6*D119</f>
        <v>1228424.7939028225</v>
      </c>
      <c r="N119" s="20">
        <f>'Res OLS model'!$B$7*E119</f>
        <v>107346.18941502612</v>
      </c>
      <c r="O119" s="20">
        <f>'Res OLS model'!$B$8*F119</f>
        <v>-504456.74174170382</v>
      </c>
      <c r="P119" s="20">
        <f>'Res OLS model'!$B$9*G119</f>
        <v>-1419959.8612913999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si="7"/>
        <v>9808918.3757421449</v>
      </c>
      <c r="U119" s="23">
        <f t="shared" ca="1" si="10"/>
        <v>1.6066148937681193E-3</v>
      </c>
    </row>
    <row r="120" spans="1:21" s="80" customFormat="1" x14ac:dyDescent="0.3">
      <c r="A120" s="22">
        <f>'Monthly Data'!A120</f>
        <v>42675</v>
      </c>
      <c r="B120" s="80">
        <f t="shared" si="9"/>
        <v>2016</v>
      </c>
      <c r="C120" s="20">
        <f ca="1">'Monthly Data'!E120</f>
        <v>10371409.499731634</v>
      </c>
      <c r="D120" s="80">
        <f>'Monthly Data'!AK120</f>
        <v>355.9</v>
      </c>
      <c r="E120" s="80">
        <f>'Monthly Data'!AL120</f>
        <v>0</v>
      </c>
      <c r="F120" s="86">
        <f>'Monthly Data'!AT120</f>
        <v>119</v>
      </c>
      <c r="G120" s="80">
        <f>'Monthly Data'!AO120</f>
        <v>1</v>
      </c>
      <c r="H120" s="86">
        <f>'Monthly Data'!AV120</f>
        <v>0</v>
      </c>
      <c r="I120" s="86">
        <f>'Monthly Data'!AZ120</f>
        <v>0</v>
      </c>
      <c r="J120" s="86">
        <f>'Monthly Data'!BC120</f>
        <v>0</v>
      </c>
      <c r="L120" s="20">
        <f>'Res OLS model'!$B$5</f>
        <v>10397563.9954574</v>
      </c>
      <c r="M120" s="20">
        <f>'Res OLS model'!$B$6*D120</f>
        <v>1983649.6558530605</v>
      </c>
      <c r="N120" s="20">
        <f>'Res OLS model'!$B$7*E120</f>
        <v>0</v>
      </c>
      <c r="O120" s="20">
        <f>'Res OLS model'!$B$8*F120</f>
        <v>-508731.79887510807</v>
      </c>
      <c r="P120" s="20">
        <f>'Res OLS model'!$B$9*G120</f>
        <v>-1419959.8612913999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si="7"/>
        <v>10452521.991143953</v>
      </c>
      <c r="U120" s="23">
        <f t="shared" ca="1" si="10"/>
        <v>7.820778016181704E-3</v>
      </c>
    </row>
    <row r="121" spans="1:21" s="80" customFormat="1" x14ac:dyDescent="0.3">
      <c r="A121" s="22">
        <f>'Monthly Data'!A121</f>
        <v>42705</v>
      </c>
      <c r="B121" s="80">
        <f t="shared" si="9"/>
        <v>2016</v>
      </c>
      <c r="C121" s="20">
        <f ca="1">'Monthly Data'!E121</f>
        <v>12858747.429731634</v>
      </c>
      <c r="D121" s="80">
        <f>'Monthly Data'!AK121</f>
        <v>639.5</v>
      </c>
      <c r="E121" s="80">
        <f>'Monthly Data'!AL121</f>
        <v>0</v>
      </c>
      <c r="F121" s="86">
        <f>'Monthly Data'!AT121</f>
        <v>120</v>
      </c>
      <c r="G121" s="80">
        <f>'Monthly Data'!AO121</f>
        <v>0</v>
      </c>
      <c r="H121" s="86">
        <f>'Monthly Data'!AV121</f>
        <v>0</v>
      </c>
      <c r="I121" s="86">
        <f>'Monthly Data'!AZ121</f>
        <v>0</v>
      </c>
      <c r="J121" s="86">
        <f>'Monthly Data'!BC121</f>
        <v>0</v>
      </c>
      <c r="L121" s="20">
        <f>'Res OLS model'!$B$5</f>
        <v>10397563.9954574</v>
      </c>
      <c r="M121" s="20">
        <f>'Res OLS model'!$B$6*D121</f>
        <v>3564326.9314920828</v>
      </c>
      <c r="N121" s="20">
        <f>'Res OLS model'!$B$7*E121</f>
        <v>0</v>
      </c>
      <c r="O121" s="20">
        <f>'Res OLS model'!$B$8*F121</f>
        <v>-513006.85600851238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si="7"/>
        <v>13448884.07094097</v>
      </c>
      <c r="U121" s="23">
        <f t="shared" ca="1" si="10"/>
        <v>4.5893788989496649E-2</v>
      </c>
    </row>
    <row r="122" spans="1:21" x14ac:dyDescent="0.3">
      <c r="U122" s="24">
        <f ca="1">AVERAGE(U2:U121)</f>
        <v>2.9721948211623613E-2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45" sqref="A45"/>
    </sheetView>
  </sheetViews>
  <sheetFormatPr defaultColWidth="9.109375" defaultRowHeight="13.2" x14ac:dyDescent="0.25"/>
  <cols>
    <col min="1" max="1" width="20.3320312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16384" width="9.109375" style="4"/>
  </cols>
  <sheetData>
    <row r="1" spans="1:5" x14ac:dyDescent="0.25">
      <c r="A1" s="4" t="s">
        <v>201</v>
      </c>
    </row>
    <row r="2" spans="1:5" x14ac:dyDescent="0.25">
      <c r="A2" s="4" t="s">
        <v>180</v>
      </c>
    </row>
    <row r="4" spans="1:5" x14ac:dyDescent="0.25">
      <c r="B4" s="4" t="s">
        <v>70</v>
      </c>
      <c r="C4" s="4" t="s">
        <v>71</v>
      </c>
      <c r="D4" s="4" t="s">
        <v>72</v>
      </c>
      <c r="E4" s="4" t="s">
        <v>73</v>
      </c>
    </row>
    <row r="5" spans="1:5" x14ac:dyDescent="0.25">
      <c r="A5" s="4" t="s">
        <v>74</v>
      </c>
      <c r="B5" s="4">
        <v>-11631489.5525492</v>
      </c>
      <c r="C5" s="4">
        <v>3030819.3857083698</v>
      </c>
      <c r="D5" s="4">
        <v>-3.83773761227632</v>
      </c>
      <c r="E5" s="4">
        <v>2.0859193316167599E-4</v>
      </c>
    </row>
    <row r="6" spans="1:5" x14ac:dyDescent="0.25">
      <c r="A6" s="4" t="s">
        <v>167</v>
      </c>
      <c r="B6" s="4">
        <v>6551.1279855510402</v>
      </c>
      <c r="C6" s="4">
        <v>1741.1409856161799</v>
      </c>
      <c r="D6" s="4">
        <v>3.7625488341672799</v>
      </c>
      <c r="E6" s="19">
        <v>2.7262009779027799E-4</v>
      </c>
    </row>
    <row r="7" spans="1:5" x14ac:dyDescent="0.25">
      <c r="A7" s="4" t="s">
        <v>133</v>
      </c>
      <c r="B7" s="4">
        <v>2094.0731582204098</v>
      </c>
      <c r="C7" s="4">
        <v>109.077514961123</v>
      </c>
      <c r="D7" s="4">
        <v>19.198027741709801</v>
      </c>
      <c r="E7" s="19">
        <v>9.3293202672894999E-37</v>
      </c>
    </row>
    <row r="8" spans="1:5" x14ac:dyDescent="0.25">
      <c r="A8" s="4" t="s">
        <v>134</v>
      </c>
      <c r="B8" s="4">
        <v>5924.8575514885297</v>
      </c>
      <c r="C8" s="4">
        <v>1108.8974661028799</v>
      </c>
      <c r="D8" s="4">
        <v>5.3430165841309902</v>
      </c>
      <c r="E8" s="19">
        <v>5.0563543763866897E-7</v>
      </c>
    </row>
    <row r="9" spans="1:5" x14ac:dyDescent="0.25">
      <c r="A9" s="4" t="s">
        <v>135</v>
      </c>
      <c r="B9" s="4">
        <v>10421.4898242742</v>
      </c>
      <c r="C9" s="4">
        <v>3094.1398066024399</v>
      </c>
      <c r="D9" s="4">
        <v>3.3681379884762399</v>
      </c>
      <c r="E9" s="19">
        <v>1.04672333575289E-3</v>
      </c>
    </row>
    <row r="10" spans="1:5" x14ac:dyDescent="0.25">
      <c r="A10" s="4" t="s">
        <v>75</v>
      </c>
      <c r="B10" s="4">
        <v>-4822.6940773163997</v>
      </c>
      <c r="C10" s="4">
        <v>1876.2724967189999</v>
      </c>
      <c r="D10" s="4">
        <v>-2.5703590953604798</v>
      </c>
      <c r="E10" s="19">
        <v>1.1508555388706401E-2</v>
      </c>
    </row>
    <row r="11" spans="1:5" x14ac:dyDescent="0.25">
      <c r="A11" s="4" t="s">
        <v>48</v>
      </c>
      <c r="B11" s="4">
        <v>-156104.06645044801</v>
      </c>
      <c r="C11" s="4">
        <v>68013.961566082493</v>
      </c>
      <c r="D11" s="4">
        <v>-2.2951767968812802</v>
      </c>
      <c r="E11" s="4">
        <v>2.3637320818846799E-2</v>
      </c>
    </row>
    <row r="12" spans="1:5" x14ac:dyDescent="0.25">
      <c r="A12" s="4" t="s">
        <v>51</v>
      </c>
      <c r="B12" s="4">
        <v>359272.711714848</v>
      </c>
      <c r="C12" s="4">
        <v>93117.035145262096</v>
      </c>
      <c r="D12" s="4">
        <v>3.8582919994648002</v>
      </c>
      <c r="E12" s="4">
        <v>1.9375438863174501E-4</v>
      </c>
    </row>
    <row r="13" spans="1:5" x14ac:dyDescent="0.25">
      <c r="A13" s="4" t="s">
        <v>52</v>
      </c>
      <c r="B13" s="4">
        <v>411098.30587285903</v>
      </c>
      <c r="C13" s="4">
        <v>125921.815618815</v>
      </c>
      <c r="D13" s="4">
        <v>3.2647107560561102</v>
      </c>
      <c r="E13" s="4">
        <v>1.4645291681187E-3</v>
      </c>
    </row>
    <row r="14" spans="1:5" x14ac:dyDescent="0.25">
      <c r="A14" s="4" t="s">
        <v>157</v>
      </c>
      <c r="B14" s="4">
        <v>494220.92313005403</v>
      </c>
      <c r="C14" s="4">
        <v>110691.90976562801</v>
      </c>
      <c r="D14" s="19">
        <v>4.4648332852553301</v>
      </c>
      <c r="E14" s="19">
        <v>1.9629953733475199E-5</v>
      </c>
    </row>
    <row r="15" spans="1:5" x14ac:dyDescent="0.25">
      <c r="A15" s="4" t="s">
        <v>54</v>
      </c>
      <c r="B15" s="4">
        <v>249265.131543444</v>
      </c>
      <c r="C15" s="4">
        <v>80695.843495210705</v>
      </c>
      <c r="D15" s="19">
        <v>3.08894635394992</v>
      </c>
      <c r="E15" s="4">
        <v>2.5487349690576102E-3</v>
      </c>
    </row>
    <row r="16" spans="1:5" x14ac:dyDescent="0.25">
      <c r="D16" s="19"/>
    </row>
    <row r="17" spans="1:4" x14ac:dyDescent="0.25">
      <c r="A17" s="4" t="s">
        <v>76</v>
      </c>
      <c r="B17" s="4">
        <v>4190028.62784224</v>
      </c>
      <c r="C17" s="4" t="s">
        <v>77</v>
      </c>
      <c r="D17" s="4">
        <v>442281.55614882801</v>
      </c>
    </row>
    <row r="18" spans="1:4" x14ac:dyDescent="0.25">
      <c r="A18" s="4" t="s">
        <v>78</v>
      </c>
      <c r="B18" s="4">
        <v>4243401267384.0498</v>
      </c>
      <c r="C18" s="4" t="s">
        <v>79</v>
      </c>
      <c r="D18" s="4">
        <v>197307.59452371401</v>
      </c>
    </row>
    <row r="19" spans="1:4" x14ac:dyDescent="0.25">
      <c r="A19" s="4" t="s">
        <v>80</v>
      </c>
      <c r="B19" s="4">
        <v>0.81770721397080603</v>
      </c>
      <c r="C19" s="4" t="s">
        <v>81</v>
      </c>
      <c r="D19" s="4">
        <v>0.80098310516078797</v>
      </c>
    </row>
    <row r="20" spans="1:4" x14ac:dyDescent="0.25">
      <c r="A20" s="4" t="s">
        <v>181</v>
      </c>
      <c r="B20" s="4">
        <v>48.893918549548999</v>
      </c>
      <c r="C20" s="4" t="s">
        <v>82</v>
      </c>
      <c r="D20" s="19">
        <v>1.02869429932666E-35</v>
      </c>
    </row>
    <row r="21" spans="1:4" x14ac:dyDescent="0.25">
      <c r="A21" s="4" t="s">
        <v>83</v>
      </c>
      <c r="B21" s="4">
        <v>-1627.60629437547</v>
      </c>
      <c r="C21" s="4" t="s">
        <v>84</v>
      </c>
      <c r="D21" s="4">
        <v>3277.2125887509401</v>
      </c>
    </row>
    <row r="22" spans="1:4" x14ac:dyDescent="0.25">
      <c r="A22" s="4" t="s">
        <v>85</v>
      </c>
      <c r="B22" s="4">
        <v>3307.8749979215399</v>
      </c>
      <c r="C22" s="4" t="s">
        <v>86</v>
      </c>
      <c r="D22" s="4">
        <v>3289.6647346056602</v>
      </c>
    </row>
    <row r="23" spans="1:4" x14ac:dyDescent="0.25">
      <c r="A23" s="4" t="s">
        <v>87</v>
      </c>
      <c r="B23" s="4">
        <v>8.6702584620806905E-2</v>
      </c>
      <c r="C23" s="4" t="s">
        <v>88</v>
      </c>
      <c r="D23" s="4">
        <v>1.8199208858999401</v>
      </c>
    </row>
    <row r="24" spans="1:4" x14ac:dyDescent="0.25">
      <c r="A24" s="4" t="s">
        <v>200</v>
      </c>
      <c r="B24" s="4">
        <v>0.44296999999999997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Data</vt:lpstr>
      <vt:lpstr>Sheet1</vt:lpstr>
      <vt:lpstr>Sheet2</vt:lpstr>
      <vt:lpstr>Historic CDM</vt:lpstr>
      <vt:lpstr>Weather</vt:lpstr>
      <vt:lpstr>Employment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GS &gt; 50 Predicted Monthly Alt</vt:lpstr>
      <vt:lpstr>Model Annual Summary</vt:lpstr>
      <vt:lpstr>Res Normalized Monthly</vt:lpstr>
      <vt:lpstr>GS &lt; 50 Normalized Monthly</vt:lpstr>
      <vt:lpstr>Connection count </vt:lpstr>
      <vt:lpstr>Normalized Annual Summary</vt:lpstr>
      <vt:lpstr>kW Forecast</vt:lpstr>
      <vt:lpstr>CDM Adjustments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Graig Pettit</cp:lastModifiedBy>
  <cp:lastPrinted>2016-07-27T16:28:38Z</cp:lastPrinted>
  <dcterms:created xsi:type="dcterms:W3CDTF">2014-12-02T19:17:20Z</dcterms:created>
  <dcterms:modified xsi:type="dcterms:W3CDTF">2017-08-22T15:04:58Z</dcterms:modified>
</cp:coreProperties>
</file>