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-11685" yWindow="690" windowWidth="20730" windowHeight="11760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4" l="1"/>
  <c r="H122" i="4"/>
  <c r="I37" i="4" l="1"/>
  <c r="I110" i="4"/>
  <c r="H110" i="4"/>
  <c r="I108" i="4"/>
  <c r="H108" i="4"/>
  <c r="I107" i="4"/>
  <c r="H107" i="4"/>
  <c r="I105" i="4"/>
  <c r="H105" i="4"/>
  <c r="I104" i="4"/>
  <c r="H104" i="4"/>
  <c r="I103" i="4"/>
  <c r="H103" i="4"/>
  <c r="I99" i="4"/>
  <c r="H99" i="4"/>
  <c r="I98" i="4"/>
  <c r="H98" i="4"/>
  <c r="I97" i="4"/>
  <c r="H97" i="4"/>
  <c r="I95" i="4"/>
  <c r="H95" i="4"/>
  <c r="I94" i="4"/>
  <c r="H94" i="4"/>
  <c r="I93" i="4"/>
  <c r="H93" i="4"/>
  <c r="I92" i="4"/>
  <c r="H92" i="4"/>
  <c r="I90" i="4"/>
  <c r="H90" i="4"/>
  <c r="I89" i="4"/>
  <c r="H89" i="4"/>
  <c r="I88" i="4"/>
  <c r="H88" i="4"/>
  <c r="I85" i="4"/>
  <c r="H85" i="4"/>
  <c r="I82" i="4"/>
  <c r="H82" i="4"/>
  <c r="I81" i="4"/>
  <c r="H81" i="4"/>
  <c r="I80" i="4"/>
  <c r="H80" i="4"/>
  <c r="I79" i="4"/>
  <c r="H79" i="4"/>
  <c r="I77" i="4"/>
  <c r="H77" i="4"/>
  <c r="H76" i="4"/>
  <c r="I75" i="4"/>
  <c r="H75" i="4"/>
  <c r="I74" i="4"/>
  <c r="H74" i="4"/>
  <c r="I72" i="4"/>
  <c r="H72" i="4"/>
  <c r="I71" i="4"/>
  <c r="H71" i="4"/>
  <c r="I69" i="4"/>
  <c r="H69" i="4"/>
  <c r="I68" i="4"/>
  <c r="H68" i="4"/>
  <c r="I65" i="4"/>
  <c r="H65" i="4"/>
  <c r="I62" i="4"/>
  <c r="H62" i="4"/>
  <c r="I60" i="4"/>
  <c r="H60" i="4"/>
  <c r="I59" i="4"/>
  <c r="H59" i="4"/>
  <c r="I58" i="4"/>
  <c r="H58" i="4"/>
  <c r="I57" i="4"/>
  <c r="H57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6" i="4"/>
  <c r="H46" i="4"/>
  <c r="I45" i="4"/>
  <c r="H45" i="4"/>
  <c r="I44" i="4"/>
  <c r="H44" i="4"/>
  <c r="I9" i="4"/>
  <c r="H9" i="4"/>
  <c r="I14" i="4" l="1"/>
  <c r="H14" i="4"/>
  <c r="I13" i="4"/>
  <c r="H13" i="4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C3" i="5" l="1"/>
  <c r="M114" i="4"/>
  <c r="M118" i="4"/>
  <c r="M119" i="4"/>
  <c r="M120" i="4"/>
  <c r="M121" i="4"/>
  <c r="M64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H78" i="4"/>
  <c r="I86" i="4"/>
  <c r="H86" i="4"/>
  <c r="H91" i="4"/>
  <c r="I91" i="4"/>
  <c r="I109" i="4"/>
  <c r="H109" i="4"/>
  <c r="I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I35" i="4" s="1"/>
  <c r="H115" i="4"/>
  <c r="H35" i="4" s="1"/>
  <c r="K115" i="4"/>
  <c r="L115" i="4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7" i="4" l="1"/>
  <c r="H37" i="4"/>
  <c r="H27" i="4" s="1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29" i="4" l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31" i="1" s="1"/>
  <c r="H113" i="1"/>
  <c r="H129" i="1"/>
  <c r="J29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53" i="1"/>
  <c r="H207" i="1" s="1"/>
  <c r="H128" i="1"/>
  <c r="H157" i="1" s="1"/>
  <c r="H221" i="1" s="1"/>
  <c r="I130" i="1"/>
  <c r="H143" i="1"/>
  <c r="H139" i="1"/>
  <c r="H116" i="1"/>
  <c r="K29" i="4" l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29" i="4" l="1"/>
  <c r="M31" i="4" s="1"/>
  <c r="M89" i="1" s="1"/>
  <c r="L29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22" i="5" l="1"/>
  <c r="K18" i="5"/>
</calcChain>
</file>

<file path=xl/sharedStrings.xml><?xml version="1.0" encoding="utf-8"?>
<sst xmlns="http://schemas.openxmlformats.org/spreadsheetml/2006/main" count="533" uniqueCount="289">
  <si>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</si>
  <si>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</si>
  <si>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</si>
  <si>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</si>
  <si>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</si>
  <si>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</si>
  <si>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</si>
  <si>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</si>
  <si>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</si>
  <si>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</si>
  <si>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</si>
  <si>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</si>
  <si>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</si>
  <si>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</si>
  <si>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</si>
  <si>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</si>
  <si>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</si>
  <si>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</si>
  <si>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</si>
  <si>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</si>
  <si>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</si>
  <si>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</si>
  <si>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</si>
  <si>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</si>
  <si>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</si>
  <si>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</si>
  <si>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</si>
  <si>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</si>
  <si>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</si>
  <si>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</si>
  <si>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</si>
  <si>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</si>
  <si>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</si>
  <si>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</si>
  <si>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</si>
  <si>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</si>
  <si>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</si>
  <si>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</si>
  <si>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</si>
  <si>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</si>
  <si>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</si>
  <si>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</si>
  <si>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</si>
  <si>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</si>
  <si>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</si>
  <si>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</si>
  <si>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</si>
  <si>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</si>
  <si>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</si>
  <si>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</si>
  <si>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</si>
  <si>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</si>
  <si>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</si>
  <si>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</si>
  <si>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</si>
  <si>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</si>
  <si>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</si>
  <si>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</si>
  <si>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</si>
  <si>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</si>
  <si>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</si>
  <si>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</si>
  <si>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</si>
  <si>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</si>
  <si>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</si>
  <si>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</si>
  <si>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</si>
  <si>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</si>
  <si>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</si>
  <si>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</si>
  <si>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</si>
  <si>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</si>
  <si>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</si>
  <si>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</si>
  <si>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</si>
  <si>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</si>
  <si>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</si>
  <si>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</si>
  <si>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</si>
  <si>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</si>
  <si>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</si>
  <si>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</si>
  <si>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</si>
  <si>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</si>
  <si>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</si>
  <si>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</si>
  <si>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</si>
  <si>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</si>
  <si>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</si>
  <si>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</si>
  <si>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</si>
  <si>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</si>
  <si>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</si>
  <si>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</si>
  <si>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</si>
  <si>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</si>
  <si>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</si>
  <si>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</si>
  <si>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</si>
  <si>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</si>
  <si>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</si>
  <si>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</si>
  <si>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</si>
  <si>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</si>
  <si>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</si>
  <si>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</si>
  <si>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</si>
  <si>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</si>
  <si>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</si>
  <si>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</si>
  <si>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</si>
  <si>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</si>
  <si>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</si>
  <si>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</si>
  <si>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</si>
  <si>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</si>
  <si>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</si>
  <si>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</si>
  <si>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</si>
  <si>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</si>
  <si>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</si>
  <si>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</si>
  <si>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</si>
  <si>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</si>
  <si>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</si>
  <si>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</si>
  <si>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</si>
  <si>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</si>
  <si>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</si>
  <si>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</si>
  <si>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</si>
  <si>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</si>
  <si>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</si>
  <si>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</si>
  <si>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</si>
  <si>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</si>
  <si>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</si>
  <si>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</si>
  <si>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</si>
  <si>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</si>
  <si>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</si>
  <si>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</si>
  <si>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</si>
  <si>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</si>
  <si>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</si>
  <si>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</si>
  <si>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</si>
  <si>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</si>
  <si>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</si>
  <si>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</si>
  <si>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</si>
  <si>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</si>
  <si>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</si>
  <si>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</si>
  <si>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</si>
  <si>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</si>
  <si>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</si>
  <si>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</si>
  <si>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</si>
  <si>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</si>
  <si>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</si>
  <si>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</si>
  <si>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</si>
  <si>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</si>
  <si>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</si>
  <si>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</si>
  <si>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</si>
  <si>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</si>
  <si>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</si>
  <si>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</si>
  <si>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</si>
  <si>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</si>
  <si>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</si>
  <si>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</si>
  <si>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</si>
  <si>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</si>
  <si>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</si>
  <si>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</si>
  <si>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</si>
  <si>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</si>
  <si>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</si>
  <si>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</si>
  <si>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</si>
  <si>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</si>
  <si>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</si>
  <si>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</si>
  <si>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</si>
  <si>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</si>
  <si>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</si>
  <si>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</si>
  <si>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</si>
  <si>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</si>
  <si>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</si>
  <si>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</si>
  <si>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</si>
  <si>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</si>
  <si>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</si>
  <si>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</si>
  <si>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</si>
  <si>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</si>
  <si>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</si>
  <si>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</si>
  <si>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</si>
  <si>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</si>
  <si>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</si>
  <si>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</si>
  <si>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</si>
  <si>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</si>
  <si>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</si>
  <si>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</si>
  <si>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</si>
  <si>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</si>
  <si>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</si>
  <si>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</si>
  <si>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</si>
  <si>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</si>
  <si>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</si>
  <si>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</si>
  <si>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</si>
  <si>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</si>
  <si>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</si>
  <si>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</si>
  <si>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</si>
  <si>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</si>
  <si>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</si>
  <si>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</si>
  <si>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</si>
  <si>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</si>
  <si>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</si>
  <si>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</si>
  <si>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</si>
  <si>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</si>
  <si>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</si>
  <si>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</si>
  <si>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</si>
  <si>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</si>
  <si>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</si>
  <si>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</si>
  <si>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</si>
  <si>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</si>
  <si>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</si>
  <si>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</si>
  <si>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</si>
  <si>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</si>
  <si>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</si>
  <si>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</si>
  <si>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</si>
  <si>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</si>
  <si>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</si>
  <si>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</si>
  <si>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</si>
  <si>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</si>
  <si>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</si>
  <si>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</si>
  <si>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</si>
  <si>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</si>
  <si>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</si>
  <si>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</si>
  <si>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</si>
  <si>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</si>
  <si>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</si>
  <si>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</si>
  <si>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</si>
  <si>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</si>
  <si>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</si>
  <si>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</si>
  <si>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</si>
  <si>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</si>
  <si>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</si>
  <si>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</si>
  <si>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</si>
  <si>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</si>
  <si>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</si>
  <si>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</si>
  <si>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</si>
  <si>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</si>
  <si>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Bad debt expense are not included, 5335</t>
  </si>
  <si>
    <t>COMMENTS</t>
  </si>
  <si>
    <t xml:space="preserve">Data source Rev Requirement Model (Rebase), includes additions and </t>
  </si>
  <si>
    <t>Number of customers reflected for 2015 only include Res, and GS classes, load forecast</t>
  </si>
  <si>
    <t xml:space="preserve">Load Forecast, Billed kWh </t>
  </si>
  <si>
    <t>Assumed the same as 2015</t>
  </si>
  <si>
    <t>2015 Value *3% annually</t>
  </si>
  <si>
    <t>n</t>
  </si>
  <si>
    <t>y</t>
  </si>
  <si>
    <t>5035/5030</t>
  </si>
  <si>
    <t xml:space="preserve">2016 &amp; 2017 values taken from Revenue Requirement - BB </t>
  </si>
  <si>
    <t>contributions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</si>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</sst>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#,##0;[Red]\(#,##0\)"/>
    <numFmt numFmtId="176" formatCode="_-* #,##0_-;\-* #,##0_-;_-* &quot;-&quot;??_-;_-@_-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16" fillId="0" borderId="0"/>
  </cellStyleXfs>
  <cellXfs count="24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5" fontId="16" fillId="7" borderId="20" xfId="4" applyNumberFormat="1" applyFill="1" applyBorder="1" applyAlignment="1">
      <alignment vertical="center"/>
    </xf>
    <xf numFmtId="167" fontId="0" fillId="7" borderId="6" xfId="1" applyNumberFormat="1" applyFont="1" applyFill="1" applyBorder="1" applyAlignment="1">
      <alignment horizontal="center"/>
    </xf>
    <xf numFmtId="1" fontId="0" fillId="2" borderId="6" xfId="0" applyNumberFormat="1" applyFill="1" applyBorder="1"/>
    <xf numFmtId="0" fontId="1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0" fillId="6" borderId="0" xfId="0" applyFill="1" applyBorder="1"/>
    <xf numFmtId="176" fontId="18" fillId="0" borderId="0" xfId="1" applyNumberFormat="1" applyFont="1" applyBorder="1"/>
    <xf numFmtId="167" fontId="8" fillId="6" borderId="0" xfId="1" applyNumberFormat="1" applyFont="1" applyFill="1" applyBorder="1"/>
    <xf numFmtId="167" fontId="6" fillId="2" borderId="6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30" xfId="3"/>
    <cellStyle name="Normal_OEB Trial Balance - Regulatory-July24-07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Requirement%20Model%20BB%20-%202017%20T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Models/Interrogatories-TC/Load%20Forecast/InnPower_2017%20Load%20Forecast_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3"/>
      <sheetName val="FA Continuity CGAAP 2014"/>
      <sheetName val="FA Continuity MIFRS 2014"/>
      <sheetName val="FA Continuity MIFRS 2015"/>
      <sheetName val="FA Continuity MIFRS 2016"/>
      <sheetName val="FA Continuity MIFRS 2017"/>
      <sheetName val="Trial Balance"/>
      <sheetName val="2013 Balance Sheet"/>
      <sheetName val="2013 Income Statement"/>
      <sheetName val="2014 Balance Sheet"/>
      <sheetName val="2014 Income Statement"/>
      <sheetName val="2015 Balance Sheet"/>
      <sheetName val="2015 Income Statement"/>
      <sheetName val="2016 Balance Sheet"/>
      <sheetName val="2016 Income Statement "/>
      <sheetName val="2017 Balance Sheet"/>
      <sheetName val="2017 Income Statement"/>
      <sheetName val="2017 Rev Deficiency"/>
      <sheetName val="Return on Capital"/>
      <sheetName val="Debt &amp; Capital Structure"/>
      <sheetName val="Tax rates"/>
      <sheetName val="CCA Continuity 2016"/>
      <sheetName val="CCA Continuity 2017"/>
      <sheetName val="Reserves Continuity"/>
      <sheetName val="Corporation Loss Continuity"/>
      <sheetName val="Tax Adjustments 2016"/>
      <sheetName val="Tax Adjustments 2017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>
        <row r="63">
          <cell r="E63">
            <v>-2334509.94</v>
          </cell>
        </row>
        <row r="65">
          <cell r="E65">
            <v>4548158.9700000007</v>
          </cell>
        </row>
      </sheetData>
      <sheetData sheetId="6">
        <row r="63">
          <cell r="E63">
            <v>-4153553</v>
          </cell>
        </row>
        <row r="65">
          <cell r="E65">
            <v>4404649</v>
          </cell>
        </row>
      </sheetData>
      <sheetData sheetId="7">
        <row r="274">
          <cell r="K274">
            <v>202730.48</v>
          </cell>
          <cell r="L274">
            <v>219572.11</v>
          </cell>
        </row>
        <row r="275">
          <cell r="K275">
            <v>15632.36</v>
          </cell>
          <cell r="L275">
            <v>19109</v>
          </cell>
        </row>
        <row r="276">
          <cell r="K276">
            <v>56785.649999999994</v>
          </cell>
          <cell r="L276">
            <v>53156</v>
          </cell>
        </row>
        <row r="279">
          <cell r="K279">
            <v>8017.76</v>
          </cell>
          <cell r="L279">
            <v>9894</v>
          </cell>
        </row>
        <row r="280">
          <cell r="K280">
            <v>1859.74</v>
          </cell>
          <cell r="L280">
            <v>3710.25</v>
          </cell>
        </row>
        <row r="281">
          <cell r="K281">
            <v>131122.74</v>
          </cell>
          <cell r="L281">
            <v>148081.16999999998</v>
          </cell>
        </row>
        <row r="282">
          <cell r="K282">
            <v>2871.4</v>
          </cell>
          <cell r="L282">
            <v>7711.5</v>
          </cell>
        </row>
        <row r="283">
          <cell r="K283">
            <v>727.88</v>
          </cell>
          <cell r="L283">
            <v>2376.5</v>
          </cell>
        </row>
        <row r="284">
          <cell r="K284">
            <v>165.68</v>
          </cell>
          <cell r="L284">
            <v>751.75</v>
          </cell>
        </row>
        <row r="285">
          <cell r="K285">
            <v>13716.15</v>
          </cell>
          <cell r="L285">
            <v>27996.625</v>
          </cell>
        </row>
        <row r="286">
          <cell r="K286">
            <v>97857.48000000001</v>
          </cell>
          <cell r="L286">
            <v>108640</v>
          </cell>
        </row>
        <row r="290">
          <cell r="K290">
            <v>239834.51</v>
          </cell>
          <cell r="L290">
            <v>262730.32</v>
          </cell>
        </row>
        <row r="291">
          <cell r="K291">
            <v>44838.2</v>
          </cell>
          <cell r="L291">
            <v>61558.625</v>
          </cell>
        </row>
        <row r="292">
          <cell r="K292">
            <v>96647.349999999991</v>
          </cell>
          <cell r="L292">
            <v>111647</v>
          </cell>
        </row>
        <row r="293">
          <cell r="K293">
            <v>428988.60000000009</v>
          </cell>
          <cell r="L293">
            <v>483523.17499999999</v>
          </cell>
        </row>
        <row r="295">
          <cell r="K295">
            <v>10295.280000000001</v>
          </cell>
          <cell r="L295">
            <v>10670</v>
          </cell>
        </row>
        <row r="298">
          <cell r="K298">
            <v>244.42</v>
          </cell>
          <cell r="L298">
            <v>14040.75</v>
          </cell>
        </row>
        <row r="301">
          <cell r="K301">
            <v>45914.69</v>
          </cell>
          <cell r="L301">
            <v>50221.75</v>
          </cell>
        </row>
        <row r="302">
          <cell r="K302">
            <v>6055.7</v>
          </cell>
          <cell r="L302">
            <v>19511.55</v>
          </cell>
        </row>
        <row r="304">
          <cell r="K304">
            <v>77054.169999999984</v>
          </cell>
          <cell r="L304">
            <v>59485.25</v>
          </cell>
        </row>
        <row r="305">
          <cell r="K305">
            <v>383563.22000000003</v>
          </cell>
          <cell r="L305">
            <v>154399.75</v>
          </cell>
        </row>
        <row r="307">
          <cell r="K307">
            <v>27373.5</v>
          </cell>
          <cell r="L307">
            <v>11494.5</v>
          </cell>
        </row>
        <row r="308">
          <cell r="K308">
            <v>119305.96</v>
          </cell>
          <cell r="L308">
            <v>117564</v>
          </cell>
        </row>
        <row r="309">
          <cell r="K309">
            <v>15441.349999999999</v>
          </cell>
        </row>
        <row r="313">
          <cell r="K313">
            <v>23215.95</v>
          </cell>
          <cell r="L313">
            <v>27887.5</v>
          </cell>
        </row>
        <row r="321">
          <cell r="K321">
            <v>101883.56</v>
          </cell>
          <cell r="L321">
            <v>130624.08</v>
          </cell>
        </row>
        <row r="322">
          <cell r="K322">
            <v>12016.9</v>
          </cell>
          <cell r="L322">
            <v>18784.05</v>
          </cell>
        </row>
        <row r="323">
          <cell r="K323">
            <v>358604.03</v>
          </cell>
          <cell r="L323">
            <v>462152.62</v>
          </cell>
        </row>
        <row r="324">
          <cell r="K324">
            <v>356417.00999999995</v>
          </cell>
          <cell r="L324">
            <v>368741.62</v>
          </cell>
        </row>
        <row r="328">
          <cell r="K328">
            <v>136178.29000000004</v>
          </cell>
          <cell r="L328">
            <v>91377.88</v>
          </cell>
        </row>
        <row r="331">
          <cell r="K331">
            <v>10189.029999999999</v>
          </cell>
          <cell r="L331">
            <v>8730</v>
          </cell>
        </row>
        <row r="333">
          <cell r="K333">
            <v>0</v>
          </cell>
          <cell r="L333">
            <v>970</v>
          </cell>
        </row>
        <row r="334">
          <cell r="K334">
            <v>4509.6400000000003</v>
          </cell>
          <cell r="L334">
            <v>1940</v>
          </cell>
        </row>
        <row r="341">
          <cell r="K341">
            <v>303507.81</v>
          </cell>
          <cell r="L341">
            <v>253837.36</v>
          </cell>
        </row>
        <row r="342">
          <cell r="K342">
            <v>265824.53000000003</v>
          </cell>
          <cell r="L342">
            <v>357246.14999999997</v>
          </cell>
        </row>
        <row r="343">
          <cell r="K343">
            <v>888683.39999999979</v>
          </cell>
          <cell r="L343">
            <v>984249.29999999993</v>
          </cell>
        </row>
        <row r="344">
          <cell r="K344">
            <v>193505.10000000003</v>
          </cell>
          <cell r="L344">
            <v>189877.5</v>
          </cell>
        </row>
        <row r="346">
          <cell r="K346">
            <v>129454.20999999999</v>
          </cell>
          <cell r="L346">
            <v>175667</v>
          </cell>
        </row>
        <row r="347">
          <cell r="K347">
            <v>50003.276919764605</v>
          </cell>
          <cell r="L347">
            <v>48500</v>
          </cell>
        </row>
        <row r="348">
          <cell r="K348">
            <v>60823.03</v>
          </cell>
          <cell r="L348">
            <v>58200</v>
          </cell>
        </row>
        <row r="349">
          <cell r="K349">
            <v>21079</v>
          </cell>
          <cell r="L349">
            <v>17964.399999999998</v>
          </cell>
        </row>
        <row r="351">
          <cell r="K351">
            <v>182342.37</v>
          </cell>
          <cell r="L351">
            <v>87300</v>
          </cell>
        </row>
        <row r="353">
          <cell r="K353">
            <v>115087.1</v>
          </cell>
          <cell r="L353">
            <v>131920</v>
          </cell>
        </row>
        <row r="354">
          <cell r="K354">
            <v>711.52</v>
          </cell>
          <cell r="L354">
            <v>776</v>
          </cell>
        </row>
        <row r="355">
          <cell r="K355">
            <v>319263.51999999996</v>
          </cell>
          <cell r="L355">
            <v>335308.63</v>
          </cell>
        </row>
        <row r="356">
          <cell r="K356">
            <v>9424.41</v>
          </cell>
          <cell r="L356">
            <v>9700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 "/>
      <sheetName val="Purchased Power Model WN"/>
      <sheetName val="Rate Class Energy Model"/>
      <sheetName val="Rate Class Customer Model"/>
      <sheetName val="Rate Class Load Model"/>
      <sheetName val="Weather Analysis"/>
      <sheetName val="2017 COP Forecast"/>
    </sheetNames>
    <sheetDataSet>
      <sheetData sheetId="0"/>
      <sheetData sheetId="1">
        <row r="10">
          <cell r="K10">
            <v>242016317.90000004</v>
          </cell>
          <cell r="L10">
            <v>239667884.45104998</v>
          </cell>
        </row>
        <row r="14">
          <cell r="K14">
            <v>15201.583333333334</v>
          </cell>
          <cell r="L14">
            <v>15554.75</v>
          </cell>
        </row>
        <row r="18">
          <cell r="K18">
            <v>1016.25</v>
          </cell>
          <cell r="L18">
            <v>1034.4166666666667</v>
          </cell>
        </row>
        <row r="22">
          <cell r="K22">
            <v>75.583333333333329</v>
          </cell>
          <cell r="L22">
            <v>87.5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9">
          <cell r="F89">
            <v>667758.39243756642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topLeftCell="E4" zoomScaleNormal="100" workbookViewId="0">
      <pane ySplit="270" topLeftCell="A100" activePane="bottomLeft"/>
      <selection activeCell="B2" sqref="B2"/>
      <selection pane="bottomLeft" activeCell="I123" sqref="I12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78.140625" style="92" customWidth="1"/>
  </cols>
  <sheetData>
    <row r="2" spans="2:15" ht="23.25" x14ac:dyDescent="0.35">
      <c r="C2" s="232" t="s">
        <v>189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2:15" ht="19.5" customHeight="1" x14ac:dyDescent="0.25">
      <c r="C3" s="233" t="str">
        <f>IF(F5="Click to Choose an LDC","",F5)</f>
        <v>InnPower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49"/>
    </row>
    <row r="5" spans="2:15" ht="25.5" customHeight="1" thickBot="1" x14ac:dyDescent="0.25">
      <c r="B5" s="144" t="s">
        <v>187</v>
      </c>
      <c r="E5" s="78"/>
      <c r="F5" s="145" t="s">
        <v>272</v>
      </c>
      <c r="G5" s="14" t="s">
        <v>173</v>
      </c>
      <c r="H5" s="14" t="s">
        <v>174</v>
      </c>
      <c r="I5" s="14" t="s">
        <v>172</v>
      </c>
      <c r="J5" s="234" t="s">
        <v>175</v>
      </c>
      <c r="K5" s="234"/>
      <c r="L5" s="234"/>
      <c r="M5" s="234"/>
      <c r="N5" s="78"/>
      <c r="O5" s="94"/>
    </row>
    <row r="6" spans="2:15" ht="36" customHeight="1" x14ac:dyDescent="0.35">
      <c r="B6" s="6" t="s">
        <v>178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0"/>
      <c r="O6" s="224" t="s">
        <v>277</v>
      </c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5"/>
      <c r="I8" s="235"/>
      <c r="J8" s="235"/>
      <c r="K8" s="235"/>
      <c r="L8" s="235"/>
      <c r="M8" s="23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19803244</v>
      </c>
      <c r="H9" s="125">
        <f>'[1]FA Continuity MIFRS 2016'!$E$65+-'[1]FA Continuity MIFRS 2016'!$E$63</f>
        <v>6882668.9100000001</v>
      </c>
      <c r="I9" s="125">
        <f>('[1]FA Continuity MIFRS 2017'!$E$65+-'[1]FA Continuity MIFRS 2017'!$E$63)</f>
        <v>8558202</v>
      </c>
      <c r="J9" s="125"/>
      <c r="K9" s="125"/>
      <c r="L9" s="125"/>
      <c r="M9" s="125"/>
      <c r="N9" s="78" t="s">
        <v>170</v>
      </c>
      <c r="O9" s="88" t="s">
        <v>278</v>
      </c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>
        <v>0</v>
      </c>
      <c r="I10" s="125">
        <v>0</v>
      </c>
      <c r="J10" s="125"/>
      <c r="K10" s="125"/>
      <c r="L10" s="125"/>
      <c r="M10" s="125"/>
      <c r="N10" s="78" t="s">
        <v>170</v>
      </c>
      <c r="O10" s="88" t="s">
        <v>287</v>
      </c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4"/>
      <c r="I12" s="184"/>
      <c r="J12" s="184"/>
      <c r="K12" s="184"/>
      <c r="L12" s="184"/>
      <c r="M12" s="184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16157</v>
      </c>
      <c r="H13" s="125">
        <f>[2]Summary!$K$14+[2]Summary!$K$18+[2]Summary!$K$22</f>
        <v>16293.416666666668</v>
      </c>
      <c r="I13" s="125">
        <f>[2]Summary!$L$14+[2]Summary!$L$18+[2]Summary!$L$22</f>
        <v>16676.666666666668</v>
      </c>
      <c r="J13" s="125"/>
      <c r="K13" s="125"/>
      <c r="L13" s="125"/>
      <c r="M13" s="125"/>
      <c r="N13" s="78" t="s">
        <v>170</v>
      </c>
      <c r="O13" s="88" t="s">
        <v>279</v>
      </c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237763328.72</v>
      </c>
      <c r="H14" s="125">
        <f>[2]Summary!$K$10</f>
        <v>242016317.90000004</v>
      </c>
      <c r="I14" s="125">
        <f>[2]Summary!$L$10</f>
        <v>239667884.45104998</v>
      </c>
      <c r="J14" s="125"/>
      <c r="K14" s="125"/>
      <c r="L14" s="125"/>
      <c r="M14" s="125"/>
      <c r="N14" s="78" t="s">
        <v>170</v>
      </c>
      <c r="O14" s="88" t="s">
        <v>280</v>
      </c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50975</v>
      </c>
      <c r="H15" s="125">
        <v>51992</v>
      </c>
      <c r="I15" s="125">
        <v>51992</v>
      </c>
      <c r="J15" s="125"/>
      <c r="K15" s="125"/>
      <c r="L15" s="125"/>
      <c r="M15" s="125"/>
      <c r="N15" s="78" t="s">
        <v>170</v>
      </c>
      <c r="O15" s="88"/>
    </row>
    <row r="16" spans="2:15" x14ac:dyDescent="0.2">
      <c r="B16" s="2">
        <v>6</v>
      </c>
      <c r="C16" s="26"/>
      <c r="D16" s="78" t="s">
        <v>190</v>
      </c>
      <c r="F16" s="26"/>
      <c r="G16" s="86">
        <f>'Benchmarking Calculations'!G99</f>
        <v>833</v>
      </c>
      <c r="H16" s="125">
        <v>862</v>
      </c>
      <c r="I16" s="125">
        <v>892</v>
      </c>
      <c r="J16" s="125"/>
      <c r="K16" s="125"/>
      <c r="L16" s="125"/>
      <c r="M16" s="125"/>
      <c r="N16" s="78" t="s">
        <v>170</v>
      </c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0.17139128543464077</v>
      </c>
      <c r="H17" s="119">
        <v>0.19409999999999999</v>
      </c>
      <c r="I17" s="119">
        <v>0.20749999999999999</v>
      </c>
      <c r="J17" s="119"/>
      <c r="K17" s="119"/>
      <c r="L17" s="119"/>
      <c r="M17" s="119"/>
      <c r="N17" s="78" t="s">
        <v>170</v>
      </c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5"/>
      <c r="I19" s="235"/>
      <c r="J19" s="235"/>
      <c r="K19" s="235"/>
      <c r="L19" s="235"/>
      <c r="M19" s="23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v>2.5600000000000001E-2</v>
      </c>
      <c r="J20" s="124"/>
      <c r="K20" s="124"/>
      <c r="L20" s="124"/>
      <c r="M20" s="124"/>
      <c r="N20" s="78" t="s">
        <v>186</v>
      </c>
      <c r="O20" s="225" t="s">
        <v>281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186</v>
      </c>
      <c r="O21" s="225" t="s">
        <v>281</v>
      </c>
    </row>
    <row r="22" spans="2:15" x14ac:dyDescent="0.2">
      <c r="B22" s="2">
        <v>10</v>
      </c>
      <c r="C22" s="38"/>
      <c r="D22" s="26" t="s">
        <v>171</v>
      </c>
      <c r="F22" s="78"/>
      <c r="G22" s="90">
        <f>'Benchmarking Calculations'!G110</f>
        <v>6.5054666666666677E-2</v>
      </c>
      <c r="H22" s="124">
        <v>6.2799999999999995E-2</v>
      </c>
      <c r="I22" s="124">
        <v>5.67E-2</v>
      </c>
      <c r="J22" s="124"/>
      <c r="K22" s="124"/>
      <c r="L22" s="124"/>
      <c r="M22" s="124"/>
      <c r="N22" s="78" t="s">
        <v>170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191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226" t="s">
        <v>284</v>
      </c>
      <c r="F27" s="76" t="s">
        <v>196</v>
      </c>
      <c r="G27" s="51">
        <f>G35-G36+G37</f>
        <v>5396319.3000000007</v>
      </c>
      <c r="H27" s="51">
        <f t="shared" ref="H27:M27" si="0">H35-H36+H37</f>
        <v>5747532.7769197645</v>
      </c>
      <c r="I27" s="51">
        <f t="shared" si="0"/>
        <v>6039144.4850000003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188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226" t="s">
        <v>283</v>
      </c>
      <c r="F29" s="76" t="s">
        <v>200</v>
      </c>
      <c r="G29" s="51">
        <f t="shared" ref="G29:M29" si="1">G115-G121+G122</f>
        <v>5396319.3000000007</v>
      </c>
      <c r="H29" s="51">
        <f t="shared" si="1"/>
        <v>5747532.7769197645</v>
      </c>
      <c r="I29" s="51">
        <f t="shared" si="1"/>
        <v>6039144.4850000003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169</v>
      </c>
      <c r="F31" s="78"/>
      <c r="G31" s="51">
        <f t="shared" ref="G31:M31" si="2">IF($E$27="Y",G27,IF($E$29="Y",G29,"Error: Please enter Y for one method"))</f>
        <v>5396319.3000000007</v>
      </c>
      <c r="H31" s="51">
        <f t="shared" si="2"/>
        <v>5747532.7769197645</v>
      </c>
      <c r="I31" s="51">
        <f t="shared" si="2"/>
        <v>6039144.4850000003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5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5" x14ac:dyDescent="0.2">
      <c r="C34" s="153"/>
      <c r="D34" s="79" t="s">
        <v>177</v>
      </c>
      <c r="E34" s="26"/>
      <c r="F34" s="26"/>
      <c r="G34" s="86"/>
      <c r="H34" s="231" t="s">
        <v>181</v>
      </c>
      <c r="I34" s="231"/>
      <c r="J34" s="231"/>
      <c r="K34" s="231"/>
      <c r="L34" s="231"/>
      <c r="M34" s="231"/>
      <c r="N34" s="154"/>
    </row>
    <row r="35" spans="2:15" x14ac:dyDescent="0.2">
      <c r="C35" s="153"/>
      <c r="D35" s="170" t="s">
        <v>193</v>
      </c>
      <c r="E35" s="26" t="s">
        <v>201</v>
      </c>
      <c r="F35" s="26"/>
      <c r="G35" s="85">
        <f>G115</f>
        <v>5283654.4800000004</v>
      </c>
      <c r="H35" s="125">
        <f>H115</f>
        <v>5634867.9569197642</v>
      </c>
      <c r="I35" s="125">
        <f>I115</f>
        <v>5926479.665</v>
      </c>
      <c r="J35" s="120"/>
      <c r="K35" s="120"/>
      <c r="L35" s="120"/>
      <c r="M35" s="120"/>
      <c r="N35" s="154" t="s">
        <v>170</v>
      </c>
    </row>
    <row r="36" spans="2:15" x14ac:dyDescent="0.2">
      <c r="C36" s="153"/>
      <c r="D36" s="170" t="s">
        <v>194</v>
      </c>
      <c r="E36" s="26" t="s">
        <v>192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4" t="s">
        <v>170</v>
      </c>
    </row>
    <row r="37" spans="2:15" x14ac:dyDescent="0.2">
      <c r="C37" s="153"/>
      <c r="D37" s="171" t="s">
        <v>195</v>
      </c>
      <c r="E37" s="26" t="s">
        <v>83</v>
      </c>
      <c r="F37" s="26"/>
      <c r="G37" s="51">
        <f>G122</f>
        <v>112664.82</v>
      </c>
      <c r="H37" s="125">
        <f>H122</f>
        <v>112664.82</v>
      </c>
      <c r="I37" s="125">
        <f>I122</f>
        <v>112664.82</v>
      </c>
      <c r="J37" s="120"/>
      <c r="K37" s="120"/>
      <c r="L37" s="120"/>
      <c r="M37" s="120"/>
      <c r="N37" s="154" t="s">
        <v>170</v>
      </c>
    </row>
    <row r="38" spans="2:15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5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  <c r="O39" s="223" t="s">
        <v>277</v>
      </c>
    </row>
    <row r="40" spans="2:15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5" x14ac:dyDescent="0.2">
      <c r="C41" s="153"/>
      <c r="D41" s="79" t="s">
        <v>176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5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5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5" x14ac:dyDescent="0.2">
      <c r="C44" s="158"/>
      <c r="D44" s="26"/>
      <c r="E44" s="78">
        <v>5005</v>
      </c>
      <c r="F44" s="150" t="s">
        <v>8</v>
      </c>
      <c r="G44" s="58">
        <f>'Benchmarking Calculations'!G10</f>
        <v>220453.5</v>
      </c>
      <c r="H44" s="142">
        <f>'[1]Trial Balance'!$K$274</f>
        <v>202730.48</v>
      </c>
      <c r="I44" s="142">
        <f>'[1]Trial Balance'!$L$274</f>
        <v>219572.11</v>
      </c>
      <c r="J44" s="142"/>
      <c r="K44" s="142"/>
      <c r="L44" s="142"/>
      <c r="M44" s="142"/>
      <c r="N44" s="154" t="s">
        <v>170</v>
      </c>
      <c r="O44" s="92" t="s">
        <v>286</v>
      </c>
    </row>
    <row r="45" spans="2:15" x14ac:dyDescent="0.2">
      <c r="C45" s="158"/>
      <c r="D45" s="26"/>
      <c r="E45" s="78">
        <v>5010</v>
      </c>
      <c r="F45" s="150" t="s">
        <v>9</v>
      </c>
      <c r="G45" s="58">
        <f>'Benchmarking Calculations'!G11</f>
        <v>14948.11</v>
      </c>
      <c r="H45" s="142">
        <f>'[1]Trial Balance'!$K$275</f>
        <v>15632.36</v>
      </c>
      <c r="I45" s="220">
        <f>'[1]Trial Balance'!$L$275</f>
        <v>19109</v>
      </c>
      <c r="J45" s="142"/>
      <c r="K45" s="142"/>
      <c r="L45" s="142"/>
      <c r="M45" s="142"/>
      <c r="N45" s="154" t="s">
        <v>170</v>
      </c>
    </row>
    <row r="46" spans="2:15" x14ac:dyDescent="0.2">
      <c r="C46" s="158"/>
      <c r="D46" s="26"/>
      <c r="E46" s="78">
        <v>5012</v>
      </c>
      <c r="F46" s="150" t="s">
        <v>10</v>
      </c>
      <c r="G46" s="58">
        <f>'Benchmarking Calculations'!G12</f>
        <v>48575.54</v>
      </c>
      <c r="H46" s="142">
        <f>'[1]Trial Balance'!$K$276</f>
        <v>56785.649999999994</v>
      </c>
      <c r="I46" s="220">
        <f>'[1]Trial Balance'!$L$276</f>
        <v>53156</v>
      </c>
      <c r="J46" s="142"/>
      <c r="K46" s="142"/>
      <c r="L46" s="142"/>
      <c r="M46" s="142"/>
      <c r="N46" s="154" t="s">
        <v>170</v>
      </c>
    </row>
    <row r="47" spans="2:15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2"/>
      <c r="I47" s="221"/>
      <c r="J47" s="143"/>
      <c r="K47" s="143"/>
      <c r="L47" s="143"/>
      <c r="M47" s="143"/>
      <c r="N47" s="154" t="s">
        <v>170</v>
      </c>
    </row>
    <row r="48" spans="2:15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4" t="s">
        <v>170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9717.9</v>
      </c>
      <c r="H49" s="142">
        <f>'[1]Trial Balance'!$K$279</f>
        <v>8017.76</v>
      </c>
      <c r="I49" s="142">
        <f>'[1]Trial Balance'!$L$279</f>
        <v>9894</v>
      </c>
      <c r="J49" s="142"/>
      <c r="K49" s="142"/>
      <c r="L49" s="142"/>
      <c r="M49" s="142"/>
      <c r="N49" s="154" t="s">
        <v>170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5227.82</v>
      </c>
      <c r="H50" s="142">
        <f>'[1]Trial Balance'!$K$280</f>
        <v>1859.74</v>
      </c>
      <c r="I50" s="142">
        <f>'[1]Trial Balance'!$L$280</f>
        <v>3710.25</v>
      </c>
      <c r="J50" s="142"/>
      <c r="K50" s="142"/>
      <c r="L50" s="142"/>
      <c r="M50" s="142"/>
      <c r="N50" s="154" t="s">
        <v>170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136301.26999999999</v>
      </c>
      <c r="H51" s="142">
        <f>'[1]Trial Balance'!$K$281</f>
        <v>131122.74</v>
      </c>
      <c r="I51" s="142">
        <f>'[1]Trial Balance'!$L$281</f>
        <v>148081.16999999998</v>
      </c>
      <c r="J51" s="142"/>
      <c r="K51" s="142"/>
      <c r="L51" s="142"/>
      <c r="M51" s="142"/>
      <c r="N51" s="154" t="s">
        <v>170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7484.41</v>
      </c>
      <c r="H52" s="142">
        <f>'[1]Trial Balance'!$K$282</f>
        <v>2871.4</v>
      </c>
      <c r="I52" s="142">
        <f>'[1]Trial Balance'!$L$282</f>
        <v>7711.5</v>
      </c>
      <c r="J52" s="142"/>
      <c r="K52" s="142"/>
      <c r="L52" s="142"/>
      <c r="M52" s="142"/>
      <c r="N52" s="154" t="s">
        <v>170</v>
      </c>
    </row>
    <row r="53" spans="3:14" x14ac:dyDescent="0.2">
      <c r="C53" s="158"/>
      <c r="D53" s="26"/>
      <c r="E53" s="78" t="s">
        <v>285</v>
      </c>
      <c r="F53" s="150" t="s">
        <v>17</v>
      </c>
      <c r="G53" s="58">
        <f>'Benchmarking Calculations'!G19</f>
        <v>246.4</v>
      </c>
      <c r="H53" s="142">
        <f>'[1]Trial Balance'!$K$283+'[1]Trial Balance'!$K$284</f>
        <v>893.56</v>
      </c>
      <c r="I53" s="142">
        <f>'[1]Trial Balance'!$L$283+'[1]Trial Balance'!$L$284</f>
        <v>3128.25</v>
      </c>
      <c r="J53" s="142"/>
      <c r="K53" s="142"/>
      <c r="L53" s="142"/>
      <c r="M53" s="142"/>
      <c r="N53" s="154" t="s">
        <v>170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18961.29</v>
      </c>
      <c r="H54" s="142">
        <f>'[1]Trial Balance'!$K$285</f>
        <v>13716.15</v>
      </c>
      <c r="I54" s="142">
        <f>'[1]Trial Balance'!$L$285</f>
        <v>27996.625</v>
      </c>
      <c r="J54" s="142"/>
      <c r="K54" s="142"/>
      <c r="L54" s="142"/>
      <c r="M54" s="142"/>
      <c r="N54" s="154" t="s">
        <v>170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98965.54</v>
      </c>
      <c r="H55" s="142">
        <f>'[1]Trial Balance'!$K$286</f>
        <v>97857.48000000001</v>
      </c>
      <c r="I55" s="142">
        <f>'[1]Trial Balance'!$L$286</f>
        <v>108640</v>
      </c>
      <c r="J55" s="142"/>
      <c r="K55" s="142"/>
      <c r="L55" s="142"/>
      <c r="M55" s="142"/>
      <c r="N55" s="154" t="s">
        <v>170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189</v>
      </c>
      <c r="H56" s="142">
        <v>0</v>
      </c>
      <c r="I56" s="142">
        <v>0</v>
      </c>
      <c r="J56" s="142"/>
      <c r="K56" s="142"/>
      <c r="L56" s="142"/>
      <c r="M56" s="142"/>
      <c r="N56" s="154" t="s">
        <v>170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241352.71</v>
      </c>
      <c r="H57" s="142">
        <f>'[1]Trial Balance'!$K$290</f>
        <v>239834.51</v>
      </c>
      <c r="I57" s="142">
        <f>'[1]Trial Balance'!$L$290</f>
        <v>262730.32</v>
      </c>
      <c r="J57" s="142"/>
      <c r="K57" s="142"/>
      <c r="L57" s="142"/>
      <c r="M57" s="142"/>
      <c r="N57" s="154" t="s">
        <v>170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55089.05</v>
      </c>
      <c r="H58" s="142">
        <f>'[1]Trial Balance'!$K$291</f>
        <v>44838.2</v>
      </c>
      <c r="I58" s="142">
        <f>'[1]Trial Balance'!$L$291</f>
        <v>61558.625</v>
      </c>
      <c r="J58" s="142"/>
      <c r="K58" s="142"/>
      <c r="L58" s="142"/>
      <c r="M58" s="142"/>
      <c r="N58" s="154" t="s">
        <v>170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101903.73</v>
      </c>
      <c r="H59" s="142">
        <f>'[1]Trial Balance'!$K$292</f>
        <v>96647.349999999991</v>
      </c>
      <c r="I59" s="142">
        <f>'[1]Trial Balance'!$L$292</f>
        <v>111647</v>
      </c>
      <c r="J59" s="142"/>
      <c r="K59" s="142"/>
      <c r="L59" s="142"/>
      <c r="M59" s="142"/>
      <c r="N59" s="154" t="s">
        <v>170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405526.84</v>
      </c>
      <c r="H60" s="142">
        <f>'[1]Trial Balance'!$K$293</f>
        <v>428988.60000000009</v>
      </c>
      <c r="I60" s="142">
        <f>'[1]Trial Balance'!$L$293</f>
        <v>483523.17499999999</v>
      </c>
      <c r="J60" s="142"/>
      <c r="K60" s="142"/>
      <c r="L60" s="142"/>
      <c r="M60" s="142"/>
      <c r="N60" s="154" t="s">
        <v>170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4" t="s">
        <v>170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11199.19</v>
      </c>
      <c r="H62" s="142">
        <f>'[1]Trial Balance'!$K$295</f>
        <v>10295.280000000001</v>
      </c>
      <c r="I62" s="142">
        <f>'[1]Trial Balance'!$L$295</f>
        <v>10670</v>
      </c>
      <c r="J62" s="142"/>
      <c r="K62" s="142"/>
      <c r="L62" s="142"/>
      <c r="M62" s="142"/>
      <c r="N62" s="154" t="s">
        <v>170</v>
      </c>
    </row>
    <row r="63" spans="3:14" x14ac:dyDescent="0.2">
      <c r="C63" s="158"/>
      <c r="D63" s="26"/>
      <c r="E63" s="111">
        <v>5096</v>
      </c>
      <c r="F63" s="169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4" t="s">
        <v>170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1376142.3</v>
      </c>
      <c r="H64" s="229">
        <f>SUM(H44:H63)</f>
        <v>1352091.26</v>
      </c>
      <c r="I64" s="229">
        <f t="shared" ref="I64:M64" si="3">SUM(I44:I63)</f>
        <v>1531128.0250000001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5" x14ac:dyDescent="0.2">
      <c r="C65" s="158"/>
      <c r="D65" s="26"/>
      <c r="E65" s="78">
        <v>5105</v>
      </c>
      <c r="F65" s="150" t="s">
        <v>30</v>
      </c>
      <c r="G65" s="58">
        <f>'Benchmarking Calculations'!G31</f>
        <v>8489.36</v>
      </c>
      <c r="H65" s="142">
        <f>'[1]Trial Balance'!$K$298</f>
        <v>244.42</v>
      </c>
      <c r="I65" s="142">
        <f>'[1]Trial Balance'!$L$298</f>
        <v>14040.75</v>
      </c>
      <c r="J65" s="222"/>
      <c r="K65" s="222"/>
      <c r="L65" s="222"/>
      <c r="M65" s="222"/>
      <c r="N65" s="154" t="s">
        <v>170</v>
      </c>
    </row>
    <row r="66" spans="3:15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4" t="s">
        <v>170</v>
      </c>
    </row>
    <row r="67" spans="3:15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4" t="s">
        <v>170</v>
      </c>
    </row>
    <row r="68" spans="3:15" x14ac:dyDescent="0.2">
      <c r="C68" s="158"/>
      <c r="D68" s="26"/>
      <c r="E68" s="78">
        <v>5114</v>
      </c>
      <c r="F68" s="150" t="s">
        <v>33</v>
      </c>
      <c r="G68" s="58">
        <f>'Benchmarking Calculations'!G34</f>
        <v>33377.07</v>
      </c>
      <c r="H68" s="142">
        <f>'[1]Trial Balance'!$K$301</f>
        <v>45914.69</v>
      </c>
      <c r="I68" s="142">
        <f>'[1]Trial Balance'!$L$301</f>
        <v>50221.75</v>
      </c>
      <c r="J68" s="222"/>
      <c r="K68" s="222"/>
      <c r="L68" s="222"/>
      <c r="M68" s="222"/>
      <c r="N68" s="154" t="s">
        <v>170</v>
      </c>
    </row>
    <row r="69" spans="3:15" x14ac:dyDescent="0.2">
      <c r="C69" s="158"/>
      <c r="D69" s="26"/>
      <c r="E69" s="78">
        <v>5120</v>
      </c>
      <c r="F69" s="150" t="s">
        <v>34</v>
      </c>
      <c r="G69" s="58">
        <f>'Benchmarking Calculations'!G35</f>
        <v>10631.58</v>
      </c>
      <c r="H69" s="142">
        <f>'[1]Trial Balance'!$K$302</f>
        <v>6055.7</v>
      </c>
      <c r="I69" s="142">
        <f>'[1]Trial Balance'!$L$302</f>
        <v>19511.55</v>
      </c>
      <c r="J69" s="222"/>
      <c r="K69" s="222"/>
      <c r="L69" s="222"/>
      <c r="M69" s="222"/>
      <c r="N69" s="154" t="s">
        <v>170</v>
      </c>
    </row>
    <row r="70" spans="3:15" x14ac:dyDescent="0.2">
      <c r="C70" s="158"/>
      <c r="D70" s="26"/>
      <c r="E70" s="78">
        <v>5125</v>
      </c>
      <c r="F70" s="150" t="s">
        <v>35</v>
      </c>
      <c r="G70" s="58">
        <f>'Benchmarking Calculations'!G36</f>
        <v>49139.87</v>
      </c>
      <c r="H70" s="142">
        <v>65100</v>
      </c>
      <c r="I70" s="142">
        <v>130975</v>
      </c>
      <c r="J70" s="222"/>
      <c r="K70" s="222"/>
      <c r="L70" s="222"/>
      <c r="M70" s="222"/>
      <c r="N70" s="154" t="s">
        <v>170</v>
      </c>
    </row>
    <row r="71" spans="3:15" x14ac:dyDescent="0.2">
      <c r="C71" s="158"/>
      <c r="D71" s="26"/>
      <c r="E71" s="78">
        <v>5130</v>
      </c>
      <c r="F71" s="150" t="s">
        <v>36</v>
      </c>
      <c r="G71" s="58">
        <f>'Benchmarking Calculations'!G37</f>
        <v>64767.27</v>
      </c>
      <c r="H71" s="142">
        <f>'[1]Trial Balance'!$K$304</f>
        <v>77054.169999999984</v>
      </c>
      <c r="I71" s="142">
        <f>'[1]Trial Balance'!$L$304</f>
        <v>59485.25</v>
      </c>
      <c r="J71" s="222"/>
      <c r="K71" s="222"/>
      <c r="L71" s="222"/>
      <c r="M71" s="222"/>
      <c r="N71" s="154" t="s">
        <v>170</v>
      </c>
    </row>
    <row r="72" spans="3:15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119800.61</v>
      </c>
      <c r="H72" s="142">
        <f>'[1]Trial Balance'!$K$305</f>
        <v>383563.22000000003</v>
      </c>
      <c r="I72" s="142">
        <f>'[1]Trial Balance'!$L$305</f>
        <v>154399.75</v>
      </c>
      <c r="J72" s="222"/>
      <c r="K72" s="222"/>
      <c r="L72" s="222"/>
      <c r="M72" s="222"/>
      <c r="N72" s="154" t="s">
        <v>170</v>
      </c>
    </row>
    <row r="73" spans="3:15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2"/>
      <c r="I73" s="142"/>
      <c r="J73" s="143"/>
      <c r="K73" s="143"/>
      <c r="L73" s="143"/>
      <c r="M73" s="143"/>
      <c r="N73" s="154" t="s">
        <v>170</v>
      </c>
    </row>
    <row r="74" spans="3:15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24178.03</v>
      </c>
      <c r="H74" s="142">
        <f>'[1]Trial Balance'!$K$307</f>
        <v>27373.5</v>
      </c>
      <c r="I74" s="142">
        <f>'[1]Trial Balance'!$L$307</f>
        <v>11494.5</v>
      </c>
      <c r="J74" s="222"/>
      <c r="K74" s="222"/>
      <c r="L74" s="222"/>
      <c r="M74" s="222"/>
      <c r="N74" s="154" t="s">
        <v>170</v>
      </c>
    </row>
    <row r="75" spans="3:15" x14ac:dyDescent="0.2">
      <c r="C75" s="158"/>
      <c r="D75" s="26"/>
      <c r="E75" s="78">
        <v>5155</v>
      </c>
      <c r="F75" s="150" t="s">
        <v>40</v>
      </c>
      <c r="G75" s="58">
        <f>'Benchmarking Calculations'!G41</f>
        <v>76614.06</v>
      </c>
      <c r="H75" s="142">
        <f>'[1]Trial Balance'!$K$308</f>
        <v>119305.96</v>
      </c>
      <c r="I75" s="142">
        <f>'[1]Trial Balance'!$L$308</f>
        <v>117564</v>
      </c>
      <c r="J75" s="222"/>
      <c r="K75" s="222"/>
      <c r="L75" s="222"/>
      <c r="M75" s="222"/>
      <c r="N75" s="154" t="s">
        <v>170</v>
      </c>
    </row>
    <row r="76" spans="3:15" x14ac:dyDescent="0.2">
      <c r="C76" s="158"/>
      <c r="D76" s="26"/>
      <c r="E76" s="78">
        <v>5160</v>
      </c>
      <c r="F76" s="150" t="s">
        <v>41</v>
      </c>
      <c r="G76" s="58">
        <f>'Benchmarking Calculations'!G42</f>
        <v>17208.13</v>
      </c>
      <c r="H76" s="142">
        <f>'[1]Trial Balance'!$K$309</f>
        <v>15441.349999999999</v>
      </c>
      <c r="I76" s="142">
        <v>75905</v>
      </c>
      <c r="J76" s="222"/>
      <c r="K76" s="222"/>
      <c r="L76" s="222"/>
      <c r="M76" s="222"/>
      <c r="N76" s="154" t="s">
        <v>170</v>
      </c>
    </row>
    <row r="77" spans="3:15" x14ac:dyDescent="0.2">
      <c r="C77" s="158"/>
      <c r="D77" s="26"/>
      <c r="E77" s="111">
        <v>5175</v>
      </c>
      <c r="F77" s="169" t="s">
        <v>42</v>
      </c>
      <c r="G77" s="112">
        <f>'Benchmarking Calculations'!G43</f>
        <v>23318.880000000001</v>
      </c>
      <c r="H77" s="142">
        <f>'[1]Trial Balance'!$K$313</f>
        <v>23215.95</v>
      </c>
      <c r="I77" s="142">
        <f>'[1]Trial Balance'!$L$313</f>
        <v>27887.5</v>
      </c>
      <c r="J77" s="222"/>
      <c r="K77" s="222"/>
      <c r="L77" s="222"/>
      <c r="M77" s="222"/>
      <c r="N77" s="154" t="s">
        <v>170</v>
      </c>
    </row>
    <row r="78" spans="3:15" x14ac:dyDescent="0.2">
      <c r="C78" s="158"/>
      <c r="D78" s="26"/>
      <c r="E78" s="16"/>
      <c r="F78" s="80" t="s">
        <v>43</v>
      </c>
      <c r="G78" s="110">
        <f>'Benchmarking Calculations'!G44</f>
        <v>427524.86000000004</v>
      </c>
      <c r="H78" s="229">
        <f>SUM(H65:H77)</f>
        <v>763268.95999999985</v>
      </c>
      <c r="I78" s="229">
        <f t="shared" ref="I78" si="4">SUM(I65:I77)</f>
        <v>661485.05000000005</v>
      </c>
      <c r="J78" s="81"/>
      <c r="K78" s="81"/>
      <c r="L78" s="81"/>
      <c r="M78" s="81"/>
      <c r="N78" s="159" t="s">
        <v>29</v>
      </c>
    </row>
    <row r="79" spans="3:15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f>'[1]Trial Balance'!$K$321</f>
        <v>101883.56</v>
      </c>
      <c r="I79" s="142">
        <f>'[1]Trial Balance'!$L$321</f>
        <v>130624.08</v>
      </c>
      <c r="J79" s="222"/>
      <c r="K79" s="222"/>
      <c r="L79" s="222"/>
      <c r="M79" s="222"/>
      <c r="N79" s="154" t="s">
        <v>170</v>
      </c>
      <c r="O79" s="92" t="s">
        <v>276</v>
      </c>
    </row>
    <row r="80" spans="3:15" x14ac:dyDescent="0.2">
      <c r="C80" s="158"/>
      <c r="D80" s="26"/>
      <c r="E80" s="78">
        <v>5310</v>
      </c>
      <c r="F80" s="78" t="s">
        <v>45</v>
      </c>
      <c r="G80" s="58">
        <f>'Benchmarking Calculations'!G46</f>
        <v>0</v>
      </c>
      <c r="H80" s="142">
        <f>'[1]Trial Balance'!$K$322</f>
        <v>12016.9</v>
      </c>
      <c r="I80" s="142">
        <f>'[1]Trial Balance'!$L$322</f>
        <v>18784.05</v>
      </c>
      <c r="J80" s="222"/>
      <c r="K80" s="222"/>
      <c r="L80" s="222"/>
      <c r="M80" s="222"/>
      <c r="N80" s="154" t="s">
        <v>170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388247.57</v>
      </c>
      <c r="H81" s="142">
        <f>'[1]Trial Balance'!$K$323</f>
        <v>358604.03</v>
      </c>
      <c r="I81" s="142">
        <f>'[1]Trial Balance'!$L$323</f>
        <v>462152.62</v>
      </c>
      <c r="J81" s="222"/>
      <c r="K81" s="222"/>
      <c r="L81" s="222"/>
      <c r="M81" s="222"/>
      <c r="N81" s="154" t="s">
        <v>170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345165.19</v>
      </c>
      <c r="H82" s="142">
        <f>'[1]Trial Balance'!$K$324</f>
        <v>356417.00999999995</v>
      </c>
      <c r="I82" s="142">
        <f>'[1]Trial Balance'!$L$324</f>
        <v>368741.62</v>
      </c>
      <c r="J82" s="222"/>
      <c r="K82" s="222"/>
      <c r="L82" s="222"/>
      <c r="M82" s="222"/>
      <c r="N82" s="154" t="s">
        <v>170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147.87</v>
      </c>
      <c r="H83" s="142">
        <v>0</v>
      </c>
      <c r="I83" s="142">
        <v>0</v>
      </c>
      <c r="J83" s="143"/>
      <c r="K83" s="143"/>
      <c r="L83" s="143"/>
      <c r="M83" s="143"/>
      <c r="N83" s="154" t="s">
        <v>170</v>
      </c>
    </row>
    <row r="84" spans="3:14" x14ac:dyDescent="0.2">
      <c r="C84" s="158"/>
      <c r="D84" s="227">
        <v>5335</v>
      </c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4" t="s">
        <v>170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162718.41</v>
      </c>
      <c r="H85" s="142">
        <f>'[1]Trial Balance'!$K$328</f>
        <v>136178.29000000004</v>
      </c>
      <c r="I85" s="142">
        <f>'[1]Trial Balance'!$L$328</f>
        <v>91377.88</v>
      </c>
      <c r="J85" s="222"/>
      <c r="K85" s="222"/>
      <c r="L85" s="222"/>
      <c r="M85" s="222"/>
      <c r="N85" s="154" t="s">
        <v>170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896279.04000000004</v>
      </c>
      <c r="H86" s="229">
        <f>SUM(H79:H85)</f>
        <v>965099.79</v>
      </c>
      <c r="I86" s="229">
        <f t="shared" ref="I86" si="5">SUM(I79:I85)</f>
        <v>1071680.25</v>
      </c>
      <c r="J86" s="81"/>
      <c r="K86" s="81"/>
      <c r="L86" s="81"/>
      <c r="M86" s="81"/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4" t="s">
        <v>170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5268.36</v>
      </c>
      <c r="H88" s="142">
        <f>'[1]Trial Balance'!$K$331</f>
        <v>10189.029999999999</v>
      </c>
      <c r="I88" s="142">
        <f>'[1]Trial Balance'!$L$331</f>
        <v>8730</v>
      </c>
      <c r="J88" s="222"/>
      <c r="K88" s="222"/>
      <c r="L88" s="222"/>
      <c r="M88" s="222"/>
      <c r="N88" s="154" t="s">
        <v>170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350</v>
      </c>
      <c r="H89" s="142">
        <f>'[1]Trial Balance'!$K$333</f>
        <v>0</v>
      </c>
      <c r="I89" s="142">
        <f>'[1]Trial Balance'!$L$333</f>
        <v>970</v>
      </c>
      <c r="J89" s="222"/>
      <c r="K89" s="222"/>
      <c r="L89" s="222"/>
      <c r="M89" s="222"/>
      <c r="N89" s="154" t="s">
        <v>170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2447.9</v>
      </c>
      <c r="H90" s="142">
        <f>'[1]Trial Balance'!$K$334</f>
        <v>4509.6400000000003</v>
      </c>
      <c r="I90" s="142">
        <f>'[1]Trial Balance'!$L$334</f>
        <v>1940</v>
      </c>
      <c r="J90" s="222"/>
      <c r="K90" s="222"/>
      <c r="L90" s="222"/>
      <c r="M90" s="222"/>
      <c r="N90" s="154" t="s">
        <v>170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8066.26</v>
      </c>
      <c r="H91" s="229">
        <f>SUM(H87:H90)</f>
        <v>14698.669999999998</v>
      </c>
      <c r="I91" s="229">
        <f t="shared" ref="I91" si="6">SUM(I87:I90)</f>
        <v>11640</v>
      </c>
      <c r="J91" s="81"/>
      <c r="K91" s="81"/>
      <c r="L91" s="81"/>
      <c r="M91" s="81"/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262072.8</v>
      </c>
      <c r="H92" s="142">
        <f>'[1]Trial Balance'!$K$341</f>
        <v>303507.81</v>
      </c>
      <c r="I92" s="142">
        <f>'[1]Trial Balance'!$L$341</f>
        <v>253837.36</v>
      </c>
      <c r="J92" s="222"/>
      <c r="K92" s="222"/>
      <c r="L92" s="222"/>
      <c r="M92" s="222"/>
      <c r="N92" s="154" t="s">
        <v>170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329472.78999999998</v>
      </c>
      <c r="H93" s="142">
        <f>'[1]Trial Balance'!$K$342</f>
        <v>265824.53000000003</v>
      </c>
      <c r="I93" s="142">
        <f>'[1]Trial Balance'!$L$342</f>
        <v>357246.14999999997</v>
      </c>
      <c r="J93" s="222"/>
      <c r="K93" s="222"/>
      <c r="L93" s="222"/>
      <c r="M93" s="222"/>
      <c r="N93" s="154" t="s">
        <v>170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923300.34</v>
      </c>
      <c r="H94" s="142">
        <f>'[1]Trial Balance'!$K$343</f>
        <v>888683.39999999979</v>
      </c>
      <c r="I94" s="142">
        <f>'[1]Trial Balance'!$L$343</f>
        <v>984249.29999999993</v>
      </c>
      <c r="J94" s="222"/>
      <c r="K94" s="222"/>
      <c r="L94" s="222"/>
      <c r="M94" s="222"/>
      <c r="N94" s="154" t="s">
        <v>170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216791.33</v>
      </c>
      <c r="H95" s="142">
        <f>'[1]Trial Balance'!$K$344</f>
        <v>193505.10000000003</v>
      </c>
      <c r="I95" s="142">
        <f>'[1]Trial Balance'!$L$344</f>
        <v>189877.5</v>
      </c>
      <c r="J95" s="222"/>
      <c r="K95" s="222"/>
      <c r="L95" s="222"/>
      <c r="M95" s="222"/>
      <c r="N95" s="154" t="s">
        <v>170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3"/>
      <c r="K96" s="143"/>
      <c r="L96" s="143"/>
      <c r="M96" s="143"/>
      <c r="N96" s="154" t="s">
        <v>170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199341.52</v>
      </c>
      <c r="H97" s="142">
        <f>'[1]Trial Balance'!$K$346</f>
        <v>129454.20999999999</v>
      </c>
      <c r="I97" s="142">
        <f>'[1]Trial Balance'!$L$346</f>
        <v>175667</v>
      </c>
      <c r="J97" s="222"/>
      <c r="K97" s="222"/>
      <c r="L97" s="222"/>
      <c r="M97" s="222"/>
      <c r="N97" s="154" t="s">
        <v>170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49895.839999999997</v>
      </c>
      <c r="H98" s="142">
        <f>'[1]Trial Balance'!$K$348</f>
        <v>60823.03</v>
      </c>
      <c r="I98" s="142">
        <f>'[1]Trial Balance'!$L$348</f>
        <v>58200</v>
      </c>
      <c r="J98" s="222"/>
      <c r="K98" s="222"/>
      <c r="L98" s="222"/>
      <c r="M98" s="222"/>
      <c r="N98" s="154" t="s">
        <v>170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15753</v>
      </c>
      <c r="H99" s="142">
        <f>'[1]Trial Balance'!$K$349</f>
        <v>21079</v>
      </c>
      <c r="I99" s="142">
        <f>'[1]Trial Balance'!$L$349</f>
        <v>17964.399999999998</v>
      </c>
      <c r="J99" s="222"/>
      <c r="K99" s="222"/>
      <c r="L99" s="222"/>
      <c r="M99" s="222"/>
      <c r="N99" s="154" t="s">
        <v>170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230" t="s">
        <v>288</v>
      </c>
      <c r="I100" s="142">
        <v>0</v>
      </c>
      <c r="J100" s="222"/>
      <c r="K100" s="222"/>
      <c r="L100" s="222"/>
      <c r="M100" s="222"/>
      <c r="N100" s="154" t="s">
        <v>170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4" t="s">
        <v>170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4" t="s">
        <v>170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111126.39</v>
      </c>
      <c r="H103" s="142">
        <f>'[1]Trial Balance'!$K$351</f>
        <v>182342.37</v>
      </c>
      <c r="I103" s="142">
        <f>'[1]Trial Balance'!$L$351</f>
        <v>87300</v>
      </c>
      <c r="J103" s="143"/>
      <c r="K103" s="222"/>
      <c r="L103" s="222"/>
      <c r="M103" s="222"/>
      <c r="N103" s="154" t="s">
        <v>170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131055.09</v>
      </c>
      <c r="H104" s="142">
        <f>'[1]Trial Balance'!$K$353</f>
        <v>115087.1</v>
      </c>
      <c r="I104" s="142">
        <f>'[1]Trial Balance'!$L$353</f>
        <v>131920</v>
      </c>
      <c r="J104" s="222"/>
      <c r="K104" s="222"/>
      <c r="L104" s="222"/>
      <c r="M104" s="222"/>
      <c r="N104" s="154" t="s">
        <v>170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1530.19</v>
      </c>
      <c r="H105" s="142">
        <f>'[1]Trial Balance'!$K$354</f>
        <v>711.52</v>
      </c>
      <c r="I105" s="142">
        <f>'[1]Trial Balance'!$L$354</f>
        <v>776</v>
      </c>
      <c r="J105" s="222"/>
      <c r="K105" s="222"/>
      <c r="L105" s="222"/>
      <c r="M105" s="222"/>
      <c r="N105" s="154" t="s">
        <v>170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4" t="s">
        <v>170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282147.84999999998</v>
      </c>
      <c r="H107" s="142">
        <f>'[1]Trial Balance'!$K$355</f>
        <v>319263.51999999996</v>
      </c>
      <c r="I107" s="142">
        <f>'[1]Trial Balance'!$L$355</f>
        <v>335308.63</v>
      </c>
      <c r="J107" s="222"/>
      <c r="K107" s="222"/>
      <c r="L107" s="222"/>
      <c r="M107" s="222"/>
      <c r="N107" s="154" t="s">
        <v>170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9212.2999999999993</v>
      </c>
      <c r="H108" s="142">
        <f>'[1]Trial Balance'!$K$356</f>
        <v>9424.41</v>
      </c>
      <c r="I108" s="142">
        <f>'[1]Trial Balance'!$L$356</f>
        <v>9700</v>
      </c>
      <c r="J108" s="222"/>
      <c r="K108" s="222"/>
      <c r="L108" s="222"/>
      <c r="M108" s="222"/>
      <c r="N108" s="154" t="s">
        <v>170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2531699.44</v>
      </c>
      <c r="H109" s="229">
        <f>SUM(H92:H108)</f>
        <v>2489706</v>
      </c>
      <c r="I109" s="229">
        <f t="shared" ref="I109" si="7">SUM(I92:I108)</f>
        <v>2602046.34</v>
      </c>
      <c r="J109" s="81"/>
      <c r="K109" s="81"/>
      <c r="L109" s="81"/>
      <c r="M109" s="81"/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43942.58</v>
      </c>
      <c r="H110" s="142">
        <f>'[1]Trial Balance'!$K$347</f>
        <v>50003.276919764605</v>
      </c>
      <c r="I110" s="142">
        <f>'[1]Trial Balance'!$L$347</f>
        <v>48500</v>
      </c>
      <c r="J110" s="142"/>
      <c r="K110" s="142"/>
      <c r="L110" s="142"/>
      <c r="M110" s="142"/>
      <c r="N110" s="154" t="s">
        <v>170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4" t="s">
        <v>170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43942.58</v>
      </c>
      <c r="H112" s="81">
        <f>H110+H111</f>
        <v>50003.276919764605</v>
      </c>
      <c r="I112" s="81">
        <f t="shared" ref="I112" si="8">I110+I111</f>
        <v>48500</v>
      </c>
      <c r="J112" s="81"/>
      <c r="K112" s="81"/>
      <c r="L112" s="81"/>
      <c r="M112" s="81"/>
      <c r="N112" s="159" t="s">
        <v>29</v>
      </c>
    </row>
    <row r="113" spans="3:15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4" t="s">
        <v>170</v>
      </c>
    </row>
    <row r="114" spans="3:15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5" x14ac:dyDescent="0.2">
      <c r="C115" s="158"/>
      <c r="D115" s="77"/>
      <c r="E115" s="172" t="s">
        <v>197</v>
      </c>
      <c r="F115" s="80" t="s">
        <v>80</v>
      </c>
      <c r="G115" s="58">
        <f>'Benchmarking Calculations'!G81</f>
        <v>5283654.4800000004</v>
      </c>
      <c r="H115" s="81">
        <f>H114+H112+H109+H91+H86+H78+H64</f>
        <v>5634867.9569197642</v>
      </c>
      <c r="I115" s="81">
        <f t="shared" ref="I115:M115" si="10">I114+I112+I109+I91+I86+I78+I64</f>
        <v>5926479.665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5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5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5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5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5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5" x14ac:dyDescent="0.2">
      <c r="C121" s="158"/>
      <c r="D121" s="77"/>
      <c r="E121" s="172" t="s">
        <v>198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3" t="s">
        <v>29</v>
      </c>
    </row>
    <row r="122" spans="3:15" x14ac:dyDescent="0.2">
      <c r="C122" s="158"/>
      <c r="D122" s="77"/>
      <c r="E122" s="174" t="s">
        <v>199</v>
      </c>
      <c r="F122" s="80" t="s">
        <v>83</v>
      </c>
      <c r="G122" s="110">
        <f>'Benchmarking Calculations'!G88</f>
        <v>112664.82</v>
      </c>
      <c r="H122" s="175">
        <f>G122</f>
        <v>112664.82</v>
      </c>
      <c r="I122" s="175">
        <f>H122</f>
        <v>112664.82</v>
      </c>
      <c r="J122" s="175"/>
      <c r="K122" s="175"/>
      <c r="L122" s="175"/>
      <c r="M122" s="175"/>
      <c r="N122" s="176" t="s">
        <v>170</v>
      </c>
      <c r="O122" s="225" t="s">
        <v>282</v>
      </c>
    </row>
    <row r="123" spans="3:15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5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topLeftCell="B1" zoomScale="110" zoomScaleNormal="110" workbookViewId="0">
      <pane ySplit="5" topLeftCell="A252" activePane="bottomLeft" state="frozen"/>
      <selection activeCell="G33" sqref="G33"/>
      <selection pane="bottomLeft" activeCell="G88" sqref="G8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114" customWidth="1"/>
    <col min="18" max="18" width="14.42578125" style="114" customWidth="1"/>
    <col min="19" max="19" width="18.140625" style="114" customWidth="1"/>
    <col min="20" max="39" width="14.28515625" style="114" customWidth="1"/>
    <col min="40" max="47" width="13.42578125" style="114" customWidth="1"/>
    <col min="48" max="48" width="15.85546875" style="114" customWidth="1"/>
    <col min="49" max="86" width="13.42578125" style="114" customWidth="1"/>
    <col min="87" max="87" width="17.42578125" style="114" customWidth="1"/>
    <col min="88" max="93" width="9.140625" customWidth="1"/>
  </cols>
  <sheetData>
    <row r="1" spans="1:94" ht="24" thickBot="1" x14ac:dyDescent="0.4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O1" s="127"/>
      <c r="P1" s="21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</row>
    <row r="2" spans="1:94" ht="21" thickTop="1" thickBot="1" x14ac:dyDescent="0.4">
      <c r="A2" s="1"/>
      <c r="B2" s="100"/>
      <c r="C2" s="3"/>
      <c r="D2" s="3"/>
      <c r="E2" s="10"/>
      <c r="R2" s="181"/>
      <c r="S2" s="181"/>
    </row>
    <row r="3" spans="1:94" ht="48.75" customHeight="1" thickBot="1" x14ac:dyDescent="0.25">
      <c r="B3" s="237" t="s">
        <v>1</v>
      </c>
      <c r="C3" s="237"/>
      <c r="D3" s="101"/>
      <c r="E3" s="102" t="str">
        <f>'Model Inputs'!F5</f>
        <v>InnPower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183" t="s">
        <v>202</v>
      </c>
      <c r="R3" s="183" t="s">
        <v>204</v>
      </c>
      <c r="S3" s="183" t="s">
        <v>205</v>
      </c>
      <c r="T3" s="183" t="s">
        <v>206</v>
      </c>
      <c r="U3" s="183" t="s">
        <v>207</v>
      </c>
      <c r="V3" s="183" t="s">
        <v>208</v>
      </c>
      <c r="W3" s="183" t="s">
        <v>209</v>
      </c>
      <c r="X3" s="183" t="s">
        <v>210</v>
      </c>
      <c r="Y3" s="183" t="s">
        <v>211</v>
      </c>
      <c r="Z3" s="183" t="s">
        <v>212</v>
      </c>
      <c r="AA3" s="183" t="s">
        <v>213</v>
      </c>
      <c r="AB3" s="183" t="s">
        <v>214</v>
      </c>
      <c r="AC3" s="183" t="s">
        <v>215</v>
      </c>
      <c r="AD3" s="183" t="s">
        <v>216</v>
      </c>
      <c r="AE3" s="183" t="s">
        <v>217</v>
      </c>
      <c r="AF3" s="183" t="s">
        <v>218</v>
      </c>
      <c r="AG3" s="183" t="s">
        <v>219</v>
      </c>
      <c r="AH3" s="183" t="s">
        <v>220</v>
      </c>
      <c r="AI3" s="183" t="s">
        <v>221</v>
      </c>
      <c r="AJ3" s="183" t="s">
        <v>222</v>
      </c>
      <c r="AK3" s="183" t="s">
        <v>223</v>
      </c>
      <c r="AL3" s="183" t="s">
        <v>224</v>
      </c>
      <c r="AM3" s="183" t="s">
        <v>225</v>
      </c>
      <c r="AN3" s="183" t="s">
        <v>226</v>
      </c>
      <c r="AO3" s="183" t="s">
        <v>227</v>
      </c>
      <c r="AP3" s="183" t="s">
        <v>228</v>
      </c>
      <c r="AQ3" s="183" t="s">
        <v>229</v>
      </c>
      <c r="AR3" s="183" t="s">
        <v>230</v>
      </c>
      <c r="AS3" s="183" t="s">
        <v>231</v>
      </c>
      <c r="AT3" s="183" t="s">
        <v>232</v>
      </c>
      <c r="AU3" s="183" t="s">
        <v>233</v>
      </c>
      <c r="AV3" s="183" t="s">
        <v>234</v>
      </c>
      <c r="AW3" s="183" t="s">
        <v>235</v>
      </c>
      <c r="AX3" s="183" t="s">
        <v>272</v>
      </c>
      <c r="AY3" s="183" t="s">
        <v>236</v>
      </c>
      <c r="AZ3" s="183" t="s">
        <v>237</v>
      </c>
      <c r="BA3" s="183" t="s">
        <v>238</v>
      </c>
      <c r="BB3" s="183" t="s">
        <v>239</v>
      </c>
      <c r="BC3" s="183" t="s">
        <v>240</v>
      </c>
      <c r="BD3" s="183" t="s">
        <v>241</v>
      </c>
      <c r="BE3" s="183" t="s">
        <v>242</v>
      </c>
      <c r="BF3" s="183" t="s">
        <v>243</v>
      </c>
      <c r="BG3" s="183" t="s">
        <v>244</v>
      </c>
      <c r="BH3" s="183" t="s">
        <v>245</v>
      </c>
      <c r="BI3" s="183" t="s">
        <v>246</v>
      </c>
      <c r="BJ3" s="183" t="s">
        <v>247</v>
      </c>
      <c r="BK3" s="183" t="s">
        <v>248</v>
      </c>
      <c r="BL3" s="183" t="s">
        <v>249</v>
      </c>
      <c r="BM3" s="183" t="s">
        <v>250</v>
      </c>
      <c r="BN3" s="183" t="s">
        <v>251</v>
      </c>
      <c r="BO3" s="183" t="s">
        <v>252</v>
      </c>
      <c r="BP3" s="183" t="s">
        <v>253</v>
      </c>
      <c r="BQ3" s="183" t="s">
        <v>254</v>
      </c>
      <c r="BR3" s="183" t="s">
        <v>255</v>
      </c>
      <c r="BS3" s="183" t="s">
        <v>256</v>
      </c>
      <c r="BT3" s="183" t="s">
        <v>257</v>
      </c>
      <c r="BU3" s="183" t="s">
        <v>258</v>
      </c>
      <c r="BV3" s="183" t="s">
        <v>259</v>
      </c>
      <c r="BW3" s="183" t="s">
        <v>260</v>
      </c>
      <c r="BX3" s="183" t="s">
        <v>261</v>
      </c>
      <c r="BY3" s="183" t="s">
        <v>262</v>
      </c>
      <c r="BZ3" s="183" t="s">
        <v>263</v>
      </c>
      <c r="CA3" s="183" t="s">
        <v>264</v>
      </c>
      <c r="CB3" s="183" t="s">
        <v>265</v>
      </c>
      <c r="CC3" s="183" t="s">
        <v>266</v>
      </c>
      <c r="CD3" s="183" t="s">
        <v>267</v>
      </c>
      <c r="CE3" s="183" t="s">
        <v>268</v>
      </c>
      <c r="CF3" s="183" t="s">
        <v>269</v>
      </c>
      <c r="CG3" s="183" t="s">
        <v>270</v>
      </c>
      <c r="CH3" s="183" t="s">
        <v>271</v>
      </c>
      <c r="CI3" s="183" t="s">
        <v>203</v>
      </c>
      <c r="CJ3" s="3"/>
      <c r="CK3" s="3"/>
      <c r="CL3" s="3"/>
      <c r="CM3" s="3"/>
      <c r="CN3" s="3"/>
      <c r="CO3" s="3"/>
      <c r="CP3" s="3"/>
    </row>
    <row r="4" spans="1:94" ht="19.5" x14ac:dyDescent="0.35">
      <c r="E4" s="5"/>
      <c r="F4" s="238"/>
      <c r="G4" s="239"/>
      <c r="H4" s="240" t="s">
        <v>2</v>
      </c>
      <c r="I4" s="241"/>
      <c r="J4" s="241"/>
      <c r="K4" s="241"/>
      <c r="L4" s="241"/>
      <c r="M4" s="241"/>
      <c r="N4" s="38"/>
      <c r="O4" s="114">
        <v>2</v>
      </c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199" t="s">
        <v>273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</row>
    <row r="7" spans="1:94" s="3" customFormat="1" ht="13.5" thickBot="1" x14ac:dyDescent="0.25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146"/>
      <c r="N7" s="58"/>
      <c r="O7" s="114">
        <v>5</v>
      </c>
      <c r="P7" s="114">
        <v>0</v>
      </c>
      <c r="Q7" s="99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220453.5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8">
        <v>0</v>
      </c>
      <c r="S10" s="178">
        <v>500084</v>
      </c>
      <c r="T10" s="178">
        <v>76315.44</v>
      </c>
      <c r="U10" s="178">
        <v>444659.3</v>
      </c>
      <c r="V10" s="178">
        <v>0</v>
      </c>
      <c r="W10" s="178">
        <v>106958.11</v>
      </c>
      <c r="X10" s="178">
        <v>70273.77</v>
      </c>
      <c r="Y10" s="178">
        <v>107595.38</v>
      </c>
      <c r="Z10" s="178">
        <v>0</v>
      </c>
      <c r="AA10" s="178">
        <v>156082.43</v>
      </c>
      <c r="AB10" s="178">
        <v>0</v>
      </c>
      <c r="AC10" s="178">
        <v>18298.29</v>
      </c>
      <c r="AD10" s="178">
        <v>1778155.62</v>
      </c>
      <c r="AE10" s="178">
        <v>491076.77</v>
      </c>
      <c r="AF10" s="178">
        <v>476444.79</v>
      </c>
      <c r="AG10" s="178">
        <v>42370.14</v>
      </c>
      <c r="AH10" s="178">
        <v>62934.39</v>
      </c>
      <c r="AI10" s="178">
        <v>84161.51</v>
      </c>
      <c r="AJ10" s="178">
        <v>153779.03</v>
      </c>
      <c r="AK10" s="178">
        <v>131685.41</v>
      </c>
      <c r="AL10" s="178">
        <v>972412.33</v>
      </c>
      <c r="AM10" s="178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14948.11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8">
        <v>0</v>
      </c>
      <c r="S11" s="178">
        <v>387473</v>
      </c>
      <c r="T11" s="178">
        <v>0</v>
      </c>
      <c r="U11" s="178">
        <v>62941.95</v>
      </c>
      <c r="V11" s="178">
        <v>1511639.75</v>
      </c>
      <c r="W11" s="178">
        <v>636091.56999999995</v>
      </c>
      <c r="X11" s="178">
        <v>280923.67</v>
      </c>
      <c r="Y11" s="178">
        <v>24975.95</v>
      </c>
      <c r="Z11" s="178">
        <v>0</v>
      </c>
      <c r="AA11" s="178">
        <v>73255.360000000001</v>
      </c>
      <c r="AB11" s="178">
        <v>0</v>
      </c>
      <c r="AC11" s="178">
        <v>0</v>
      </c>
      <c r="AD11" s="178">
        <v>2479576.84</v>
      </c>
      <c r="AE11" s="178">
        <v>46199.77</v>
      </c>
      <c r="AF11" s="178">
        <v>118979.59</v>
      </c>
      <c r="AG11" s="178">
        <v>0</v>
      </c>
      <c r="AH11" s="178">
        <v>0</v>
      </c>
      <c r="AI11" s="178">
        <v>7839.09</v>
      </c>
      <c r="AJ11" s="178">
        <v>49168.35</v>
      </c>
      <c r="AK11" s="178">
        <v>0</v>
      </c>
      <c r="AL11" s="178">
        <v>715351.67</v>
      </c>
      <c r="AM11" s="178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48575.54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8">
        <v>0</v>
      </c>
      <c r="S12" s="178">
        <v>4705</v>
      </c>
      <c r="T12" s="178">
        <v>94199.99</v>
      </c>
      <c r="U12" s="178">
        <v>36705.4</v>
      </c>
      <c r="V12" s="178">
        <v>301748.73</v>
      </c>
      <c r="W12" s="178">
        <v>0</v>
      </c>
      <c r="X12" s="178">
        <v>152244.22</v>
      </c>
      <c r="Y12" s="178">
        <v>67863.289999999994</v>
      </c>
      <c r="Z12" s="178">
        <v>0</v>
      </c>
      <c r="AA12" s="178">
        <v>65716.69</v>
      </c>
      <c r="AB12" s="178">
        <v>1449.78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753.98</v>
      </c>
      <c r="AI12" s="178">
        <v>0</v>
      </c>
      <c r="AJ12" s="178">
        <v>18155.25</v>
      </c>
      <c r="AK12" s="178">
        <v>70603.27</v>
      </c>
      <c r="AL12" s="178">
        <v>322178.46000000002</v>
      </c>
      <c r="AM12" s="178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8">
        <v>0</v>
      </c>
      <c r="S13" s="178">
        <v>0</v>
      </c>
      <c r="T13" s="178">
        <v>0</v>
      </c>
      <c r="U13" s="178">
        <v>8005.07</v>
      </c>
      <c r="V13" s="178">
        <v>0</v>
      </c>
      <c r="W13" s="178">
        <v>22055.23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7387.15</v>
      </c>
      <c r="AK13" s="178">
        <v>4490.29</v>
      </c>
      <c r="AL13" s="178">
        <v>0</v>
      </c>
      <c r="AM13" s="178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8">
        <v>0</v>
      </c>
      <c r="S14" s="178">
        <v>0</v>
      </c>
      <c r="T14" s="178">
        <v>0</v>
      </c>
      <c r="U14" s="178">
        <v>83400.27</v>
      </c>
      <c r="V14" s="178">
        <v>0</v>
      </c>
      <c r="W14" s="178">
        <v>85552.02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148537.69</v>
      </c>
      <c r="AK14" s="178">
        <v>5970.43</v>
      </c>
      <c r="AL14" s="178">
        <v>0</v>
      </c>
      <c r="AM14" s="178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9717.9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8">
        <v>16315.94</v>
      </c>
      <c r="S15" s="178">
        <v>0</v>
      </c>
      <c r="T15" s="178">
        <v>2589.98</v>
      </c>
      <c r="U15" s="178">
        <v>2555.21</v>
      </c>
      <c r="V15" s="178">
        <v>651764.1</v>
      </c>
      <c r="W15" s="178">
        <v>0</v>
      </c>
      <c r="X15" s="178">
        <v>93016.13</v>
      </c>
      <c r="Y15" s="178">
        <v>101.9</v>
      </c>
      <c r="Z15" s="178">
        <v>3467.6</v>
      </c>
      <c r="AA15" s="178">
        <v>0</v>
      </c>
      <c r="AB15" s="178">
        <v>0</v>
      </c>
      <c r="AC15" s="178">
        <v>0</v>
      </c>
      <c r="AD15" s="178">
        <v>872128.85</v>
      </c>
      <c r="AE15" s="178">
        <v>42379.61</v>
      </c>
      <c r="AF15" s="178">
        <v>0</v>
      </c>
      <c r="AG15" s="178">
        <v>0</v>
      </c>
      <c r="AH15" s="178">
        <v>932.14</v>
      </c>
      <c r="AI15" s="178">
        <v>247.5</v>
      </c>
      <c r="AJ15" s="178">
        <v>0</v>
      </c>
      <c r="AK15" s="178">
        <v>0</v>
      </c>
      <c r="AL15" s="178">
        <v>321513.61</v>
      </c>
      <c r="AM15" s="178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5227.82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8">
        <v>13.07</v>
      </c>
      <c r="S16" s="178">
        <v>0</v>
      </c>
      <c r="T16" s="178">
        <v>513.78</v>
      </c>
      <c r="U16" s="178">
        <v>0</v>
      </c>
      <c r="V16" s="178">
        <v>468630.07</v>
      </c>
      <c r="W16" s="178">
        <v>0</v>
      </c>
      <c r="X16" s="178">
        <v>3434.57</v>
      </c>
      <c r="Y16" s="178">
        <v>15978.47</v>
      </c>
      <c r="Z16" s="178">
        <v>0</v>
      </c>
      <c r="AA16" s="178">
        <v>0</v>
      </c>
      <c r="AB16" s="178">
        <v>0</v>
      </c>
      <c r="AC16" s="178">
        <v>0</v>
      </c>
      <c r="AD16" s="178">
        <v>294111.08</v>
      </c>
      <c r="AE16" s="178">
        <v>32540.73</v>
      </c>
      <c r="AF16" s="178">
        <v>0</v>
      </c>
      <c r="AG16" s="178">
        <v>0</v>
      </c>
      <c r="AH16" s="178">
        <v>10833.07</v>
      </c>
      <c r="AI16" s="178">
        <v>36872.97</v>
      </c>
      <c r="AJ16" s="178">
        <v>0</v>
      </c>
      <c r="AK16" s="178">
        <v>0</v>
      </c>
      <c r="AL16" s="178">
        <v>118486.69</v>
      </c>
      <c r="AM16" s="178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136301.26999999999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8">
        <v>237816.35</v>
      </c>
      <c r="S17" s="178">
        <v>0</v>
      </c>
      <c r="T17" s="178">
        <v>97769.12</v>
      </c>
      <c r="U17" s="178">
        <v>7220.8</v>
      </c>
      <c r="V17" s="178">
        <v>378614.23</v>
      </c>
      <c r="W17" s="178">
        <v>143033.72</v>
      </c>
      <c r="X17" s="178">
        <v>86037.41</v>
      </c>
      <c r="Y17" s="178">
        <v>-26.33</v>
      </c>
      <c r="Z17" s="178">
        <v>171305.24</v>
      </c>
      <c r="AA17" s="178">
        <v>19881.82</v>
      </c>
      <c r="AB17" s="178">
        <v>0</v>
      </c>
      <c r="AC17" s="178">
        <v>37314.06</v>
      </c>
      <c r="AD17" s="178">
        <v>2398983.87</v>
      </c>
      <c r="AE17" s="178">
        <v>45064.24</v>
      </c>
      <c r="AF17" s="178">
        <v>0</v>
      </c>
      <c r="AG17" s="178">
        <v>0</v>
      </c>
      <c r="AH17" s="178">
        <v>94822.97</v>
      </c>
      <c r="AI17" s="178">
        <v>83959.64</v>
      </c>
      <c r="AJ17" s="178">
        <v>19541.2</v>
      </c>
      <c r="AK17" s="178">
        <v>13595.09</v>
      </c>
      <c r="AL17" s="178">
        <v>168246.88</v>
      </c>
      <c r="AM17" s="178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7484.41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8">
        <v>42046.85</v>
      </c>
      <c r="S18" s="178">
        <v>343025</v>
      </c>
      <c r="T18" s="178">
        <v>23770.21</v>
      </c>
      <c r="U18" s="178">
        <v>19758.25</v>
      </c>
      <c r="V18" s="178">
        <v>521537.31</v>
      </c>
      <c r="W18" s="178">
        <v>132881.39000000001</v>
      </c>
      <c r="X18" s="178">
        <v>29778.59</v>
      </c>
      <c r="Y18" s="178">
        <v>10230.18</v>
      </c>
      <c r="Z18" s="178">
        <v>30993.759999999998</v>
      </c>
      <c r="AA18" s="178">
        <v>24565.15</v>
      </c>
      <c r="AB18" s="178">
        <v>0</v>
      </c>
      <c r="AC18" s="178">
        <v>0</v>
      </c>
      <c r="AD18" s="178">
        <v>240826.39</v>
      </c>
      <c r="AE18" s="178">
        <v>15630.26</v>
      </c>
      <c r="AF18" s="178">
        <v>644050.23</v>
      </c>
      <c r="AG18" s="178">
        <v>0</v>
      </c>
      <c r="AH18" s="178">
        <v>35828.31</v>
      </c>
      <c r="AI18" s="178">
        <v>32834.75</v>
      </c>
      <c r="AJ18" s="178">
        <v>24110.5</v>
      </c>
      <c r="AK18" s="178">
        <v>0</v>
      </c>
      <c r="AL18" s="178">
        <v>406732.73</v>
      </c>
      <c r="AM18" s="178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246.4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8">
        <v>0</v>
      </c>
      <c r="S19" s="178">
        <v>0</v>
      </c>
      <c r="T19" s="178">
        <v>5345.9</v>
      </c>
      <c r="U19" s="178">
        <v>-4749</v>
      </c>
      <c r="V19" s="178">
        <v>28708.04</v>
      </c>
      <c r="W19" s="178">
        <v>35806.660000000003</v>
      </c>
      <c r="X19" s="178">
        <v>31727.86</v>
      </c>
      <c r="Y19" s="178">
        <v>0</v>
      </c>
      <c r="Z19" s="178">
        <v>0</v>
      </c>
      <c r="AA19" s="178">
        <v>4115.41</v>
      </c>
      <c r="AB19" s="178">
        <v>1512.5</v>
      </c>
      <c r="AC19" s="178">
        <v>1010.61</v>
      </c>
      <c r="AD19" s="178">
        <v>0</v>
      </c>
      <c r="AE19" s="178">
        <v>857.82</v>
      </c>
      <c r="AF19" s="178">
        <v>23642.77</v>
      </c>
      <c r="AG19" s="178">
        <v>0</v>
      </c>
      <c r="AH19" s="178">
        <v>13181.5</v>
      </c>
      <c r="AI19" s="178">
        <v>27187.15</v>
      </c>
      <c r="AJ19" s="178">
        <v>6893.96</v>
      </c>
      <c r="AK19" s="178">
        <v>34.380000000000003</v>
      </c>
      <c r="AL19" s="178">
        <v>136768.70000000001</v>
      </c>
      <c r="AM19" s="178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18961.29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8">
        <v>0</v>
      </c>
      <c r="S20" s="178">
        <v>1640076</v>
      </c>
      <c r="T20" s="178">
        <v>11277.56</v>
      </c>
      <c r="U20" s="178">
        <v>97561.13</v>
      </c>
      <c r="V20" s="178">
        <v>118921.13</v>
      </c>
      <c r="W20" s="178">
        <v>28883.11</v>
      </c>
      <c r="X20" s="178">
        <v>155482.63</v>
      </c>
      <c r="Y20" s="178">
        <v>0</v>
      </c>
      <c r="Z20" s="178">
        <v>0</v>
      </c>
      <c r="AA20" s="178">
        <v>0</v>
      </c>
      <c r="AB20" s="178">
        <v>0</v>
      </c>
      <c r="AC20" s="178">
        <v>180467.78</v>
      </c>
      <c r="AD20" s="178">
        <v>0</v>
      </c>
      <c r="AE20" s="178">
        <v>156904.78</v>
      </c>
      <c r="AF20" s="178">
        <v>0</v>
      </c>
      <c r="AG20" s="178">
        <v>0</v>
      </c>
      <c r="AH20" s="178">
        <v>48963.16</v>
      </c>
      <c r="AI20" s="178">
        <v>28568.84</v>
      </c>
      <c r="AJ20" s="178">
        <v>1006.63</v>
      </c>
      <c r="AK20" s="178">
        <v>32638.95</v>
      </c>
      <c r="AL20" s="178">
        <v>21921.59</v>
      </c>
      <c r="AM20" s="178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98965.54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8">
        <v>0</v>
      </c>
      <c r="S21" s="178">
        <v>75024</v>
      </c>
      <c r="T21" s="178">
        <v>3587.75</v>
      </c>
      <c r="U21" s="178">
        <v>6266.71</v>
      </c>
      <c r="V21" s="178">
        <v>540432.06999999995</v>
      </c>
      <c r="W21" s="178">
        <v>71317.63</v>
      </c>
      <c r="X21" s="178">
        <v>10104.969999999999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79424.66</v>
      </c>
      <c r="AF21" s="178">
        <v>538842.15</v>
      </c>
      <c r="AG21" s="178">
        <v>0</v>
      </c>
      <c r="AH21" s="178">
        <v>11903.98</v>
      </c>
      <c r="AI21" s="178">
        <v>12019.36</v>
      </c>
      <c r="AJ21" s="178">
        <v>283.13</v>
      </c>
      <c r="AK21" s="178">
        <v>7052.55</v>
      </c>
      <c r="AL21" s="178">
        <v>33184.82</v>
      </c>
      <c r="AM21" s="178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189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8">
        <v>0</v>
      </c>
      <c r="S22" s="178">
        <v>0</v>
      </c>
      <c r="T22" s="178">
        <v>21158.31</v>
      </c>
      <c r="U22" s="178">
        <v>9.8699999999999992</v>
      </c>
      <c r="V22" s="178">
        <v>272873.49</v>
      </c>
      <c r="W22" s="178">
        <v>61156.69</v>
      </c>
      <c r="X22" s="178">
        <v>7581.32</v>
      </c>
      <c r="Y22" s="178">
        <v>1441.85</v>
      </c>
      <c r="Z22" s="178">
        <v>0</v>
      </c>
      <c r="AA22" s="178">
        <v>0</v>
      </c>
      <c r="AB22" s="178">
        <v>0</v>
      </c>
      <c r="AC22" s="178">
        <v>3500.21</v>
      </c>
      <c r="AD22" s="178">
        <v>0</v>
      </c>
      <c r="AE22" s="178">
        <v>475.27</v>
      </c>
      <c r="AF22" s="178">
        <v>83870.600000000006</v>
      </c>
      <c r="AG22" s="178">
        <v>0</v>
      </c>
      <c r="AH22" s="178">
        <v>4862.6400000000003</v>
      </c>
      <c r="AI22" s="178">
        <v>29131.46</v>
      </c>
      <c r="AJ22" s="178">
        <v>3007.78</v>
      </c>
      <c r="AK22" s="178">
        <v>0</v>
      </c>
      <c r="AL22" s="178">
        <v>172138.65</v>
      </c>
      <c r="AM22" s="178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241352.71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8">
        <v>11121.92</v>
      </c>
      <c r="S23" s="178">
        <v>400579</v>
      </c>
      <c r="T23" s="178">
        <v>50738.67</v>
      </c>
      <c r="U23" s="178">
        <v>417822.81</v>
      </c>
      <c r="V23" s="178">
        <v>160776.12</v>
      </c>
      <c r="W23" s="178">
        <v>789701.74</v>
      </c>
      <c r="X23" s="178">
        <v>359286.58</v>
      </c>
      <c r="Y23" s="178">
        <v>33526.61</v>
      </c>
      <c r="Z23" s="178">
        <v>572.37</v>
      </c>
      <c r="AA23" s="178">
        <v>3139.16</v>
      </c>
      <c r="AB23" s="178">
        <v>1595</v>
      </c>
      <c r="AC23" s="178">
        <v>16919.88</v>
      </c>
      <c r="AD23" s="178">
        <v>0</v>
      </c>
      <c r="AE23" s="178">
        <v>200800.63</v>
      </c>
      <c r="AF23" s="178">
        <v>369244.3</v>
      </c>
      <c r="AG23" s="178">
        <v>0</v>
      </c>
      <c r="AH23" s="178">
        <v>5025.8900000000003</v>
      </c>
      <c r="AI23" s="178">
        <v>194414.63</v>
      </c>
      <c r="AJ23" s="178">
        <v>271870.27</v>
      </c>
      <c r="AK23" s="178">
        <v>20108.07</v>
      </c>
      <c r="AL23" s="178">
        <v>628104.67000000004</v>
      </c>
      <c r="AM23" s="178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55089.05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8">
        <v>0</v>
      </c>
      <c r="S24" s="178">
        <v>0</v>
      </c>
      <c r="T24" s="178">
        <v>140240.14000000001</v>
      </c>
      <c r="U24" s="178">
        <v>267.35000000000002</v>
      </c>
      <c r="V24" s="178">
        <v>245143.09</v>
      </c>
      <c r="W24" s="178">
        <v>17409.95</v>
      </c>
      <c r="X24" s="178">
        <v>4289.04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1244843.8400000001</v>
      </c>
      <c r="AE24" s="178">
        <v>14566.25</v>
      </c>
      <c r="AF24" s="178">
        <v>0</v>
      </c>
      <c r="AG24" s="178">
        <v>0</v>
      </c>
      <c r="AH24" s="178">
        <v>27902.86</v>
      </c>
      <c r="AI24" s="178">
        <v>524824.37</v>
      </c>
      <c r="AJ24" s="178">
        <v>186535.72</v>
      </c>
      <c r="AK24" s="178">
        <v>0</v>
      </c>
      <c r="AL24" s="178">
        <v>634454.57999999996</v>
      </c>
      <c r="AM24" s="178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101903.73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8">
        <v>0</v>
      </c>
      <c r="S25" s="178">
        <v>0</v>
      </c>
      <c r="T25" s="178">
        <v>-1863.36</v>
      </c>
      <c r="U25" s="178">
        <v>58</v>
      </c>
      <c r="V25" s="178">
        <v>73859.12</v>
      </c>
      <c r="W25" s="178">
        <v>8062.13</v>
      </c>
      <c r="X25" s="178">
        <v>4194.8900000000003</v>
      </c>
      <c r="Y25" s="178">
        <v>0</v>
      </c>
      <c r="Z25" s="178">
        <v>0</v>
      </c>
      <c r="AA25" s="178">
        <v>0</v>
      </c>
      <c r="AB25" s="178">
        <v>25524.58</v>
      </c>
      <c r="AC25" s="178">
        <v>0</v>
      </c>
      <c r="AD25" s="178">
        <v>24026.42</v>
      </c>
      <c r="AE25" s="178">
        <v>6259.65</v>
      </c>
      <c r="AF25" s="178">
        <v>7364.24</v>
      </c>
      <c r="AG25" s="178">
        <v>0</v>
      </c>
      <c r="AH25" s="178">
        <v>823.92</v>
      </c>
      <c r="AI25" s="178">
        <v>0</v>
      </c>
      <c r="AJ25" s="178">
        <v>6704.43</v>
      </c>
      <c r="AK25" s="178">
        <v>463</v>
      </c>
      <c r="AL25" s="178">
        <v>0</v>
      </c>
      <c r="AM25" s="178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405526.84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8">
        <v>14931.93</v>
      </c>
      <c r="S26" s="178">
        <v>426845</v>
      </c>
      <c r="T26" s="178">
        <v>168205.01</v>
      </c>
      <c r="U26" s="178">
        <v>367975.08</v>
      </c>
      <c r="V26" s="178">
        <v>0</v>
      </c>
      <c r="W26" s="178">
        <v>0</v>
      </c>
      <c r="X26" s="178">
        <v>370142.85</v>
      </c>
      <c r="Y26" s="178">
        <v>54618.14</v>
      </c>
      <c r="Z26" s="178">
        <v>0</v>
      </c>
      <c r="AA26" s="178">
        <v>202129.65</v>
      </c>
      <c r="AB26" s="178">
        <v>9682.09</v>
      </c>
      <c r="AC26" s="178">
        <v>0</v>
      </c>
      <c r="AD26" s="178">
        <v>2888634.55</v>
      </c>
      <c r="AE26" s="178">
        <v>0</v>
      </c>
      <c r="AF26" s="178">
        <v>102221.69</v>
      </c>
      <c r="AG26" s="178">
        <v>85389.08</v>
      </c>
      <c r="AH26" s="178">
        <v>7201.43</v>
      </c>
      <c r="AI26" s="178">
        <v>46809.09</v>
      </c>
      <c r="AJ26" s="178">
        <v>2099.37</v>
      </c>
      <c r="AK26" s="178">
        <v>140643.99</v>
      </c>
      <c r="AL26" s="178">
        <v>1240469.1299999999</v>
      </c>
      <c r="AM26" s="178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6926.2</v>
      </c>
      <c r="Y27" s="178">
        <v>0</v>
      </c>
      <c r="Z27" s="178">
        <v>0</v>
      </c>
      <c r="AA27" s="178">
        <v>0</v>
      </c>
      <c r="AB27" s="178">
        <v>0</v>
      </c>
      <c r="AC27" s="178">
        <v>0</v>
      </c>
      <c r="AD27" s="178">
        <v>0</v>
      </c>
      <c r="AE27" s="178">
        <v>0</v>
      </c>
      <c r="AF27" s="178">
        <v>0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11199.19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8">
        <v>700.61</v>
      </c>
      <c r="S28" s="178">
        <v>13751</v>
      </c>
      <c r="T28" s="178">
        <v>17491.52</v>
      </c>
      <c r="U28" s="178">
        <v>0</v>
      </c>
      <c r="V28" s="178">
        <v>51857.63</v>
      </c>
      <c r="W28" s="178">
        <v>30365.29</v>
      </c>
      <c r="X28" s="178">
        <v>37240.44</v>
      </c>
      <c r="Y28" s="178">
        <v>6172.31</v>
      </c>
      <c r="Z28" s="178">
        <v>1900.34</v>
      </c>
      <c r="AA28" s="178">
        <v>0</v>
      </c>
      <c r="AB28" s="178">
        <v>0</v>
      </c>
      <c r="AC28" s="178">
        <v>5578.69</v>
      </c>
      <c r="AD28" s="178">
        <v>0</v>
      </c>
      <c r="AE28" s="178">
        <v>0</v>
      </c>
      <c r="AF28" s="178">
        <v>0</v>
      </c>
      <c r="AG28" s="178">
        <v>0</v>
      </c>
      <c r="AH28" s="178">
        <v>14622.9</v>
      </c>
      <c r="AI28" s="178">
        <v>0</v>
      </c>
      <c r="AJ28" s="178">
        <v>5564.1</v>
      </c>
      <c r="AK28" s="178">
        <v>0</v>
      </c>
      <c r="AL28" s="178">
        <v>90377.74</v>
      </c>
      <c r="AM28" s="178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8">
        <v>0</v>
      </c>
      <c r="S29" s="178">
        <v>0</v>
      </c>
      <c r="T29" s="178">
        <v>0</v>
      </c>
      <c r="U29" s="178">
        <v>3900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172800</v>
      </c>
      <c r="AB29" s="178">
        <v>0</v>
      </c>
      <c r="AC29" s="178">
        <v>0</v>
      </c>
      <c r="AD29" s="178">
        <v>104159.05</v>
      </c>
      <c r="AE29" s="178">
        <v>0</v>
      </c>
      <c r="AF29" s="178">
        <v>0</v>
      </c>
      <c r="AG29" s="178">
        <v>810</v>
      </c>
      <c r="AH29" s="178">
        <v>0</v>
      </c>
      <c r="AI29" s="178">
        <v>65710.39</v>
      </c>
      <c r="AJ29" s="178">
        <v>0</v>
      </c>
      <c r="AK29" s="178">
        <v>0</v>
      </c>
      <c r="AL29" s="178">
        <v>0</v>
      </c>
      <c r="AM29" s="178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1376142.3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8">
        <v>322946.67</v>
      </c>
      <c r="S30" s="178">
        <v>3791562</v>
      </c>
      <c r="T30" s="178">
        <v>711340.02000000014</v>
      </c>
      <c r="U30" s="178">
        <v>1554358.2000000002</v>
      </c>
      <c r="V30" s="178">
        <v>5326504.88</v>
      </c>
      <c r="W30" s="178">
        <v>2169275.2400000002</v>
      </c>
      <c r="X30" s="178">
        <v>1702685.14</v>
      </c>
      <c r="Y30" s="178">
        <v>322477.75</v>
      </c>
      <c r="Z30" s="178">
        <v>208239.31</v>
      </c>
      <c r="AA30" s="178">
        <v>721685.66999999993</v>
      </c>
      <c r="AB30" s="178">
        <v>39763.949999999997</v>
      </c>
      <c r="AC30" s="178">
        <v>263089.51999999996</v>
      </c>
      <c r="AD30" s="178">
        <v>12325446.510000002</v>
      </c>
      <c r="AE30" s="178">
        <v>1132180.44</v>
      </c>
      <c r="AF30" s="178">
        <v>2364660.36</v>
      </c>
      <c r="AG30" s="178">
        <v>128569.22</v>
      </c>
      <c r="AH30" s="178">
        <v>340593.14</v>
      </c>
      <c r="AI30" s="178">
        <v>1174580.75</v>
      </c>
      <c r="AJ30" s="178">
        <v>904644.56</v>
      </c>
      <c r="AK30" s="178">
        <v>427285.43</v>
      </c>
      <c r="AL30" s="178">
        <v>5982342.2499999991</v>
      </c>
      <c r="AM30" s="178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8489.36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8">
        <v>0</v>
      </c>
      <c r="S31" s="178">
        <v>0</v>
      </c>
      <c r="T31" s="178">
        <v>76803.62</v>
      </c>
      <c r="U31" s="178">
        <v>81810.210000000006</v>
      </c>
      <c r="V31" s="178">
        <v>0</v>
      </c>
      <c r="W31" s="178">
        <v>0</v>
      </c>
      <c r="X31" s="178">
        <v>33811.9</v>
      </c>
      <c r="Y31" s="178">
        <v>43284.33</v>
      </c>
      <c r="Z31" s="178">
        <v>0</v>
      </c>
      <c r="AA31" s="178">
        <v>105173.89</v>
      </c>
      <c r="AB31" s="178">
        <v>0</v>
      </c>
      <c r="AC31" s="178">
        <v>0</v>
      </c>
      <c r="AD31" s="178">
        <v>0</v>
      </c>
      <c r="AE31" s="178">
        <v>474071.66</v>
      </c>
      <c r="AF31" s="178">
        <v>0</v>
      </c>
      <c r="AG31" s="178">
        <v>0</v>
      </c>
      <c r="AH31" s="178">
        <v>40769.99</v>
      </c>
      <c r="AI31" s="178">
        <v>369946.43</v>
      </c>
      <c r="AJ31" s="178">
        <v>0</v>
      </c>
      <c r="AK31" s="178">
        <v>40472.83</v>
      </c>
      <c r="AL31" s="178">
        <v>0</v>
      </c>
      <c r="AM31" s="178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8">
        <v>0</v>
      </c>
      <c r="S32" s="178">
        <v>0</v>
      </c>
      <c r="T32" s="178">
        <v>59976.18</v>
      </c>
      <c r="U32" s="178">
        <v>7200.57</v>
      </c>
      <c r="V32" s="178">
        <v>138933.73000000001</v>
      </c>
      <c r="W32" s="178">
        <v>0</v>
      </c>
      <c r="X32" s="178">
        <v>44791.86</v>
      </c>
      <c r="Y32" s="178">
        <v>0</v>
      </c>
      <c r="Z32" s="178">
        <v>0</v>
      </c>
      <c r="AA32" s="178">
        <v>4565.47</v>
      </c>
      <c r="AB32" s="178">
        <v>7947.74</v>
      </c>
      <c r="AC32" s="178">
        <v>0</v>
      </c>
      <c r="AD32" s="178">
        <v>0</v>
      </c>
      <c r="AE32" s="178">
        <v>0</v>
      </c>
      <c r="AF32" s="178">
        <v>0</v>
      </c>
      <c r="AG32" s="178">
        <v>62772.34</v>
      </c>
      <c r="AH32" s="178">
        <v>4392.6400000000003</v>
      </c>
      <c r="AI32" s="178">
        <v>0</v>
      </c>
      <c r="AJ32" s="178">
        <v>4946.82</v>
      </c>
      <c r="AK32" s="178">
        <v>0</v>
      </c>
      <c r="AL32" s="178">
        <v>45460.5</v>
      </c>
      <c r="AM32" s="178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8">
        <v>0</v>
      </c>
      <c r="S33" s="178">
        <v>0</v>
      </c>
      <c r="T33" s="178">
        <v>62985.83</v>
      </c>
      <c r="U33" s="178">
        <v>0</v>
      </c>
      <c r="V33" s="178">
        <v>0</v>
      </c>
      <c r="W33" s="178">
        <v>22353.05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279788.24</v>
      </c>
      <c r="AG33" s="178">
        <v>53287.28</v>
      </c>
      <c r="AH33" s="178">
        <v>0</v>
      </c>
      <c r="AI33" s="178">
        <v>0</v>
      </c>
      <c r="AJ33" s="178">
        <v>0</v>
      </c>
      <c r="AK33" s="178">
        <v>0</v>
      </c>
      <c r="AL33" s="178">
        <v>0</v>
      </c>
      <c r="AM33" s="178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33377.07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8">
        <v>6769.92</v>
      </c>
      <c r="S34" s="178">
        <v>76514</v>
      </c>
      <c r="T34" s="178">
        <v>1222.4100000000001</v>
      </c>
      <c r="U34" s="178">
        <v>3639.94</v>
      </c>
      <c r="V34" s="178">
        <v>3546.07</v>
      </c>
      <c r="W34" s="178">
        <v>0</v>
      </c>
      <c r="X34" s="178">
        <v>192234.54</v>
      </c>
      <c r="Y34" s="178">
        <v>12225.62</v>
      </c>
      <c r="Z34" s="178">
        <v>0</v>
      </c>
      <c r="AA34" s="178">
        <v>35930.61</v>
      </c>
      <c r="AB34" s="178">
        <v>5093.05</v>
      </c>
      <c r="AC34" s="178">
        <v>0</v>
      </c>
      <c r="AD34" s="178">
        <v>0</v>
      </c>
      <c r="AE34" s="178">
        <v>109248.52</v>
      </c>
      <c r="AF34" s="178">
        <v>104492.04</v>
      </c>
      <c r="AG34" s="178">
        <v>0</v>
      </c>
      <c r="AH34" s="178">
        <v>13968.58</v>
      </c>
      <c r="AI34" s="178">
        <v>300</v>
      </c>
      <c r="AJ34" s="178">
        <v>670.65</v>
      </c>
      <c r="AK34" s="178">
        <v>28422.37</v>
      </c>
      <c r="AL34" s="178">
        <v>159993.48000000001</v>
      </c>
      <c r="AM34" s="178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10631.58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8">
        <v>0</v>
      </c>
      <c r="S35" s="178">
        <v>3835</v>
      </c>
      <c r="T35" s="178">
        <v>30322.22</v>
      </c>
      <c r="U35" s="178">
        <v>55725.75</v>
      </c>
      <c r="V35" s="178">
        <v>184909.56</v>
      </c>
      <c r="W35" s="178">
        <v>39719.79</v>
      </c>
      <c r="X35" s="178">
        <v>85079.6</v>
      </c>
      <c r="Y35" s="178">
        <v>13107.17</v>
      </c>
      <c r="Z35" s="178">
        <v>0</v>
      </c>
      <c r="AA35" s="178">
        <v>91285.74</v>
      </c>
      <c r="AB35" s="178">
        <v>2693</v>
      </c>
      <c r="AC35" s="178">
        <v>12302.31</v>
      </c>
      <c r="AD35" s="178">
        <v>0</v>
      </c>
      <c r="AE35" s="178">
        <v>162024.95999999999</v>
      </c>
      <c r="AF35" s="178">
        <v>0</v>
      </c>
      <c r="AG35" s="178">
        <v>56496.7</v>
      </c>
      <c r="AH35" s="178">
        <v>7308.58</v>
      </c>
      <c r="AI35" s="178">
        <v>34878.769999999997</v>
      </c>
      <c r="AJ35" s="178">
        <v>64492.72</v>
      </c>
      <c r="AK35" s="178">
        <v>41705.480000000003</v>
      </c>
      <c r="AL35" s="178">
        <v>214280.77</v>
      </c>
      <c r="AM35" s="178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49139.87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8">
        <v>480</v>
      </c>
      <c r="S36" s="178">
        <v>78864</v>
      </c>
      <c r="T36" s="178">
        <v>163820.96</v>
      </c>
      <c r="U36" s="178">
        <v>200915.67</v>
      </c>
      <c r="V36" s="178">
        <v>1092957.54</v>
      </c>
      <c r="W36" s="178">
        <v>500336.5</v>
      </c>
      <c r="X36" s="178">
        <v>323488.53999999998</v>
      </c>
      <c r="Y36" s="178">
        <v>11728.62</v>
      </c>
      <c r="Z36" s="178">
        <v>0</v>
      </c>
      <c r="AA36" s="178">
        <v>354023.63</v>
      </c>
      <c r="AB36" s="178">
        <v>4521.75</v>
      </c>
      <c r="AC36" s="178">
        <v>151180.76999999999</v>
      </c>
      <c r="AD36" s="178">
        <v>3267818.11</v>
      </c>
      <c r="AE36" s="178">
        <v>377820.97</v>
      </c>
      <c r="AF36" s="178">
        <v>0</v>
      </c>
      <c r="AG36" s="178">
        <v>0</v>
      </c>
      <c r="AH36" s="178">
        <v>46203.19</v>
      </c>
      <c r="AI36" s="178">
        <v>159428.98000000001</v>
      </c>
      <c r="AJ36" s="178">
        <v>79683.23</v>
      </c>
      <c r="AK36" s="178">
        <v>63367.3</v>
      </c>
      <c r="AL36" s="178">
        <v>332020.59999999998</v>
      </c>
      <c r="AM36" s="178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64767.27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8">
        <v>179.74</v>
      </c>
      <c r="S37" s="178">
        <v>1350</v>
      </c>
      <c r="T37" s="178">
        <v>60916.82</v>
      </c>
      <c r="U37" s="178">
        <v>348454.26</v>
      </c>
      <c r="V37" s="178">
        <v>240384.79</v>
      </c>
      <c r="W37" s="178">
        <v>318230.56</v>
      </c>
      <c r="X37" s="178">
        <v>272975.89</v>
      </c>
      <c r="Y37" s="178">
        <v>27419.25</v>
      </c>
      <c r="Z37" s="178">
        <v>0</v>
      </c>
      <c r="AA37" s="178">
        <v>154567.09</v>
      </c>
      <c r="AB37" s="178">
        <v>0</v>
      </c>
      <c r="AC37" s="178">
        <v>48857.25</v>
      </c>
      <c r="AD37" s="178">
        <v>0</v>
      </c>
      <c r="AE37" s="178">
        <v>179371.86</v>
      </c>
      <c r="AF37" s="178">
        <v>411745.24</v>
      </c>
      <c r="AG37" s="178">
        <v>165309.92000000001</v>
      </c>
      <c r="AH37" s="178">
        <v>32260.3</v>
      </c>
      <c r="AI37" s="178">
        <v>139342.53</v>
      </c>
      <c r="AJ37" s="178">
        <v>709316.32</v>
      </c>
      <c r="AK37" s="178">
        <v>5048.43</v>
      </c>
      <c r="AL37" s="178">
        <v>297737.45</v>
      </c>
      <c r="AM37" s="178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119800.61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8">
        <v>62820.160000000003</v>
      </c>
      <c r="S38" s="178">
        <v>0</v>
      </c>
      <c r="T38" s="178">
        <v>132083.17000000001</v>
      </c>
      <c r="U38" s="178">
        <v>386926.81</v>
      </c>
      <c r="V38" s="178">
        <v>720220.44</v>
      </c>
      <c r="W38" s="178">
        <v>368425.65</v>
      </c>
      <c r="X38" s="178">
        <v>464164.87</v>
      </c>
      <c r="Y38" s="178">
        <v>62947.87</v>
      </c>
      <c r="Z38" s="178">
        <v>0</v>
      </c>
      <c r="AA38" s="178">
        <v>168298.9</v>
      </c>
      <c r="AB38" s="178">
        <v>5995</v>
      </c>
      <c r="AC38" s="178">
        <v>320686.77</v>
      </c>
      <c r="AD38" s="178">
        <v>863795.36</v>
      </c>
      <c r="AE38" s="178">
        <v>179524.08</v>
      </c>
      <c r="AF38" s="178">
        <v>689860.26</v>
      </c>
      <c r="AG38" s="178">
        <v>136952.24</v>
      </c>
      <c r="AH38" s="178">
        <v>62555.37</v>
      </c>
      <c r="AI38" s="178">
        <v>536618.78</v>
      </c>
      <c r="AJ38" s="178">
        <v>161383.34</v>
      </c>
      <c r="AK38" s="178">
        <v>68501.72</v>
      </c>
      <c r="AL38" s="178">
        <v>440103.71</v>
      </c>
      <c r="AM38" s="178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8">
        <v>0</v>
      </c>
      <c r="S39" s="178">
        <v>861</v>
      </c>
      <c r="T39" s="178">
        <v>599.91999999999996</v>
      </c>
      <c r="U39" s="178">
        <v>25622.9</v>
      </c>
      <c r="V39" s="178">
        <v>167530.62</v>
      </c>
      <c r="W39" s="178">
        <v>70519.490000000005</v>
      </c>
      <c r="X39" s="178">
        <v>4650.9399999999996</v>
      </c>
      <c r="Y39" s="178">
        <v>1406.16</v>
      </c>
      <c r="Z39" s="178">
        <v>0</v>
      </c>
      <c r="AA39" s="178">
        <v>-612.54999999999995</v>
      </c>
      <c r="AB39" s="178">
        <v>0</v>
      </c>
      <c r="AC39" s="178">
        <v>0</v>
      </c>
      <c r="AD39" s="178">
        <v>0</v>
      </c>
      <c r="AE39" s="178">
        <v>1055.25</v>
      </c>
      <c r="AF39" s="178">
        <v>0</v>
      </c>
      <c r="AG39" s="178">
        <v>0</v>
      </c>
      <c r="AH39" s="178">
        <v>130.9</v>
      </c>
      <c r="AI39" s="178">
        <v>0</v>
      </c>
      <c r="AJ39" s="178">
        <v>23297.63</v>
      </c>
      <c r="AK39" s="178">
        <v>0</v>
      </c>
      <c r="AL39" s="178">
        <v>144720.10999999999</v>
      </c>
      <c r="AM39" s="178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24178.03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8">
        <v>0</v>
      </c>
      <c r="S40" s="178">
        <v>11569</v>
      </c>
      <c r="T40" s="178">
        <v>10467.19</v>
      </c>
      <c r="U40" s="178">
        <v>134677.26999999999</v>
      </c>
      <c r="V40" s="178">
        <v>618634.93999999994</v>
      </c>
      <c r="W40" s="178">
        <v>430075.21</v>
      </c>
      <c r="X40" s="178">
        <v>29858.51</v>
      </c>
      <c r="Y40" s="178">
        <v>3477.39</v>
      </c>
      <c r="Z40" s="178">
        <v>0</v>
      </c>
      <c r="AA40" s="178">
        <v>127172.56</v>
      </c>
      <c r="AB40" s="178">
        <v>0</v>
      </c>
      <c r="AC40" s="178">
        <v>57680.22</v>
      </c>
      <c r="AD40" s="178">
        <v>5625572.9299999997</v>
      </c>
      <c r="AE40" s="178">
        <v>12743.8</v>
      </c>
      <c r="AF40" s="178">
        <v>0</v>
      </c>
      <c r="AG40" s="178">
        <v>9237.23</v>
      </c>
      <c r="AH40" s="178">
        <v>3996.48</v>
      </c>
      <c r="AI40" s="178">
        <v>75327.78</v>
      </c>
      <c r="AJ40" s="178">
        <v>94793.4</v>
      </c>
      <c r="AK40" s="178">
        <v>14030.72</v>
      </c>
      <c r="AL40" s="178">
        <v>21042.3</v>
      </c>
      <c r="AM40" s="178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76614.06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8">
        <v>0</v>
      </c>
      <c r="S41" s="178">
        <v>478</v>
      </c>
      <c r="T41" s="178">
        <v>0</v>
      </c>
      <c r="U41" s="178">
        <v>294455.82</v>
      </c>
      <c r="V41" s="178">
        <v>320248.28000000003</v>
      </c>
      <c r="W41" s="178">
        <v>124568.69</v>
      </c>
      <c r="X41" s="178">
        <v>61012.49</v>
      </c>
      <c r="Y41" s="178">
        <v>90045.51</v>
      </c>
      <c r="Z41" s="178">
        <v>0</v>
      </c>
      <c r="AA41" s="178">
        <v>325505.96000000002</v>
      </c>
      <c r="AB41" s="178">
        <v>0</v>
      </c>
      <c r="AC41" s="178">
        <v>89065.94</v>
      </c>
      <c r="AD41" s="178">
        <v>0</v>
      </c>
      <c r="AE41" s="178">
        <v>102691.78</v>
      </c>
      <c r="AF41" s="178">
        <v>220811.47</v>
      </c>
      <c r="AG41" s="178">
        <v>-339010.07</v>
      </c>
      <c r="AH41" s="178">
        <v>175.5</v>
      </c>
      <c r="AI41" s="178">
        <v>179244.04</v>
      </c>
      <c r="AJ41" s="178">
        <v>59586.43</v>
      </c>
      <c r="AK41" s="178">
        <v>0</v>
      </c>
      <c r="AL41" s="178">
        <v>112540.51</v>
      </c>
      <c r="AM41" s="178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17208.13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8">
        <v>0</v>
      </c>
      <c r="S42" s="178">
        <v>7117</v>
      </c>
      <c r="T42" s="178">
        <v>37270.400000000001</v>
      </c>
      <c r="U42" s="178">
        <v>23439.69</v>
      </c>
      <c r="V42" s="178">
        <v>103138.44</v>
      </c>
      <c r="W42" s="178">
        <v>138687.49</v>
      </c>
      <c r="X42" s="178">
        <v>31679.25</v>
      </c>
      <c r="Y42" s="178">
        <v>42219.92</v>
      </c>
      <c r="Z42" s="178">
        <v>0</v>
      </c>
      <c r="AA42" s="178">
        <v>45954.15</v>
      </c>
      <c r="AB42" s="178">
        <v>0</v>
      </c>
      <c r="AC42" s="178">
        <v>19306.669999999998</v>
      </c>
      <c r="AD42" s="178">
        <v>0</v>
      </c>
      <c r="AE42" s="178">
        <v>24204.23</v>
      </c>
      <c r="AF42" s="178">
        <v>43346.76</v>
      </c>
      <c r="AG42" s="178">
        <v>41450.480000000003</v>
      </c>
      <c r="AH42" s="178">
        <v>0</v>
      </c>
      <c r="AI42" s="178">
        <v>38219.51</v>
      </c>
      <c r="AJ42" s="178">
        <v>16370.35</v>
      </c>
      <c r="AK42" s="178">
        <v>0</v>
      </c>
      <c r="AL42" s="178">
        <v>199136.66</v>
      </c>
      <c r="AM42" s="178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23318.880000000001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8">
        <v>41439.26</v>
      </c>
      <c r="S43" s="178">
        <v>-463</v>
      </c>
      <c r="T43" s="178">
        <v>105904.51</v>
      </c>
      <c r="U43" s="178">
        <v>0</v>
      </c>
      <c r="V43" s="178">
        <v>110665.43</v>
      </c>
      <c r="W43" s="178">
        <v>0</v>
      </c>
      <c r="X43" s="178">
        <v>369007.02</v>
      </c>
      <c r="Y43" s="178">
        <v>2530.71</v>
      </c>
      <c r="Z43" s="178">
        <v>0</v>
      </c>
      <c r="AA43" s="178">
        <v>255161.35</v>
      </c>
      <c r="AB43" s="178">
        <v>0</v>
      </c>
      <c r="AC43" s="178">
        <v>237613.57</v>
      </c>
      <c r="AD43" s="178">
        <v>1615062.16</v>
      </c>
      <c r="AE43" s="178">
        <v>196784.05</v>
      </c>
      <c r="AF43" s="178">
        <v>0</v>
      </c>
      <c r="AG43" s="178">
        <v>133663.82999999999</v>
      </c>
      <c r="AH43" s="178">
        <v>974.28</v>
      </c>
      <c r="AI43" s="178">
        <v>60986.6</v>
      </c>
      <c r="AJ43" s="178">
        <v>76419.100000000006</v>
      </c>
      <c r="AK43" s="178">
        <v>35785.040000000001</v>
      </c>
      <c r="AL43" s="178">
        <v>29633.279999999999</v>
      </c>
      <c r="AM43" s="178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427524.86000000004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8">
        <v>111689.08000000002</v>
      </c>
      <c r="S44" s="178">
        <v>180125</v>
      </c>
      <c r="T44" s="178">
        <v>742373.23</v>
      </c>
      <c r="U44" s="178">
        <v>1562868.89</v>
      </c>
      <c r="V44" s="178">
        <v>3701169.84</v>
      </c>
      <c r="W44" s="178">
        <v>2012916.4299999997</v>
      </c>
      <c r="X44" s="178">
        <v>1912755.41</v>
      </c>
      <c r="Y44" s="178">
        <v>310392.55000000005</v>
      </c>
      <c r="Z44" s="178">
        <v>0</v>
      </c>
      <c r="AA44" s="178">
        <v>1667026.8</v>
      </c>
      <c r="AB44" s="178">
        <v>26250.54</v>
      </c>
      <c r="AC44" s="178">
        <v>936693.5</v>
      </c>
      <c r="AD44" s="178">
        <v>11372248.559999999</v>
      </c>
      <c r="AE44" s="178">
        <v>1819541.16</v>
      </c>
      <c r="AF44" s="178">
        <v>1750044.01</v>
      </c>
      <c r="AG44" s="178">
        <v>320159.94999999995</v>
      </c>
      <c r="AH44" s="178">
        <v>212735.81</v>
      </c>
      <c r="AI44" s="178">
        <v>1594293.4200000004</v>
      </c>
      <c r="AJ44" s="178">
        <v>1290959.99</v>
      </c>
      <c r="AK44" s="178">
        <v>297333.88999999996</v>
      </c>
      <c r="AL44" s="178">
        <v>1996669.37</v>
      </c>
      <c r="AM44" s="178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8">
        <v>2421</v>
      </c>
      <c r="S45" s="178">
        <v>244254</v>
      </c>
      <c r="T45" s="178">
        <v>64477.279999999999</v>
      </c>
      <c r="U45" s="178">
        <v>354125.26</v>
      </c>
      <c r="V45" s="178">
        <v>0</v>
      </c>
      <c r="W45" s="178">
        <v>661051.16</v>
      </c>
      <c r="X45" s="178">
        <v>135934.95000000001</v>
      </c>
      <c r="Y45" s="178">
        <v>37473.160000000003</v>
      </c>
      <c r="Z45" s="178">
        <v>0</v>
      </c>
      <c r="AA45" s="178">
        <v>90766.13</v>
      </c>
      <c r="AB45" s="178">
        <v>0</v>
      </c>
      <c r="AC45" s="178">
        <v>102514.54</v>
      </c>
      <c r="AD45" s="178">
        <v>3346423.75</v>
      </c>
      <c r="AE45" s="178">
        <v>466369.12</v>
      </c>
      <c r="AF45" s="178">
        <v>0</v>
      </c>
      <c r="AG45" s="178">
        <v>0</v>
      </c>
      <c r="AH45" s="178">
        <v>0</v>
      </c>
      <c r="AI45" s="178">
        <v>182943.44</v>
      </c>
      <c r="AJ45" s="178">
        <v>31280.25</v>
      </c>
      <c r="AK45" s="178">
        <v>0</v>
      </c>
      <c r="AL45" s="178">
        <v>0</v>
      </c>
      <c r="AM45" s="178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8">
        <v>39511.699999999997</v>
      </c>
      <c r="S46" s="178">
        <v>270167</v>
      </c>
      <c r="T46" s="178">
        <v>16528.509999999998</v>
      </c>
      <c r="U46" s="178">
        <v>474668.05</v>
      </c>
      <c r="V46" s="178">
        <v>385991.65</v>
      </c>
      <c r="W46" s="178">
        <v>261151.49</v>
      </c>
      <c r="X46" s="178">
        <v>89466.54</v>
      </c>
      <c r="Y46" s="178">
        <v>103048.34</v>
      </c>
      <c r="Z46" s="178">
        <v>32959.160000000003</v>
      </c>
      <c r="AA46" s="178">
        <v>170501.94</v>
      </c>
      <c r="AB46" s="178">
        <v>0</v>
      </c>
      <c r="AC46" s="178">
        <v>54311.199999999997</v>
      </c>
      <c r="AD46" s="178">
        <v>2137216.25</v>
      </c>
      <c r="AE46" s="178">
        <v>261072.01</v>
      </c>
      <c r="AF46" s="178">
        <v>295890.69</v>
      </c>
      <c r="AG46" s="178">
        <v>0</v>
      </c>
      <c r="AH46" s="178">
        <v>62426.31</v>
      </c>
      <c r="AI46" s="178">
        <v>294424.44</v>
      </c>
      <c r="AJ46" s="178">
        <v>236772.21</v>
      </c>
      <c r="AK46" s="178">
        <v>3546.87</v>
      </c>
      <c r="AL46" s="178">
        <v>24410.27</v>
      </c>
      <c r="AM46" s="178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388247.57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8">
        <v>127999</v>
      </c>
      <c r="S47" s="178">
        <v>932853</v>
      </c>
      <c r="T47" s="178">
        <v>292854.96000000002</v>
      </c>
      <c r="U47" s="178">
        <v>782822.03</v>
      </c>
      <c r="V47" s="178">
        <v>856666.1</v>
      </c>
      <c r="W47" s="178">
        <v>1075142.3600000001</v>
      </c>
      <c r="X47" s="178">
        <v>468791.54</v>
      </c>
      <c r="Y47" s="178">
        <v>200099.41</v>
      </c>
      <c r="Z47" s="178">
        <v>78035.350000000006</v>
      </c>
      <c r="AA47" s="178">
        <v>431511.81</v>
      </c>
      <c r="AB47" s="178">
        <v>201913.39</v>
      </c>
      <c r="AC47" s="178">
        <v>236392.21</v>
      </c>
      <c r="AD47" s="178">
        <v>863810.11</v>
      </c>
      <c r="AE47" s="178">
        <v>2365443.0099999998</v>
      </c>
      <c r="AF47" s="178">
        <v>376717.04</v>
      </c>
      <c r="AG47" s="178">
        <v>840661.94</v>
      </c>
      <c r="AH47" s="178">
        <v>164329.73000000001</v>
      </c>
      <c r="AI47" s="178">
        <v>484435.85</v>
      </c>
      <c r="AJ47" s="178">
        <v>561370.9</v>
      </c>
      <c r="AK47" s="178">
        <v>149179.20000000001</v>
      </c>
      <c r="AL47" s="178">
        <v>1547561.38</v>
      </c>
      <c r="AM47" s="178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345165.19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8">
        <v>0</v>
      </c>
      <c r="S48" s="178">
        <v>258401</v>
      </c>
      <c r="T48" s="178">
        <v>314208.28000000003</v>
      </c>
      <c r="U48" s="178">
        <v>379474.9</v>
      </c>
      <c r="V48" s="178">
        <v>229986.16</v>
      </c>
      <c r="W48" s="178">
        <v>273855.51</v>
      </c>
      <c r="X48" s="178">
        <v>367129.86</v>
      </c>
      <c r="Y48" s="178">
        <v>104579.83</v>
      </c>
      <c r="Z48" s="178">
        <v>0</v>
      </c>
      <c r="AA48" s="178">
        <v>101199.66</v>
      </c>
      <c r="AB48" s="178">
        <v>0</v>
      </c>
      <c r="AC48" s="178">
        <v>89833.37</v>
      </c>
      <c r="AD48" s="178">
        <v>1075005.92</v>
      </c>
      <c r="AE48" s="178">
        <v>-987227.53</v>
      </c>
      <c r="AF48" s="178">
        <v>54615.59</v>
      </c>
      <c r="AG48" s="178">
        <v>0</v>
      </c>
      <c r="AH48" s="178">
        <v>107235.44</v>
      </c>
      <c r="AI48" s="178">
        <v>69656.77</v>
      </c>
      <c r="AJ48" s="178">
        <v>191797.14</v>
      </c>
      <c r="AK48" s="178">
        <v>101720</v>
      </c>
      <c r="AL48" s="178">
        <v>196173.02</v>
      </c>
      <c r="AM48" s="178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147.87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8">
        <v>-36.9</v>
      </c>
      <c r="S49" s="178">
        <v>0</v>
      </c>
      <c r="T49" s="178">
        <v>-70.83</v>
      </c>
      <c r="U49" s="178">
        <v>7122.57</v>
      </c>
      <c r="V49" s="178">
        <v>215.16</v>
      </c>
      <c r="W49" s="178">
        <v>-0.1</v>
      </c>
      <c r="X49" s="178">
        <v>0</v>
      </c>
      <c r="Y49" s="178">
        <v>-3.4</v>
      </c>
      <c r="Z49" s="178">
        <v>0</v>
      </c>
      <c r="AA49" s="178">
        <v>170.66</v>
      </c>
      <c r="AB49" s="178">
        <v>0</v>
      </c>
      <c r="AC49" s="178">
        <v>2753.27</v>
      </c>
      <c r="AD49" s="178">
        <v>0</v>
      </c>
      <c r="AE49" s="178">
        <v>0</v>
      </c>
      <c r="AF49" s="178">
        <v>0</v>
      </c>
      <c r="AG49" s="178">
        <v>0</v>
      </c>
      <c r="AH49" s="178">
        <v>0</v>
      </c>
      <c r="AI49" s="178">
        <v>0</v>
      </c>
      <c r="AJ49" s="178">
        <v>0</v>
      </c>
      <c r="AK49" s="178">
        <v>0</v>
      </c>
      <c r="AL49" s="178">
        <v>0</v>
      </c>
      <c r="AM49" s="178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8">
        <v>106.94</v>
      </c>
      <c r="S50" s="178">
        <v>38</v>
      </c>
      <c r="T50" s="178">
        <v>1660.15</v>
      </c>
      <c r="U50" s="178">
        <v>207.14</v>
      </c>
      <c r="V50" s="178">
        <v>107012.94</v>
      </c>
      <c r="W50" s="178">
        <v>22171.08</v>
      </c>
      <c r="X50" s="178">
        <v>0</v>
      </c>
      <c r="Y50" s="178">
        <v>0</v>
      </c>
      <c r="Z50" s="178">
        <v>0</v>
      </c>
      <c r="AA50" s="178">
        <v>0</v>
      </c>
      <c r="AB50" s="178">
        <v>3650</v>
      </c>
      <c r="AC50" s="178">
        <v>5329.26</v>
      </c>
      <c r="AD50" s="178">
        <v>-317680.38</v>
      </c>
      <c r="AE50" s="178">
        <v>0</v>
      </c>
      <c r="AF50" s="178">
        <v>0</v>
      </c>
      <c r="AG50" s="178">
        <v>183012.24</v>
      </c>
      <c r="AH50" s="178">
        <v>0</v>
      </c>
      <c r="AI50" s="178">
        <v>40</v>
      </c>
      <c r="AJ50" s="178">
        <v>0</v>
      </c>
      <c r="AK50" s="178">
        <v>0</v>
      </c>
      <c r="AL50" s="178">
        <v>0</v>
      </c>
      <c r="AM50" s="178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162718.41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8">
        <v>0</v>
      </c>
      <c r="S51" s="178">
        <v>0</v>
      </c>
      <c r="T51" s="178">
        <v>54566.09</v>
      </c>
      <c r="U51" s="178">
        <v>769728.97</v>
      </c>
      <c r="V51" s="178">
        <v>596993.97</v>
      </c>
      <c r="W51" s="178">
        <v>0</v>
      </c>
      <c r="X51" s="178">
        <v>475043.82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174645.42</v>
      </c>
      <c r="AE51" s="178">
        <v>0</v>
      </c>
      <c r="AF51" s="178">
        <v>0</v>
      </c>
      <c r="AG51" s="178">
        <v>0</v>
      </c>
      <c r="AH51" s="178">
        <v>0</v>
      </c>
      <c r="AI51" s="178">
        <v>7860.54</v>
      </c>
      <c r="AJ51" s="178">
        <v>155555.45000000001</v>
      </c>
      <c r="AK51" s="178">
        <v>0</v>
      </c>
      <c r="AL51" s="178">
        <v>88050.81</v>
      </c>
      <c r="AM51" s="178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896279.04000000004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8">
        <v>170001.74000000002</v>
      </c>
      <c r="S52" s="178">
        <v>1705713</v>
      </c>
      <c r="T52" s="178">
        <v>744224.44000000006</v>
      </c>
      <c r="U52" s="178">
        <v>2768148.92</v>
      </c>
      <c r="V52" s="178">
        <v>2176865.9799999995</v>
      </c>
      <c r="W52" s="178">
        <v>2293371.5000000005</v>
      </c>
      <c r="X52" s="178">
        <v>1536366.7100000002</v>
      </c>
      <c r="Y52" s="178">
        <v>445197.34</v>
      </c>
      <c r="Z52" s="178">
        <v>110994.51000000001</v>
      </c>
      <c r="AA52" s="178">
        <v>794150.20000000007</v>
      </c>
      <c r="AB52" s="178">
        <v>205563.39</v>
      </c>
      <c r="AC52" s="178">
        <v>491133.85</v>
      </c>
      <c r="AD52" s="178">
        <v>7279421.0700000003</v>
      </c>
      <c r="AE52" s="178">
        <v>2105656.6099999994</v>
      </c>
      <c r="AF52" s="178">
        <v>727223.32</v>
      </c>
      <c r="AG52" s="178">
        <v>1023674.1799999999</v>
      </c>
      <c r="AH52" s="178">
        <v>333991.48</v>
      </c>
      <c r="AI52" s="178">
        <v>1039361.04</v>
      </c>
      <c r="AJ52" s="178">
        <v>1176775.95</v>
      </c>
      <c r="AK52" s="178">
        <v>254446.07</v>
      </c>
      <c r="AL52" s="178">
        <v>1856195.48</v>
      </c>
      <c r="AM52" s="178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  <c r="AF53" s="178">
        <v>0</v>
      </c>
      <c r="AG53" s="178">
        <v>0</v>
      </c>
      <c r="AH53" s="178">
        <v>0</v>
      </c>
      <c r="AI53" s="178">
        <v>0</v>
      </c>
      <c r="AJ53" s="178">
        <v>0</v>
      </c>
      <c r="AK53" s="178">
        <v>15284.42</v>
      </c>
      <c r="AL53" s="178">
        <v>0</v>
      </c>
      <c r="AM53" s="178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5268.36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8">
        <v>0</v>
      </c>
      <c r="S54" s="178">
        <v>108281</v>
      </c>
      <c r="T54" s="178">
        <v>-162.02000000000001</v>
      </c>
      <c r="U54" s="178">
        <v>4975.13</v>
      </c>
      <c r="V54" s="178">
        <v>0</v>
      </c>
      <c r="W54" s="178">
        <v>5156.92</v>
      </c>
      <c r="X54" s="178">
        <v>46.22</v>
      </c>
      <c r="Y54" s="178">
        <v>11925.16</v>
      </c>
      <c r="Z54" s="178">
        <v>115</v>
      </c>
      <c r="AA54" s="178">
        <v>0</v>
      </c>
      <c r="AB54" s="178">
        <v>8362.7000000000007</v>
      </c>
      <c r="AC54" s="178">
        <v>-12907.47</v>
      </c>
      <c r="AD54" s="178">
        <v>0</v>
      </c>
      <c r="AE54" s="178">
        <v>26427.46</v>
      </c>
      <c r="AF54" s="178">
        <v>48725.18</v>
      </c>
      <c r="AG54" s="178">
        <v>21168.29</v>
      </c>
      <c r="AH54" s="178">
        <v>54.99</v>
      </c>
      <c r="AI54" s="178">
        <v>12012.75</v>
      </c>
      <c r="AJ54" s="178">
        <v>0</v>
      </c>
      <c r="AK54" s="178">
        <v>7513.57</v>
      </c>
      <c r="AL54" s="178">
        <v>0</v>
      </c>
      <c r="AM54" s="178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350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8">
        <v>0</v>
      </c>
      <c r="S55" s="178">
        <v>132914</v>
      </c>
      <c r="T55" s="178">
        <v>13238.72</v>
      </c>
      <c r="U55" s="178">
        <v>6529.83</v>
      </c>
      <c r="V55" s="178">
        <v>27979.66</v>
      </c>
      <c r="W55" s="178">
        <v>60739.37</v>
      </c>
      <c r="X55" s="178">
        <v>1830</v>
      </c>
      <c r="Y55" s="178">
        <v>0</v>
      </c>
      <c r="Z55" s="178">
        <v>0</v>
      </c>
      <c r="AA55" s="178">
        <v>2587.5</v>
      </c>
      <c r="AB55" s="178">
        <v>0</v>
      </c>
      <c r="AC55" s="178">
        <v>0</v>
      </c>
      <c r="AD55" s="178">
        <v>0</v>
      </c>
      <c r="AE55" s="178">
        <v>0</v>
      </c>
      <c r="AF55" s="178">
        <v>0</v>
      </c>
      <c r="AG55" s="178">
        <v>0</v>
      </c>
      <c r="AH55" s="178">
        <v>0</v>
      </c>
      <c r="AI55" s="178">
        <v>0</v>
      </c>
      <c r="AJ55" s="178">
        <v>11632.26</v>
      </c>
      <c r="AK55" s="178">
        <v>0</v>
      </c>
      <c r="AL55" s="178">
        <v>0</v>
      </c>
      <c r="AM55" s="178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2447.9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8">
        <v>0</v>
      </c>
      <c r="S56" s="178">
        <v>1062</v>
      </c>
      <c r="T56" s="178">
        <v>0</v>
      </c>
      <c r="U56" s="178">
        <v>0</v>
      </c>
      <c r="V56" s="178">
        <v>0</v>
      </c>
      <c r="W56" s="178">
        <v>29688.61</v>
      </c>
      <c r="X56" s="178">
        <v>20250</v>
      </c>
      <c r="Y56" s="178">
        <v>7990.22</v>
      </c>
      <c r="Z56" s="178">
        <v>0</v>
      </c>
      <c r="AA56" s="178">
        <v>205590.51</v>
      </c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178">
        <v>3681.32</v>
      </c>
      <c r="AH56" s="178">
        <v>0</v>
      </c>
      <c r="AI56" s="178">
        <v>0</v>
      </c>
      <c r="AJ56" s="178">
        <v>0</v>
      </c>
      <c r="AK56" s="178">
        <v>0</v>
      </c>
      <c r="AL56" s="178">
        <v>0</v>
      </c>
      <c r="AM56" s="178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8066.26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8">
        <v>0</v>
      </c>
      <c r="S57" s="178">
        <v>242257</v>
      </c>
      <c r="T57" s="178">
        <v>13076.699999999999</v>
      </c>
      <c r="U57" s="178">
        <v>11504.96</v>
      </c>
      <c r="V57" s="178">
        <v>27979.66</v>
      </c>
      <c r="W57" s="178">
        <v>95584.900000000009</v>
      </c>
      <c r="X57" s="178">
        <v>22126.22</v>
      </c>
      <c r="Y57" s="178">
        <v>19915.38</v>
      </c>
      <c r="Z57" s="178">
        <v>115</v>
      </c>
      <c r="AA57" s="178">
        <v>208178.01</v>
      </c>
      <c r="AB57" s="178">
        <v>8362.7000000000007</v>
      </c>
      <c r="AC57" s="178">
        <v>-12907.47</v>
      </c>
      <c r="AD57" s="178">
        <v>0</v>
      </c>
      <c r="AE57" s="178">
        <v>26427.46</v>
      </c>
      <c r="AF57" s="178">
        <v>48725.18</v>
      </c>
      <c r="AG57" s="178">
        <v>24849.61</v>
      </c>
      <c r="AH57" s="178">
        <v>54.99</v>
      </c>
      <c r="AI57" s="178">
        <v>12012.75</v>
      </c>
      <c r="AJ57" s="178">
        <v>11632.26</v>
      </c>
      <c r="AK57" s="178">
        <v>22797.989999999998</v>
      </c>
      <c r="AL57" s="178">
        <v>0</v>
      </c>
      <c r="AM57" s="178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262072.8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8">
        <v>6078</v>
      </c>
      <c r="S58" s="178">
        <v>1398712</v>
      </c>
      <c r="T58" s="178">
        <v>118034.37</v>
      </c>
      <c r="U58" s="178">
        <v>1237215.04</v>
      </c>
      <c r="V58" s="178">
        <v>1532053.15</v>
      </c>
      <c r="W58" s="178">
        <v>2016050.9</v>
      </c>
      <c r="X58" s="178">
        <v>505967.88</v>
      </c>
      <c r="Y58" s="178">
        <v>0</v>
      </c>
      <c r="Z58" s="178">
        <v>13200</v>
      </c>
      <c r="AA58" s="178">
        <v>370415.42</v>
      </c>
      <c r="AB58" s="178">
        <v>27661.8</v>
      </c>
      <c r="AC58" s="178">
        <v>22608.92</v>
      </c>
      <c r="AD58" s="178">
        <v>303079.3</v>
      </c>
      <c r="AE58" s="178">
        <v>0</v>
      </c>
      <c r="AF58" s="178">
        <v>0</v>
      </c>
      <c r="AG58" s="178">
        <v>255459.68</v>
      </c>
      <c r="AH58" s="178">
        <v>18540</v>
      </c>
      <c r="AI58" s="178">
        <v>0</v>
      </c>
      <c r="AJ58" s="178">
        <v>632673.06000000006</v>
      </c>
      <c r="AK58" s="178">
        <v>166876.64000000001</v>
      </c>
      <c r="AL58" s="178">
        <v>720615.67</v>
      </c>
      <c r="AM58" s="178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329472.78999999998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8">
        <v>124772.29</v>
      </c>
      <c r="S59" s="178">
        <v>89981</v>
      </c>
      <c r="T59" s="178">
        <v>200000</v>
      </c>
      <c r="U59" s="178">
        <v>321734.78999999998</v>
      </c>
      <c r="V59" s="178">
        <v>24412.48</v>
      </c>
      <c r="W59" s="178">
        <v>2143282.17</v>
      </c>
      <c r="X59" s="178">
        <v>518756.64</v>
      </c>
      <c r="Y59" s="178">
        <v>364886.57</v>
      </c>
      <c r="Z59" s="178">
        <v>60694.78</v>
      </c>
      <c r="AA59" s="178">
        <v>123483.31</v>
      </c>
      <c r="AB59" s="178">
        <v>93234.78</v>
      </c>
      <c r="AC59" s="178">
        <v>310992.98</v>
      </c>
      <c r="AD59" s="178">
        <v>3032384.49</v>
      </c>
      <c r="AE59" s="178">
        <v>1656427.36</v>
      </c>
      <c r="AF59" s="178">
        <v>6424375.4400000004</v>
      </c>
      <c r="AG59" s="178">
        <v>1248014.54</v>
      </c>
      <c r="AH59" s="178">
        <v>79354.73</v>
      </c>
      <c r="AI59" s="178">
        <v>1361535.19</v>
      </c>
      <c r="AJ59" s="178">
        <v>0</v>
      </c>
      <c r="AK59" s="178">
        <v>0</v>
      </c>
      <c r="AL59" s="178">
        <v>438063.9</v>
      </c>
      <c r="AM59" s="178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923300.34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8">
        <v>88830.03</v>
      </c>
      <c r="S60" s="178">
        <v>1408588</v>
      </c>
      <c r="T60" s="178">
        <v>146318.76999999999</v>
      </c>
      <c r="U60" s="178">
        <v>861522.14</v>
      </c>
      <c r="V60" s="178">
        <v>2103892.12</v>
      </c>
      <c r="W60" s="178">
        <v>1175366.31</v>
      </c>
      <c r="X60" s="178">
        <v>3426728.47</v>
      </c>
      <c r="Y60" s="178">
        <v>215288.65</v>
      </c>
      <c r="Z60" s="178">
        <v>14457.16</v>
      </c>
      <c r="AA60" s="178">
        <v>308901.42</v>
      </c>
      <c r="AB60" s="178">
        <v>64691.06</v>
      </c>
      <c r="AC60" s="178">
        <v>76505.5</v>
      </c>
      <c r="AD60" s="178">
        <v>2913982.43</v>
      </c>
      <c r="AE60" s="178">
        <v>91956.57</v>
      </c>
      <c r="AF60" s="178">
        <v>2110542.4500000002</v>
      </c>
      <c r="AG60" s="178">
        <v>112292.16</v>
      </c>
      <c r="AH60" s="178">
        <v>23003.22</v>
      </c>
      <c r="AI60" s="178">
        <v>218512.66</v>
      </c>
      <c r="AJ60" s="178">
        <v>452913.86</v>
      </c>
      <c r="AK60" s="178">
        <v>172472.23</v>
      </c>
      <c r="AL60" s="178">
        <v>821485.2</v>
      </c>
      <c r="AM60" s="178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216791.33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8">
        <v>3914.76</v>
      </c>
      <c r="S61" s="178">
        <v>2180</v>
      </c>
      <c r="T61" s="178">
        <v>19049.439999999999</v>
      </c>
      <c r="U61" s="178">
        <v>73080.61</v>
      </c>
      <c r="V61" s="178">
        <v>486947.15</v>
      </c>
      <c r="W61" s="178">
        <v>440151.98</v>
      </c>
      <c r="X61" s="178">
        <v>446962.09</v>
      </c>
      <c r="Y61" s="178">
        <v>58173.23</v>
      </c>
      <c r="Z61" s="178">
        <v>25504.86</v>
      </c>
      <c r="AA61" s="178">
        <v>0</v>
      </c>
      <c r="AB61" s="178">
        <v>42007.040000000001</v>
      </c>
      <c r="AC61" s="178">
        <v>79379.91</v>
      </c>
      <c r="AD61" s="178">
        <v>484119.4</v>
      </c>
      <c r="AE61" s="178">
        <v>213617.46</v>
      </c>
      <c r="AF61" s="178">
        <v>119843.51</v>
      </c>
      <c r="AG61" s="178">
        <v>69781.94</v>
      </c>
      <c r="AH61" s="178">
        <v>72713.02</v>
      </c>
      <c r="AI61" s="178">
        <v>443140.38</v>
      </c>
      <c r="AJ61" s="178">
        <v>177408.27</v>
      </c>
      <c r="AK61" s="178">
        <v>16576.36</v>
      </c>
      <c r="AL61" s="178">
        <v>219356.91</v>
      </c>
      <c r="AM61" s="178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8">
        <v>0</v>
      </c>
      <c r="S62" s="178">
        <v>0</v>
      </c>
      <c r="T62" s="178">
        <v>-229071.6</v>
      </c>
      <c r="U62" s="178">
        <v>-271232.73</v>
      </c>
      <c r="V62" s="178">
        <v>-314760.81</v>
      </c>
      <c r="W62" s="178">
        <v>-200960</v>
      </c>
      <c r="X62" s="178">
        <v>-4176269.18</v>
      </c>
      <c r="Y62" s="178">
        <v>0</v>
      </c>
      <c r="Z62" s="178">
        <v>0</v>
      </c>
      <c r="AA62" s="178">
        <v>0</v>
      </c>
      <c r="AB62" s="178">
        <v>0</v>
      </c>
      <c r="AC62" s="178">
        <v>0</v>
      </c>
      <c r="AD62" s="178">
        <v>-8663030.6799999997</v>
      </c>
      <c r="AE62" s="178">
        <v>0</v>
      </c>
      <c r="AF62" s="178">
        <v>0</v>
      </c>
      <c r="AG62" s="178">
        <v>0</v>
      </c>
      <c r="AH62" s="178">
        <v>0</v>
      </c>
      <c r="AI62" s="178">
        <v>0</v>
      </c>
      <c r="AJ62" s="178">
        <v>0</v>
      </c>
      <c r="AK62" s="178">
        <v>-6364.49</v>
      </c>
      <c r="AL62" s="178">
        <v>0</v>
      </c>
      <c r="AM62" s="178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199341.52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8">
        <v>43526.09</v>
      </c>
      <c r="S63" s="178">
        <v>-2770</v>
      </c>
      <c r="T63" s="178">
        <v>325101.99</v>
      </c>
      <c r="U63" s="178">
        <v>501850.27</v>
      </c>
      <c r="V63" s="178">
        <v>433624.43</v>
      </c>
      <c r="W63" s="178">
        <v>578398.79</v>
      </c>
      <c r="X63" s="178">
        <v>480141.32</v>
      </c>
      <c r="Y63" s="178">
        <v>42200.02</v>
      </c>
      <c r="Z63" s="178">
        <v>110675.31</v>
      </c>
      <c r="AA63" s="178">
        <v>68317.399999999994</v>
      </c>
      <c r="AB63" s="178">
        <v>42412.13</v>
      </c>
      <c r="AC63" s="178">
        <v>148908.07</v>
      </c>
      <c r="AD63" s="178">
        <v>0</v>
      </c>
      <c r="AE63" s="178">
        <v>335067.42</v>
      </c>
      <c r="AF63" s="178">
        <v>862885.23</v>
      </c>
      <c r="AG63" s="178">
        <v>208258.53</v>
      </c>
      <c r="AH63" s="178">
        <v>93144.73</v>
      </c>
      <c r="AI63" s="178">
        <v>54903.35</v>
      </c>
      <c r="AJ63" s="178">
        <v>93678.18</v>
      </c>
      <c r="AK63" s="178">
        <v>73383.06</v>
      </c>
      <c r="AL63" s="178">
        <v>53251.69</v>
      </c>
      <c r="AM63" s="178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49895.839999999997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8">
        <v>0</v>
      </c>
      <c r="S64" s="178">
        <v>0</v>
      </c>
      <c r="T64" s="178">
        <v>54868.800000000003</v>
      </c>
      <c r="U64" s="178">
        <v>0</v>
      </c>
      <c r="V64" s="178">
        <v>160260.98000000001</v>
      </c>
      <c r="W64" s="178">
        <v>132414.04999999999</v>
      </c>
      <c r="X64" s="178">
        <v>0</v>
      </c>
      <c r="Y64" s="178">
        <v>32743.73</v>
      </c>
      <c r="Z64" s="178">
        <v>7020.81</v>
      </c>
      <c r="AA64" s="178">
        <v>45507.79</v>
      </c>
      <c r="AB64" s="178">
        <v>2062.4</v>
      </c>
      <c r="AC64" s="178">
        <v>42777.47</v>
      </c>
      <c r="AD64" s="178">
        <v>0</v>
      </c>
      <c r="AE64" s="178">
        <v>253.6</v>
      </c>
      <c r="AF64" s="178">
        <v>331013.59999999998</v>
      </c>
      <c r="AG64" s="178">
        <v>0</v>
      </c>
      <c r="AH64" s="178">
        <v>7530.44</v>
      </c>
      <c r="AI64" s="178">
        <v>15116.27</v>
      </c>
      <c r="AJ64" s="178">
        <v>34543.040000000001</v>
      </c>
      <c r="AK64" s="178">
        <v>0</v>
      </c>
      <c r="AL64" s="178">
        <v>0</v>
      </c>
      <c r="AM64" s="178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15753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8">
        <v>61991.74</v>
      </c>
      <c r="S65" s="178">
        <v>1551815</v>
      </c>
      <c r="T65" s="178">
        <v>0</v>
      </c>
      <c r="U65" s="178">
        <v>37645.050000000003</v>
      </c>
      <c r="V65" s="178">
        <v>335511.90999999997</v>
      </c>
      <c r="W65" s="178">
        <v>249388.76</v>
      </c>
      <c r="X65" s="178">
        <v>1098810.8799999999</v>
      </c>
      <c r="Y65" s="178">
        <v>14641.81</v>
      </c>
      <c r="Z65" s="178">
        <v>63952.77</v>
      </c>
      <c r="AA65" s="178">
        <v>-6830</v>
      </c>
      <c r="AB65" s="178">
        <v>0</v>
      </c>
      <c r="AC65" s="178">
        <v>0</v>
      </c>
      <c r="AD65" s="178">
        <v>71242.77</v>
      </c>
      <c r="AE65" s="178">
        <v>209003.15</v>
      </c>
      <c r="AF65" s="178">
        <v>6284997.2800000003</v>
      </c>
      <c r="AG65" s="178">
        <v>1027162.91</v>
      </c>
      <c r="AH65" s="178">
        <v>12011.36</v>
      </c>
      <c r="AI65" s="178">
        <v>191789</v>
      </c>
      <c r="AJ65" s="178">
        <v>70826.45</v>
      </c>
      <c r="AK65" s="178">
        <v>42993.22</v>
      </c>
      <c r="AL65" s="178">
        <v>-477626</v>
      </c>
      <c r="AM65" s="178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8">
        <v>0</v>
      </c>
      <c r="S66" s="178">
        <v>0</v>
      </c>
      <c r="T66" s="178">
        <v>0</v>
      </c>
      <c r="U66" s="178"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8">
        <v>0</v>
      </c>
      <c r="AC66" s="178">
        <v>0</v>
      </c>
      <c r="AD66" s="178">
        <v>0</v>
      </c>
      <c r="AE66" s="178">
        <v>0</v>
      </c>
      <c r="AF66" s="178">
        <v>0</v>
      </c>
      <c r="AG66" s="178">
        <v>0</v>
      </c>
      <c r="AH66" s="178">
        <v>0</v>
      </c>
      <c r="AI66" s="178">
        <v>0</v>
      </c>
      <c r="AJ66" s="178">
        <v>0</v>
      </c>
      <c r="AK66" s="178">
        <v>0</v>
      </c>
      <c r="AL66" s="178">
        <v>0</v>
      </c>
      <c r="AM66" s="178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8">
        <v>0</v>
      </c>
      <c r="S67" s="178">
        <v>0</v>
      </c>
      <c r="T67" s="178">
        <v>0</v>
      </c>
      <c r="U67" s="178">
        <v>0</v>
      </c>
      <c r="V67" s="178">
        <v>0</v>
      </c>
      <c r="W67" s="178">
        <v>0</v>
      </c>
      <c r="X67" s="178">
        <v>0</v>
      </c>
      <c r="Y67" s="178">
        <v>0</v>
      </c>
      <c r="Z67" s="178">
        <v>0</v>
      </c>
      <c r="AA67" s="178">
        <v>0</v>
      </c>
      <c r="AB67" s="178">
        <v>0</v>
      </c>
      <c r="AC67" s="178">
        <v>0</v>
      </c>
      <c r="AD67" s="178">
        <v>0</v>
      </c>
      <c r="AE67" s="178">
        <v>0</v>
      </c>
      <c r="AF67" s="178">
        <v>0</v>
      </c>
      <c r="AG67" s="178">
        <v>0</v>
      </c>
      <c r="AH67" s="178">
        <v>0</v>
      </c>
      <c r="AI67" s="178">
        <v>0</v>
      </c>
      <c r="AJ67" s="178">
        <v>0</v>
      </c>
      <c r="AK67" s="178">
        <v>0</v>
      </c>
      <c r="AL67" s="178">
        <v>0</v>
      </c>
      <c r="AM67" s="178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8">
        <v>0</v>
      </c>
      <c r="S68" s="178">
        <v>0</v>
      </c>
      <c r="T68" s="178">
        <v>0</v>
      </c>
      <c r="U68" s="178">
        <v>62200</v>
      </c>
      <c r="V68" s="178">
        <v>0</v>
      </c>
      <c r="W68" s="178">
        <v>0</v>
      </c>
      <c r="X68" s="178">
        <v>0</v>
      </c>
      <c r="Y68" s="178">
        <v>0</v>
      </c>
      <c r="Z68" s="178">
        <v>0</v>
      </c>
      <c r="AA68" s="178">
        <v>0</v>
      </c>
      <c r="AB68" s="178">
        <v>0</v>
      </c>
      <c r="AC68" s="178">
        <v>0</v>
      </c>
      <c r="AD68" s="178">
        <v>0</v>
      </c>
      <c r="AE68" s="178">
        <v>0</v>
      </c>
      <c r="AF68" s="178">
        <v>0</v>
      </c>
      <c r="AG68" s="178">
        <v>0</v>
      </c>
      <c r="AH68" s="178">
        <v>0</v>
      </c>
      <c r="AI68" s="178">
        <v>0</v>
      </c>
      <c r="AJ68" s="178">
        <v>0</v>
      </c>
      <c r="AK68" s="178">
        <v>0</v>
      </c>
      <c r="AL68" s="178">
        <v>0</v>
      </c>
      <c r="AM68" s="178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111126.39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8">
        <v>13555.07</v>
      </c>
      <c r="S69" s="178">
        <v>324758</v>
      </c>
      <c r="T69" s="178">
        <v>50126.05</v>
      </c>
      <c r="U69" s="178">
        <v>104605.8</v>
      </c>
      <c r="V69" s="178">
        <v>227877.68</v>
      </c>
      <c r="W69" s="178">
        <v>182712.94</v>
      </c>
      <c r="X69" s="178">
        <v>232673.24</v>
      </c>
      <c r="Y69" s="178">
        <v>93458.96</v>
      </c>
      <c r="Z69" s="178">
        <v>7774.19</v>
      </c>
      <c r="AA69" s="178">
        <v>122296.33</v>
      </c>
      <c r="AB69" s="178">
        <v>36194.21</v>
      </c>
      <c r="AC69" s="178">
        <v>68693.039999999994</v>
      </c>
      <c r="AD69" s="178">
        <v>765392.94</v>
      </c>
      <c r="AE69" s="178">
        <v>492630.93</v>
      </c>
      <c r="AF69" s="178">
        <v>315141.25</v>
      </c>
      <c r="AG69" s="178">
        <v>78600.87</v>
      </c>
      <c r="AH69" s="178">
        <v>105120.25</v>
      </c>
      <c r="AI69" s="178">
        <v>146535.21</v>
      </c>
      <c r="AJ69" s="178">
        <v>138888.75</v>
      </c>
      <c r="AK69" s="178">
        <v>23683.4</v>
      </c>
      <c r="AL69" s="178">
        <v>418206.96</v>
      </c>
      <c r="AM69" s="178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131055.09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8">
        <v>29363.65</v>
      </c>
      <c r="S70" s="178">
        <v>786750</v>
      </c>
      <c r="T70" s="178">
        <v>218488.66</v>
      </c>
      <c r="U70" s="178">
        <v>5880.87</v>
      </c>
      <c r="V70" s="178">
        <v>488108.07</v>
      </c>
      <c r="W70" s="178">
        <v>2659.42</v>
      </c>
      <c r="X70" s="178">
        <v>427231.46</v>
      </c>
      <c r="Y70" s="178">
        <v>98005.64</v>
      </c>
      <c r="Z70" s="178">
        <v>72119.59</v>
      </c>
      <c r="AA70" s="178">
        <v>95358.720000000001</v>
      </c>
      <c r="AB70" s="178">
        <v>0</v>
      </c>
      <c r="AC70" s="178">
        <v>10272.49</v>
      </c>
      <c r="AD70" s="178">
        <v>16407610.74</v>
      </c>
      <c r="AE70" s="178">
        <v>21809.200000000001</v>
      </c>
      <c r="AF70" s="178">
        <v>111662.64</v>
      </c>
      <c r="AG70" s="178">
        <v>605348.74</v>
      </c>
      <c r="AH70" s="178">
        <v>2060.38</v>
      </c>
      <c r="AI70" s="178">
        <v>96851.31</v>
      </c>
      <c r="AJ70" s="178">
        <v>59198.400000000001</v>
      </c>
      <c r="AK70" s="178">
        <v>58335.4</v>
      </c>
      <c r="AL70" s="178">
        <v>470371.35</v>
      </c>
      <c r="AM70" s="178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1530.19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8">
        <v>0</v>
      </c>
      <c r="S71" s="178">
        <v>0</v>
      </c>
      <c r="T71" s="178">
        <v>0</v>
      </c>
      <c r="U71" s="178">
        <v>0</v>
      </c>
      <c r="V71" s="178">
        <v>115698.24000000001</v>
      </c>
      <c r="W71" s="178">
        <v>34613.64</v>
      </c>
      <c r="X71" s="178">
        <v>342585.12</v>
      </c>
      <c r="Y71" s="178">
        <v>0</v>
      </c>
      <c r="Z71" s="178">
        <v>0</v>
      </c>
      <c r="AA71" s="178">
        <v>64992</v>
      </c>
      <c r="AB71" s="178">
        <v>14100</v>
      </c>
      <c r="AC71" s="178">
        <v>0</v>
      </c>
      <c r="AD71" s="178">
        <v>0</v>
      </c>
      <c r="AE71" s="178">
        <v>0</v>
      </c>
      <c r="AF71" s="178">
        <v>0</v>
      </c>
      <c r="AG71" s="178">
        <v>227975.36</v>
      </c>
      <c r="AH71" s="178">
        <v>0</v>
      </c>
      <c r="AI71" s="178">
        <v>0</v>
      </c>
      <c r="AJ71" s="178">
        <v>0</v>
      </c>
      <c r="AK71" s="178">
        <v>13284</v>
      </c>
      <c r="AL71" s="178">
        <v>42000</v>
      </c>
      <c r="AM71" s="178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8">
        <v>0</v>
      </c>
      <c r="S72" s="178">
        <v>0</v>
      </c>
      <c r="T72" s="178">
        <v>0</v>
      </c>
      <c r="U72" s="178">
        <v>0</v>
      </c>
      <c r="V72" s="178">
        <v>0</v>
      </c>
      <c r="W72" s="178">
        <v>0</v>
      </c>
      <c r="X72" s="178">
        <v>0</v>
      </c>
      <c r="Y72" s="178">
        <v>0</v>
      </c>
      <c r="Z72" s="178">
        <v>0</v>
      </c>
      <c r="AA72" s="178">
        <v>0</v>
      </c>
      <c r="AB72" s="178">
        <v>0</v>
      </c>
      <c r="AC72" s="178">
        <v>0</v>
      </c>
      <c r="AD72" s="178">
        <v>0</v>
      </c>
      <c r="AE72" s="178">
        <v>0</v>
      </c>
      <c r="AF72" s="178">
        <v>0</v>
      </c>
      <c r="AG72" s="178">
        <v>0</v>
      </c>
      <c r="AH72" s="178">
        <v>0</v>
      </c>
      <c r="AI72" s="178">
        <v>0</v>
      </c>
      <c r="AJ72" s="178">
        <v>0</v>
      </c>
      <c r="AK72" s="178">
        <v>0</v>
      </c>
      <c r="AL72" s="178">
        <v>0</v>
      </c>
      <c r="AM72" s="178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282147.84999999998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8">
        <v>40927.129999999997</v>
      </c>
      <c r="S73" s="178">
        <v>257497</v>
      </c>
      <c r="T73" s="178">
        <v>1779.75</v>
      </c>
      <c r="U73" s="178">
        <v>0</v>
      </c>
      <c r="V73" s="178">
        <v>334818.81</v>
      </c>
      <c r="W73" s="178">
        <v>864172.14</v>
      </c>
      <c r="X73" s="178">
        <v>611871.4</v>
      </c>
      <c r="Y73" s="178">
        <v>22729.07</v>
      </c>
      <c r="Z73" s="178">
        <v>0</v>
      </c>
      <c r="AA73" s="178">
        <v>30729.78</v>
      </c>
      <c r="AB73" s="178">
        <v>0</v>
      </c>
      <c r="AC73" s="178">
        <v>83637.62</v>
      </c>
      <c r="AD73" s="178">
        <v>11668054.380000001</v>
      </c>
      <c r="AE73" s="178">
        <v>476367.18</v>
      </c>
      <c r="AF73" s="178">
        <v>1502026.57</v>
      </c>
      <c r="AG73" s="178">
        <v>330340.53999999998</v>
      </c>
      <c r="AH73" s="178">
        <v>0</v>
      </c>
      <c r="AI73" s="178">
        <v>178260.32</v>
      </c>
      <c r="AJ73" s="178">
        <v>156107.09</v>
      </c>
      <c r="AK73" s="178">
        <v>0</v>
      </c>
      <c r="AL73" s="178">
        <v>501276.01</v>
      </c>
      <c r="AM73" s="178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9212.2999999999993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8">
        <v>0</v>
      </c>
      <c r="S74" s="178">
        <v>898</v>
      </c>
      <c r="T74" s="178">
        <v>0</v>
      </c>
      <c r="U74" s="178">
        <v>16340.25</v>
      </c>
      <c r="V74" s="178">
        <v>0</v>
      </c>
      <c r="W74" s="178">
        <v>0</v>
      </c>
      <c r="X74" s="178">
        <v>14384.63</v>
      </c>
      <c r="Y74" s="178">
        <v>10043.280000000001</v>
      </c>
      <c r="Z74" s="178">
        <v>0</v>
      </c>
      <c r="AA74" s="178">
        <v>7434.31</v>
      </c>
      <c r="AB74" s="178">
        <v>1913.1</v>
      </c>
      <c r="AC74" s="178">
        <v>5261.75</v>
      </c>
      <c r="AD74" s="178">
        <v>100059.71</v>
      </c>
      <c r="AE74" s="178">
        <v>0</v>
      </c>
      <c r="AF74" s="178">
        <v>43793.71</v>
      </c>
      <c r="AG74" s="178">
        <v>0</v>
      </c>
      <c r="AH74" s="178">
        <v>3104.46</v>
      </c>
      <c r="AI74" s="178">
        <v>12379.14</v>
      </c>
      <c r="AJ74" s="178">
        <v>10482</v>
      </c>
      <c r="AK74" s="178">
        <v>5029.03</v>
      </c>
      <c r="AL74" s="178">
        <v>0</v>
      </c>
      <c r="AM74" s="178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2531699.44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8">
        <v>412958.76000000007</v>
      </c>
      <c r="S75" s="178">
        <v>5818409</v>
      </c>
      <c r="T75" s="178">
        <v>904696.2300000001</v>
      </c>
      <c r="U75" s="178">
        <v>2950842.09</v>
      </c>
      <c r="V75" s="178">
        <v>5928444.21</v>
      </c>
      <c r="W75" s="178">
        <v>7618251.0999999987</v>
      </c>
      <c r="X75" s="178">
        <v>3929843.9499999997</v>
      </c>
      <c r="Y75" s="178">
        <v>952170.96</v>
      </c>
      <c r="Z75" s="178">
        <v>375399.47</v>
      </c>
      <c r="AA75" s="178">
        <v>1230606.48</v>
      </c>
      <c r="AB75" s="178">
        <v>324276.52</v>
      </c>
      <c r="AC75" s="178">
        <v>849037.74999999988</v>
      </c>
      <c r="AD75" s="178">
        <v>27082895.480000004</v>
      </c>
      <c r="AE75" s="178">
        <v>3497132.8700000006</v>
      </c>
      <c r="AF75" s="178">
        <v>18106281.680000003</v>
      </c>
      <c r="AG75" s="178">
        <v>4163235.27</v>
      </c>
      <c r="AH75" s="178">
        <v>416582.59</v>
      </c>
      <c r="AI75" s="178">
        <v>2719022.83</v>
      </c>
      <c r="AJ75" s="178">
        <v>1826719.0999999999</v>
      </c>
      <c r="AK75" s="178">
        <v>566268.85000000009</v>
      </c>
      <c r="AL75" s="178">
        <v>3207001.6900000004</v>
      </c>
      <c r="AM75" s="178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43942.58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8">
        <v>8280.85</v>
      </c>
      <c r="S76" s="178">
        <v>133208</v>
      </c>
      <c r="T76" s="178">
        <v>0</v>
      </c>
      <c r="U76" s="178">
        <v>80563.05</v>
      </c>
      <c r="V76" s="178">
        <v>37267.589999999997</v>
      </c>
      <c r="W76" s="178">
        <v>25449.03</v>
      </c>
      <c r="X76" s="178">
        <v>58796.72</v>
      </c>
      <c r="Y76" s="178">
        <v>5519.88</v>
      </c>
      <c r="Z76" s="178">
        <v>14916.1</v>
      </c>
      <c r="AA76" s="178">
        <v>29679.8</v>
      </c>
      <c r="AB76" s="178">
        <v>1854</v>
      </c>
      <c r="AC76" s="178">
        <v>27207.360000000001</v>
      </c>
      <c r="AD76" s="178">
        <v>0</v>
      </c>
      <c r="AE76" s="178">
        <v>103023.12</v>
      </c>
      <c r="AF76" s="178">
        <v>434110.3</v>
      </c>
      <c r="AG76" s="178">
        <v>25072.39</v>
      </c>
      <c r="AH76" s="178">
        <v>5757.48</v>
      </c>
      <c r="AI76" s="178">
        <v>21205.73</v>
      </c>
      <c r="AJ76" s="178">
        <v>0</v>
      </c>
      <c r="AK76" s="178">
        <v>17957.43</v>
      </c>
      <c r="AL76" s="178">
        <v>0</v>
      </c>
      <c r="AM76" s="178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178">
        <v>0</v>
      </c>
      <c r="AD77" s="178">
        <v>0</v>
      </c>
      <c r="AE77" s="178">
        <v>0</v>
      </c>
      <c r="AF77" s="178">
        <v>0</v>
      </c>
      <c r="AG77" s="178">
        <v>0</v>
      </c>
      <c r="AH77" s="178">
        <v>0</v>
      </c>
      <c r="AI77" s="178">
        <v>0</v>
      </c>
      <c r="AJ77" s="178">
        <v>0</v>
      </c>
      <c r="AK77" s="178">
        <v>0</v>
      </c>
      <c r="AL77" s="178">
        <v>0</v>
      </c>
      <c r="AM77" s="178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43942.58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8">
        <v>8280.85</v>
      </c>
      <c r="S78" s="178">
        <v>133208</v>
      </c>
      <c r="T78" s="178">
        <v>0</v>
      </c>
      <c r="U78" s="178">
        <v>80563.05</v>
      </c>
      <c r="V78" s="178">
        <v>37267.589999999997</v>
      </c>
      <c r="W78" s="178">
        <v>25449.03</v>
      </c>
      <c r="X78" s="178">
        <v>58796.72</v>
      </c>
      <c r="Y78" s="178">
        <v>5519.88</v>
      </c>
      <c r="Z78" s="178">
        <v>14916.1</v>
      </c>
      <c r="AA78" s="178">
        <v>29679.8</v>
      </c>
      <c r="AB78" s="178">
        <v>1854</v>
      </c>
      <c r="AC78" s="178">
        <v>27207.360000000001</v>
      </c>
      <c r="AD78" s="178">
        <v>0</v>
      </c>
      <c r="AE78" s="178">
        <v>103023.12</v>
      </c>
      <c r="AF78" s="178">
        <v>434110.3</v>
      </c>
      <c r="AG78" s="178">
        <v>25072.39</v>
      </c>
      <c r="AH78" s="178">
        <v>5757.48</v>
      </c>
      <c r="AI78" s="178">
        <v>21205.73</v>
      </c>
      <c r="AJ78" s="178">
        <v>0</v>
      </c>
      <c r="AK78" s="178">
        <v>17957.43</v>
      </c>
      <c r="AL78" s="178">
        <v>0</v>
      </c>
      <c r="AM78" s="178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8">
        <v>0</v>
      </c>
      <c r="S79" s="178">
        <v>0</v>
      </c>
      <c r="T79" s="178">
        <v>888.6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100</v>
      </c>
      <c r="AD79" s="178">
        <v>0</v>
      </c>
      <c r="AE79" s="178">
        <v>0</v>
      </c>
      <c r="AF79" s="178">
        <v>0</v>
      </c>
      <c r="AG79" s="178">
        <v>7043.8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8">
        <v>0</v>
      </c>
      <c r="S80" s="178">
        <v>0</v>
      </c>
      <c r="T80" s="178">
        <v>888.6</v>
      </c>
      <c r="U80" s="178">
        <v>0</v>
      </c>
      <c r="V80" s="178">
        <v>0</v>
      </c>
      <c r="W80" s="178">
        <v>0</v>
      </c>
      <c r="X80" s="178">
        <v>0</v>
      </c>
      <c r="Y80" s="178">
        <v>0</v>
      </c>
      <c r="Z80" s="178">
        <v>0</v>
      </c>
      <c r="AA80" s="178">
        <v>0</v>
      </c>
      <c r="AB80" s="178">
        <v>0</v>
      </c>
      <c r="AC80" s="178">
        <v>100</v>
      </c>
      <c r="AD80" s="178">
        <v>0</v>
      </c>
      <c r="AE80" s="178">
        <v>0</v>
      </c>
      <c r="AF80" s="178">
        <v>0</v>
      </c>
      <c r="AG80" s="178">
        <v>7043.8</v>
      </c>
      <c r="AH80" s="178">
        <v>0</v>
      </c>
      <c r="AI80" s="178">
        <v>0</v>
      </c>
      <c r="AJ80" s="178">
        <v>0</v>
      </c>
      <c r="AK80" s="178">
        <v>0</v>
      </c>
      <c r="AL80" s="178">
        <v>0</v>
      </c>
      <c r="AM80" s="178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5283654.4800000004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8">
        <v>1025877.1</v>
      </c>
      <c r="S81" s="178">
        <v>11871274</v>
      </c>
      <c r="T81" s="178">
        <v>3116599.22</v>
      </c>
      <c r="U81" s="178">
        <v>8928286.1099999994</v>
      </c>
      <c r="V81" s="178">
        <v>17198232.16</v>
      </c>
      <c r="W81" s="178">
        <v>14214848.199999997</v>
      </c>
      <c r="X81" s="178">
        <v>9162574.1500000004</v>
      </c>
      <c r="Y81" s="178">
        <v>2055673.8599999999</v>
      </c>
      <c r="Z81" s="178">
        <v>709664.39</v>
      </c>
      <c r="AA81" s="178">
        <v>4651326.96</v>
      </c>
      <c r="AB81" s="178">
        <v>606071.10000000009</v>
      </c>
      <c r="AC81" s="178">
        <v>2554354.5099999998</v>
      </c>
      <c r="AD81" s="178">
        <v>58060011.620000005</v>
      </c>
      <c r="AE81" s="178">
        <v>8683961.6599999983</v>
      </c>
      <c r="AF81" s="178">
        <v>23431044.850000005</v>
      </c>
      <c r="AG81" s="178">
        <v>5692604.4199999999</v>
      </c>
      <c r="AH81" s="178">
        <v>1309715.49</v>
      </c>
      <c r="AI81" s="178">
        <v>6560476.5200000014</v>
      </c>
      <c r="AJ81" s="178">
        <v>5210731.8599999994</v>
      </c>
      <c r="AK81" s="178">
        <v>1586089.66</v>
      </c>
      <c r="AL81" s="178">
        <v>13042208.789999999</v>
      </c>
      <c r="AM81" s="178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9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112664.82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5396319.3000000007</v>
      </c>
      <c r="H89" s="185">
        <f>'Model Inputs'!H31</f>
        <v>5747532.7769197645</v>
      </c>
      <c r="I89" s="186">
        <f>'Model Inputs'!I31</f>
        <v>6039144.4850000003</v>
      </c>
      <c r="J89" s="186">
        <f>'Model Inputs'!J31</f>
        <v>0</v>
      </c>
      <c r="K89" s="186">
        <f>'Model Inputs'!K31</f>
        <v>0</v>
      </c>
      <c r="L89" s="186">
        <f>'Model Inputs'!L31</f>
        <v>0</v>
      </c>
      <c r="M89" s="187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19803244</v>
      </c>
      <c r="H92" s="185">
        <f>'Model Inputs'!H9</f>
        <v>6882668.9100000001</v>
      </c>
      <c r="I92" s="186">
        <f>'Model Inputs'!I9</f>
        <v>8558202</v>
      </c>
      <c r="J92" s="186">
        <f>'Model Inputs'!J9</f>
        <v>0</v>
      </c>
      <c r="K92" s="186">
        <f>'Model Inputs'!K9</f>
        <v>0</v>
      </c>
      <c r="L92" s="186">
        <f>'Model Inputs'!L9</f>
        <v>0</v>
      </c>
      <c r="M92" s="187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5">
        <f>'Model Inputs'!H10</f>
        <v>0</v>
      </c>
      <c r="I93" s="186">
        <f>'Model Inputs'!I10</f>
        <v>0</v>
      </c>
      <c r="J93" s="186">
        <f>'Model Inputs'!J10</f>
        <v>0</v>
      </c>
      <c r="K93" s="186">
        <f>'Model Inputs'!K10</f>
        <v>0</v>
      </c>
      <c r="L93" s="186">
        <f>'Model Inputs'!L10</f>
        <v>0</v>
      </c>
      <c r="M93" s="187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16157</v>
      </c>
      <c r="H96" s="185">
        <f>'Model Inputs'!H13</f>
        <v>16293.416666666668</v>
      </c>
      <c r="I96" s="186">
        <f>'Model Inputs'!I13</f>
        <v>16676.666666666668</v>
      </c>
      <c r="J96" s="186">
        <f>'Model Inputs'!J13</f>
        <v>0</v>
      </c>
      <c r="K96" s="186">
        <f>'Model Inputs'!K13</f>
        <v>0</v>
      </c>
      <c r="L96" s="186">
        <f>'Model Inputs'!L13</f>
        <v>0</v>
      </c>
      <c r="M96" s="187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237763328.72</v>
      </c>
      <c r="H97" s="185">
        <f>'Model Inputs'!H14</f>
        <v>242016317.90000004</v>
      </c>
      <c r="I97" s="186">
        <f>'Model Inputs'!I14</f>
        <v>239667884.45104998</v>
      </c>
      <c r="J97" s="186">
        <f>'Model Inputs'!J14</f>
        <v>0</v>
      </c>
      <c r="K97" s="186">
        <f>'Model Inputs'!K14</f>
        <v>0</v>
      </c>
      <c r="L97" s="186">
        <f>'Model Inputs'!L14</f>
        <v>0</v>
      </c>
      <c r="M97" s="187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50975</v>
      </c>
      <c r="H98" s="185">
        <f>'Model Inputs'!H15</f>
        <v>51992</v>
      </c>
      <c r="I98" s="186">
        <f>'Model Inputs'!I15</f>
        <v>51992</v>
      </c>
      <c r="J98" s="186">
        <f>'Model Inputs'!J15</f>
        <v>0</v>
      </c>
      <c r="K98" s="186">
        <f>'Model Inputs'!K15</f>
        <v>0</v>
      </c>
      <c r="L98" s="186">
        <f>'Model Inputs'!L15</f>
        <v>0</v>
      </c>
      <c r="M98" s="187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833</v>
      </c>
      <c r="H99" s="185">
        <f>'Model Inputs'!H16</f>
        <v>862</v>
      </c>
      <c r="I99" s="186">
        <f>'Model Inputs'!I16</f>
        <v>892</v>
      </c>
      <c r="J99" s="186">
        <f>'Model Inputs'!J16</f>
        <v>0</v>
      </c>
      <c r="K99" s="186">
        <f>'Model Inputs'!K16</f>
        <v>0</v>
      </c>
      <c r="L99" s="186">
        <f>'Model Inputs'!L16</f>
        <v>0</v>
      </c>
      <c r="M99" s="187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36" t="s">
        <v>93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5396319.3000000007</v>
      </c>
      <c r="H107" s="29">
        <f t="shared" ref="H107:K107" si="4">H89</f>
        <v>5747532.7769197645</v>
      </c>
      <c r="I107" s="29">
        <f t="shared" si="4"/>
        <v>6039144.4850000003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0">
        <f>'Model Inputs'!H22</f>
        <v>6.2799999999999995E-2</v>
      </c>
      <c r="I110" s="201">
        <f>'Model Inputs'!I22</f>
        <v>5.67E-2</v>
      </c>
      <c r="J110" s="201">
        <f>'Model Inputs'!J22</f>
        <v>0</v>
      </c>
      <c r="K110" s="201">
        <f>'Model Inputs'!K22</f>
        <v>0</v>
      </c>
      <c r="L110" s="201">
        <f>'Model Inputs'!L22</f>
        <v>0</v>
      </c>
      <c r="M110" s="202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3">
        <f>G112*EXP('Model Inputs'!H21)</f>
        <v>165.70687961774755</v>
      </c>
      <c r="I112" s="204">
        <f>H112*EXP('Model Inputs'!I21)</f>
        <v>168.33656781093197</v>
      </c>
      <c r="J112" s="204">
        <f>I112*EXP('Model Inputs'!J21)</f>
        <v>168.33656781093197</v>
      </c>
      <c r="K112" s="204">
        <f>J112*EXP('Model Inputs'!K21)</f>
        <v>168.33656781093197</v>
      </c>
      <c r="L112" s="204">
        <f>K112*EXP('Model Inputs'!L21)</f>
        <v>168.33656781093197</v>
      </c>
      <c r="M112" s="205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17.849773217599605</v>
      </c>
      <c r="I113" s="29">
        <f t="shared" si="7"/>
        <v>17.122228536848063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89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19803244</v>
      </c>
      <c r="H114" s="206">
        <f>H92</f>
        <v>6882668.9100000001</v>
      </c>
      <c r="I114" s="207">
        <f t="shared" ref="I114:L114" si="8">I92</f>
        <v>8558202</v>
      </c>
      <c r="J114" s="207">
        <f t="shared" si="8"/>
        <v>0</v>
      </c>
      <c r="K114" s="207">
        <f t="shared" si="8"/>
        <v>0</v>
      </c>
      <c r="L114" s="207">
        <f t="shared" si="8"/>
        <v>0</v>
      </c>
      <c r="M114" s="208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9">
        <f>H93</f>
        <v>0</v>
      </c>
      <c r="I115" s="210">
        <f t="shared" ref="I115:L115" si="10">I93</f>
        <v>0</v>
      </c>
      <c r="J115" s="210">
        <f t="shared" si="10"/>
        <v>0</v>
      </c>
      <c r="K115" s="210">
        <f t="shared" si="10"/>
        <v>0</v>
      </c>
      <c r="L115" s="210">
        <f t="shared" si="10"/>
        <v>0</v>
      </c>
      <c r="M115" s="211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121404.20463956828</v>
      </c>
      <c r="H116" s="8">
        <f t="shared" ref="H116:K116" si="12">(H114-H115)/H112</f>
        <v>41535.203160405494</v>
      </c>
      <c r="I116" s="8">
        <f t="shared" si="12"/>
        <v>50839.827087434656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17959.043637333176</v>
      </c>
      <c r="H117" s="25">
        <f t="shared" ref="H117:M117" si="14">H111*G118</f>
        <v>22707.176527335767</v>
      </c>
      <c r="I117" s="25">
        <f t="shared" si="14"/>
        <v>23571.382949793668</v>
      </c>
      <c r="J117" s="25">
        <f t="shared" si="14"/>
        <v>24823.004535711389</v>
      </c>
      <c r="K117" s="25">
        <f t="shared" si="14"/>
        <v>23683.628627522237</v>
      </c>
      <c r="L117" s="25">
        <f t="shared" si="14"/>
        <v>22596.550073518963</v>
      </c>
      <c r="M117" s="25">
        <f t="shared" si="14"/>
        <v>21559.368425144443</v>
      </c>
      <c r="N117" s="190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494709.72826439573</v>
      </c>
      <c r="H118" s="25">
        <f t="shared" ref="H118:M118" si="15">G118+H116-H117</f>
        <v>513537.75489746546</v>
      </c>
      <c r="I118" s="25">
        <f t="shared" si="15"/>
        <v>540806.19903510646</v>
      </c>
      <c r="J118" s="25">
        <f t="shared" si="15"/>
        <v>515983.19449939509</v>
      </c>
      <c r="K118" s="25">
        <f t="shared" si="15"/>
        <v>492299.56587187282</v>
      </c>
      <c r="L118" s="25">
        <f t="shared" si="15"/>
        <v>469703.01579835388</v>
      </c>
      <c r="M118" s="25">
        <f t="shared" si="15"/>
        <v>448143.64737320942</v>
      </c>
      <c r="N118" s="190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8869333.2860777453</v>
      </c>
      <c r="H119" s="25">
        <f t="shared" ref="H119:K119" si="16">H113*H118</f>
        <v>9166532.4635950085</v>
      </c>
      <c r="I119" s="25">
        <f t="shared" si="16"/>
        <v>9259807.3340232335</v>
      </c>
      <c r="J119" s="25">
        <f t="shared" si="16"/>
        <v>3986820.7564658266</v>
      </c>
      <c r="K119" s="25">
        <f t="shared" si="16"/>
        <v>3803825.683744045</v>
      </c>
      <c r="L119" s="25">
        <f t="shared" ref="L119:M119" si="17">L113*L118</f>
        <v>3629230.0848601935</v>
      </c>
      <c r="M119" s="25">
        <f t="shared" si="17"/>
        <v>3462648.4239651104</v>
      </c>
      <c r="N119" s="190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14265652.586077746</v>
      </c>
      <c r="H121" s="25">
        <f t="shared" ref="H121:K121" si="18">H107+H119</f>
        <v>14914065.240514774</v>
      </c>
      <c r="I121" s="25">
        <f t="shared" si="18"/>
        <v>15298951.819023233</v>
      </c>
      <c r="J121" s="25">
        <f t="shared" si="18"/>
        <v>3986820.7564658266</v>
      </c>
      <c r="K121" s="25">
        <f t="shared" si="18"/>
        <v>3803825.683744045</v>
      </c>
      <c r="L121" s="25">
        <f t="shared" ref="L121:M121" si="19">L107+L119</f>
        <v>3629230.0848601935</v>
      </c>
      <c r="M121" s="25">
        <f t="shared" si="19"/>
        <v>3462648.4239651104</v>
      </c>
      <c r="N121" s="190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36" t="s">
        <v>108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156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L127" s="4"/>
      <c r="M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16157</v>
      </c>
      <c r="H128" s="8">
        <f t="shared" ref="H128:K130" si="20">H96</f>
        <v>16293.416666666668</v>
      </c>
      <c r="I128" s="8">
        <f t="shared" si="20"/>
        <v>16676.666666666668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237763328.72</v>
      </c>
      <c r="H129" s="39">
        <f t="shared" si="20"/>
        <v>242016317.90000004</v>
      </c>
      <c r="I129" s="39">
        <f t="shared" si="20"/>
        <v>239667884.45104998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1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50975</v>
      </c>
      <c r="H130" s="8">
        <f t="shared" si="20"/>
        <v>51992</v>
      </c>
      <c r="I130" s="8">
        <f t="shared" si="20"/>
        <v>51992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66861</v>
      </c>
      <c r="H131" s="8">
        <f t="shared" ref="H131:M131" si="24">MAX(G131,H130)</f>
        <v>66861</v>
      </c>
      <c r="I131" s="8">
        <f t="shared" si="24"/>
        <v>66861</v>
      </c>
      <c r="J131" s="8">
        <f t="shared" si="24"/>
        <v>66861</v>
      </c>
      <c r="K131" s="8">
        <f t="shared" si="24"/>
        <v>66861</v>
      </c>
      <c r="L131" s="8">
        <f t="shared" si="24"/>
        <v>66861</v>
      </c>
      <c r="M131" s="8">
        <f t="shared" si="24"/>
        <v>66861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2">
        <f>G134*EXP('Model Inputs'!H21)</f>
        <v>117.0535651311439</v>
      </c>
      <c r="I134" s="213">
        <f>H134*EXP('Model Inputs'!I21)</f>
        <v>118.91114870827467</v>
      </c>
      <c r="J134" s="213">
        <f>I134*EXP('Model Inputs'!J21)</f>
        <v>118.91114870827467</v>
      </c>
      <c r="K134" s="213">
        <f>J134*EXP('Model Inputs'!K21)</f>
        <v>118.91114870827467</v>
      </c>
      <c r="L134" s="213">
        <f>K134*EXP('Model Inputs'!L21)</f>
        <v>118.91114870827467</v>
      </c>
      <c r="M134" s="214">
        <f>L134*EXP('Model Inputs'!M21)</f>
        <v>118.91114870827467</v>
      </c>
      <c r="N134" s="219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275</v>
      </c>
      <c r="F135" s="41">
        <v>938.36</v>
      </c>
      <c r="G135" s="41">
        <f>HLOOKUP($E$3,$P$3:$CI$269,O135,FALSE)</f>
        <v>962.73</v>
      </c>
      <c r="H135" s="215">
        <f>G135*EXP('Model Inputs'!H20)</f>
        <v>987.73290943774236</v>
      </c>
      <c r="I135" s="216">
        <f>H135*EXP('Model Inputs'!I20)</f>
        <v>1013.3453119075671</v>
      </c>
      <c r="J135" s="216">
        <f>I135*EXP('Model Inputs'!J20)</f>
        <v>1013.3453119075671</v>
      </c>
      <c r="K135" s="216">
        <f>J135*EXP('Model Inputs'!K20)</f>
        <v>1013.3453119075671</v>
      </c>
      <c r="L135" s="216">
        <f>K135*EXP('Model Inputs'!L20)</f>
        <v>1013.3453119075671</v>
      </c>
      <c r="M135" s="217">
        <f>L135*EXP('Model Inputs'!M20)</f>
        <v>1013.3453119075671</v>
      </c>
      <c r="N135" s="219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2.2643473916963336E-2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2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132.11052105817498</v>
      </c>
      <c r="H137" s="29">
        <f t="shared" ref="H137:M137" si="26">G137*EXP(H136)</f>
        <v>135.13980788209608</v>
      </c>
      <c r="I137" s="29">
        <f t="shared" si="26"/>
        <v>138.23475048584561</v>
      </c>
      <c r="J137" s="29">
        <f t="shared" si="26"/>
        <v>138.23475048584561</v>
      </c>
      <c r="K137" s="29">
        <f t="shared" si="26"/>
        <v>138.23475048584561</v>
      </c>
      <c r="L137" s="29">
        <f t="shared" si="26"/>
        <v>138.23475048584561</v>
      </c>
      <c r="M137" s="29">
        <f t="shared" si="26"/>
        <v>138.23475048584561</v>
      </c>
      <c r="N137" s="189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9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17.849773217599605</v>
      </c>
      <c r="I139" s="29">
        <f t="shared" si="27"/>
        <v>17.122228536848063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89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M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833</v>
      </c>
      <c r="H142" s="42">
        <f>'Model Inputs'!H16</f>
        <v>862</v>
      </c>
      <c r="I142" s="42">
        <f>'Model Inputs'!I16</f>
        <v>892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9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696.5</v>
      </c>
      <c r="H143" s="41">
        <f>(G143*14+H142)/15</f>
        <v>707.5333333333333</v>
      </c>
      <c r="I143" s="41">
        <f>(H143*15+I142)/16</f>
        <v>719.0625</v>
      </c>
      <c r="J143" s="41">
        <f>(I143*16+J142)/17</f>
        <v>676.76470588235293</v>
      </c>
      <c r="K143" s="41">
        <f>(J143*17+K142)/18</f>
        <v>639.16666666666663</v>
      </c>
      <c r="L143" s="41">
        <f>(K143*17+L142)/18</f>
        <v>603.65740740740739</v>
      </c>
      <c r="M143" s="41">
        <f>(L143*17+M142)/18</f>
        <v>570.12088477366251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ht="15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13793</v>
      </c>
      <c r="H144" s="228">
        <v>13832</v>
      </c>
      <c r="I144" s="228">
        <v>14123</v>
      </c>
      <c r="J144" s="228">
        <v>14471</v>
      </c>
      <c r="K144" s="228">
        <v>14563</v>
      </c>
      <c r="L144" s="228">
        <v>14707</v>
      </c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0.17139128543464077</v>
      </c>
      <c r="H145" s="30">
        <f>'Model Inputs'!H17</f>
        <v>0.19409999999999999</v>
      </c>
      <c r="I145" s="30">
        <f>'Model Inputs'!I17</f>
        <v>0.20749999999999999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3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0.13570727148308426</v>
      </c>
      <c r="H152" s="44">
        <f t="shared" ref="H152:K152" si="31">H113/H137</f>
        <v>0.1320837545749125</v>
      </c>
      <c r="I152" s="44">
        <f t="shared" si="31"/>
        <v>0.12386341695318699</v>
      </c>
      <c r="J152" s="44">
        <f t="shared" si="31"/>
        <v>5.5895123587704092E-2</v>
      </c>
      <c r="K152" s="44">
        <f t="shared" si="31"/>
        <v>5.5895123587704092E-2</v>
      </c>
      <c r="L152" s="44">
        <f t="shared" ref="L152:M152" si="32">L113/L137</f>
        <v>5.5895123587704092E-2</v>
      </c>
      <c r="M152" s="44">
        <f t="shared" si="32"/>
        <v>5.5895123587704092E-2</v>
      </c>
      <c r="N152" s="194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16157</v>
      </c>
      <c r="H153" s="25">
        <f t="shared" ref="H153:K153" si="33">H96</f>
        <v>16293.416666666668</v>
      </c>
      <c r="I153" s="25">
        <f t="shared" si="33"/>
        <v>16676.666666666668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0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66861</v>
      </c>
      <c r="H154" s="25">
        <f t="shared" ref="H154:K154" si="35">H131</f>
        <v>66861</v>
      </c>
      <c r="I154" s="25">
        <f t="shared" si="35"/>
        <v>66861</v>
      </c>
      <c r="J154" s="25">
        <f t="shared" si="35"/>
        <v>66861</v>
      </c>
      <c r="K154" s="25">
        <f t="shared" si="35"/>
        <v>66861</v>
      </c>
      <c r="L154" s="25">
        <f t="shared" ref="L154:M154" si="36">L131</f>
        <v>66861</v>
      </c>
      <c r="M154" s="25">
        <f t="shared" si="36"/>
        <v>66861</v>
      </c>
      <c r="N154" s="190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237763328.72</v>
      </c>
      <c r="H155" s="39">
        <f t="shared" ref="H155:K155" si="37">H97</f>
        <v>242016317.90000004</v>
      </c>
      <c r="I155" s="39">
        <f t="shared" si="37"/>
        <v>239667884.45104998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1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696.5</v>
      </c>
      <c r="H156" s="45">
        <f t="shared" ref="H156:K156" si="39">H143</f>
        <v>707.5333333333333</v>
      </c>
      <c r="I156" s="45">
        <f t="shared" si="39"/>
        <v>719.0625</v>
      </c>
      <c r="J156" s="45">
        <f t="shared" si="39"/>
        <v>676.76470588235293</v>
      </c>
      <c r="K156" s="45">
        <f t="shared" si="39"/>
        <v>639.16666666666663</v>
      </c>
      <c r="L156" s="45">
        <f t="shared" ref="L156:M156" si="40">L143</f>
        <v>603.65740740740739</v>
      </c>
      <c r="M156" s="45">
        <f t="shared" si="40"/>
        <v>570.12088477366251</v>
      </c>
      <c r="N156" s="195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0.17139128543464077</v>
      </c>
      <c r="H157" s="31">
        <f t="shared" ref="H157:L157" si="41">H145</f>
        <v>0.19409999999999999</v>
      </c>
      <c r="I157" s="31">
        <f t="shared" si="41"/>
        <v>0.20749999999999999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12.815901074724351</v>
      </c>
      <c r="H162" s="49">
        <f t="shared" ref="H162:M179" si="45">G162</f>
        <v>12.815901074724351</v>
      </c>
      <c r="I162" s="49">
        <f t="shared" si="45"/>
        <v>12.815901074724351</v>
      </c>
      <c r="J162" s="49">
        <f t="shared" si="45"/>
        <v>12.815901074724351</v>
      </c>
      <c r="K162" s="49">
        <f t="shared" si="45"/>
        <v>12.815901074724351</v>
      </c>
      <c r="L162" s="49">
        <f t="shared" si="45"/>
        <v>12.815901074724351</v>
      </c>
      <c r="M162" s="49">
        <f t="shared" si="45"/>
        <v>12.815901074724351</v>
      </c>
      <c r="N162" s="196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0.62779738691986353</v>
      </c>
      <c r="H163" s="49">
        <f t="shared" si="45"/>
        <v>0.62779738691986353</v>
      </c>
      <c r="I163" s="49">
        <f t="shared" si="45"/>
        <v>0.62779738691986353</v>
      </c>
      <c r="J163" s="49">
        <f t="shared" si="45"/>
        <v>0.62779738691986353</v>
      </c>
      <c r="K163" s="49">
        <f t="shared" si="45"/>
        <v>0.62779738691986353</v>
      </c>
      <c r="L163" s="49">
        <f t="shared" si="45"/>
        <v>0.62779738691986353</v>
      </c>
      <c r="M163" s="49">
        <f t="shared" si="45"/>
        <v>0.62779738691986353</v>
      </c>
      <c r="N163" s="196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0.44245966585891083</v>
      </c>
      <c r="H164" s="49">
        <f t="shared" si="45"/>
        <v>0.44245966585891083</v>
      </c>
      <c r="I164" s="49">
        <f t="shared" si="45"/>
        <v>0.44245966585891083</v>
      </c>
      <c r="J164" s="49">
        <f t="shared" si="45"/>
        <v>0.44245966585891083</v>
      </c>
      <c r="K164" s="49">
        <f t="shared" si="45"/>
        <v>0.44245966585891083</v>
      </c>
      <c r="L164" s="49">
        <f t="shared" si="45"/>
        <v>0.44245966585891083</v>
      </c>
      <c r="M164" s="49">
        <f t="shared" si="45"/>
        <v>0.44245966585891083</v>
      </c>
      <c r="N164" s="196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0.16088555495078627</v>
      </c>
      <c r="H165" s="49">
        <f t="shared" si="45"/>
        <v>0.16088555495078627</v>
      </c>
      <c r="I165" s="49">
        <f t="shared" si="45"/>
        <v>0.16088555495078627</v>
      </c>
      <c r="J165" s="49">
        <f t="shared" si="45"/>
        <v>0.16088555495078627</v>
      </c>
      <c r="K165" s="49">
        <f t="shared" si="45"/>
        <v>0.16088555495078627</v>
      </c>
      <c r="L165" s="49">
        <f t="shared" si="45"/>
        <v>0.16088555495078627</v>
      </c>
      <c r="M165" s="49">
        <f t="shared" si="45"/>
        <v>0.16088555495078627</v>
      </c>
      <c r="N165" s="196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0.10313938778589071</v>
      </c>
      <c r="H166" s="49">
        <f t="shared" si="45"/>
        <v>0.10313938778589071</v>
      </c>
      <c r="I166" s="49">
        <f t="shared" si="45"/>
        <v>0.10313938778589071</v>
      </c>
      <c r="J166" s="49">
        <f t="shared" si="45"/>
        <v>0.10313938778589071</v>
      </c>
      <c r="K166" s="49">
        <f t="shared" si="45"/>
        <v>0.10313938778589071</v>
      </c>
      <c r="L166" s="49">
        <f t="shared" si="45"/>
        <v>0.10313938778589071</v>
      </c>
      <c r="M166" s="49">
        <f t="shared" si="45"/>
        <v>0.10313938778589071</v>
      </c>
      <c r="N166" s="196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0.12460459341251928</v>
      </c>
      <c r="H167" s="49">
        <f t="shared" si="45"/>
        <v>0.12460459341251928</v>
      </c>
      <c r="I167" s="49">
        <f t="shared" si="45"/>
        <v>0.12460459341251928</v>
      </c>
      <c r="J167" s="49">
        <f t="shared" si="45"/>
        <v>0.12460459341251928</v>
      </c>
      <c r="K167" s="49">
        <f t="shared" si="45"/>
        <v>0.12460459341251928</v>
      </c>
      <c r="L167" s="49">
        <f t="shared" si="45"/>
        <v>0.12460459341251928</v>
      </c>
      <c r="M167" s="49">
        <f t="shared" si="45"/>
        <v>0.12460459341251928</v>
      </c>
      <c r="N167" s="196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-0.37932477859397951</v>
      </c>
      <c r="H168" s="49">
        <f t="shared" si="45"/>
        <v>-0.37932477859397951</v>
      </c>
      <c r="I168" s="49">
        <f t="shared" si="45"/>
        <v>-0.37932477859397951</v>
      </c>
      <c r="J168" s="49">
        <f t="shared" si="45"/>
        <v>-0.37932477859397951</v>
      </c>
      <c r="K168" s="49">
        <f t="shared" si="45"/>
        <v>-0.37932477859397951</v>
      </c>
      <c r="L168" s="49">
        <f t="shared" si="45"/>
        <v>-0.37932477859397951</v>
      </c>
      <c r="M168" s="49">
        <f t="shared" si="45"/>
        <v>-0.37932477859397951</v>
      </c>
      <c r="N168" s="196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0.1805822018903388</v>
      </c>
      <c r="H169" s="49">
        <f t="shared" si="45"/>
        <v>0.1805822018903388</v>
      </c>
      <c r="I169" s="49">
        <f t="shared" si="45"/>
        <v>0.1805822018903388</v>
      </c>
      <c r="J169" s="49">
        <f t="shared" si="45"/>
        <v>0.1805822018903388</v>
      </c>
      <c r="K169" s="49">
        <f t="shared" si="45"/>
        <v>0.1805822018903388</v>
      </c>
      <c r="L169" s="49">
        <f t="shared" si="45"/>
        <v>0.1805822018903388</v>
      </c>
      <c r="M169" s="49">
        <f t="shared" si="45"/>
        <v>0.1805822018903388</v>
      </c>
      <c r="N169" s="196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0.16782890461962829</v>
      </c>
      <c r="H170" s="49">
        <f t="shared" si="45"/>
        <v>0.16782890461962829</v>
      </c>
      <c r="I170" s="49">
        <f t="shared" si="45"/>
        <v>0.16782890461962829</v>
      </c>
      <c r="J170" s="49">
        <f t="shared" si="45"/>
        <v>0.16782890461962829</v>
      </c>
      <c r="K170" s="49">
        <f t="shared" si="45"/>
        <v>0.16782890461962829</v>
      </c>
      <c r="L170" s="49">
        <f t="shared" si="45"/>
        <v>0.16782890461962829</v>
      </c>
      <c r="M170" s="49">
        <f t="shared" si="45"/>
        <v>0.16782890461962829</v>
      </c>
      <c r="N170" s="196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5.0898468907486172E-2</v>
      </c>
      <c r="H171" s="49">
        <f t="shared" si="45"/>
        <v>5.0898468907486172E-2</v>
      </c>
      <c r="I171" s="49">
        <f t="shared" si="45"/>
        <v>5.0898468907486172E-2</v>
      </c>
      <c r="J171" s="49">
        <f t="shared" si="45"/>
        <v>5.0898468907486172E-2</v>
      </c>
      <c r="K171" s="49">
        <f t="shared" si="45"/>
        <v>5.0898468907486172E-2</v>
      </c>
      <c r="L171" s="49">
        <f t="shared" si="45"/>
        <v>5.0898468907486172E-2</v>
      </c>
      <c r="M171" s="49">
        <f t="shared" si="45"/>
        <v>5.0898468907486172E-2</v>
      </c>
      <c r="N171" s="196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1.07932400511217E-2</v>
      </c>
      <c r="H172" s="49">
        <f t="shared" si="45"/>
        <v>1.07932400511217E-2</v>
      </c>
      <c r="I172" s="49">
        <f t="shared" si="45"/>
        <v>1.07932400511217E-2</v>
      </c>
      <c r="J172" s="49">
        <f t="shared" si="45"/>
        <v>1.07932400511217E-2</v>
      </c>
      <c r="K172" s="49">
        <f t="shared" si="45"/>
        <v>1.07932400511217E-2</v>
      </c>
      <c r="L172" s="49">
        <f t="shared" si="45"/>
        <v>1.07932400511217E-2</v>
      </c>
      <c r="M172" s="49">
        <f t="shared" si="45"/>
        <v>1.07932400511217E-2</v>
      </c>
      <c r="N172" s="196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2.0223953221643332E-3</v>
      </c>
      <c r="H173" s="49">
        <f t="shared" si="45"/>
        <v>2.0223953221643332E-3</v>
      </c>
      <c r="I173" s="49">
        <f t="shared" si="45"/>
        <v>2.0223953221643332E-3</v>
      </c>
      <c r="J173" s="49">
        <f t="shared" si="45"/>
        <v>2.0223953221643332E-3</v>
      </c>
      <c r="K173" s="49">
        <f t="shared" si="45"/>
        <v>2.0223953221643332E-3</v>
      </c>
      <c r="L173" s="49">
        <f t="shared" si="45"/>
        <v>2.0223953221643332E-3</v>
      </c>
      <c r="M173" s="49">
        <f t="shared" si="45"/>
        <v>2.0223953221643332E-3</v>
      </c>
      <c r="N173" s="196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0.1482847141632227</v>
      </c>
      <c r="H174" s="49">
        <f t="shared" si="45"/>
        <v>0.1482847141632227</v>
      </c>
      <c r="I174" s="49">
        <f t="shared" si="45"/>
        <v>0.1482847141632227</v>
      </c>
      <c r="J174" s="49">
        <f t="shared" si="45"/>
        <v>0.1482847141632227</v>
      </c>
      <c r="K174" s="49">
        <f t="shared" si="45"/>
        <v>0.1482847141632227</v>
      </c>
      <c r="L174" s="49">
        <f t="shared" si="45"/>
        <v>0.1482847141632227</v>
      </c>
      <c r="M174" s="49">
        <f t="shared" si="45"/>
        <v>0.1482847141632227</v>
      </c>
      <c r="N174" s="196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6.0882088759193681E-2</v>
      </c>
      <c r="H175" s="49">
        <f t="shared" si="45"/>
        <v>6.0882088759193681E-2</v>
      </c>
      <c r="I175" s="49">
        <f t="shared" si="45"/>
        <v>6.0882088759193681E-2</v>
      </c>
      <c r="J175" s="49">
        <f t="shared" si="45"/>
        <v>6.0882088759193681E-2</v>
      </c>
      <c r="K175" s="49">
        <f t="shared" si="45"/>
        <v>6.0882088759193681E-2</v>
      </c>
      <c r="L175" s="49">
        <f t="shared" si="45"/>
        <v>6.0882088759193681E-2</v>
      </c>
      <c r="M175" s="49">
        <f t="shared" si="45"/>
        <v>6.0882088759193681E-2</v>
      </c>
      <c r="N175" s="196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-0.19546489563692088</v>
      </c>
      <c r="H176" s="49">
        <f t="shared" si="45"/>
        <v>-0.19546489563692088</v>
      </c>
      <c r="I176" s="49">
        <f t="shared" si="45"/>
        <v>-0.19546489563692088</v>
      </c>
      <c r="J176" s="49">
        <f t="shared" si="45"/>
        <v>-0.19546489563692088</v>
      </c>
      <c r="K176" s="49">
        <f t="shared" si="45"/>
        <v>-0.19546489563692088</v>
      </c>
      <c r="L176" s="49">
        <f t="shared" si="45"/>
        <v>-0.19546489563692088</v>
      </c>
      <c r="M176" s="49">
        <f t="shared" si="45"/>
        <v>-0.19546489563692088</v>
      </c>
      <c r="N176" s="196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0.28738107681180652</v>
      </c>
      <c r="H177" s="49">
        <f t="shared" si="45"/>
        <v>0.28738107681180652</v>
      </c>
      <c r="I177" s="49">
        <f t="shared" si="45"/>
        <v>0.28738107681180652</v>
      </c>
      <c r="J177" s="49">
        <f t="shared" si="45"/>
        <v>0.28738107681180652</v>
      </c>
      <c r="K177" s="49">
        <f t="shared" si="45"/>
        <v>0.28738107681180652</v>
      </c>
      <c r="L177" s="49">
        <f t="shared" si="45"/>
        <v>0.28738107681180652</v>
      </c>
      <c r="M177" s="49">
        <f t="shared" si="45"/>
        <v>0.28738107681180652</v>
      </c>
      <c r="N177" s="196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1.6694250765189496E-2</v>
      </c>
      <c r="H178" s="49">
        <f t="shared" si="45"/>
        <v>1.6694250765189496E-2</v>
      </c>
      <c r="I178" s="49">
        <f t="shared" si="45"/>
        <v>1.6694250765189496E-2</v>
      </c>
      <c r="J178" s="49">
        <f t="shared" si="45"/>
        <v>1.6694250765189496E-2</v>
      </c>
      <c r="K178" s="49">
        <f t="shared" si="45"/>
        <v>1.6694250765189496E-2</v>
      </c>
      <c r="L178" s="49">
        <f t="shared" si="45"/>
        <v>1.6694250765189496E-2</v>
      </c>
      <c r="M178" s="49">
        <f t="shared" si="45"/>
        <v>1.6694250765189496E-2</v>
      </c>
      <c r="N178" s="196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1.6810530680632627E-2</v>
      </c>
      <c r="H179" s="49">
        <f t="shared" si="45"/>
        <v>1.6810530680632627E-2</v>
      </c>
      <c r="I179" s="49">
        <f t="shared" si="45"/>
        <v>1.6810530680632627E-2</v>
      </c>
      <c r="J179" s="49">
        <f t="shared" si="45"/>
        <v>1.6810530680632627E-2</v>
      </c>
      <c r="K179" s="49">
        <f t="shared" si="45"/>
        <v>1.6810530680632627E-2</v>
      </c>
      <c r="L179" s="49">
        <f t="shared" si="45"/>
        <v>1.6810530680632627E-2</v>
      </c>
      <c r="M179" s="49">
        <f t="shared" si="45"/>
        <v>1.6810530680632627E-2</v>
      </c>
      <c r="N179" s="196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6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6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6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6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0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6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6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6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6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6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6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6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6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6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6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0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6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6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7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-0.19180233222731322</v>
      </c>
      <c r="H206" s="48">
        <f t="shared" ref="H206:K209" si="49">LN(H152/H184)</f>
        <v>-0.21886625689309033</v>
      </c>
      <c r="I206" s="48">
        <f t="shared" si="49"/>
        <v>-0.28312300027173393</v>
      </c>
      <c r="J206" s="48">
        <f t="shared" si="49"/>
        <v>-1.0788253408331931</v>
      </c>
      <c r="K206" s="48">
        <f t="shared" si="49"/>
        <v>-1.0788253408331931</v>
      </c>
      <c r="L206" s="48">
        <f t="shared" ref="L206:M206" si="50">LN(L152/L184)</f>
        <v>-1.0788253408331931</v>
      </c>
      <c r="M206" s="48">
        <f t="shared" si="50"/>
        <v>-1.0788253408331931</v>
      </c>
      <c r="N206" s="197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-1.3674623283744152</v>
      </c>
      <c r="H207" s="48">
        <f t="shared" si="49"/>
        <v>-1.359054579920673</v>
      </c>
      <c r="I207" s="48">
        <f t="shared" si="49"/>
        <v>-1.3358051838371046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7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-1.6413024649839103</v>
      </c>
      <c r="H208" s="48">
        <f t="shared" si="49"/>
        <v>-1.6413024649839103</v>
      </c>
      <c r="I208" s="48">
        <f t="shared" si="49"/>
        <v>-1.6413024649839103</v>
      </c>
      <c r="J208" s="48">
        <f t="shared" si="49"/>
        <v>-1.6413024649839103</v>
      </c>
      <c r="K208" s="48">
        <f t="shared" si="49"/>
        <v>-1.6413024649839103</v>
      </c>
      <c r="L208" s="48">
        <f t="shared" ref="L208:M208" si="52">LN(L154/L186)</f>
        <v>-1.6413024649839103</v>
      </c>
      <c r="M208" s="48">
        <f t="shared" si="52"/>
        <v>-1.6413024649839103</v>
      </c>
      <c r="N208" s="197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-1.9252607351419584</v>
      </c>
      <c r="H209" s="48">
        <f t="shared" si="49"/>
        <v>-1.9075313436875487</v>
      </c>
      <c r="I209" s="48">
        <f t="shared" si="49"/>
        <v>-1.9172823467110327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7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1.8394067323918316E-2</v>
      </c>
      <c r="H210" s="48">
        <f t="shared" ref="H210:K213" si="54">H206*H206/2</f>
        <v>2.3951219203196105E-2</v>
      </c>
      <c r="I210" s="48">
        <f t="shared" si="54"/>
        <v>4.0079316641434125E-2</v>
      </c>
      <c r="J210" s="48">
        <f t="shared" si="54"/>
        <v>0.58193205801192771</v>
      </c>
      <c r="K210" s="48">
        <f t="shared" si="54"/>
        <v>0.58193205801192771</v>
      </c>
      <c r="L210" s="48">
        <f t="shared" ref="L210:M210" si="55">L206*L206/2</f>
        <v>0.58193205801192771</v>
      </c>
      <c r="M210" s="48">
        <f t="shared" si="55"/>
        <v>0.58193205801192771</v>
      </c>
      <c r="N210" s="197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0.93497660976158847</v>
      </c>
      <c r="H211" s="48">
        <f t="shared" si="54"/>
        <v>0.92351467560167855</v>
      </c>
      <c r="I211" s="48">
        <f t="shared" si="54"/>
        <v>0.8921877445830404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7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1.3469368907811301</v>
      </c>
      <c r="H212" s="48">
        <f t="shared" si="54"/>
        <v>1.3469368907811301</v>
      </c>
      <c r="I212" s="48">
        <f t="shared" si="54"/>
        <v>1.3469368907811301</v>
      </c>
      <c r="J212" s="48">
        <f t="shared" si="54"/>
        <v>1.3469368907811301</v>
      </c>
      <c r="K212" s="48">
        <f t="shared" si="54"/>
        <v>1.3469368907811301</v>
      </c>
      <c r="L212" s="48">
        <f t="shared" ref="L212:M212" si="57">L208*L208/2</f>
        <v>1.3469368907811301</v>
      </c>
      <c r="M212" s="48">
        <f t="shared" si="57"/>
        <v>1.3469368907811301</v>
      </c>
      <c r="N212" s="197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1.8533144491396771</v>
      </c>
      <c r="H213" s="48">
        <f t="shared" si="54"/>
        <v>1.8193379135752126</v>
      </c>
      <c r="I213" s="48">
        <f t="shared" si="54"/>
        <v>1.8379857985048824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7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0.26228246381520487</v>
      </c>
      <c r="H214" s="48">
        <f t="shared" ref="H214:K214" si="59">H206*H207</f>
        <v>0.29745118882064897</v>
      </c>
      <c r="I214" s="48">
        <f t="shared" si="59"/>
        <v>0.37819717142649611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7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0.31480564067435207</v>
      </c>
      <c r="H215" s="48">
        <f t="shared" ref="H215:K215" si="61">H206*H208</f>
        <v>0.35922572694043092</v>
      </c>
      <c r="I215" s="48">
        <f t="shared" si="61"/>
        <v>0.46469047823963722</v>
      </c>
      <c r="J215" s="48">
        <f t="shared" si="61"/>
        <v>1.770678691196627</v>
      </c>
      <c r="K215" s="48">
        <f t="shared" si="61"/>
        <v>1.770678691196627</v>
      </c>
      <c r="L215" s="48">
        <f t="shared" ref="L215:M215" si="62">L206*L208</f>
        <v>1.770678691196627</v>
      </c>
      <c r="M215" s="48">
        <f t="shared" si="62"/>
        <v>1.770678691196627</v>
      </c>
      <c r="N215" s="197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0.36926949914589918</v>
      </c>
      <c r="H216" s="48">
        <f t="shared" ref="H216:K216" si="63">H206*H209</f>
        <v>0.41749424509914085</v>
      </c>
      <c r="I216" s="48">
        <f t="shared" si="63"/>
        <v>0.54282673036885842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7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2.2444192903335649</v>
      </c>
      <c r="H217" s="48">
        <f t="shared" ref="H217:K217" si="65">H207*H208</f>
        <v>2.2306196320714733</v>
      </c>
      <c r="I217" s="48">
        <f t="shared" si="65"/>
        <v>2.1924603409701251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7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2.6327215276050606</v>
      </c>
      <c r="H218" s="48">
        <f t="shared" ref="H218:K218" si="67">H207*H209</f>
        <v>2.5924392089807986</v>
      </c>
      <c r="I218" s="48">
        <f t="shared" si="67"/>
        <v>2.5611156976159664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7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3.1599351903252315</v>
      </c>
      <c r="H219" s="48">
        <f t="shared" ref="H219:K219" si="69">H208*H209</f>
        <v>3.1308358964284442</v>
      </c>
      <c r="I219" s="48">
        <f t="shared" si="69"/>
        <v>3.1468402417269541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7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-1.3633475138156905</v>
      </c>
      <c r="H220" s="48">
        <f t="shared" ref="H220:K220" si="71">LN(H156/H198)</f>
        <v>-1.3476305643759385</v>
      </c>
      <c r="I220" s="48">
        <f t="shared" si="71"/>
        <v>-1.3314670268058659</v>
      </c>
      <c r="J220" s="48">
        <f t="shared" si="71"/>
        <v>-1.3920916486223007</v>
      </c>
      <c r="K220" s="48">
        <f t="shared" si="71"/>
        <v>-1.4492500624622493</v>
      </c>
      <c r="L220" s="48">
        <f t="shared" ref="L220:M220" si="72">LN(L156/L198)</f>
        <v>-1.5064084763021979</v>
      </c>
      <c r="M220" s="48">
        <f t="shared" si="72"/>
        <v>-1.5635668901421467</v>
      </c>
      <c r="N220" s="197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1.3327471651216236</v>
      </c>
      <c r="H221" s="31">
        <f t="shared" ref="H221:K221" si="73">H157/H199</f>
        <v>1.5093312597200623</v>
      </c>
      <c r="I221" s="31">
        <f t="shared" si="73"/>
        <v>1.6135303265940901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7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12.815901074724351</v>
      </c>
      <c r="H226" s="50">
        <f t="shared" ref="H226:K241" si="78">H162*H205</f>
        <v>12.815901074724351</v>
      </c>
      <c r="I226" s="50">
        <f t="shared" si="78"/>
        <v>12.815901074724351</v>
      </c>
      <c r="J226" s="50">
        <f t="shared" si="78"/>
        <v>12.815901074724351</v>
      </c>
      <c r="K226" s="50">
        <f t="shared" si="78"/>
        <v>12.815901074724351</v>
      </c>
      <c r="L226" s="50">
        <f t="shared" ref="L226:M226" si="79">L162*L205</f>
        <v>12.815901074724351</v>
      </c>
      <c r="M226" s="50">
        <f t="shared" si="79"/>
        <v>12.815901074724351</v>
      </c>
      <c r="N226" s="198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-0.12041300297744277</v>
      </c>
      <c r="H227" s="50">
        <f t="shared" si="78"/>
        <v>-0.13740366416241367</v>
      </c>
      <c r="I227" s="50">
        <f t="shared" si="78"/>
        <v>-0.17774387974750638</v>
      </c>
      <c r="J227" s="50">
        <f t="shared" si="78"/>
        <v>-0.67728372991800978</v>
      </c>
      <c r="K227" s="50">
        <f t="shared" si="78"/>
        <v>-0.67728372991800978</v>
      </c>
      <c r="L227" s="50">
        <f t="shared" ref="L227:M227" si="80">L163*L206</f>
        <v>-0.67728372991800978</v>
      </c>
      <c r="M227" s="50">
        <f t="shared" si="80"/>
        <v>-0.67728372991800978</v>
      </c>
      <c r="N227" s="198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-0.60504692488719192</v>
      </c>
      <c r="H228" s="50">
        <f t="shared" si="78"/>
        <v>-0.6013268353157234</v>
      </c>
      <c r="I228" s="50">
        <f t="shared" si="78"/>
        <v>-0.59103991529316624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8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-0.26406185792102987</v>
      </c>
      <c r="H229" s="50">
        <f t="shared" si="78"/>
        <v>-0.26406185792102987</v>
      </c>
      <c r="I229" s="50">
        <f t="shared" si="78"/>
        <v>-0.26406185792102987</v>
      </c>
      <c r="J229" s="50">
        <f t="shared" si="78"/>
        <v>-0.26406185792102987</v>
      </c>
      <c r="K229" s="50">
        <f t="shared" si="78"/>
        <v>-0.26406185792102987</v>
      </c>
      <c r="L229" s="50">
        <f t="shared" ref="L229:M229" si="82">L165*L208</f>
        <v>-0.26406185792102987</v>
      </c>
      <c r="M229" s="50">
        <f t="shared" si="82"/>
        <v>-0.26406185792102987</v>
      </c>
      <c r="N229" s="198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-0.19857021355075546</v>
      </c>
      <c r="H230" s="50">
        <f t="shared" si="78"/>
        <v>-0.19674161497033127</v>
      </c>
      <c r="I230" s="50">
        <f t="shared" si="78"/>
        <v>-0.19774732745247178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8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2.2919852800993485E-3</v>
      </c>
      <c r="H231" s="50">
        <f t="shared" si="78"/>
        <v>2.9844319305483745E-3</v>
      </c>
      <c r="I231" s="50">
        <f t="shared" si="78"/>
        <v>4.9940669543575168E-3</v>
      </c>
      <c r="J231" s="50">
        <f t="shared" si="78"/>
        <v>7.2511407482286835E-2</v>
      </c>
      <c r="K231" s="50">
        <f t="shared" si="78"/>
        <v>7.2511407482286835E-2</v>
      </c>
      <c r="L231" s="50">
        <f t="shared" ref="L231:M231" si="84">L167*L210</f>
        <v>7.2511407482286835E-2</v>
      </c>
      <c r="M231" s="50">
        <f t="shared" si="84"/>
        <v>7.2511407482286835E-2</v>
      </c>
      <c r="N231" s="198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-0.35465979548836413</v>
      </c>
      <c r="H232" s="50">
        <f t="shared" si="78"/>
        <v>-0.3503119998508975</v>
      </c>
      <c r="I232" s="50">
        <f t="shared" si="78"/>
        <v>-0.33842891867822372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8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0.24323282954458325</v>
      </c>
      <c r="H233" s="50">
        <f t="shared" si="78"/>
        <v>0.24323282954458325</v>
      </c>
      <c r="I233" s="50">
        <f t="shared" si="78"/>
        <v>0.24323282954458325</v>
      </c>
      <c r="J233" s="50">
        <f t="shared" si="78"/>
        <v>0.24323282954458325</v>
      </c>
      <c r="K233" s="50">
        <f t="shared" si="78"/>
        <v>0.24323282954458325</v>
      </c>
      <c r="L233" s="50">
        <f t="shared" ref="L233:M233" si="86">L169*L212</f>
        <v>0.24323282954458325</v>
      </c>
      <c r="M233" s="50">
        <f t="shared" si="86"/>
        <v>0.24323282954458325</v>
      </c>
      <c r="N233" s="198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0.31103973391484185</v>
      </c>
      <c r="H234" s="50">
        <f t="shared" si="78"/>
        <v>0.3053374891682879</v>
      </c>
      <c r="I234" s="50">
        <f t="shared" si="78"/>
        <v>0.30846714326950725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8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1.3349775829477072E-2</v>
      </c>
      <c r="H235" s="50">
        <f t="shared" si="78"/>
        <v>1.51398100856826E-2</v>
      </c>
      <c r="I235" s="50">
        <f t="shared" si="78"/>
        <v>1.924965697075073E-2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8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3.3977728492454434E-3</v>
      </c>
      <c r="H236" s="50">
        <f t="shared" si="78"/>
        <v>3.8772095034067663E-3</v>
      </c>
      <c r="I236" s="50">
        <f t="shared" si="78"/>
        <v>5.0155158811109489E-3</v>
      </c>
      <c r="J236" s="50">
        <f t="shared" si="78"/>
        <v>1.9111360167491188E-2</v>
      </c>
      <c r="K236" s="50">
        <f t="shared" si="78"/>
        <v>1.9111360167491188E-2</v>
      </c>
      <c r="L236" s="50">
        <f t="shared" ref="L236:M236" si="89">L172*L215</f>
        <v>1.9111360167491188E-2</v>
      </c>
      <c r="M236" s="50">
        <f t="shared" si="89"/>
        <v>1.9111360167491188E-2</v>
      </c>
      <c r="N236" s="198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7.4680890769063268E-4</v>
      </c>
      <c r="H237" s="50">
        <f t="shared" si="78"/>
        <v>8.4433840831903205E-4</v>
      </c>
      <c r="I237" s="50">
        <f t="shared" si="78"/>
        <v>1.097810240243739E-3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8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0.33281307292953582</v>
      </c>
      <c r="H238" s="50">
        <f t="shared" si="78"/>
        <v>0.33076679454859137</v>
      </c>
      <c r="I238" s="50">
        <f t="shared" si="78"/>
        <v>0.32510835497495677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8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0.16028558572189128</v>
      </c>
      <c r="H239" s="50">
        <f t="shared" si="78"/>
        <v>0.15783311402398284</v>
      </c>
      <c r="I239" s="50">
        <f t="shared" si="78"/>
        <v>0.15592607322481949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8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-0.61765640219635509</v>
      </c>
      <c r="H240" s="50">
        <f t="shared" si="78"/>
        <v>-0.61196851175171141</v>
      </c>
      <c r="I240" s="50">
        <f t="shared" si="78"/>
        <v>-0.615096799435222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8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-0.39180027658905242</v>
      </c>
      <c r="H241" s="50">
        <f t="shared" si="78"/>
        <v>-0.38728352273485978</v>
      </c>
      <c r="I241" s="50">
        <f t="shared" si="78"/>
        <v>-0.38263842790288422</v>
      </c>
      <c r="J241" s="50">
        <f t="shared" si="78"/>
        <v>-0.40006079700179981</v>
      </c>
      <c r="K241" s="50">
        <f t="shared" si="78"/>
        <v>-0.41648704351997906</v>
      </c>
      <c r="L241" s="50">
        <f t="shared" ref="L241:M241" si="94">L177*L220</f>
        <v>-0.43291329003815837</v>
      </c>
      <c r="M241" s="50">
        <f t="shared" si="94"/>
        <v>-0.44933953655633768</v>
      </c>
      <c r="N241" s="198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2.2249215381135796E-2</v>
      </c>
      <c r="H242" s="50">
        <f t="shared" ref="H242:K243" si="95">H178*H221</f>
        <v>2.5197154537506077E-2</v>
      </c>
      <c r="I242" s="50">
        <f t="shared" si="95"/>
        <v>2.6936679889399847E-2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8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0.15129477612569364</v>
      </c>
      <c r="H243" s="50">
        <f t="shared" si="95"/>
        <v>0.16810530680632627</v>
      </c>
      <c r="I243" s="50">
        <f t="shared" si="95"/>
        <v>0.18491583748695889</v>
      </c>
      <c r="J243" s="50">
        <f t="shared" si="95"/>
        <v>0.20172636816759154</v>
      </c>
      <c r="K243" s="50">
        <f t="shared" si="95"/>
        <v>0.21853689884822416</v>
      </c>
      <c r="L243" s="50">
        <f t="shared" ref="L243:M243" si="97">L179*L222</f>
        <v>0.23534742952885679</v>
      </c>
      <c r="M243" s="50">
        <f t="shared" si="97"/>
        <v>0.25215796020948938</v>
      </c>
      <c r="N243" s="198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11.504394157598352</v>
      </c>
      <c r="H245" s="44">
        <f t="shared" ref="H245:K245" si="98">SUM(H226:H243)</f>
        <v>11.520121546574622</v>
      </c>
      <c r="I245" s="44">
        <f t="shared" si="98"/>
        <v>11.524087916730531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4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99150.498096189243</v>
      </c>
      <c r="H246" s="8">
        <f t="shared" ref="H246:K246" si="100">EXP(H245)</f>
        <v>100722.2035618004</v>
      </c>
      <c r="I246" s="8">
        <f t="shared" si="100"/>
        <v>101122.49843808128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132.11052105817498</v>
      </c>
      <c r="H247" s="21">
        <f t="shared" ref="H247:K247" si="102">H137</f>
        <v>135.13980788209608</v>
      </c>
      <c r="I247" s="21">
        <f t="shared" si="102"/>
        <v>138.23475048584561</v>
      </c>
      <c r="J247" s="21">
        <f t="shared" si="102"/>
        <v>138.23475048584561</v>
      </c>
      <c r="K247" s="21">
        <f t="shared" si="102"/>
        <v>138.23475048584561</v>
      </c>
      <c r="L247" s="21">
        <f t="shared" ref="L247:M247" si="103">L137</f>
        <v>138.23475048584561</v>
      </c>
      <c r="M247" s="21">
        <f t="shared" si="103"/>
        <v>138.23475048584561</v>
      </c>
      <c r="N247" s="189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13098823.966665147</v>
      </c>
      <c r="H248" s="8">
        <f t="shared" ref="H248:K248" si="104">H246*H247</f>
        <v>13611579.238803079</v>
      </c>
      <c r="I248" s="8">
        <f t="shared" si="104"/>
        <v>13978643.340093479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36" t="s">
        <v>151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14265652.586077746</v>
      </c>
      <c r="H256" s="60">
        <f t="shared" ref="H256:K256" si="107">H121</f>
        <v>14914065.240514774</v>
      </c>
      <c r="I256" s="60">
        <f t="shared" si="107"/>
        <v>15298951.819023233</v>
      </c>
      <c r="J256" s="60">
        <f t="shared" si="107"/>
        <v>3986820.7564658266</v>
      </c>
      <c r="K256" s="60">
        <f t="shared" si="107"/>
        <v>3803825.683744045</v>
      </c>
      <c r="L256" s="60">
        <f t="shared" ref="L256:M256" si="108">L121</f>
        <v>3629230.0848601935</v>
      </c>
      <c r="M256" s="60">
        <f t="shared" si="108"/>
        <v>3462648.4239651104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13098823.966665147</v>
      </c>
      <c r="H257" s="60">
        <f t="shared" ref="H257:K257" si="110">H248</f>
        <v>13611579.238803079</v>
      </c>
      <c r="I257" s="60">
        <f t="shared" si="110"/>
        <v>13978643.340093479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1166828.6194125991</v>
      </c>
      <c r="H258" s="25">
        <f t="shared" ref="H258:K258" si="113">H256-H257</f>
        <v>1302486.0017116945</v>
      </c>
      <c r="I258" s="25">
        <f t="shared" si="113"/>
        <v>1320308.4789297543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0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8.9078883904542161E-2</v>
      </c>
      <c r="H259" s="61">
        <f t="shared" ref="H259:K259" si="116">H258/H257</f>
        <v>9.5689558049123727E-2</v>
      </c>
      <c r="I259" s="61">
        <f t="shared" si="116"/>
        <v>9.4451832470956024E-2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8.5332278337988773E-2</v>
      </c>
      <c r="H261" s="64">
        <f t="shared" ref="H261:K261" si="118">LN(H256/H257)</f>
        <v>9.1383898447799441E-2</v>
      </c>
      <c r="I261" s="64">
        <f t="shared" si="118"/>
        <v>9.0253628306070297E-2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2">
        <v>0.70603191069711846</v>
      </c>
      <c r="R261" s="182">
        <v>9.7302851273268903E-2</v>
      </c>
      <c r="S261" s="182">
        <v>7.9116818658470298E-3</v>
      </c>
      <c r="T261" s="182">
        <v>-0.13566026656147193</v>
      </c>
      <c r="U261" s="182">
        <v>-6.0531179294817661E-2</v>
      </c>
      <c r="V261" s="182">
        <v>-0.10273580479940848</v>
      </c>
      <c r="W261" s="182">
        <v>-3.6171762355483722E-2</v>
      </c>
      <c r="X261" s="182">
        <v>0.12954887332885678</v>
      </c>
      <c r="Y261" s="182">
        <v>-1.178839990354383E-2</v>
      </c>
      <c r="Z261" s="182">
        <v>0.23878141255250601</v>
      </c>
      <c r="AA261" s="182">
        <v>-0.14187073129993855</v>
      </c>
      <c r="AB261" s="182">
        <v>-0.33248359794952609</v>
      </c>
      <c r="AC261" s="182">
        <v>-0.34709538811768975</v>
      </c>
      <c r="AD261" s="182">
        <v>-8.2235750663606749E-2</v>
      </c>
      <c r="AE261" s="182">
        <v>-0.17338453941922083</v>
      </c>
      <c r="AF261" s="182">
        <v>9.9081698234558827E-2</v>
      </c>
      <c r="AG261" s="182">
        <v>7.0076968960318273E-2</v>
      </c>
      <c r="AH261" s="182">
        <v>-0.20361196118985733</v>
      </c>
      <c r="AI261" s="182">
        <v>-0.13480116485236857</v>
      </c>
      <c r="AJ261" s="182">
        <v>0.13983043346236282</v>
      </c>
      <c r="AK261" s="182">
        <v>5.1052990879939683E-2</v>
      </c>
      <c r="AL261" s="182">
        <v>8.012318813172821E-2</v>
      </c>
      <c r="AM261" s="182">
        <v>-0.16981590559649995</v>
      </c>
      <c r="AN261" s="182">
        <v>-3.7508067196586295E-2</v>
      </c>
      <c r="AO261" s="182">
        <v>-0.21390807364979811</v>
      </c>
      <c r="AP261" s="182">
        <v>-0.28160334207753757</v>
      </c>
      <c r="AQ261" s="182">
        <v>-7.4283903775821045E-2</v>
      </c>
      <c r="AR261" s="182">
        <v>-2.0728495983574402E-2</v>
      </c>
      <c r="AS261" s="182">
        <v>-6.1766129420147635E-2</v>
      </c>
      <c r="AT261" s="182">
        <v>-0.68104304591369058</v>
      </c>
      <c r="AU261" s="182">
        <v>-2.9109769391623443E-2</v>
      </c>
      <c r="AV261" s="182">
        <v>0.20347584733324961</v>
      </c>
      <c r="AW261" s="182">
        <v>0.15249207969423123</v>
      </c>
      <c r="AX261" s="182">
        <v>8.5332278337988773E-2</v>
      </c>
      <c r="AY261" s="182">
        <v>-3.8703118930454125E-2</v>
      </c>
      <c r="AZ261" s="182">
        <v>-3.1235094258237218E-2</v>
      </c>
      <c r="BA261" s="182">
        <v>-0.22347261724008805</v>
      </c>
      <c r="BB261" s="182">
        <v>-0.22059548171389978</v>
      </c>
      <c r="BC261" s="182">
        <v>-7.5826148872448346E-2</v>
      </c>
      <c r="BD261" s="182">
        <v>-9.9379610138709898E-2</v>
      </c>
      <c r="BE261" s="182">
        <v>0.13847971310394705</v>
      </c>
      <c r="BF261" s="182">
        <v>2.6932793990189417E-2</v>
      </c>
      <c r="BG261" s="182">
        <v>-0.19301495707109628</v>
      </c>
      <c r="BH261" s="182">
        <v>4.544285653579741E-2</v>
      </c>
      <c r="BI261" s="182">
        <v>-6.5883889446759644E-2</v>
      </c>
      <c r="BJ261" s="182">
        <v>6.9845361050938568E-2</v>
      </c>
      <c r="BK261" s="182">
        <v>-0.42248785768120484</v>
      </c>
      <c r="BL261" s="182">
        <v>6.8902247247756065E-2</v>
      </c>
      <c r="BM261" s="182">
        <v>-7.6480481158966551E-2</v>
      </c>
      <c r="BN261" s="182">
        <v>-7.9807448010616705E-2</v>
      </c>
      <c r="BO261" s="182">
        <v>-0.14945401007620784</v>
      </c>
      <c r="BP261" s="182">
        <v>-9.3384746134531446E-2</v>
      </c>
      <c r="BQ261" s="182">
        <v>0.11039920036442048</v>
      </c>
      <c r="BR261" s="182">
        <v>8.0906502290503404E-2</v>
      </c>
      <c r="BS261" s="182">
        <v>0.16164588870826915</v>
      </c>
      <c r="BT261" s="182">
        <v>0.10577263093813177</v>
      </c>
      <c r="BU261" s="182">
        <v>-4.7918446426578928E-2</v>
      </c>
      <c r="BV261" s="182">
        <v>-4.264729379385946E-2</v>
      </c>
      <c r="BW261" s="182">
        <v>-0.10279460260258678</v>
      </c>
      <c r="BX261" s="182">
        <v>8.6308655856581151E-2</v>
      </c>
      <c r="BY261" s="182">
        <v>-4.7652832167869672E-3</v>
      </c>
      <c r="BZ261" s="182">
        <v>0.51474627393933603</v>
      </c>
      <c r="CA261" s="182">
        <v>-2.6843472228933584E-2</v>
      </c>
      <c r="CB261" s="182">
        <v>-0.45550285863118628</v>
      </c>
      <c r="CC261" s="182">
        <v>8.1979682414906066E-2</v>
      </c>
      <c r="CD261" s="182">
        <v>-0.1865758992943703</v>
      </c>
      <c r="CE261" s="182">
        <v>0.1183000698598986</v>
      </c>
      <c r="CF261" s="182">
        <v>0.33475924181663491</v>
      </c>
      <c r="CG261" s="182">
        <v>-5.9947503055636536E-2</v>
      </c>
      <c r="CH261" s="182">
        <v>-2.6103213552321727E-2</v>
      </c>
      <c r="CI261" s="182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2">
        <v>0.70603191069711846</v>
      </c>
      <c r="R262" s="182">
        <v>9.7302851273268903E-2</v>
      </c>
      <c r="S262" s="182">
        <v>7.9116818658470298E-3</v>
      </c>
      <c r="T262" s="182">
        <v>-0.13566026656147193</v>
      </c>
      <c r="U262" s="182">
        <v>-6.0531179294817661E-2</v>
      </c>
      <c r="V262" s="182">
        <v>-0.10273580479940848</v>
      </c>
      <c r="W262" s="182">
        <v>-3.6171762355483722E-2</v>
      </c>
      <c r="X262" s="182">
        <v>0.12954887332885678</v>
      </c>
      <c r="Y262" s="182">
        <v>-1.178839990354383E-2</v>
      </c>
      <c r="Z262" s="182">
        <v>0.23878141255250601</v>
      </c>
      <c r="AA262" s="182">
        <v>-0.14187073129993855</v>
      </c>
      <c r="AB262" s="182">
        <v>-0.33248359794952609</v>
      </c>
      <c r="AC262" s="182">
        <v>-0.34709538811768975</v>
      </c>
      <c r="AD262" s="182">
        <v>-8.2235750663606749E-2</v>
      </c>
      <c r="AE262" s="182">
        <v>-0.17338453941922083</v>
      </c>
      <c r="AF262" s="182">
        <v>9.9081698234558827E-2</v>
      </c>
      <c r="AG262" s="182">
        <v>7.0076968960318273E-2</v>
      </c>
      <c r="AH262" s="182">
        <v>-0.20361196118985733</v>
      </c>
      <c r="AI262" s="182">
        <v>-0.13480116485236857</v>
      </c>
      <c r="AJ262" s="182">
        <v>0.13983043346236282</v>
      </c>
      <c r="AK262" s="182">
        <v>5.1052990879939683E-2</v>
      </c>
      <c r="AL262" s="182">
        <v>8.012318813172821E-2</v>
      </c>
      <c r="AM262" s="182">
        <v>-0.16981590559649995</v>
      </c>
      <c r="AN262" s="182">
        <v>-3.7508067196586295E-2</v>
      </c>
      <c r="AO262" s="182">
        <v>-0.21390807364979811</v>
      </c>
      <c r="AP262" s="182">
        <v>-0.28160334207753757</v>
      </c>
      <c r="AQ262" s="182">
        <v>-7.4283903775821045E-2</v>
      </c>
      <c r="AR262" s="182">
        <v>-2.0728495983574402E-2</v>
      </c>
      <c r="AS262" s="182">
        <v>-6.1766129420147635E-2</v>
      </c>
      <c r="AT262" s="182">
        <v>-0.68104304591369058</v>
      </c>
      <c r="AU262" s="182">
        <v>-2.9109769391623443E-2</v>
      </c>
      <c r="AV262" s="182">
        <v>0.20347584733324961</v>
      </c>
      <c r="AW262" s="182">
        <v>0.15249207969423123</v>
      </c>
      <c r="AX262" s="182">
        <v>8.5332278337988773E-2</v>
      </c>
      <c r="AY262" s="182">
        <v>-3.8703118930454125E-2</v>
      </c>
      <c r="AZ262" s="182">
        <v>-3.1235094258237218E-2</v>
      </c>
      <c r="BA262" s="182">
        <v>-0.22347261724008805</v>
      </c>
      <c r="BB262" s="182">
        <v>-0.22059548171389978</v>
      </c>
      <c r="BC262" s="182">
        <v>-7.5826148872448346E-2</v>
      </c>
      <c r="BD262" s="182">
        <v>-9.9379610138709898E-2</v>
      </c>
      <c r="BE262" s="182">
        <v>0.13847971310394705</v>
      </c>
      <c r="BF262" s="182">
        <v>2.6932793990189417E-2</v>
      </c>
      <c r="BG262" s="182">
        <v>-0.19301495707109628</v>
      </c>
      <c r="BH262" s="182">
        <v>4.544285653579741E-2</v>
      </c>
      <c r="BI262" s="182">
        <v>-6.5883889446759644E-2</v>
      </c>
      <c r="BJ262" s="182">
        <v>6.9845361050938568E-2</v>
      </c>
      <c r="BK262" s="182">
        <v>-0.42248785768120484</v>
      </c>
      <c r="BL262" s="182">
        <v>6.8902247247756065E-2</v>
      </c>
      <c r="BM262" s="182">
        <v>-7.6480481158966551E-2</v>
      </c>
      <c r="BN262" s="182">
        <v>-7.9807448010616705E-2</v>
      </c>
      <c r="BO262" s="182">
        <v>-0.14945401007620784</v>
      </c>
      <c r="BP262" s="182">
        <v>-9.3384746134531446E-2</v>
      </c>
      <c r="BQ262" s="182">
        <v>0.11039920036442048</v>
      </c>
      <c r="BR262" s="182">
        <v>8.0906502290503404E-2</v>
      </c>
      <c r="BS262" s="182">
        <v>0.16164588870826915</v>
      </c>
      <c r="BT262" s="182">
        <v>0.10577263093813177</v>
      </c>
      <c r="BU262" s="182">
        <v>-4.7918446426578928E-2</v>
      </c>
      <c r="BV262" s="182">
        <v>-4.264729379385946E-2</v>
      </c>
      <c r="BW262" s="182">
        <v>-0.10279460260258678</v>
      </c>
      <c r="BX262" s="182">
        <v>8.6308655856581151E-2</v>
      </c>
      <c r="BY262" s="182">
        <v>-4.7652832167869672E-3</v>
      </c>
      <c r="BZ262" s="182">
        <v>0.51474627393933603</v>
      </c>
      <c r="CA262" s="182">
        <v>-2.6843472228933584E-2</v>
      </c>
      <c r="CB262" s="182">
        <v>-0.45550285863118628</v>
      </c>
      <c r="CC262" s="182">
        <v>8.1979682414906066E-2</v>
      </c>
      <c r="CD262" s="182">
        <v>-0.1865758992943703</v>
      </c>
      <c r="CE262" s="182">
        <v>0.1183000698598986</v>
      </c>
      <c r="CF262" s="182">
        <v>0.33475924181663491</v>
      </c>
      <c r="CG262" s="182">
        <v>-5.9947503055636536E-2</v>
      </c>
      <c r="CH262" s="182">
        <v>-2.6103213552321727E-2</v>
      </c>
      <c r="CI262" s="182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2">
        <v>0</v>
      </c>
      <c r="R263" s="182">
        <v>0</v>
      </c>
      <c r="S263" s="182">
        <v>0</v>
      </c>
      <c r="T263" s="182">
        <v>0</v>
      </c>
      <c r="U263" s="182">
        <v>0</v>
      </c>
      <c r="V263" s="182">
        <v>0</v>
      </c>
      <c r="W263" s="182">
        <v>0</v>
      </c>
      <c r="X263" s="182">
        <v>0</v>
      </c>
      <c r="Y263" s="182">
        <v>0</v>
      </c>
      <c r="Z263" s="182">
        <v>0</v>
      </c>
      <c r="AA263" s="182">
        <v>0</v>
      </c>
      <c r="AB263" s="182">
        <v>0</v>
      </c>
      <c r="AC263" s="182">
        <v>0</v>
      </c>
      <c r="AD263" s="182">
        <v>0</v>
      </c>
      <c r="AE263" s="182">
        <v>0</v>
      </c>
      <c r="AF263" s="182">
        <v>0</v>
      </c>
      <c r="AG263" s="182">
        <v>0</v>
      </c>
      <c r="AH263" s="182">
        <v>0</v>
      </c>
      <c r="AI263" s="182">
        <v>0</v>
      </c>
      <c r="AJ263" s="182">
        <v>0</v>
      </c>
      <c r="AK263" s="182">
        <v>0</v>
      </c>
      <c r="AL263" s="182">
        <v>0</v>
      </c>
      <c r="AM263" s="182">
        <v>0</v>
      </c>
      <c r="AN263" s="182">
        <v>0</v>
      </c>
      <c r="AO263" s="182">
        <v>0</v>
      </c>
      <c r="AP263" s="182">
        <v>0</v>
      </c>
      <c r="AQ263" s="182">
        <v>0</v>
      </c>
      <c r="AR263" s="182">
        <v>0</v>
      </c>
      <c r="AS263" s="182">
        <v>0</v>
      </c>
      <c r="AT263" s="182">
        <v>0</v>
      </c>
      <c r="AU263" s="182">
        <v>0</v>
      </c>
      <c r="AV263" s="182">
        <v>0</v>
      </c>
      <c r="AW263" s="182">
        <v>0</v>
      </c>
      <c r="AX263" s="182">
        <v>0</v>
      </c>
      <c r="AY263" s="182">
        <v>0</v>
      </c>
      <c r="AZ263" s="182">
        <v>0</v>
      </c>
      <c r="BA263" s="182">
        <v>0</v>
      </c>
      <c r="BB263" s="182">
        <v>0</v>
      </c>
      <c r="BC263" s="182">
        <v>0</v>
      </c>
      <c r="BD263" s="182">
        <v>0</v>
      </c>
      <c r="BE263" s="182">
        <v>0</v>
      </c>
      <c r="BF263" s="182">
        <v>0</v>
      </c>
      <c r="BG263" s="182">
        <v>0</v>
      </c>
      <c r="BH263" s="182">
        <v>0</v>
      </c>
      <c r="BI263" s="182">
        <v>0</v>
      </c>
      <c r="BJ263" s="182">
        <v>0</v>
      </c>
      <c r="BK263" s="182">
        <v>0</v>
      </c>
      <c r="BL263" s="182">
        <v>0</v>
      </c>
      <c r="BM263" s="182">
        <v>0</v>
      </c>
      <c r="BN263" s="182">
        <v>0</v>
      </c>
      <c r="BO263" s="182">
        <v>0</v>
      </c>
      <c r="BP263" s="182">
        <v>0</v>
      </c>
      <c r="BQ263" s="182">
        <v>0</v>
      </c>
      <c r="BR263" s="182">
        <v>0</v>
      </c>
      <c r="BS263" s="182">
        <v>0</v>
      </c>
      <c r="BT263" s="182">
        <v>0</v>
      </c>
      <c r="BU263" s="182">
        <v>0</v>
      </c>
      <c r="BV263" s="182">
        <v>0</v>
      </c>
      <c r="BW263" s="182">
        <v>0</v>
      </c>
      <c r="BX263" s="182">
        <v>0</v>
      </c>
      <c r="BY263" s="182">
        <v>0</v>
      </c>
      <c r="BZ263" s="182">
        <v>0</v>
      </c>
      <c r="CA263" s="182">
        <v>0</v>
      </c>
      <c r="CB263" s="182">
        <v>0</v>
      </c>
      <c r="CC263" s="182">
        <v>0</v>
      </c>
      <c r="CD263" s="182">
        <v>0</v>
      </c>
      <c r="CE263" s="182">
        <v>0</v>
      </c>
      <c r="CF263" s="182">
        <v>0</v>
      </c>
      <c r="CG263" s="182">
        <v>0</v>
      </c>
      <c r="CH263" s="182">
        <v>0</v>
      </c>
      <c r="CI263" s="182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8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opLeftCell="A7" workbookViewId="0">
      <selection activeCell="E30" sqref="E3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2" t="s">
        <v>168</v>
      </c>
      <c r="D2" s="232"/>
      <c r="E2" s="232"/>
      <c r="F2" s="232"/>
      <c r="G2" s="232"/>
      <c r="H2" s="232"/>
      <c r="I2" s="232"/>
      <c r="J2" s="232"/>
      <c r="K2" s="232"/>
    </row>
    <row r="3" spans="3:17" s="92" customFormat="1" ht="23.25" customHeight="1" x14ac:dyDescent="0.25">
      <c r="C3" s="242" t="str">
        <f>'Model Inputs'!F5</f>
        <v>InnPower</v>
      </c>
      <c r="D3" s="242"/>
      <c r="E3" s="242"/>
      <c r="F3" s="242"/>
      <c r="G3" s="242"/>
      <c r="H3" s="242"/>
      <c r="I3" s="242"/>
      <c r="J3" s="242"/>
      <c r="K3" s="24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183</v>
      </c>
      <c r="G7" s="14" t="s">
        <v>184</v>
      </c>
      <c r="H7" s="14" t="s">
        <v>185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14265652.586077746</v>
      </c>
      <c r="G10" s="86">
        <f>'Benchmarking Calculations'!H121</f>
        <v>14914065.240514774</v>
      </c>
      <c r="H10" s="86">
        <f>'Benchmarking Calculations'!I121</f>
        <v>15298951.819023233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13098823.966665147</v>
      </c>
      <c r="G12" s="86">
        <f>'Benchmarking Calculations'!H257</f>
        <v>13611579.238803079</v>
      </c>
      <c r="H12" s="86">
        <f>'Benchmarking Calculations'!I257</f>
        <v>13978643.340093479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1166828.6194125991</v>
      </c>
      <c r="G14" s="86">
        <f t="shared" si="0"/>
        <v>1302486.0017116945</v>
      </c>
      <c r="H14" s="86">
        <f t="shared" si="0"/>
        <v>1320308.4789297543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182</v>
      </c>
      <c r="E16" s="11"/>
      <c r="F16" s="166">
        <f>LN(F10/F12)</f>
        <v>8.5332278337988773E-2</v>
      </c>
      <c r="G16" s="166">
        <f t="shared" ref="G16:H16" si="2">LN(G10/G12)</f>
        <v>9.1383898447799441E-2</v>
      </c>
      <c r="H16" s="166">
        <f t="shared" si="2"/>
        <v>9.0253628306070297E-2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7"/>
      <c r="G17" s="167"/>
      <c r="H17" s="167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179</v>
      </c>
      <c r="F18" s="168"/>
      <c r="G18" s="168"/>
      <c r="H18" s="168">
        <f>AVERAGE(F16:H16)</f>
        <v>8.8989935030619513E-2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180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5" x14ac:dyDescent="0.25">
      <c r="E24" t="s">
        <v>155</v>
      </c>
      <c r="H24" s="148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Bruce Bacon</cp:lastModifiedBy>
  <cp:lastPrinted>2016-07-25T18:30:34Z</cp:lastPrinted>
  <dcterms:created xsi:type="dcterms:W3CDTF">2016-07-20T15:58:10Z</dcterms:created>
  <dcterms:modified xsi:type="dcterms:W3CDTF">2017-09-20T00:47:39Z</dcterms:modified>
</cp:coreProperties>
</file>