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-11685" yWindow="690" windowWidth="20730" windowHeight="11760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4" l="1"/>
  <c r="H122" i="4"/>
  <c r="I37" i="4" l="1"/>
  <c r="I110" i="4"/>
  <c r="H110" i="4"/>
  <c r="I108" i="4"/>
  <c r="H108" i="4"/>
  <c r="I107" i="4"/>
  <c r="H107" i="4"/>
  <c r="I105" i="4"/>
  <c r="H105" i="4"/>
  <c r="I104" i="4"/>
  <c r="H104" i="4"/>
  <c r="I103" i="4"/>
  <c r="H103" i="4"/>
  <c r="I99" i="4"/>
  <c r="H99" i="4"/>
  <c r="I98" i="4"/>
  <c r="H98" i="4"/>
  <c r="I97" i="4"/>
  <c r="H97" i="4"/>
  <c r="I95" i="4"/>
  <c r="H95" i="4"/>
  <c r="I94" i="4"/>
  <c r="H94" i="4"/>
  <c r="I93" i="4"/>
  <c r="H93" i="4"/>
  <c r="I92" i="4"/>
  <c r="H92" i="4"/>
  <c r="I90" i="4"/>
  <c r="H90" i="4"/>
  <c r="I89" i="4"/>
  <c r="H89" i="4"/>
  <c r="I88" i="4"/>
  <c r="H88" i="4"/>
  <c r="I85" i="4"/>
  <c r="H85" i="4"/>
  <c r="I82" i="4"/>
  <c r="H82" i="4"/>
  <c r="I81" i="4"/>
  <c r="H81" i="4"/>
  <c r="I80" i="4"/>
  <c r="H80" i="4"/>
  <c r="I79" i="4"/>
  <c r="H79" i="4"/>
  <c r="I77" i="4"/>
  <c r="H77" i="4"/>
  <c r="H76" i="4"/>
  <c r="I75" i="4"/>
  <c r="H75" i="4"/>
  <c r="I74" i="4"/>
  <c r="H74" i="4"/>
  <c r="I72" i="4"/>
  <c r="H72" i="4"/>
  <c r="I71" i="4"/>
  <c r="H71" i="4"/>
  <c r="I69" i="4"/>
  <c r="H69" i="4"/>
  <c r="I68" i="4"/>
  <c r="H68" i="4"/>
  <c r="I65" i="4"/>
  <c r="H65" i="4"/>
  <c r="I62" i="4"/>
  <c r="H62" i="4"/>
  <c r="I60" i="4"/>
  <c r="H60" i="4"/>
  <c r="I59" i="4"/>
  <c r="H59" i="4"/>
  <c r="I58" i="4"/>
  <c r="H58" i="4"/>
  <c r="I57" i="4"/>
  <c r="H57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6" i="4"/>
  <c r="H46" i="4"/>
  <c r="I45" i="4"/>
  <c r="H45" i="4"/>
  <c r="I44" i="4"/>
  <c r="H44" i="4"/>
  <c r="I9" i="4"/>
  <c r="H9" i="4"/>
  <c r="I14" i="4" l="1"/>
  <c r="H14" i="4"/>
  <c r="I13" i="4"/>
  <c r="H13" i="4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C3" i="5" l="1"/>
  <c r="M114" i="4"/>
  <c r="M118" i="4"/>
  <c r="M119" i="4"/>
  <c r="M120" i="4"/>
  <c r="M121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H78" i="4"/>
  <c r="I86" i="4"/>
  <c r="H86" i="4"/>
  <c r="H91" i="4"/>
  <c r="I91" i="4"/>
  <c r="I109" i="4"/>
  <c r="H109" i="4"/>
  <c r="I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I35" i="4" s="1"/>
  <c r="H115" i="4"/>
  <c r="H35" i="4" s="1"/>
  <c r="K115" i="4"/>
  <c r="L115" i="4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7" i="4" l="1"/>
  <c r="H37" i="4"/>
  <c r="H27" i="4" s="1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29" i="4" l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31" i="1" s="1"/>
  <c r="H113" i="1"/>
  <c r="H129" i="1"/>
  <c r="J29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43" i="1"/>
  <c r="H139" i="1"/>
  <c r="H116" i="1"/>
  <c r="K29" i="4" l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29" i="4" l="1"/>
  <c r="M31" i="4" s="1"/>
  <c r="M89" i="1" s="1"/>
  <c r="L29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22" i="5" l="1"/>
  <c r="K18" i="5"/>
</calcChain>
</file>

<file path=xl/sharedStrings.xml><?xml version="1.0" encoding="utf-8"?>
<sst xmlns="http://schemas.openxmlformats.org/spreadsheetml/2006/main" count="533" uniqueCount="289">
  <si>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</si>
  <si>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</si>
  <si>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</si>
  <si>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</si>
  <si>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</si>
  <si>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</si>
  <si>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</si>
  <si>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</si>
  <si>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</si>
  <si>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</si>
  <si>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</si>
  <si>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</si>
  <si>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</si>
  <si>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</si>
  <si>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</si>
  <si>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</si>
  <si>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</si>
  <si>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</si>
  <si>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</si>
  <si>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</si>
  <si>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</si>
  <si>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</si>
  <si>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</si>
  <si>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</si>
  <si>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</si>
  <si>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</si>
  <si>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</si>
  <si>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</si>
  <si>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</si>
  <si>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</si>
  <si>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</si>
  <si>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</si>
  <si>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</si>
  <si>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</si>
  <si>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</si>
  <si>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</si>
  <si>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</si>
  <si>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</si>
  <si>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</si>
  <si>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</si>
  <si>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</si>
  <si>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</si>
  <si>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</si>
  <si>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</si>
  <si>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</si>
  <si>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</si>
  <si>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</si>
  <si>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</si>
  <si>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</si>
  <si>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</si>
  <si>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</si>
  <si>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</si>
  <si>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</si>
  <si>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</si>
  <si>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</si>
  <si>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</si>
  <si>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</si>
  <si>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</si>
  <si>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</si>
  <si>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</si>
  <si>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</si>
  <si>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</si>
  <si>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</si>
  <si>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</si>
  <si>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</si>
  <si>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</si>
  <si>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</si>
  <si>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</si>
  <si>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</si>
  <si>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</si>
  <si>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</si>
  <si>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</si>
  <si>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</si>
  <si>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</si>
  <si>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</si>
  <si>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</si>
  <si>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</si>
  <si>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</si>
  <si>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</si>
  <si>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</si>
  <si>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</si>
  <si>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</si>
  <si>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</si>
  <si>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</si>
  <si>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</si>
  <si>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</si>
  <si>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</si>
  <si>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</si>
  <si>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</si>
  <si>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</si>
  <si>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</si>
  <si>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</si>
  <si>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</si>
  <si>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</si>
  <si>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</si>
  <si>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</si>
  <si>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</si>
  <si>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</si>
  <si>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</si>
  <si>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</si>
  <si>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</si>
  <si>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</si>
  <si>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</si>
  <si>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</si>
  <si>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</si>
  <si>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</si>
  <si>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</si>
  <si>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</si>
  <si>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</si>
  <si>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</si>
  <si>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</si>
  <si>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</si>
  <si>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</si>
  <si>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</si>
  <si>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</si>
  <si>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</si>
  <si>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</si>
  <si>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</si>
  <si>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</si>
  <si>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</si>
  <si>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</si>
  <si>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</si>
  <si>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</si>
  <si>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</si>
  <si>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</si>
  <si>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</si>
  <si>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</si>
  <si>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</si>
  <si>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</si>
  <si>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</si>
  <si>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</si>
  <si>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</si>
  <si>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</si>
  <si>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</si>
  <si>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</si>
  <si>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</si>
  <si>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</si>
  <si>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</si>
  <si>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</si>
  <si>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</si>
  <si>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</si>
  <si>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</si>
  <si>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</si>
  <si>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</si>
  <si>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</si>
  <si>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</si>
  <si>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</si>
  <si>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</si>
  <si>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</si>
  <si>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</si>
  <si>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</si>
  <si>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</si>
  <si>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</si>
  <si>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</si>
  <si>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</si>
  <si>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</si>
  <si>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</si>
  <si>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</si>
  <si>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</si>
  <si>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</si>
  <si>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</si>
  <si>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</si>
  <si>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</si>
  <si>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</si>
  <si>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</si>
  <si>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</si>
  <si>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</si>
  <si>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</si>
  <si>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</si>
  <si>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</si>
  <si>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</si>
  <si>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</si>
  <si>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</si>
  <si>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</si>
  <si>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</si>
  <si>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</si>
  <si>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</si>
  <si>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</si>
  <si>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</si>
  <si>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</si>
  <si>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</si>
  <si>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</si>
  <si>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</si>
  <si>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</si>
  <si>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</si>
  <si>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</si>
  <si>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</si>
  <si>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</si>
  <si>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</si>
  <si>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</si>
  <si>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</si>
  <si>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</si>
  <si>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</si>
  <si>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</si>
  <si>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</si>
  <si>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</si>
  <si>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</si>
  <si>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</si>
  <si>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</si>
  <si>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</si>
  <si>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</si>
  <si>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</si>
  <si>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</si>
  <si>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</si>
  <si>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</si>
  <si>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</si>
  <si>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</si>
  <si>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</si>
  <si>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</si>
  <si>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</si>
  <si>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</si>
  <si>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</si>
  <si>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</si>
  <si>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</si>
  <si>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</si>
  <si>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</si>
  <si>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</si>
  <si>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</si>
  <si>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</si>
  <si>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</si>
  <si>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</si>
  <si>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</si>
  <si>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</si>
  <si>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</si>
  <si>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</si>
  <si>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</si>
  <si>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</si>
  <si>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</si>
  <si>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</si>
  <si>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</si>
  <si>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</si>
  <si>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</si>
  <si>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</si>
  <si>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</si>
  <si>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</si>
  <si>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</si>
  <si>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</si>
  <si>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</si>
  <si>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</si>
  <si>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</si>
  <si>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</si>
  <si>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</si>
  <si>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</si>
  <si>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</si>
  <si>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</si>
  <si>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</si>
  <si>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</si>
  <si>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</si>
  <si>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</si>
  <si>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</si>
  <si>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</si>
  <si>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</si>
  <si>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</si>
  <si>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</si>
  <si>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</si>
  <si>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</si>
  <si>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</si>
  <si>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</si>
  <si>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</si>
  <si>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</si>
  <si>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</si>
  <si>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</si>
  <si>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</si>
  <si>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</si>
  <si>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</si>
  <si>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</si>
  <si>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</si>
  <si>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</si>
  <si>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</si>
  <si>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</si>
  <si>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</si>
  <si>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</si>
  <si>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</si>
  <si>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</si>
  <si>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</si>
  <si>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</si>
  <si>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Bad debt expense are not included, 5335</t>
  </si>
  <si>
    <t>COMMENTS</t>
  </si>
  <si>
    <t xml:space="preserve">Data source Rev Requirement Model (Rebase), includes additions and </t>
  </si>
  <si>
    <t>Number of customers reflected for 2015 only include Res, and GS classes, load forecast</t>
  </si>
  <si>
    <t xml:space="preserve">Load Forecast, Billed kWh </t>
  </si>
  <si>
    <t>Assumed the same as 2015</t>
  </si>
  <si>
    <t>2015 Value *3% annually</t>
  </si>
  <si>
    <t>n</t>
  </si>
  <si>
    <t>y</t>
  </si>
  <si>
    <t>5035/5030</t>
  </si>
  <si>
    <t xml:space="preserve">2016 &amp; 2017 values taken from Revenue Requirement - BB </t>
  </si>
  <si>
    <t>contributions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</si>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</sst>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#,##0;[Red]\(#,##0\)"/>
    <numFmt numFmtId="176" formatCode="_-* #,##0_-;\-* #,##0_-;_-* &quot;-&quot;??_-;_-@_-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6" fillId="0" borderId="0"/>
  </cellStyleXfs>
  <cellXfs count="24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5" fontId="16" fillId="7" borderId="20" xfId="4" applyNumberFormat="1" applyFill="1" applyBorder="1" applyAlignment="1">
      <alignment vertical="center"/>
    </xf>
    <xf numFmtId="167" fontId="0" fillId="7" borderId="6" xfId="1" applyNumberFormat="1" applyFont="1" applyFill="1" applyBorder="1" applyAlignment="1">
      <alignment horizontal="center"/>
    </xf>
    <xf numFmtId="1" fontId="0" fillId="2" borderId="6" xfId="0" applyNumberForma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0" fillId="6" borderId="0" xfId="0" applyFill="1" applyBorder="1"/>
    <xf numFmtId="176" fontId="18" fillId="0" borderId="0" xfId="1" applyNumberFormat="1" applyFont="1" applyBorder="1"/>
    <xf numFmtId="167" fontId="8" fillId="6" borderId="0" xfId="1" applyNumberFormat="1" applyFont="1" applyFill="1" applyBorder="1"/>
    <xf numFmtId="167" fontId="6" fillId="2" borderId="6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30" xfId="3"/>
    <cellStyle name="Normal_OEB Trial Balance - Regulatory-July24-0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enue%20Requirement%20Model%20BB%20-%202017%20T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Models/Interrogatories-TC/Load%20Forecast/InnPower_2017%20Load%20Forecast_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3"/>
      <sheetName val="FA Continuity CGAAP 2014"/>
      <sheetName val="FA Continuity MIFRS 2014"/>
      <sheetName val="FA Continuity MIFRS 2015"/>
      <sheetName val="FA Continuity MIFRS 2016"/>
      <sheetName val="FA Continuity MIFRS 2017"/>
      <sheetName val="Trial Balance"/>
      <sheetName val="2013 Balance Sheet"/>
      <sheetName val="2013 Income Statement"/>
      <sheetName val="2014 Balance Sheet"/>
      <sheetName val="2014 Income Statement"/>
      <sheetName val="2015 Balance Sheet"/>
      <sheetName val="2015 Income Statement"/>
      <sheetName val="2016 Balance Sheet"/>
      <sheetName val="2016 Income Statement "/>
      <sheetName val="2017 Balance Sheet"/>
      <sheetName val="2017 Income Statement"/>
      <sheetName val="2017 Rev Deficiency"/>
      <sheetName val="Return on Capital"/>
      <sheetName val="Debt &amp; Capital Structure"/>
      <sheetName val="Tax rates"/>
      <sheetName val="CCA Continuity 2016"/>
      <sheetName val="CCA Continuity 2017"/>
      <sheetName val="Reserves Continuity"/>
      <sheetName val="Corporation Loss Continuity"/>
      <sheetName val="Tax Adjustments 2016"/>
      <sheetName val="Tax Adjustments 2017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>
        <row r="63">
          <cell r="E63">
            <v>-2334509.94</v>
          </cell>
        </row>
        <row r="65">
          <cell r="E65">
            <v>4548158.9700000007</v>
          </cell>
        </row>
      </sheetData>
      <sheetData sheetId="6">
        <row r="63">
          <cell r="E63">
            <v>-4153553</v>
          </cell>
        </row>
        <row r="65">
          <cell r="E65">
            <v>4404649</v>
          </cell>
        </row>
      </sheetData>
      <sheetData sheetId="7">
        <row r="274">
          <cell r="K274">
            <v>202730.48</v>
          </cell>
          <cell r="L274">
            <v>219572.11</v>
          </cell>
        </row>
        <row r="275">
          <cell r="K275">
            <v>15632.36</v>
          </cell>
          <cell r="L275">
            <v>19109</v>
          </cell>
        </row>
        <row r="276">
          <cell r="K276">
            <v>56785.649999999994</v>
          </cell>
          <cell r="L276">
            <v>53156</v>
          </cell>
        </row>
        <row r="279">
          <cell r="K279">
            <v>8017.76</v>
          </cell>
          <cell r="L279">
            <v>9894</v>
          </cell>
        </row>
        <row r="280">
          <cell r="K280">
            <v>1859.74</v>
          </cell>
          <cell r="L280">
            <v>3710.25</v>
          </cell>
        </row>
        <row r="281">
          <cell r="K281">
            <v>131122.74</v>
          </cell>
          <cell r="L281">
            <v>148081.16999999998</v>
          </cell>
        </row>
        <row r="282">
          <cell r="K282">
            <v>2871.4</v>
          </cell>
          <cell r="L282">
            <v>7711.5</v>
          </cell>
        </row>
        <row r="283">
          <cell r="K283">
            <v>727.88</v>
          </cell>
          <cell r="L283">
            <v>2376.5</v>
          </cell>
        </row>
        <row r="284">
          <cell r="K284">
            <v>165.68</v>
          </cell>
          <cell r="L284">
            <v>751.75</v>
          </cell>
        </row>
        <row r="285">
          <cell r="K285">
            <v>13716.15</v>
          </cell>
          <cell r="L285">
            <v>27996.625</v>
          </cell>
        </row>
        <row r="286">
          <cell r="K286">
            <v>97857.48000000001</v>
          </cell>
          <cell r="L286">
            <v>108640</v>
          </cell>
        </row>
        <row r="290">
          <cell r="K290">
            <v>239834.51</v>
          </cell>
          <cell r="L290">
            <v>262730.32</v>
          </cell>
        </row>
        <row r="291">
          <cell r="K291">
            <v>44838.2</v>
          </cell>
          <cell r="L291">
            <v>61558.625</v>
          </cell>
        </row>
        <row r="292">
          <cell r="K292">
            <v>96647.349999999991</v>
          </cell>
          <cell r="L292">
            <v>111647</v>
          </cell>
        </row>
        <row r="293">
          <cell r="K293">
            <v>428988.60000000009</v>
          </cell>
          <cell r="L293">
            <v>483523.17499999999</v>
          </cell>
        </row>
        <row r="295">
          <cell r="K295">
            <v>10295.280000000001</v>
          </cell>
          <cell r="L295">
            <v>10670</v>
          </cell>
        </row>
        <row r="298">
          <cell r="K298">
            <v>244.42</v>
          </cell>
          <cell r="L298">
            <v>14040.75</v>
          </cell>
        </row>
        <row r="301">
          <cell r="K301">
            <v>45914.69</v>
          </cell>
          <cell r="L301">
            <v>50221.75</v>
          </cell>
        </row>
        <row r="302">
          <cell r="K302">
            <v>6055.7</v>
          </cell>
          <cell r="L302">
            <v>19511.55</v>
          </cell>
        </row>
        <row r="304">
          <cell r="K304">
            <v>77054.169999999984</v>
          </cell>
          <cell r="L304">
            <v>59485.25</v>
          </cell>
        </row>
        <row r="305">
          <cell r="K305">
            <v>383563.22000000003</v>
          </cell>
          <cell r="L305">
            <v>154399.75</v>
          </cell>
        </row>
        <row r="307">
          <cell r="K307">
            <v>27373.5</v>
          </cell>
          <cell r="L307">
            <v>11494.5</v>
          </cell>
        </row>
        <row r="308">
          <cell r="K308">
            <v>119305.96</v>
          </cell>
          <cell r="L308">
            <v>117564</v>
          </cell>
        </row>
        <row r="309">
          <cell r="K309">
            <v>15441.349999999999</v>
          </cell>
        </row>
        <row r="313">
          <cell r="K313">
            <v>23215.95</v>
          </cell>
          <cell r="L313">
            <v>27887.5</v>
          </cell>
        </row>
        <row r="321">
          <cell r="K321">
            <v>101883.56</v>
          </cell>
          <cell r="L321">
            <v>130624.08</v>
          </cell>
        </row>
        <row r="322">
          <cell r="K322">
            <v>12016.9</v>
          </cell>
          <cell r="L322">
            <v>18784.05</v>
          </cell>
        </row>
        <row r="323">
          <cell r="K323">
            <v>358604.03</v>
          </cell>
          <cell r="L323">
            <v>462152.62</v>
          </cell>
        </row>
        <row r="324">
          <cell r="K324">
            <v>356417.00999999995</v>
          </cell>
          <cell r="L324">
            <v>368741.62</v>
          </cell>
        </row>
        <row r="328">
          <cell r="K328">
            <v>136178.29000000004</v>
          </cell>
          <cell r="L328">
            <v>91377.88</v>
          </cell>
        </row>
        <row r="331">
          <cell r="K331">
            <v>10189.029999999999</v>
          </cell>
          <cell r="L331">
            <v>8730</v>
          </cell>
        </row>
        <row r="333">
          <cell r="K333">
            <v>0</v>
          </cell>
          <cell r="L333">
            <v>970</v>
          </cell>
        </row>
        <row r="334">
          <cell r="K334">
            <v>4509.6400000000003</v>
          </cell>
          <cell r="L334">
            <v>1940</v>
          </cell>
        </row>
        <row r="341">
          <cell r="K341">
            <v>303507.81</v>
          </cell>
          <cell r="L341">
            <v>253837.36</v>
          </cell>
        </row>
        <row r="342">
          <cell r="K342">
            <v>265824.53000000003</v>
          </cell>
          <cell r="L342">
            <v>357246.14999999997</v>
          </cell>
        </row>
        <row r="343">
          <cell r="K343">
            <v>888683.39999999979</v>
          </cell>
          <cell r="L343">
            <v>984249.29999999993</v>
          </cell>
        </row>
        <row r="344">
          <cell r="K344">
            <v>193505.10000000003</v>
          </cell>
          <cell r="L344">
            <v>189877.5</v>
          </cell>
        </row>
        <row r="346">
          <cell r="K346">
            <v>129454.20999999999</v>
          </cell>
          <cell r="L346">
            <v>175667</v>
          </cell>
        </row>
        <row r="347">
          <cell r="K347">
            <v>50003.276919764605</v>
          </cell>
          <cell r="L347">
            <v>48500</v>
          </cell>
        </row>
        <row r="348">
          <cell r="K348">
            <v>60823.03</v>
          </cell>
          <cell r="L348">
            <v>58200</v>
          </cell>
        </row>
        <row r="349">
          <cell r="K349">
            <v>21079</v>
          </cell>
          <cell r="L349">
            <v>17964.399999999998</v>
          </cell>
        </row>
        <row r="351">
          <cell r="K351">
            <v>182342.37</v>
          </cell>
          <cell r="L351">
            <v>87300</v>
          </cell>
        </row>
        <row r="353">
          <cell r="K353">
            <v>115087.1</v>
          </cell>
          <cell r="L353">
            <v>131920</v>
          </cell>
        </row>
        <row r="354">
          <cell r="K354">
            <v>711.52</v>
          </cell>
          <cell r="L354">
            <v>776</v>
          </cell>
        </row>
        <row r="355">
          <cell r="K355">
            <v>319263.51999999996</v>
          </cell>
          <cell r="L355">
            <v>335308.63</v>
          </cell>
        </row>
        <row r="356">
          <cell r="K356">
            <v>9424.41</v>
          </cell>
          <cell r="L356">
            <v>9700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 "/>
      <sheetName val="Purchased Power Model WN"/>
      <sheetName val="Rate Class Energy Model"/>
      <sheetName val="Rate Class Customer Model"/>
      <sheetName val="Rate Class Load Model"/>
      <sheetName val="Weather Analysis"/>
      <sheetName val="2017 COP Forecast"/>
    </sheetNames>
    <sheetDataSet>
      <sheetData sheetId="0"/>
      <sheetData sheetId="1">
        <row r="10">
          <cell r="K10">
            <v>242016317.90000004</v>
          </cell>
          <cell r="L10">
            <v>239667884.45104998</v>
          </cell>
        </row>
        <row r="14">
          <cell r="K14">
            <v>15201.583333333334</v>
          </cell>
          <cell r="L14">
            <v>15554.75</v>
          </cell>
        </row>
        <row r="18">
          <cell r="K18">
            <v>1016.25</v>
          </cell>
          <cell r="L18">
            <v>1034.4166666666667</v>
          </cell>
        </row>
        <row r="22">
          <cell r="K22">
            <v>75.583333333333329</v>
          </cell>
          <cell r="L22">
            <v>87.5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9">
          <cell r="F89">
            <v>667758.39243756642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topLeftCell="E4" zoomScaleNormal="100" workbookViewId="0">
      <pane ySplit="270" topLeftCell="A100" activePane="bottomLeft"/>
      <selection activeCell="B2" sqref="B2"/>
      <selection pane="bottomLeft" activeCell="I123" sqref="I12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78.140625" style="92" customWidth="1"/>
  </cols>
  <sheetData>
    <row r="2" spans="2:15" ht="23.25" x14ac:dyDescent="0.35">
      <c r="C2" s="232" t="s">
        <v>189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5" ht="19.5" customHeight="1" x14ac:dyDescent="0.25">
      <c r="C3" s="233" t="str">
        <f>IF(F5="Click to Choose an LDC","",F5)</f>
        <v>InnPower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49"/>
    </row>
    <row r="5" spans="2:15" ht="25.5" customHeight="1" thickBot="1" x14ac:dyDescent="0.25">
      <c r="B5" s="144" t="s">
        <v>187</v>
      </c>
      <c r="E5" s="78"/>
      <c r="F5" s="145" t="s">
        <v>272</v>
      </c>
      <c r="G5" s="14" t="s">
        <v>173</v>
      </c>
      <c r="H5" s="14" t="s">
        <v>174</v>
      </c>
      <c r="I5" s="14" t="s">
        <v>172</v>
      </c>
      <c r="J5" s="234" t="s">
        <v>175</v>
      </c>
      <c r="K5" s="234"/>
      <c r="L5" s="234"/>
      <c r="M5" s="234"/>
      <c r="N5" s="78"/>
      <c r="O5" s="94"/>
    </row>
    <row r="6" spans="2:15" ht="36" customHeight="1" x14ac:dyDescent="0.35">
      <c r="B6" s="6" t="s">
        <v>178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24" t="s">
        <v>277</v>
      </c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5"/>
      <c r="I8" s="235"/>
      <c r="J8" s="235"/>
      <c r="K8" s="235"/>
      <c r="L8" s="235"/>
      <c r="M8" s="23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19803244</v>
      </c>
      <c r="H9" s="125">
        <f>'[1]FA Continuity MIFRS 2016'!$E$65+-'[1]FA Continuity MIFRS 2016'!$E$63</f>
        <v>6882668.9100000001</v>
      </c>
      <c r="I9" s="125">
        <f>('[1]FA Continuity MIFRS 2017'!$E$65+-'[1]FA Continuity MIFRS 2017'!$E$63)</f>
        <v>8558202</v>
      </c>
      <c r="J9" s="125"/>
      <c r="K9" s="125"/>
      <c r="L9" s="125"/>
      <c r="M9" s="125"/>
      <c r="N9" s="78" t="s">
        <v>170</v>
      </c>
      <c r="O9" s="88" t="s">
        <v>278</v>
      </c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>
        <v>0</v>
      </c>
      <c r="I10" s="125">
        <v>0</v>
      </c>
      <c r="J10" s="125"/>
      <c r="K10" s="125"/>
      <c r="L10" s="125"/>
      <c r="M10" s="125"/>
      <c r="N10" s="78" t="s">
        <v>170</v>
      </c>
      <c r="O10" s="88" t="s">
        <v>287</v>
      </c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16157</v>
      </c>
      <c r="H13" s="125">
        <f>[2]Summary!$K$14+[2]Summary!$K$18+[2]Summary!$K$22</f>
        <v>16293.416666666668</v>
      </c>
      <c r="I13" s="125">
        <f>[2]Summary!$L$14+[2]Summary!$L$18+[2]Summary!$L$22</f>
        <v>16676.666666666668</v>
      </c>
      <c r="J13" s="125"/>
      <c r="K13" s="125"/>
      <c r="L13" s="125"/>
      <c r="M13" s="125"/>
      <c r="N13" s="78" t="s">
        <v>170</v>
      </c>
      <c r="O13" s="88" t="s">
        <v>279</v>
      </c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237763328.72</v>
      </c>
      <c r="H14" s="125">
        <f>[2]Summary!$K$10</f>
        <v>242016317.90000004</v>
      </c>
      <c r="I14" s="125">
        <f>[2]Summary!$L$10</f>
        <v>239667884.45104998</v>
      </c>
      <c r="J14" s="125"/>
      <c r="K14" s="125"/>
      <c r="L14" s="125"/>
      <c r="M14" s="125"/>
      <c r="N14" s="78" t="s">
        <v>170</v>
      </c>
      <c r="O14" s="88" t="s">
        <v>280</v>
      </c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50975</v>
      </c>
      <c r="H15" s="125">
        <v>51992</v>
      </c>
      <c r="I15" s="125">
        <v>51992</v>
      </c>
      <c r="J15" s="125"/>
      <c r="K15" s="125"/>
      <c r="L15" s="125"/>
      <c r="M15" s="125"/>
      <c r="N15" s="78" t="s">
        <v>170</v>
      </c>
      <c r="O15" s="88"/>
    </row>
    <row r="16" spans="2:15" x14ac:dyDescent="0.2">
      <c r="B16" s="2">
        <v>6</v>
      </c>
      <c r="C16" s="26"/>
      <c r="D16" s="78" t="s">
        <v>190</v>
      </c>
      <c r="F16" s="26"/>
      <c r="G16" s="86">
        <f>'Benchmarking Calculations'!G99</f>
        <v>833</v>
      </c>
      <c r="H16" s="125">
        <v>862</v>
      </c>
      <c r="I16" s="125">
        <v>892</v>
      </c>
      <c r="J16" s="125"/>
      <c r="K16" s="125"/>
      <c r="L16" s="125"/>
      <c r="M16" s="125"/>
      <c r="N16" s="78" t="s">
        <v>170</v>
      </c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0.17139128543464077</v>
      </c>
      <c r="H17" s="119">
        <v>0.19409999999999999</v>
      </c>
      <c r="I17" s="119">
        <v>0.20749999999999999</v>
      </c>
      <c r="J17" s="119"/>
      <c r="K17" s="119"/>
      <c r="L17" s="119"/>
      <c r="M17" s="119"/>
      <c r="N17" s="78" t="s">
        <v>170</v>
      </c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5"/>
      <c r="I19" s="235"/>
      <c r="J19" s="235"/>
      <c r="K19" s="235"/>
      <c r="L19" s="235"/>
      <c r="M19" s="23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v>2.5600000000000001E-2</v>
      </c>
      <c r="J20" s="124"/>
      <c r="K20" s="124"/>
      <c r="L20" s="124"/>
      <c r="M20" s="124"/>
      <c r="N20" s="78" t="s">
        <v>186</v>
      </c>
      <c r="O20" s="225" t="s">
        <v>281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186</v>
      </c>
      <c r="O21" s="225" t="s">
        <v>281</v>
      </c>
    </row>
    <row r="22" spans="2:15" x14ac:dyDescent="0.2">
      <c r="B22" s="2">
        <v>10</v>
      </c>
      <c r="C22" s="38"/>
      <c r="D22" s="26" t="s">
        <v>171</v>
      </c>
      <c r="F22" s="78"/>
      <c r="G22" s="90">
        <f>'Benchmarking Calculations'!G110</f>
        <v>6.5054666666666677E-2</v>
      </c>
      <c r="H22" s="124">
        <v>6.2799999999999995E-2</v>
      </c>
      <c r="I22" s="124">
        <v>5.67E-2</v>
      </c>
      <c r="J22" s="124"/>
      <c r="K22" s="124"/>
      <c r="L22" s="124"/>
      <c r="M22" s="124"/>
      <c r="N22" s="78" t="s">
        <v>170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191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226" t="s">
        <v>284</v>
      </c>
      <c r="F27" s="76" t="s">
        <v>196</v>
      </c>
      <c r="G27" s="51">
        <f>G35-G36+G37</f>
        <v>5396319.3000000007</v>
      </c>
      <c r="H27" s="51">
        <f t="shared" ref="H27:M27" si="0">H35-H36+H37</f>
        <v>5747532.7769197645</v>
      </c>
      <c r="I27" s="51">
        <f t="shared" si="0"/>
        <v>6039144.4850000003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188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226" t="s">
        <v>283</v>
      </c>
      <c r="F29" s="76" t="s">
        <v>200</v>
      </c>
      <c r="G29" s="51">
        <f t="shared" ref="G29:M29" si="1">G115-G121+G122</f>
        <v>5396319.3000000007</v>
      </c>
      <c r="H29" s="51">
        <f t="shared" si="1"/>
        <v>5747532.7769197645</v>
      </c>
      <c r="I29" s="51">
        <f t="shared" si="1"/>
        <v>6039144.4850000003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169</v>
      </c>
      <c r="F31" s="78"/>
      <c r="G31" s="51">
        <f t="shared" ref="G31:M31" si="2">IF($E$27="Y",G27,IF($E$29="Y",G29,"Error: Please enter Y for one method"))</f>
        <v>5396319.3000000007</v>
      </c>
      <c r="H31" s="51">
        <f t="shared" si="2"/>
        <v>5747532.7769197645</v>
      </c>
      <c r="I31" s="51">
        <f t="shared" si="2"/>
        <v>6039144.4850000003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5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5" x14ac:dyDescent="0.2">
      <c r="C34" s="153"/>
      <c r="D34" s="79" t="s">
        <v>177</v>
      </c>
      <c r="E34" s="26"/>
      <c r="F34" s="26"/>
      <c r="G34" s="86"/>
      <c r="H34" s="231" t="s">
        <v>181</v>
      </c>
      <c r="I34" s="231"/>
      <c r="J34" s="231"/>
      <c r="K34" s="231"/>
      <c r="L34" s="231"/>
      <c r="M34" s="231"/>
      <c r="N34" s="154"/>
    </row>
    <row r="35" spans="2:15" x14ac:dyDescent="0.2">
      <c r="C35" s="153"/>
      <c r="D35" s="170" t="s">
        <v>193</v>
      </c>
      <c r="E35" s="26" t="s">
        <v>201</v>
      </c>
      <c r="F35" s="26"/>
      <c r="G35" s="85">
        <f>G115</f>
        <v>5283654.4800000004</v>
      </c>
      <c r="H35" s="125">
        <f>H115</f>
        <v>5634867.9569197642</v>
      </c>
      <c r="I35" s="125">
        <f>I115</f>
        <v>5926479.665</v>
      </c>
      <c r="J35" s="120"/>
      <c r="K35" s="120"/>
      <c r="L35" s="120"/>
      <c r="M35" s="120"/>
      <c r="N35" s="154" t="s">
        <v>170</v>
      </c>
    </row>
    <row r="36" spans="2:15" x14ac:dyDescent="0.2">
      <c r="C36" s="153"/>
      <c r="D36" s="170" t="s">
        <v>194</v>
      </c>
      <c r="E36" s="26" t="s">
        <v>192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4" t="s">
        <v>170</v>
      </c>
    </row>
    <row r="37" spans="2:15" x14ac:dyDescent="0.2">
      <c r="C37" s="153"/>
      <c r="D37" s="171" t="s">
        <v>195</v>
      </c>
      <c r="E37" s="26" t="s">
        <v>83</v>
      </c>
      <c r="F37" s="26"/>
      <c r="G37" s="51">
        <f>G122</f>
        <v>112664.82</v>
      </c>
      <c r="H37" s="125">
        <f>H122</f>
        <v>112664.82</v>
      </c>
      <c r="I37" s="125">
        <f>I122</f>
        <v>112664.82</v>
      </c>
      <c r="J37" s="120"/>
      <c r="K37" s="120"/>
      <c r="L37" s="120"/>
      <c r="M37" s="120"/>
      <c r="N37" s="154" t="s">
        <v>170</v>
      </c>
    </row>
    <row r="38" spans="2:15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5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  <c r="O39" s="223" t="s">
        <v>277</v>
      </c>
    </row>
    <row r="40" spans="2:15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5" x14ac:dyDescent="0.2">
      <c r="C41" s="153"/>
      <c r="D41" s="79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5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5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5" x14ac:dyDescent="0.2">
      <c r="C44" s="158"/>
      <c r="D44" s="26"/>
      <c r="E44" s="78">
        <v>5005</v>
      </c>
      <c r="F44" s="150" t="s">
        <v>8</v>
      </c>
      <c r="G44" s="58">
        <f>'Benchmarking Calculations'!G10</f>
        <v>220453.5</v>
      </c>
      <c r="H44" s="142">
        <f>'[1]Trial Balance'!$K$274</f>
        <v>202730.48</v>
      </c>
      <c r="I44" s="142">
        <f>'[1]Trial Balance'!$L$274</f>
        <v>219572.11</v>
      </c>
      <c r="J44" s="142"/>
      <c r="K44" s="142"/>
      <c r="L44" s="142"/>
      <c r="M44" s="142"/>
      <c r="N44" s="154" t="s">
        <v>170</v>
      </c>
      <c r="O44" s="92" t="s">
        <v>286</v>
      </c>
    </row>
    <row r="45" spans="2:15" x14ac:dyDescent="0.2">
      <c r="C45" s="158"/>
      <c r="D45" s="26"/>
      <c r="E45" s="78">
        <v>5010</v>
      </c>
      <c r="F45" s="150" t="s">
        <v>9</v>
      </c>
      <c r="G45" s="58">
        <f>'Benchmarking Calculations'!G11</f>
        <v>14948.11</v>
      </c>
      <c r="H45" s="142">
        <f>'[1]Trial Balance'!$K$275</f>
        <v>15632.36</v>
      </c>
      <c r="I45" s="220">
        <f>'[1]Trial Balance'!$L$275</f>
        <v>19109</v>
      </c>
      <c r="J45" s="142"/>
      <c r="K45" s="142"/>
      <c r="L45" s="142"/>
      <c r="M45" s="142"/>
      <c r="N45" s="154" t="s">
        <v>170</v>
      </c>
    </row>
    <row r="46" spans="2:15" x14ac:dyDescent="0.2">
      <c r="C46" s="158"/>
      <c r="D46" s="26"/>
      <c r="E46" s="78">
        <v>5012</v>
      </c>
      <c r="F46" s="150" t="s">
        <v>10</v>
      </c>
      <c r="G46" s="58">
        <f>'Benchmarking Calculations'!G12</f>
        <v>48575.54</v>
      </c>
      <c r="H46" s="142">
        <f>'[1]Trial Balance'!$K$276</f>
        <v>56785.649999999994</v>
      </c>
      <c r="I46" s="220">
        <f>'[1]Trial Balance'!$L$276</f>
        <v>53156</v>
      </c>
      <c r="J46" s="142"/>
      <c r="K46" s="142"/>
      <c r="L46" s="142"/>
      <c r="M46" s="142"/>
      <c r="N46" s="154" t="s">
        <v>170</v>
      </c>
    </row>
    <row r="47" spans="2:15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2"/>
      <c r="I47" s="221"/>
      <c r="J47" s="143"/>
      <c r="K47" s="143"/>
      <c r="L47" s="143"/>
      <c r="M47" s="143"/>
      <c r="N47" s="154" t="s">
        <v>170</v>
      </c>
    </row>
    <row r="48" spans="2:15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4" t="s">
        <v>170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9717.9</v>
      </c>
      <c r="H49" s="142">
        <f>'[1]Trial Balance'!$K$279</f>
        <v>8017.76</v>
      </c>
      <c r="I49" s="142">
        <f>'[1]Trial Balance'!$L$279</f>
        <v>9894</v>
      </c>
      <c r="J49" s="142"/>
      <c r="K49" s="142"/>
      <c r="L49" s="142"/>
      <c r="M49" s="142"/>
      <c r="N49" s="154" t="s">
        <v>170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5227.82</v>
      </c>
      <c r="H50" s="142">
        <f>'[1]Trial Balance'!$K$280</f>
        <v>1859.74</v>
      </c>
      <c r="I50" s="142">
        <f>'[1]Trial Balance'!$L$280</f>
        <v>3710.25</v>
      </c>
      <c r="J50" s="142"/>
      <c r="K50" s="142"/>
      <c r="L50" s="142"/>
      <c r="M50" s="142"/>
      <c r="N50" s="154" t="s">
        <v>170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136301.26999999999</v>
      </c>
      <c r="H51" s="142">
        <f>'[1]Trial Balance'!$K$281</f>
        <v>131122.74</v>
      </c>
      <c r="I51" s="142">
        <f>'[1]Trial Balance'!$L$281</f>
        <v>148081.16999999998</v>
      </c>
      <c r="J51" s="142"/>
      <c r="K51" s="142"/>
      <c r="L51" s="142"/>
      <c r="M51" s="142"/>
      <c r="N51" s="154" t="s">
        <v>170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7484.41</v>
      </c>
      <c r="H52" s="142">
        <f>'[1]Trial Balance'!$K$282</f>
        <v>2871.4</v>
      </c>
      <c r="I52" s="142">
        <f>'[1]Trial Balance'!$L$282</f>
        <v>7711.5</v>
      </c>
      <c r="J52" s="142"/>
      <c r="K52" s="142"/>
      <c r="L52" s="142"/>
      <c r="M52" s="142"/>
      <c r="N52" s="154" t="s">
        <v>170</v>
      </c>
    </row>
    <row r="53" spans="3:14" x14ac:dyDescent="0.2">
      <c r="C53" s="158"/>
      <c r="D53" s="26"/>
      <c r="E53" s="78" t="s">
        <v>285</v>
      </c>
      <c r="F53" s="150" t="s">
        <v>17</v>
      </c>
      <c r="G53" s="58">
        <f>'Benchmarking Calculations'!G19</f>
        <v>246.4</v>
      </c>
      <c r="H53" s="142">
        <f>'[1]Trial Balance'!$K$283+'[1]Trial Balance'!$K$284</f>
        <v>893.56</v>
      </c>
      <c r="I53" s="142">
        <f>'[1]Trial Balance'!$L$283+'[1]Trial Balance'!$L$284</f>
        <v>3128.25</v>
      </c>
      <c r="J53" s="142"/>
      <c r="K53" s="142"/>
      <c r="L53" s="142"/>
      <c r="M53" s="142"/>
      <c r="N53" s="154" t="s">
        <v>170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18961.29</v>
      </c>
      <c r="H54" s="142">
        <f>'[1]Trial Balance'!$K$285</f>
        <v>13716.15</v>
      </c>
      <c r="I54" s="142">
        <f>'[1]Trial Balance'!$L$285</f>
        <v>27996.625</v>
      </c>
      <c r="J54" s="142"/>
      <c r="K54" s="142"/>
      <c r="L54" s="142"/>
      <c r="M54" s="142"/>
      <c r="N54" s="154" t="s">
        <v>170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98965.54</v>
      </c>
      <c r="H55" s="142">
        <f>'[1]Trial Balance'!$K$286</f>
        <v>97857.48000000001</v>
      </c>
      <c r="I55" s="142">
        <f>'[1]Trial Balance'!$L$286</f>
        <v>108640</v>
      </c>
      <c r="J55" s="142"/>
      <c r="K55" s="142"/>
      <c r="L55" s="142"/>
      <c r="M55" s="142"/>
      <c r="N55" s="154" t="s">
        <v>170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189</v>
      </c>
      <c r="H56" s="142">
        <v>0</v>
      </c>
      <c r="I56" s="142">
        <v>0</v>
      </c>
      <c r="J56" s="142"/>
      <c r="K56" s="142"/>
      <c r="L56" s="142"/>
      <c r="M56" s="142"/>
      <c r="N56" s="154" t="s">
        <v>170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241352.71</v>
      </c>
      <c r="H57" s="142">
        <f>'[1]Trial Balance'!$K$290</f>
        <v>239834.51</v>
      </c>
      <c r="I57" s="142">
        <f>'[1]Trial Balance'!$L$290</f>
        <v>262730.32</v>
      </c>
      <c r="J57" s="142"/>
      <c r="K57" s="142"/>
      <c r="L57" s="142"/>
      <c r="M57" s="142"/>
      <c r="N57" s="154" t="s">
        <v>170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55089.05</v>
      </c>
      <c r="H58" s="142">
        <f>'[1]Trial Balance'!$K$291</f>
        <v>44838.2</v>
      </c>
      <c r="I58" s="142">
        <f>'[1]Trial Balance'!$L$291</f>
        <v>61558.625</v>
      </c>
      <c r="J58" s="142"/>
      <c r="K58" s="142"/>
      <c r="L58" s="142"/>
      <c r="M58" s="142"/>
      <c r="N58" s="154" t="s">
        <v>170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101903.73</v>
      </c>
      <c r="H59" s="142">
        <f>'[1]Trial Balance'!$K$292</f>
        <v>96647.349999999991</v>
      </c>
      <c r="I59" s="142">
        <f>'[1]Trial Balance'!$L$292</f>
        <v>111647</v>
      </c>
      <c r="J59" s="142"/>
      <c r="K59" s="142"/>
      <c r="L59" s="142"/>
      <c r="M59" s="142"/>
      <c r="N59" s="154" t="s">
        <v>170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405526.84</v>
      </c>
      <c r="H60" s="142">
        <f>'[1]Trial Balance'!$K$293</f>
        <v>428988.60000000009</v>
      </c>
      <c r="I60" s="142">
        <f>'[1]Trial Balance'!$L$293</f>
        <v>483523.17499999999</v>
      </c>
      <c r="J60" s="142"/>
      <c r="K60" s="142"/>
      <c r="L60" s="142"/>
      <c r="M60" s="142"/>
      <c r="N60" s="154" t="s">
        <v>170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4" t="s">
        <v>170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11199.19</v>
      </c>
      <c r="H62" s="142">
        <f>'[1]Trial Balance'!$K$295</f>
        <v>10295.280000000001</v>
      </c>
      <c r="I62" s="142">
        <f>'[1]Trial Balance'!$L$295</f>
        <v>10670</v>
      </c>
      <c r="J62" s="142"/>
      <c r="K62" s="142"/>
      <c r="L62" s="142"/>
      <c r="M62" s="142"/>
      <c r="N62" s="154" t="s">
        <v>170</v>
      </c>
    </row>
    <row r="63" spans="3:14" x14ac:dyDescent="0.2">
      <c r="C63" s="158"/>
      <c r="D63" s="26"/>
      <c r="E63" s="111">
        <v>5096</v>
      </c>
      <c r="F63" s="169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4" t="s">
        <v>170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1376142.3</v>
      </c>
      <c r="H64" s="229">
        <f>SUM(H44:H63)</f>
        <v>1352091.26</v>
      </c>
      <c r="I64" s="229">
        <f t="shared" ref="I64:M64" si="3">SUM(I44:I63)</f>
        <v>1531128.0250000001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5" x14ac:dyDescent="0.2">
      <c r="C65" s="158"/>
      <c r="D65" s="26"/>
      <c r="E65" s="78">
        <v>5105</v>
      </c>
      <c r="F65" s="150" t="s">
        <v>30</v>
      </c>
      <c r="G65" s="58">
        <f>'Benchmarking Calculations'!G31</f>
        <v>8489.36</v>
      </c>
      <c r="H65" s="142">
        <f>'[1]Trial Balance'!$K$298</f>
        <v>244.42</v>
      </c>
      <c r="I65" s="142">
        <f>'[1]Trial Balance'!$L$298</f>
        <v>14040.75</v>
      </c>
      <c r="J65" s="222"/>
      <c r="K65" s="222"/>
      <c r="L65" s="222"/>
      <c r="M65" s="222"/>
      <c r="N65" s="154" t="s">
        <v>170</v>
      </c>
    </row>
    <row r="66" spans="3:15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4" t="s">
        <v>170</v>
      </c>
    </row>
    <row r="67" spans="3:15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4" t="s">
        <v>170</v>
      </c>
    </row>
    <row r="68" spans="3:15" x14ac:dyDescent="0.2">
      <c r="C68" s="158"/>
      <c r="D68" s="26"/>
      <c r="E68" s="78">
        <v>5114</v>
      </c>
      <c r="F68" s="150" t="s">
        <v>33</v>
      </c>
      <c r="G68" s="58">
        <f>'Benchmarking Calculations'!G34</f>
        <v>33377.07</v>
      </c>
      <c r="H68" s="142">
        <f>'[1]Trial Balance'!$K$301</f>
        <v>45914.69</v>
      </c>
      <c r="I68" s="142">
        <f>'[1]Trial Balance'!$L$301</f>
        <v>50221.75</v>
      </c>
      <c r="J68" s="222"/>
      <c r="K68" s="222"/>
      <c r="L68" s="222"/>
      <c r="M68" s="222"/>
      <c r="N68" s="154" t="s">
        <v>170</v>
      </c>
    </row>
    <row r="69" spans="3:15" x14ac:dyDescent="0.2">
      <c r="C69" s="158"/>
      <c r="D69" s="26"/>
      <c r="E69" s="78">
        <v>5120</v>
      </c>
      <c r="F69" s="150" t="s">
        <v>34</v>
      </c>
      <c r="G69" s="58">
        <f>'Benchmarking Calculations'!G35</f>
        <v>10631.58</v>
      </c>
      <c r="H69" s="142">
        <f>'[1]Trial Balance'!$K$302</f>
        <v>6055.7</v>
      </c>
      <c r="I69" s="142">
        <f>'[1]Trial Balance'!$L$302</f>
        <v>19511.55</v>
      </c>
      <c r="J69" s="222"/>
      <c r="K69" s="222"/>
      <c r="L69" s="222"/>
      <c r="M69" s="222"/>
      <c r="N69" s="154" t="s">
        <v>170</v>
      </c>
    </row>
    <row r="70" spans="3:15" x14ac:dyDescent="0.2">
      <c r="C70" s="158"/>
      <c r="D70" s="26"/>
      <c r="E70" s="78">
        <v>5125</v>
      </c>
      <c r="F70" s="150" t="s">
        <v>35</v>
      </c>
      <c r="G70" s="58">
        <f>'Benchmarking Calculations'!G36</f>
        <v>49139.87</v>
      </c>
      <c r="H70" s="142">
        <v>65100</v>
      </c>
      <c r="I70" s="142">
        <v>130975</v>
      </c>
      <c r="J70" s="222"/>
      <c r="K70" s="222"/>
      <c r="L70" s="222"/>
      <c r="M70" s="222"/>
      <c r="N70" s="154" t="s">
        <v>170</v>
      </c>
    </row>
    <row r="71" spans="3:15" x14ac:dyDescent="0.2">
      <c r="C71" s="158"/>
      <c r="D71" s="26"/>
      <c r="E71" s="78">
        <v>5130</v>
      </c>
      <c r="F71" s="150" t="s">
        <v>36</v>
      </c>
      <c r="G71" s="58">
        <f>'Benchmarking Calculations'!G37</f>
        <v>64767.27</v>
      </c>
      <c r="H71" s="142">
        <f>'[1]Trial Balance'!$K$304</f>
        <v>77054.169999999984</v>
      </c>
      <c r="I71" s="142">
        <f>'[1]Trial Balance'!$L$304</f>
        <v>59485.25</v>
      </c>
      <c r="J71" s="222"/>
      <c r="K71" s="222"/>
      <c r="L71" s="222"/>
      <c r="M71" s="222"/>
      <c r="N71" s="154" t="s">
        <v>170</v>
      </c>
    </row>
    <row r="72" spans="3:15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119800.61</v>
      </c>
      <c r="H72" s="142">
        <f>'[1]Trial Balance'!$K$305</f>
        <v>383563.22000000003</v>
      </c>
      <c r="I72" s="142">
        <f>'[1]Trial Balance'!$L$305</f>
        <v>154399.75</v>
      </c>
      <c r="J72" s="222"/>
      <c r="K72" s="222"/>
      <c r="L72" s="222"/>
      <c r="M72" s="222"/>
      <c r="N72" s="154" t="s">
        <v>170</v>
      </c>
    </row>
    <row r="73" spans="3:15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2"/>
      <c r="I73" s="142"/>
      <c r="J73" s="143"/>
      <c r="K73" s="143"/>
      <c r="L73" s="143"/>
      <c r="M73" s="143"/>
      <c r="N73" s="154" t="s">
        <v>170</v>
      </c>
    </row>
    <row r="74" spans="3:15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24178.03</v>
      </c>
      <c r="H74" s="142">
        <f>'[1]Trial Balance'!$K$307</f>
        <v>27373.5</v>
      </c>
      <c r="I74" s="142">
        <f>'[1]Trial Balance'!$L$307</f>
        <v>11494.5</v>
      </c>
      <c r="J74" s="222"/>
      <c r="K74" s="222"/>
      <c r="L74" s="222"/>
      <c r="M74" s="222"/>
      <c r="N74" s="154" t="s">
        <v>170</v>
      </c>
    </row>
    <row r="75" spans="3:15" x14ac:dyDescent="0.2">
      <c r="C75" s="158"/>
      <c r="D75" s="26"/>
      <c r="E75" s="78">
        <v>5155</v>
      </c>
      <c r="F75" s="150" t="s">
        <v>40</v>
      </c>
      <c r="G75" s="58">
        <f>'Benchmarking Calculations'!G41</f>
        <v>76614.06</v>
      </c>
      <c r="H75" s="142">
        <f>'[1]Trial Balance'!$K$308</f>
        <v>119305.96</v>
      </c>
      <c r="I75" s="142">
        <f>'[1]Trial Balance'!$L$308</f>
        <v>117564</v>
      </c>
      <c r="J75" s="222"/>
      <c r="K75" s="222"/>
      <c r="L75" s="222"/>
      <c r="M75" s="222"/>
      <c r="N75" s="154" t="s">
        <v>170</v>
      </c>
    </row>
    <row r="76" spans="3:15" x14ac:dyDescent="0.2">
      <c r="C76" s="158"/>
      <c r="D76" s="26"/>
      <c r="E76" s="78">
        <v>5160</v>
      </c>
      <c r="F76" s="150" t="s">
        <v>41</v>
      </c>
      <c r="G76" s="58">
        <f>'Benchmarking Calculations'!G42</f>
        <v>17208.13</v>
      </c>
      <c r="H76" s="142">
        <f>'[1]Trial Balance'!$K$309</f>
        <v>15441.349999999999</v>
      </c>
      <c r="I76" s="142">
        <v>75905</v>
      </c>
      <c r="J76" s="222"/>
      <c r="K76" s="222"/>
      <c r="L76" s="222"/>
      <c r="M76" s="222"/>
      <c r="N76" s="154" t="s">
        <v>170</v>
      </c>
    </row>
    <row r="77" spans="3:15" x14ac:dyDescent="0.2">
      <c r="C77" s="158"/>
      <c r="D77" s="26"/>
      <c r="E77" s="111">
        <v>5175</v>
      </c>
      <c r="F77" s="169" t="s">
        <v>42</v>
      </c>
      <c r="G77" s="112">
        <f>'Benchmarking Calculations'!G43</f>
        <v>23318.880000000001</v>
      </c>
      <c r="H77" s="142">
        <f>'[1]Trial Balance'!$K$313</f>
        <v>23215.95</v>
      </c>
      <c r="I77" s="142">
        <f>'[1]Trial Balance'!$L$313</f>
        <v>27887.5</v>
      </c>
      <c r="J77" s="222"/>
      <c r="K77" s="222"/>
      <c r="L77" s="222"/>
      <c r="M77" s="222"/>
      <c r="N77" s="154" t="s">
        <v>170</v>
      </c>
    </row>
    <row r="78" spans="3:15" x14ac:dyDescent="0.2">
      <c r="C78" s="158"/>
      <c r="D78" s="26"/>
      <c r="E78" s="16"/>
      <c r="F78" s="80" t="s">
        <v>43</v>
      </c>
      <c r="G78" s="110">
        <f>'Benchmarking Calculations'!G44</f>
        <v>427524.86000000004</v>
      </c>
      <c r="H78" s="229">
        <f>SUM(H65:H77)</f>
        <v>763268.95999999985</v>
      </c>
      <c r="I78" s="229">
        <f t="shared" ref="I78" si="4">SUM(I65:I77)</f>
        <v>661485.05000000005</v>
      </c>
      <c r="J78" s="81"/>
      <c r="K78" s="81"/>
      <c r="L78" s="81"/>
      <c r="M78" s="81"/>
      <c r="N78" s="159" t="s">
        <v>29</v>
      </c>
    </row>
    <row r="79" spans="3:15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f>'[1]Trial Balance'!$K$321</f>
        <v>101883.56</v>
      </c>
      <c r="I79" s="142">
        <f>'[1]Trial Balance'!$L$321</f>
        <v>130624.08</v>
      </c>
      <c r="J79" s="222"/>
      <c r="K79" s="222"/>
      <c r="L79" s="222"/>
      <c r="M79" s="222"/>
      <c r="N79" s="154" t="s">
        <v>170</v>
      </c>
      <c r="O79" s="92" t="s">
        <v>276</v>
      </c>
    </row>
    <row r="80" spans="3:15" x14ac:dyDescent="0.2">
      <c r="C80" s="158"/>
      <c r="D80" s="26"/>
      <c r="E80" s="78">
        <v>5310</v>
      </c>
      <c r="F80" s="78" t="s">
        <v>45</v>
      </c>
      <c r="G80" s="58">
        <f>'Benchmarking Calculations'!G46</f>
        <v>0</v>
      </c>
      <c r="H80" s="142">
        <f>'[1]Trial Balance'!$K$322</f>
        <v>12016.9</v>
      </c>
      <c r="I80" s="142">
        <f>'[1]Trial Balance'!$L$322</f>
        <v>18784.05</v>
      </c>
      <c r="J80" s="222"/>
      <c r="K80" s="222"/>
      <c r="L80" s="222"/>
      <c r="M80" s="222"/>
      <c r="N80" s="154" t="s">
        <v>170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388247.57</v>
      </c>
      <c r="H81" s="142">
        <f>'[1]Trial Balance'!$K$323</f>
        <v>358604.03</v>
      </c>
      <c r="I81" s="142">
        <f>'[1]Trial Balance'!$L$323</f>
        <v>462152.62</v>
      </c>
      <c r="J81" s="222"/>
      <c r="K81" s="222"/>
      <c r="L81" s="222"/>
      <c r="M81" s="222"/>
      <c r="N81" s="154" t="s">
        <v>170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345165.19</v>
      </c>
      <c r="H82" s="142">
        <f>'[1]Trial Balance'!$K$324</f>
        <v>356417.00999999995</v>
      </c>
      <c r="I82" s="142">
        <f>'[1]Trial Balance'!$L$324</f>
        <v>368741.62</v>
      </c>
      <c r="J82" s="222"/>
      <c r="K82" s="222"/>
      <c r="L82" s="222"/>
      <c r="M82" s="222"/>
      <c r="N82" s="154" t="s">
        <v>170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147.87</v>
      </c>
      <c r="H83" s="142">
        <v>0</v>
      </c>
      <c r="I83" s="142">
        <v>0</v>
      </c>
      <c r="J83" s="143"/>
      <c r="K83" s="143"/>
      <c r="L83" s="143"/>
      <c r="M83" s="143"/>
      <c r="N83" s="154" t="s">
        <v>170</v>
      </c>
    </row>
    <row r="84" spans="3:14" x14ac:dyDescent="0.2">
      <c r="C84" s="158"/>
      <c r="D84" s="227">
        <v>5335</v>
      </c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4" t="s">
        <v>170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162718.41</v>
      </c>
      <c r="H85" s="142">
        <f>'[1]Trial Balance'!$K$328</f>
        <v>136178.29000000004</v>
      </c>
      <c r="I85" s="142">
        <f>'[1]Trial Balance'!$L$328</f>
        <v>91377.88</v>
      </c>
      <c r="J85" s="222"/>
      <c r="K85" s="222"/>
      <c r="L85" s="222"/>
      <c r="M85" s="222"/>
      <c r="N85" s="154" t="s">
        <v>170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896279.04000000004</v>
      </c>
      <c r="H86" s="229">
        <f>SUM(H79:H85)</f>
        <v>965099.79</v>
      </c>
      <c r="I86" s="229">
        <f t="shared" ref="I86" si="5">SUM(I79:I85)</f>
        <v>1071680.25</v>
      </c>
      <c r="J86" s="81"/>
      <c r="K86" s="81"/>
      <c r="L86" s="81"/>
      <c r="M86" s="81"/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4" t="s">
        <v>170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5268.36</v>
      </c>
      <c r="H88" s="142">
        <f>'[1]Trial Balance'!$K$331</f>
        <v>10189.029999999999</v>
      </c>
      <c r="I88" s="142">
        <f>'[1]Trial Balance'!$L$331</f>
        <v>8730</v>
      </c>
      <c r="J88" s="222"/>
      <c r="K88" s="222"/>
      <c r="L88" s="222"/>
      <c r="M88" s="222"/>
      <c r="N88" s="154" t="s">
        <v>170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350</v>
      </c>
      <c r="H89" s="142">
        <f>'[1]Trial Balance'!$K$333</f>
        <v>0</v>
      </c>
      <c r="I89" s="142">
        <f>'[1]Trial Balance'!$L$333</f>
        <v>970</v>
      </c>
      <c r="J89" s="222"/>
      <c r="K89" s="222"/>
      <c r="L89" s="222"/>
      <c r="M89" s="222"/>
      <c r="N89" s="154" t="s">
        <v>170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2447.9</v>
      </c>
      <c r="H90" s="142">
        <f>'[1]Trial Balance'!$K$334</f>
        <v>4509.6400000000003</v>
      </c>
      <c r="I90" s="142">
        <f>'[1]Trial Balance'!$L$334</f>
        <v>1940</v>
      </c>
      <c r="J90" s="222"/>
      <c r="K90" s="222"/>
      <c r="L90" s="222"/>
      <c r="M90" s="222"/>
      <c r="N90" s="154" t="s">
        <v>170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8066.26</v>
      </c>
      <c r="H91" s="229">
        <f>SUM(H87:H90)</f>
        <v>14698.669999999998</v>
      </c>
      <c r="I91" s="229">
        <f t="shared" ref="I91" si="6">SUM(I87:I90)</f>
        <v>11640</v>
      </c>
      <c r="J91" s="81"/>
      <c r="K91" s="81"/>
      <c r="L91" s="81"/>
      <c r="M91" s="81"/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262072.8</v>
      </c>
      <c r="H92" s="142">
        <f>'[1]Trial Balance'!$K$341</f>
        <v>303507.81</v>
      </c>
      <c r="I92" s="142">
        <f>'[1]Trial Balance'!$L$341</f>
        <v>253837.36</v>
      </c>
      <c r="J92" s="222"/>
      <c r="K92" s="222"/>
      <c r="L92" s="222"/>
      <c r="M92" s="222"/>
      <c r="N92" s="154" t="s">
        <v>170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329472.78999999998</v>
      </c>
      <c r="H93" s="142">
        <f>'[1]Trial Balance'!$K$342</f>
        <v>265824.53000000003</v>
      </c>
      <c r="I93" s="142">
        <f>'[1]Trial Balance'!$L$342</f>
        <v>357246.14999999997</v>
      </c>
      <c r="J93" s="222"/>
      <c r="K93" s="222"/>
      <c r="L93" s="222"/>
      <c r="M93" s="222"/>
      <c r="N93" s="154" t="s">
        <v>170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923300.34</v>
      </c>
      <c r="H94" s="142">
        <f>'[1]Trial Balance'!$K$343</f>
        <v>888683.39999999979</v>
      </c>
      <c r="I94" s="142">
        <f>'[1]Trial Balance'!$L$343</f>
        <v>984249.29999999993</v>
      </c>
      <c r="J94" s="222"/>
      <c r="K94" s="222"/>
      <c r="L94" s="222"/>
      <c r="M94" s="222"/>
      <c r="N94" s="154" t="s">
        <v>170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216791.33</v>
      </c>
      <c r="H95" s="142">
        <f>'[1]Trial Balance'!$K$344</f>
        <v>193505.10000000003</v>
      </c>
      <c r="I95" s="142">
        <f>'[1]Trial Balance'!$L$344</f>
        <v>189877.5</v>
      </c>
      <c r="J95" s="222"/>
      <c r="K95" s="222"/>
      <c r="L95" s="222"/>
      <c r="M95" s="222"/>
      <c r="N95" s="154" t="s">
        <v>170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3"/>
      <c r="K96" s="143"/>
      <c r="L96" s="143"/>
      <c r="M96" s="143"/>
      <c r="N96" s="154" t="s">
        <v>170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199341.52</v>
      </c>
      <c r="H97" s="142">
        <f>'[1]Trial Balance'!$K$346</f>
        <v>129454.20999999999</v>
      </c>
      <c r="I97" s="142">
        <f>'[1]Trial Balance'!$L$346</f>
        <v>175667</v>
      </c>
      <c r="J97" s="222"/>
      <c r="K97" s="222"/>
      <c r="L97" s="222"/>
      <c r="M97" s="222"/>
      <c r="N97" s="154" t="s">
        <v>170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49895.839999999997</v>
      </c>
      <c r="H98" s="142">
        <f>'[1]Trial Balance'!$K$348</f>
        <v>60823.03</v>
      </c>
      <c r="I98" s="142">
        <f>'[1]Trial Balance'!$L$348</f>
        <v>58200</v>
      </c>
      <c r="J98" s="222"/>
      <c r="K98" s="222"/>
      <c r="L98" s="222"/>
      <c r="M98" s="222"/>
      <c r="N98" s="154" t="s">
        <v>170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15753</v>
      </c>
      <c r="H99" s="142">
        <f>'[1]Trial Balance'!$K$349</f>
        <v>21079</v>
      </c>
      <c r="I99" s="142">
        <f>'[1]Trial Balance'!$L$349</f>
        <v>17964.399999999998</v>
      </c>
      <c r="J99" s="222"/>
      <c r="K99" s="222"/>
      <c r="L99" s="222"/>
      <c r="M99" s="222"/>
      <c r="N99" s="154" t="s">
        <v>170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230" t="s">
        <v>288</v>
      </c>
      <c r="I100" s="142">
        <v>0</v>
      </c>
      <c r="J100" s="222"/>
      <c r="K100" s="222"/>
      <c r="L100" s="222"/>
      <c r="M100" s="222"/>
      <c r="N100" s="154" t="s">
        <v>170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4" t="s">
        <v>170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4" t="s">
        <v>170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111126.39</v>
      </c>
      <c r="H103" s="142">
        <f>'[1]Trial Balance'!$K$351</f>
        <v>182342.37</v>
      </c>
      <c r="I103" s="142">
        <f>'[1]Trial Balance'!$L$351</f>
        <v>87300</v>
      </c>
      <c r="J103" s="143"/>
      <c r="K103" s="222"/>
      <c r="L103" s="222"/>
      <c r="M103" s="222"/>
      <c r="N103" s="154" t="s">
        <v>170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131055.09</v>
      </c>
      <c r="H104" s="142">
        <f>'[1]Trial Balance'!$K$353</f>
        <v>115087.1</v>
      </c>
      <c r="I104" s="142">
        <f>'[1]Trial Balance'!$L$353</f>
        <v>131920</v>
      </c>
      <c r="J104" s="222"/>
      <c r="K104" s="222"/>
      <c r="L104" s="222"/>
      <c r="M104" s="222"/>
      <c r="N104" s="154" t="s">
        <v>170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1530.19</v>
      </c>
      <c r="H105" s="142">
        <f>'[1]Trial Balance'!$K$354</f>
        <v>711.52</v>
      </c>
      <c r="I105" s="142">
        <f>'[1]Trial Balance'!$L$354</f>
        <v>776</v>
      </c>
      <c r="J105" s="222"/>
      <c r="K105" s="222"/>
      <c r="L105" s="222"/>
      <c r="M105" s="222"/>
      <c r="N105" s="154" t="s">
        <v>170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4" t="s">
        <v>170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282147.84999999998</v>
      </c>
      <c r="H107" s="142">
        <f>'[1]Trial Balance'!$K$355</f>
        <v>319263.51999999996</v>
      </c>
      <c r="I107" s="142">
        <f>'[1]Trial Balance'!$L$355</f>
        <v>335308.63</v>
      </c>
      <c r="J107" s="222"/>
      <c r="K107" s="222"/>
      <c r="L107" s="222"/>
      <c r="M107" s="222"/>
      <c r="N107" s="154" t="s">
        <v>170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9212.2999999999993</v>
      </c>
      <c r="H108" s="142">
        <f>'[1]Trial Balance'!$K$356</f>
        <v>9424.41</v>
      </c>
      <c r="I108" s="142">
        <f>'[1]Trial Balance'!$L$356</f>
        <v>9700</v>
      </c>
      <c r="J108" s="222"/>
      <c r="K108" s="222"/>
      <c r="L108" s="222"/>
      <c r="M108" s="222"/>
      <c r="N108" s="154" t="s">
        <v>170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2531699.44</v>
      </c>
      <c r="H109" s="229">
        <f>SUM(H92:H108)</f>
        <v>2489706</v>
      </c>
      <c r="I109" s="229">
        <f t="shared" ref="I109" si="7">SUM(I92:I108)</f>
        <v>2602046.34</v>
      </c>
      <c r="J109" s="81"/>
      <c r="K109" s="81"/>
      <c r="L109" s="81"/>
      <c r="M109" s="81"/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43942.58</v>
      </c>
      <c r="H110" s="142">
        <f>'[1]Trial Balance'!$K$347</f>
        <v>50003.276919764605</v>
      </c>
      <c r="I110" s="142">
        <f>'[1]Trial Balance'!$L$347</f>
        <v>48500</v>
      </c>
      <c r="J110" s="142"/>
      <c r="K110" s="142"/>
      <c r="L110" s="142"/>
      <c r="M110" s="142"/>
      <c r="N110" s="154" t="s">
        <v>170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4" t="s">
        <v>170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43942.58</v>
      </c>
      <c r="H112" s="81">
        <f>H110+H111</f>
        <v>50003.276919764605</v>
      </c>
      <c r="I112" s="81">
        <f t="shared" ref="I112" si="8">I110+I111</f>
        <v>48500</v>
      </c>
      <c r="J112" s="81"/>
      <c r="K112" s="81"/>
      <c r="L112" s="81"/>
      <c r="M112" s="81"/>
      <c r="N112" s="159" t="s">
        <v>29</v>
      </c>
    </row>
    <row r="113" spans="3:15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4" t="s">
        <v>170</v>
      </c>
    </row>
    <row r="114" spans="3:15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5" x14ac:dyDescent="0.2">
      <c r="C115" s="158"/>
      <c r="D115" s="77"/>
      <c r="E115" s="172" t="s">
        <v>197</v>
      </c>
      <c r="F115" s="80" t="s">
        <v>80</v>
      </c>
      <c r="G115" s="58">
        <f>'Benchmarking Calculations'!G81</f>
        <v>5283654.4800000004</v>
      </c>
      <c r="H115" s="81">
        <f>H114+H112+H109+H91+H86+H78+H64</f>
        <v>5634867.9569197642</v>
      </c>
      <c r="I115" s="81">
        <f t="shared" ref="I115:M115" si="10">I114+I112+I109+I91+I86+I78+I64</f>
        <v>5926479.665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5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5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5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5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5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5" x14ac:dyDescent="0.2">
      <c r="C121" s="158"/>
      <c r="D121" s="77"/>
      <c r="E121" s="172" t="s">
        <v>198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3" t="s">
        <v>29</v>
      </c>
    </row>
    <row r="122" spans="3:15" x14ac:dyDescent="0.2">
      <c r="C122" s="158"/>
      <c r="D122" s="77"/>
      <c r="E122" s="174" t="s">
        <v>199</v>
      </c>
      <c r="F122" s="80" t="s">
        <v>83</v>
      </c>
      <c r="G122" s="110">
        <f>'Benchmarking Calculations'!G88</f>
        <v>112664.82</v>
      </c>
      <c r="H122" s="175">
        <f>G122</f>
        <v>112664.82</v>
      </c>
      <c r="I122" s="175">
        <f>H122</f>
        <v>112664.82</v>
      </c>
      <c r="J122" s="175"/>
      <c r="K122" s="175"/>
      <c r="L122" s="175"/>
      <c r="M122" s="175"/>
      <c r="N122" s="176" t="s">
        <v>170</v>
      </c>
      <c r="O122" s="225" t="s">
        <v>282</v>
      </c>
    </row>
    <row r="123" spans="3:15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5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opLeftCell="B1" zoomScale="110" zoomScaleNormal="110" workbookViewId="0">
      <pane ySplit="5" topLeftCell="A252" activePane="bottomLeft" state="frozen"/>
      <selection activeCell="G33" sqref="G33"/>
      <selection pane="bottomLeft" activeCell="G88" sqref="G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86" width="13.42578125" style="114" customWidth="1"/>
    <col min="87" max="87" width="17.42578125" style="114" customWidth="1"/>
    <col min="88" max="93" width="9.140625" customWidth="1"/>
  </cols>
  <sheetData>
    <row r="1" spans="1:94" ht="24" thickBot="1" x14ac:dyDescent="0.4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O1" s="127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21" thickTop="1" thickBot="1" x14ac:dyDescent="0.4">
      <c r="A2" s="1"/>
      <c r="B2" s="100"/>
      <c r="C2" s="3"/>
      <c r="D2" s="3"/>
      <c r="E2" s="10"/>
      <c r="R2" s="181"/>
      <c r="S2" s="181"/>
    </row>
    <row r="3" spans="1:94" ht="48.75" customHeight="1" thickBot="1" x14ac:dyDescent="0.25">
      <c r="B3" s="237" t="s">
        <v>1</v>
      </c>
      <c r="C3" s="237"/>
      <c r="D3" s="101"/>
      <c r="E3" s="102" t="str">
        <f>'Model Inputs'!F5</f>
        <v>InnPower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183" t="s">
        <v>202</v>
      </c>
      <c r="R3" s="183" t="s">
        <v>204</v>
      </c>
      <c r="S3" s="183" t="s">
        <v>205</v>
      </c>
      <c r="T3" s="183" t="s">
        <v>206</v>
      </c>
      <c r="U3" s="183" t="s">
        <v>207</v>
      </c>
      <c r="V3" s="183" t="s">
        <v>208</v>
      </c>
      <c r="W3" s="183" t="s">
        <v>209</v>
      </c>
      <c r="X3" s="183" t="s">
        <v>210</v>
      </c>
      <c r="Y3" s="183" t="s">
        <v>211</v>
      </c>
      <c r="Z3" s="183" t="s">
        <v>212</v>
      </c>
      <c r="AA3" s="183" t="s">
        <v>213</v>
      </c>
      <c r="AB3" s="183" t="s">
        <v>214</v>
      </c>
      <c r="AC3" s="183" t="s">
        <v>215</v>
      </c>
      <c r="AD3" s="183" t="s">
        <v>216</v>
      </c>
      <c r="AE3" s="183" t="s">
        <v>217</v>
      </c>
      <c r="AF3" s="183" t="s">
        <v>218</v>
      </c>
      <c r="AG3" s="183" t="s">
        <v>219</v>
      </c>
      <c r="AH3" s="183" t="s">
        <v>220</v>
      </c>
      <c r="AI3" s="183" t="s">
        <v>221</v>
      </c>
      <c r="AJ3" s="183" t="s">
        <v>222</v>
      </c>
      <c r="AK3" s="183" t="s">
        <v>223</v>
      </c>
      <c r="AL3" s="183" t="s">
        <v>224</v>
      </c>
      <c r="AM3" s="183" t="s">
        <v>225</v>
      </c>
      <c r="AN3" s="183" t="s">
        <v>226</v>
      </c>
      <c r="AO3" s="183" t="s">
        <v>227</v>
      </c>
      <c r="AP3" s="183" t="s">
        <v>228</v>
      </c>
      <c r="AQ3" s="183" t="s">
        <v>229</v>
      </c>
      <c r="AR3" s="183" t="s">
        <v>230</v>
      </c>
      <c r="AS3" s="183" t="s">
        <v>231</v>
      </c>
      <c r="AT3" s="183" t="s">
        <v>232</v>
      </c>
      <c r="AU3" s="183" t="s">
        <v>233</v>
      </c>
      <c r="AV3" s="183" t="s">
        <v>234</v>
      </c>
      <c r="AW3" s="183" t="s">
        <v>235</v>
      </c>
      <c r="AX3" s="183" t="s">
        <v>272</v>
      </c>
      <c r="AY3" s="183" t="s">
        <v>236</v>
      </c>
      <c r="AZ3" s="183" t="s">
        <v>237</v>
      </c>
      <c r="BA3" s="183" t="s">
        <v>238</v>
      </c>
      <c r="BB3" s="183" t="s">
        <v>239</v>
      </c>
      <c r="BC3" s="183" t="s">
        <v>240</v>
      </c>
      <c r="BD3" s="183" t="s">
        <v>241</v>
      </c>
      <c r="BE3" s="183" t="s">
        <v>242</v>
      </c>
      <c r="BF3" s="183" t="s">
        <v>243</v>
      </c>
      <c r="BG3" s="183" t="s">
        <v>244</v>
      </c>
      <c r="BH3" s="183" t="s">
        <v>245</v>
      </c>
      <c r="BI3" s="183" t="s">
        <v>246</v>
      </c>
      <c r="BJ3" s="183" t="s">
        <v>247</v>
      </c>
      <c r="BK3" s="183" t="s">
        <v>248</v>
      </c>
      <c r="BL3" s="183" t="s">
        <v>249</v>
      </c>
      <c r="BM3" s="183" t="s">
        <v>250</v>
      </c>
      <c r="BN3" s="183" t="s">
        <v>251</v>
      </c>
      <c r="BO3" s="183" t="s">
        <v>252</v>
      </c>
      <c r="BP3" s="183" t="s">
        <v>253</v>
      </c>
      <c r="BQ3" s="183" t="s">
        <v>254</v>
      </c>
      <c r="BR3" s="183" t="s">
        <v>255</v>
      </c>
      <c r="BS3" s="183" t="s">
        <v>256</v>
      </c>
      <c r="BT3" s="183" t="s">
        <v>257</v>
      </c>
      <c r="BU3" s="183" t="s">
        <v>258</v>
      </c>
      <c r="BV3" s="183" t="s">
        <v>259</v>
      </c>
      <c r="BW3" s="183" t="s">
        <v>260</v>
      </c>
      <c r="BX3" s="183" t="s">
        <v>261</v>
      </c>
      <c r="BY3" s="183" t="s">
        <v>262</v>
      </c>
      <c r="BZ3" s="183" t="s">
        <v>263</v>
      </c>
      <c r="CA3" s="183" t="s">
        <v>264</v>
      </c>
      <c r="CB3" s="183" t="s">
        <v>265</v>
      </c>
      <c r="CC3" s="183" t="s">
        <v>266</v>
      </c>
      <c r="CD3" s="183" t="s">
        <v>267</v>
      </c>
      <c r="CE3" s="183" t="s">
        <v>268</v>
      </c>
      <c r="CF3" s="183" t="s">
        <v>269</v>
      </c>
      <c r="CG3" s="183" t="s">
        <v>270</v>
      </c>
      <c r="CH3" s="183" t="s">
        <v>271</v>
      </c>
      <c r="CI3" s="183" t="s">
        <v>203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38"/>
      <c r="G4" s="239"/>
      <c r="H4" s="240" t="s">
        <v>2</v>
      </c>
      <c r="I4" s="241"/>
      <c r="J4" s="241"/>
      <c r="K4" s="241"/>
      <c r="L4" s="241"/>
      <c r="M4" s="241"/>
      <c r="N4" s="38"/>
      <c r="O4" s="114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199" t="s">
        <v>273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5" thickBot="1" x14ac:dyDescent="0.25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146"/>
      <c r="N7" s="58"/>
      <c r="O7" s="114">
        <v>5</v>
      </c>
      <c r="P7" s="114">
        <v>0</v>
      </c>
      <c r="Q7" s="99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220453.5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14948.11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48575.54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9717.9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5227.82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136301.26999999999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7484.41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246.4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18961.29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98965.54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189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241352.71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55089.05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101903.73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405526.84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11199.19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1376142.3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8489.36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33377.07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10631.58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49139.87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64767.27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119800.61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24178.03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76614.06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17208.13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23318.880000000001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427524.86000000004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388247.57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345165.19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147.87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162718.41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896279.04000000004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5268.36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350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2447.9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8066.26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262072.8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329472.78999999998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923300.34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216791.33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199341.52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49895.839999999997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15753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111126.39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131055.09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1530.19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282147.84999999998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9212.2999999999993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2531699.44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43942.58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43942.58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5283654.4800000004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9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112664.82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5396319.3000000007</v>
      </c>
      <c r="H89" s="185">
        <f>'Model Inputs'!H31</f>
        <v>5747532.7769197645</v>
      </c>
      <c r="I89" s="186">
        <f>'Model Inputs'!I31</f>
        <v>6039144.4850000003</v>
      </c>
      <c r="J89" s="186">
        <f>'Model Inputs'!J31</f>
        <v>0</v>
      </c>
      <c r="K89" s="186">
        <f>'Model Inputs'!K31</f>
        <v>0</v>
      </c>
      <c r="L89" s="186">
        <f>'Model Inputs'!L31</f>
        <v>0</v>
      </c>
      <c r="M89" s="187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19803244</v>
      </c>
      <c r="H92" s="185">
        <f>'Model Inputs'!H9</f>
        <v>6882668.9100000001</v>
      </c>
      <c r="I92" s="186">
        <f>'Model Inputs'!I9</f>
        <v>8558202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16157</v>
      </c>
      <c r="H96" s="185">
        <f>'Model Inputs'!H13</f>
        <v>16293.416666666668</v>
      </c>
      <c r="I96" s="186">
        <f>'Model Inputs'!I13</f>
        <v>16676.666666666668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237763328.72</v>
      </c>
      <c r="H97" s="185">
        <f>'Model Inputs'!H14</f>
        <v>242016317.90000004</v>
      </c>
      <c r="I97" s="186">
        <f>'Model Inputs'!I14</f>
        <v>239667884.45104998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50975</v>
      </c>
      <c r="H98" s="185">
        <f>'Model Inputs'!H15</f>
        <v>51992</v>
      </c>
      <c r="I98" s="186">
        <f>'Model Inputs'!I15</f>
        <v>51992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833</v>
      </c>
      <c r="H99" s="185">
        <f>'Model Inputs'!H16</f>
        <v>862</v>
      </c>
      <c r="I99" s="186">
        <f>'Model Inputs'!I16</f>
        <v>892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36" t="s">
        <v>93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5396319.3000000007</v>
      </c>
      <c r="H107" s="29">
        <f t="shared" ref="H107:K107" si="4">H89</f>
        <v>5747532.7769197645</v>
      </c>
      <c r="I107" s="29">
        <f t="shared" si="4"/>
        <v>6039144.4850000003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0">
        <f>'Model Inputs'!H22</f>
        <v>6.2799999999999995E-2</v>
      </c>
      <c r="I110" s="201">
        <f>'Model Inputs'!I22</f>
        <v>5.67E-2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165.70687961774755</v>
      </c>
      <c r="I112" s="204">
        <f>H112*EXP('Model Inputs'!I21)</f>
        <v>168.33656781093197</v>
      </c>
      <c r="J112" s="204">
        <f>I112*EXP('Model Inputs'!J21)</f>
        <v>168.33656781093197</v>
      </c>
      <c r="K112" s="204">
        <f>J112*EXP('Model Inputs'!K21)</f>
        <v>168.33656781093197</v>
      </c>
      <c r="L112" s="204">
        <f>K112*EXP('Model Inputs'!L21)</f>
        <v>168.33656781093197</v>
      </c>
      <c r="M112" s="205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17.849773217599605</v>
      </c>
      <c r="I113" s="29">
        <f t="shared" si="7"/>
        <v>17.122228536848063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89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19803244</v>
      </c>
      <c r="H114" s="206">
        <f>H92</f>
        <v>6882668.9100000001</v>
      </c>
      <c r="I114" s="207">
        <f t="shared" ref="I114:L114" si="8">I92</f>
        <v>8558202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121404.20463956828</v>
      </c>
      <c r="H116" s="8">
        <f t="shared" ref="H116:K116" si="12">(H114-H115)/H112</f>
        <v>41535.203160405494</v>
      </c>
      <c r="I116" s="8">
        <f t="shared" si="12"/>
        <v>50839.827087434656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17959.043637333176</v>
      </c>
      <c r="H117" s="25">
        <f t="shared" ref="H117:M117" si="14">H111*G118</f>
        <v>22707.176527335767</v>
      </c>
      <c r="I117" s="25">
        <f t="shared" si="14"/>
        <v>23571.382949793668</v>
      </c>
      <c r="J117" s="25">
        <f t="shared" si="14"/>
        <v>24823.004535711389</v>
      </c>
      <c r="K117" s="25">
        <f t="shared" si="14"/>
        <v>23683.628627522237</v>
      </c>
      <c r="L117" s="25">
        <f t="shared" si="14"/>
        <v>22596.550073518963</v>
      </c>
      <c r="M117" s="25">
        <f t="shared" si="14"/>
        <v>21559.368425144443</v>
      </c>
      <c r="N117" s="190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494709.72826439573</v>
      </c>
      <c r="H118" s="25">
        <f t="shared" ref="H118:M118" si="15">G118+H116-H117</f>
        <v>513537.75489746546</v>
      </c>
      <c r="I118" s="25">
        <f t="shared" si="15"/>
        <v>540806.19903510646</v>
      </c>
      <c r="J118" s="25">
        <f t="shared" si="15"/>
        <v>515983.19449939509</v>
      </c>
      <c r="K118" s="25">
        <f t="shared" si="15"/>
        <v>492299.56587187282</v>
      </c>
      <c r="L118" s="25">
        <f t="shared" si="15"/>
        <v>469703.01579835388</v>
      </c>
      <c r="M118" s="25">
        <f t="shared" si="15"/>
        <v>448143.64737320942</v>
      </c>
      <c r="N118" s="190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8869333.2860777453</v>
      </c>
      <c r="H119" s="25">
        <f t="shared" ref="H119:K119" si="16">H113*H118</f>
        <v>9166532.4635950085</v>
      </c>
      <c r="I119" s="25">
        <f t="shared" si="16"/>
        <v>9259807.3340232335</v>
      </c>
      <c r="J119" s="25">
        <f t="shared" si="16"/>
        <v>3986820.7564658266</v>
      </c>
      <c r="K119" s="25">
        <f t="shared" si="16"/>
        <v>3803825.683744045</v>
      </c>
      <c r="L119" s="25">
        <f t="shared" ref="L119:M119" si="17">L113*L118</f>
        <v>3629230.0848601935</v>
      </c>
      <c r="M119" s="25">
        <f t="shared" si="17"/>
        <v>3462648.4239651104</v>
      </c>
      <c r="N119" s="190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14265652.586077746</v>
      </c>
      <c r="H121" s="25">
        <f t="shared" ref="H121:K121" si="18">H107+H119</f>
        <v>14914065.240514774</v>
      </c>
      <c r="I121" s="25">
        <f t="shared" si="18"/>
        <v>15298951.819023233</v>
      </c>
      <c r="J121" s="25">
        <f t="shared" si="18"/>
        <v>3986820.7564658266</v>
      </c>
      <c r="K121" s="25">
        <f t="shared" si="18"/>
        <v>3803825.683744045</v>
      </c>
      <c r="L121" s="25">
        <f t="shared" ref="L121:M121" si="19">L107+L119</f>
        <v>3629230.0848601935</v>
      </c>
      <c r="M121" s="25">
        <f t="shared" si="19"/>
        <v>3462648.4239651104</v>
      </c>
      <c r="N121" s="190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36" t="s">
        <v>108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156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L127" s="4"/>
      <c r="M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16157</v>
      </c>
      <c r="H128" s="8">
        <f t="shared" ref="H128:K130" si="20">H96</f>
        <v>16293.416666666668</v>
      </c>
      <c r="I128" s="8">
        <f t="shared" si="20"/>
        <v>16676.666666666668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237763328.72</v>
      </c>
      <c r="H129" s="39">
        <f t="shared" si="20"/>
        <v>242016317.90000004</v>
      </c>
      <c r="I129" s="39">
        <f t="shared" si="20"/>
        <v>239667884.45104998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50975</v>
      </c>
      <c r="H130" s="8">
        <f t="shared" si="20"/>
        <v>51992</v>
      </c>
      <c r="I130" s="8">
        <f t="shared" si="20"/>
        <v>51992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66861</v>
      </c>
      <c r="H131" s="8">
        <f t="shared" ref="H131:M131" si="24">MAX(G131,H130)</f>
        <v>66861</v>
      </c>
      <c r="I131" s="8">
        <f t="shared" si="24"/>
        <v>66861</v>
      </c>
      <c r="J131" s="8">
        <f t="shared" si="24"/>
        <v>66861</v>
      </c>
      <c r="K131" s="8">
        <f t="shared" si="24"/>
        <v>66861</v>
      </c>
      <c r="L131" s="8">
        <f t="shared" si="24"/>
        <v>66861</v>
      </c>
      <c r="M131" s="8">
        <f t="shared" si="24"/>
        <v>66861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2">
        <f>G134*EXP('Model Inputs'!H21)</f>
        <v>117.0535651311439</v>
      </c>
      <c r="I134" s="213">
        <f>H134*EXP('Model Inputs'!I21)</f>
        <v>118.91114870827467</v>
      </c>
      <c r="J134" s="213">
        <f>I134*EXP('Model Inputs'!J21)</f>
        <v>118.91114870827467</v>
      </c>
      <c r="K134" s="213">
        <f>J134*EXP('Model Inputs'!K21)</f>
        <v>118.91114870827467</v>
      </c>
      <c r="L134" s="213">
        <f>K134*EXP('Model Inputs'!L21)</f>
        <v>118.91114870827467</v>
      </c>
      <c r="M134" s="214">
        <f>L134*EXP('Model Inputs'!M21)</f>
        <v>118.91114870827467</v>
      </c>
      <c r="N134" s="219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275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1013.3453119075671</v>
      </c>
      <c r="J135" s="216">
        <f>I135*EXP('Model Inputs'!J20)</f>
        <v>1013.3453119075671</v>
      </c>
      <c r="K135" s="216">
        <f>J135*EXP('Model Inputs'!K20)</f>
        <v>1013.3453119075671</v>
      </c>
      <c r="L135" s="216">
        <f>K135*EXP('Model Inputs'!L20)</f>
        <v>1013.3453119075671</v>
      </c>
      <c r="M135" s="217">
        <f>L135*EXP('Model Inputs'!M20)</f>
        <v>1013.3453119075671</v>
      </c>
      <c r="N135" s="219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2.2643473916963336E-2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132.11052105817498</v>
      </c>
      <c r="H137" s="29">
        <f t="shared" ref="H137:M137" si="26">G137*EXP(H136)</f>
        <v>135.13980788209608</v>
      </c>
      <c r="I137" s="29">
        <f t="shared" si="26"/>
        <v>138.23475048584561</v>
      </c>
      <c r="J137" s="29">
        <f t="shared" si="26"/>
        <v>138.23475048584561</v>
      </c>
      <c r="K137" s="29">
        <f t="shared" si="26"/>
        <v>138.23475048584561</v>
      </c>
      <c r="L137" s="29">
        <f t="shared" si="26"/>
        <v>138.23475048584561</v>
      </c>
      <c r="M137" s="29">
        <f t="shared" si="26"/>
        <v>138.23475048584561</v>
      </c>
      <c r="N137" s="189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17.849773217599605</v>
      </c>
      <c r="I139" s="29">
        <f t="shared" si="27"/>
        <v>17.122228536848063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89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M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833</v>
      </c>
      <c r="H142" s="42">
        <f>'Model Inputs'!H16</f>
        <v>862</v>
      </c>
      <c r="I142" s="42">
        <f>'Model Inputs'!I16</f>
        <v>892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696.5</v>
      </c>
      <c r="H143" s="41">
        <f>(G143*14+H142)/15</f>
        <v>707.5333333333333</v>
      </c>
      <c r="I143" s="41">
        <f>(H143*15+I142)/16</f>
        <v>719.0625</v>
      </c>
      <c r="J143" s="41">
        <f>(I143*16+J142)/17</f>
        <v>676.76470588235293</v>
      </c>
      <c r="K143" s="41">
        <f>(J143*17+K142)/18</f>
        <v>639.16666666666663</v>
      </c>
      <c r="L143" s="41">
        <f>(K143*17+L142)/18</f>
        <v>603.65740740740739</v>
      </c>
      <c r="M143" s="41">
        <f>(L143*17+M142)/18</f>
        <v>570.12088477366251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ht="15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13793</v>
      </c>
      <c r="H144" s="228">
        <v>13832</v>
      </c>
      <c r="I144" s="228">
        <v>14123</v>
      </c>
      <c r="J144" s="228">
        <v>14471</v>
      </c>
      <c r="K144" s="228">
        <v>14563</v>
      </c>
      <c r="L144" s="228">
        <v>14707</v>
      </c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0.17139128543464077</v>
      </c>
      <c r="H145" s="30">
        <f>'Model Inputs'!H17</f>
        <v>0.19409999999999999</v>
      </c>
      <c r="I145" s="30">
        <f>'Model Inputs'!I17</f>
        <v>0.20749999999999999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0.13570727148308426</v>
      </c>
      <c r="H152" s="44">
        <f t="shared" ref="H152:K152" si="31">H113/H137</f>
        <v>0.1320837545749125</v>
      </c>
      <c r="I152" s="44">
        <f t="shared" si="31"/>
        <v>0.12386341695318699</v>
      </c>
      <c r="J152" s="44">
        <f t="shared" si="31"/>
        <v>5.5895123587704092E-2</v>
      </c>
      <c r="K152" s="44">
        <f t="shared" si="31"/>
        <v>5.5895123587704092E-2</v>
      </c>
      <c r="L152" s="44">
        <f t="shared" ref="L152:M152" si="32">L113/L137</f>
        <v>5.5895123587704092E-2</v>
      </c>
      <c r="M152" s="44">
        <f t="shared" si="32"/>
        <v>5.5895123587704092E-2</v>
      </c>
      <c r="N152" s="194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16157</v>
      </c>
      <c r="H153" s="25">
        <f t="shared" ref="H153:K153" si="33">H96</f>
        <v>16293.416666666668</v>
      </c>
      <c r="I153" s="25">
        <f t="shared" si="33"/>
        <v>16676.666666666668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66861</v>
      </c>
      <c r="H154" s="25">
        <f t="shared" ref="H154:K154" si="35">H131</f>
        <v>66861</v>
      </c>
      <c r="I154" s="25">
        <f t="shared" si="35"/>
        <v>66861</v>
      </c>
      <c r="J154" s="25">
        <f t="shared" si="35"/>
        <v>66861</v>
      </c>
      <c r="K154" s="25">
        <f t="shared" si="35"/>
        <v>66861</v>
      </c>
      <c r="L154" s="25">
        <f t="shared" ref="L154:M154" si="36">L131</f>
        <v>66861</v>
      </c>
      <c r="M154" s="25">
        <f t="shared" si="36"/>
        <v>66861</v>
      </c>
      <c r="N154" s="190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237763328.72</v>
      </c>
      <c r="H155" s="39">
        <f t="shared" ref="H155:K155" si="37">H97</f>
        <v>242016317.90000004</v>
      </c>
      <c r="I155" s="39">
        <f t="shared" si="37"/>
        <v>239667884.45104998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696.5</v>
      </c>
      <c r="H156" s="45">
        <f t="shared" ref="H156:K156" si="39">H143</f>
        <v>707.5333333333333</v>
      </c>
      <c r="I156" s="45">
        <f t="shared" si="39"/>
        <v>719.0625</v>
      </c>
      <c r="J156" s="45">
        <f t="shared" si="39"/>
        <v>676.76470588235293</v>
      </c>
      <c r="K156" s="45">
        <f t="shared" si="39"/>
        <v>639.16666666666663</v>
      </c>
      <c r="L156" s="45">
        <f t="shared" ref="L156:M156" si="40">L143</f>
        <v>603.65740740740739</v>
      </c>
      <c r="M156" s="45">
        <f t="shared" si="40"/>
        <v>570.12088477366251</v>
      </c>
      <c r="N156" s="195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0.17139128543464077</v>
      </c>
      <c r="H157" s="31">
        <f t="shared" ref="H157:L157" si="41">H145</f>
        <v>0.19409999999999999</v>
      </c>
      <c r="I157" s="31">
        <f t="shared" si="41"/>
        <v>0.20749999999999999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12.815901074724351</v>
      </c>
      <c r="H162" s="49">
        <f t="shared" ref="H162:M179" si="45">G162</f>
        <v>12.815901074724351</v>
      </c>
      <c r="I162" s="49">
        <f t="shared" si="45"/>
        <v>12.815901074724351</v>
      </c>
      <c r="J162" s="49">
        <f t="shared" si="45"/>
        <v>12.815901074724351</v>
      </c>
      <c r="K162" s="49">
        <f t="shared" si="45"/>
        <v>12.815901074724351</v>
      </c>
      <c r="L162" s="49">
        <f t="shared" si="45"/>
        <v>12.815901074724351</v>
      </c>
      <c r="M162" s="49">
        <f t="shared" si="45"/>
        <v>12.815901074724351</v>
      </c>
      <c r="N162" s="196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0.62779738691986353</v>
      </c>
      <c r="H163" s="49">
        <f t="shared" si="45"/>
        <v>0.62779738691986353</v>
      </c>
      <c r="I163" s="49">
        <f t="shared" si="45"/>
        <v>0.62779738691986353</v>
      </c>
      <c r="J163" s="49">
        <f t="shared" si="45"/>
        <v>0.62779738691986353</v>
      </c>
      <c r="K163" s="49">
        <f t="shared" si="45"/>
        <v>0.62779738691986353</v>
      </c>
      <c r="L163" s="49">
        <f t="shared" si="45"/>
        <v>0.62779738691986353</v>
      </c>
      <c r="M163" s="49">
        <f t="shared" si="45"/>
        <v>0.62779738691986353</v>
      </c>
      <c r="N163" s="196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0.44245966585891083</v>
      </c>
      <c r="H164" s="49">
        <f t="shared" si="45"/>
        <v>0.44245966585891083</v>
      </c>
      <c r="I164" s="49">
        <f t="shared" si="45"/>
        <v>0.44245966585891083</v>
      </c>
      <c r="J164" s="49">
        <f t="shared" si="45"/>
        <v>0.44245966585891083</v>
      </c>
      <c r="K164" s="49">
        <f t="shared" si="45"/>
        <v>0.44245966585891083</v>
      </c>
      <c r="L164" s="49">
        <f t="shared" si="45"/>
        <v>0.44245966585891083</v>
      </c>
      <c r="M164" s="49">
        <f t="shared" si="45"/>
        <v>0.44245966585891083</v>
      </c>
      <c r="N164" s="196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0.16088555495078627</v>
      </c>
      <c r="H165" s="49">
        <f t="shared" si="45"/>
        <v>0.16088555495078627</v>
      </c>
      <c r="I165" s="49">
        <f t="shared" si="45"/>
        <v>0.16088555495078627</v>
      </c>
      <c r="J165" s="49">
        <f t="shared" si="45"/>
        <v>0.16088555495078627</v>
      </c>
      <c r="K165" s="49">
        <f t="shared" si="45"/>
        <v>0.16088555495078627</v>
      </c>
      <c r="L165" s="49">
        <f t="shared" si="45"/>
        <v>0.16088555495078627</v>
      </c>
      <c r="M165" s="49">
        <f t="shared" si="45"/>
        <v>0.16088555495078627</v>
      </c>
      <c r="N165" s="196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0.10313938778589071</v>
      </c>
      <c r="H166" s="49">
        <f t="shared" si="45"/>
        <v>0.10313938778589071</v>
      </c>
      <c r="I166" s="49">
        <f t="shared" si="45"/>
        <v>0.10313938778589071</v>
      </c>
      <c r="J166" s="49">
        <f t="shared" si="45"/>
        <v>0.10313938778589071</v>
      </c>
      <c r="K166" s="49">
        <f t="shared" si="45"/>
        <v>0.10313938778589071</v>
      </c>
      <c r="L166" s="49">
        <f t="shared" si="45"/>
        <v>0.10313938778589071</v>
      </c>
      <c r="M166" s="49">
        <f t="shared" si="45"/>
        <v>0.10313938778589071</v>
      </c>
      <c r="N166" s="196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0.12460459341251928</v>
      </c>
      <c r="H167" s="49">
        <f t="shared" si="45"/>
        <v>0.12460459341251928</v>
      </c>
      <c r="I167" s="49">
        <f t="shared" si="45"/>
        <v>0.12460459341251928</v>
      </c>
      <c r="J167" s="49">
        <f t="shared" si="45"/>
        <v>0.12460459341251928</v>
      </c>
      <c r="K167" s="49">
        <f t="shared" si="45"/>
        <v>0.12460459341251928</v>
      </c>
      <c r="L167" s="49">
        <f t="shared" si="45"/>
        <v>0.12460459341251928</v>
      </c>
      <c r="M167" s="49">
        <f t="shared" si="45"/>
        <v>0.12460459341251928</v>
      </c>
      <c r="N167" s="196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-0.37932477859397951</v>
      </c>
      <c r="H168" s="49">
        <f t="shared" si="45"/>
        <v>-0.37932477859397951</v>
      </c>
      <c r="I168" s="49">
        <f t="shared" si="45"/>
        <v>-0.37932477859397951</v>
      </c>
      <c r="J168" s="49">
        <f t="shared" si="45"/>
        <v>-0.37932477859397951</v>
      </c>
      <c r="K168" s="49">
        <f t="shared" si="45"/>
        <v>-0.37932477859397951</v>
      </c>
      <c r="L168" s="49">
        <f t="shared" si="45"/>
        <v>-0.37932477859397951</v>
      </c>
      <c r="M168" s="49">
        <f t="shared" si="45"/>
        <v>-0.37932477859397951</v>
      </c>
      <c r="N168" s="196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0.1805822018903388</v>
      </c>
      <c r="H169" s="49">
        <f t="shared" si="45"/>
        <v>0.1805822018903388</v>
      </c>
      <c r="I169" s="49">
        <f t="shared" si="45"/>
        <v>0.1805822018903388</v>
      </c>
      <c r="J169" s="49">
        <f t="shared" si="45"/>
        <v>0.1805822018903388</v>
      </c>
      <c r="K169" s="49">
        <f t="shared" si="45"/>
        <v>0.1805822018903388</v>
      </c>
      <c r="L169" s="49">
        <f t="shared" si="45"/>
        <v>0.1805822018903388</v>
      </c>
      <c r="M169" s="49">
        <f t="shared" si="45"/>
        <v>0.1805822018903388</v>
      </c>
      <c r="N169" s="196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0.16782890461962829</v>
      </c>
      <c r="H170" s="49">
        <f t="shared" si="45"/>
        <v>0.16782890461962829</v>
      </c>
      <c r="I170" s="49">
        <f t="shared" si="45"/>
        <v>0.16782890461962829</v>
      </c>
      <c r="J170" s="49">
        <f t="shared" si="45"/>
        <v>0.16782890461962829</v>
      </c>
      <c r="K170" s="49">
        <f t="shared" si="45"/>
        <v>0.16782890461962829</v>
      </c>
      <c r="L170" s="49">
        <f t="shared" si="45"/>
        <v>0.16782890461962829</v>
      </c>
      <c r="M170" s="49">
        <f t="shared" si="45"/>
        <v>0.16782890461962829</v>
      </c>
      <c r="N170" s="196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5.0898468907486172E-2</v>
      </c>
      <c r="H171" s="49">
        <f t="shared" si="45"/>
        <v>5.0898468907486172E-2</v>
      </c>
      <c r="I171" s="49">
        <f t="shared" si="45"/>
        <v>5.0898468907486172E-2</v>
      </c>
      <c r="J171" s="49">
        <f t="shared" si="45"/>
        <v>5.0898468907486172E-2</v>
      </c>
      <c r="K171" s="49">
        <f t="shared" si="45"/>
        <v>5.0898468907486172E-2</v>
      </c>
      <c r="L171" s="49">
        <f t="shared" si="45"/>
        <v>5.0898468907486172E-2</v>
      </c>
      <c r="M171" s="49">
        <f t="shared" si="45"/>
        <v>5.0898468907486172E-2</v>
      </c>
      <c r="N171" s="196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1.07932400511217E-2</v>
      </c>
      <c r="H172" s="49">
        <f t="shared" si="45"/>
        <v>1.07932400511217E-2</v>
      </c>
      <c r="I172" s="49">
        <f t="shared" si="45"/>
        <v>1.07932400511217E-2</v>
      </c>
      <c r="J172" s="49">
        <f t="shared" si="45"/>
        <v>1.07932400511217E-2</v>
      </c>
      <c r="K172" s="49">
        <f t="shared" si="45"/>
        <v>1.07932400511217E-2</v>
      </c>
      <c r="L172" s="49">
        <f t="shared" si="45"/>
        <v>1.07932400511217E-2</v>
      </c>
      <c r="M172" s="49">
        <f t="shared" si="45"/>
        <v>1.07932400511217E-2</v>
      </c>
      <c r="N172" s="196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2.0223953221643332E-3</v>
      </c>
      <c r="H173" s="49">
        <f t="shared" si="45"/>
        <v>2.0223953221643332E-3</v>
      </c>
      <c r="I173" s="49">
        <f t="shared" si="45"/>
        <v>2.0223953221643332E-3</v>
      </c>
      <c r="J173" s="49">
        <f t="shared" si="45"/>
        <v>2.0223953221643332E-3</v>
      </c>
      <c r="K173" s="49">
        <f t="shared" si="45"/>
        <v>2.0223953221643332E-3</v>
      </c>
      <c r="L173" s="49">
        <f t="shared" si="45"/>
        <v>2.0223953221643332E-3</v>
      </c>
      <c r="M173" s="49">
        <f t="shared" si="45"/>
        <v>2.0223953221643332E-3</v>
      </c>
      <c r="N173" s="196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0.1482847141632227</v>
      </c>
      <c r="H174" s="49">
        <f t="shared" si="45"/>
        <v>0.1482847141632227</v>
      </c>
      <c r="I174" s="49">
        <f t="shared" si="45"/>
        <v>0.1482847141632227</v>
      </c>
      <c r="J174" s="49">
        <f t="shared" si="45"/>
        <v>0.1482847141632227</v>
      </c>
      <c r="K174" s="49">
        <f t="shared" si="45"/>
        <v>0.1482847141632227</v>
      </c>
      <c r="L174" s="49">
        <f t="shared" si="45"/>
        <v>0.1482847141632227</v>
      </c>
      <c r="M174" s="49">
        <f t="shared" si="45"/>
        <v>0.1482847141632227</v>
      </c>
      <c r="N174" s="196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6.0882088759193681E-2</v>
      </c>
      <c r="H175" s="49">
        <f t="shared" si="45"/>
        <v>6.0882088759193681E-2</v>
      </c>
      <c r="I175" s="49">
        <f t="shared" si="45"/>
        <v>6.0882088759193681E-2</v>
      </c>
      <c r="J175" s="49">
        <f t="shared" si="45"/>
        <v>6.0882088759193681E-2</v>
      </c>
      <c r="K175" s="49">
        <f t="shared" si="45"/>
        <v>6.0882088759193681E-2</v>
      </c>
      <c r="L175" s="49">
        <f t="shared" si="45"/>
        <v>6.0882088759193681E-2</v>
      </c>
      <c r="M175" s="49">
        <f t="shared" si="45"/>
        <v>6.0882088759193681E-2</v>
      </c>
      <c r="N175" s="196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-0.19546489563692088</v>
      </c>
      <c r="H176" s="49">
        <f t="shared" si="45"/>
        <v>-0.19546489563692088</v>
      </c>
      <c r="I176" s="49">
        <f t="shared" si="45"/>
        <v>-0.19546489563692088</v>
      </c>
      <c r="J176" s="49">
        <f t="shared" si="45"/>
        <v>-0.19546489563692088</v>
      </c>
      <c r="K176" s="49">
        <f t="shared" si="45"/>
        <v>-0.19546489563692088</v>
      </c>
      <c r="L176" s="49">
        <f t="shared" si="45"/>
        <v>-0.19546489563692088</v>
      </c>
      <c r="M176" s="49">
        <f t="shared" si="45"/>
        <v>-0.19546489563692088</v>
      </c>
      <c r="N176" s="196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0.28738107681180652</v>
      </c>
      <c r="H177" s="49">
        <f t="shared" si="45"/>
        <v>0.28738107681180652</v>
      </c>
      <c r="I177" s="49">
        <f t="shared" si="45"/>
        <v>0.28738107681180652</v>
      </c>
      <c r="J177" s="49">
        <f t="shared" si="45"/>
        <v>0.28738107681180652</v>
      </c>
      <c r="K177" s="49">
        <f t="shared" si="45"/>
        <v>0.28738107681180652</v>
      </c>
      <c r="L177" s="49">
        <f t="shared" si="45"/>
        <v>0.28738107681180652</v>
      </c>
      <c r="M177" s="49">
        <f t="shared" si="45"/>
        <v>0.28738107681180652</v>
      </c>
      <c r="N177" s="196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1.6694250765189496E-2</v>
      </c>
      <c r="H178" s="49">
        <f t="shared" si="45"/>
        <v>1.6694250765189496E-2</v>
      </c>
      <c r="I178" s="49">
        <f t="shared" si="45"/>
        <v>1.6694250765189496E-2</v>
      </c>
      <c r="J178" s="49">
        <f t="shared" si="45"/>
        <v>1.6694250765189496E-2</v>
      </c>
      <c r="K178" s="49">
        <f t="shared" si="45"/>
        <v>1.6694250765189496E-2</v>
      </c>
      <c r="L178" s="49">
        <f t="shared" si="45"/>
        <v>1.6694250765189496E-2</v>
      </c>
      <c r="M178" s="49">
        <f t="shared" si="45"/>
        <v>1.6694250765189496E-2</v>
      </c>
      <c r="N178" s="196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1.6810530680632627E-2</v>
      </c>
      <c r="H179" s="49">
        <f t="shared" si="45"/>
        <v>1.6810530680632627E-2</v>
      </c>
      <c r="I179" s="49">
        <f t="shared" si="45"/>
        <v>1.6810530680632627E-2</v>
      </c>
      <c r="J179" s="49">
        <f t="shared" si="45"/>
        <v>1.6810530680632627E-2</v>
      </c>
      <c r="K179" s="49">
        <f t="shared" si="45"/>
        <v>1.6810530680632627E-2</v>
      </c>
      <c r="L179" s="49">
        <f t="shared" si="45"/>
        <v>1.6810530680632627E-2</v>
      </c>
      <c r="M179" s="49">
        <f t="shared" si="45"/>
        <v>1.6810530680632627E-2</v>
      </c>
      <c r="N179" s="196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6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-0.19180233222731322</v>
      </c>
      <c r="H206" s="48">
        <f t="shared" ref="H206:K209" si="49">LN(H152/H184)</f>
        <v>-0.21886625689309033</v>
      </c>
      <c r="I206" s="48">
        <f t="shared" si="49"/>
        <v>-0.28312300027173393</v>
      </c>
      <c r="J206" s="48">
        <f t="shared" si="49"/>
        <v>-1.0788253408331931</v>
      </c>
      <c r="K206" s="48">
        <f t="shared" si="49"/>
        <v>-1.0788253408331931</v>
      </c>
      <c r="L206" s="48">
        <f t="shared" ref="L206:M206" si="50">LN(L152/L184)</f>
        <v>-1.0788253408331931</v>
      </c>
      <c r="M206" s="48">
        <f t="shared" si="50"/>
        <v>-1.0788253408331931</v>
      </c>
      <c r="N206" s="197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-1.3674623283744152</v>
      </c>
      <c r="H207" s="48">
        <f t="shared" si="49"/>
        <v>-1.359054579920673</v>
      </c>
      <c r="I207" s="48">
        <f t="shared" si="49"/>
        <v>-1.3358051838371046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-1.6413024649839103</v>
      </c>
      <c r="H208" s="48">
        <f t="shared" si="49"/>
        <v>-1.6413024649839103</v>
      </c>
      <c r="I208" s="48">
        <f t="shared" si="49"/>
        <v>-1.6413024649839103</v>
      </c>
      <c r="J208" s="48">
        <f t="shared" si="49"/>
        <v>-1.6413024649839103</v>
      </c>
      <c r="K208" s="48">
        <f t="shared" si="49"/>
        <v>-1.6413024649839103</v>
      </c>
      <c r="L208" s="48">
        <f t="shared" ref="L208:M208" si="52">LN(L154/L186)</f>
        <v>-1.6413024649839103</v>
      </c>
      <c r="M208" s="48">
        <f t="shared" si="52"/>
        <v>-1.6413024649839103</v>
      </c>
      <c r="N208" s="197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-1.9252607351419584</v>
      </c>
      <c r="H209" s="48">
        <f t="shared" si="49"/>
        <v>-1.9075313436875487</v>
      </c>
      <c r="I209" s="48">
        <f t="shared" si="49"/>
        <v>-1.9172823467110327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1.8394067323918316E-2</v>
      </c>
      <c r="H210" s="48">
        <f t="shared" ref="H210:K213" si="54">H206*H206/2</f>
        <v>2.3951219203196105E-2</v>
      </c>
      <c r="I210" s="48">
        <f t="shared" si="54"/>
        <v>4.0079316641434125E-2</v>
      </c>
      <c r="J210" s="48">
        <f t="shared" si="54"/>
        <v>0.58193205801192771</v>
      </c>
      <c r="K210" s="48">
        <f t="shared" si="54"/>
        <v>0.58193205801192771</v>
      </c>
      <c r="L210" s="48">
        <f t="shared" ref="L210:M210" si="55">L206*L206/2</f>
        <v>0.58193205801192771</v>
      </c>
      <c r="M210" s="48">
        <f t="shared" si="55"/>
        <v>0.58193205801192771</v>
      </c>
      <c r="N210" s="197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0.93497660976158847</v>
      </c>
      <c r="H211" s="48">
        <f t="shared" si="54"/>
        <v>0.92351467560167855</v>
      </c>
      <c r="I211" s="48">
        <f t="shared" si="54"/>
        <v>0.8921877445830404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1.3469368907811301</v>
      </c>
      <c r="H212" s="48">
        <f t="shared" si="54"/>
        <v>1.3469368907811301</v>
      </c>
      <c r="I212" s="48">
        <f t="shared" si="54"/>
        <v>1.3469368907811301</v>
      </c>
      <c r="J212" s="48">
        <f t="shared" si="54"/>
        <v>1.3469368907811301</v>
      </c>
      <c r="K212" s="48">
        <f t="shared" si="54"/>
        <v>1.3469368907811301</v>
      </c>
      <c r="L212" s="48">
        <f t="shared" ref="L212:M212" si="57">L208*L208/2</f>
        <v>1.3469368907811301</v>
      </c>
      <c r="M212" s="48">
        <f t="shared" si="57"/>
        <v>1.3469368907811301</v>
      </c>
      <c r="N212" s="197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1.8533144491396771</v>
      </c>
      <c r="H213" s="48">
        <f t="shared" si="54"/>
        <v>1.8193379135752126</v>
      </c>
      <c r="I213" s="48">
        <f t="shared" si="54"/>
        <v>1.8379857985048824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0.26228246381520487</v>
      </c>
      <c r="H214" s="48">
        <f t="shared" ref="H214:K214" si="59">H206*H207</f>
        <v>0.29745118882064897</v>
      </c>
      <c r="I214" s="48">
        <f t="shared" si="59"/>
        <v>0.37819717142649611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0.31480564067435207</v>
      </c>
      <c r="H215" s="48">
        <f t="shared" ref="H215:K215" si="61">H206*H208</f>
        <v>0.35922572694043092</v>
      </c>
      <c r="I215" s="48">
        <f t="shared" si="61"/>
        <v>0.46469047823963722</v>
      </c>
      <c r="J215" s="48">
        <f t="shared" si="61"/>
        <v>1.770678691196627</v>
      </c>
      <c r="K215" s="48">
        <f t="shared" si="61"/>
        <v>1.770678691196627</v>
      </c>
      <c r="L215" s="48">
        <f t="shared" ref="L215:M215" si="62">L206*L208</f>
        <v>1.770678691196627</v>
      </c>
      <c r="M215" s="48">
        <f t="shared" si="62"/>
        <v>1.770678691196627</v>
      </c>
      <c r="N215" s="197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0.36926949914589918</v>
      </c>
      <c r="H216" s="48">
        <f t="shared" ref="H216:K216" si="63">H206*H209</f>
        <v>0.41749424509914085</v>
      </c>
      <c r="I216" s="48">
        <f t="shared" si="63"/>
        <v>0.54282673036885842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2.2444192903335649</v>
      </c>
      <c r="H217" s="48">
        <f t="shared" ref="H217:K217" si="65">H207*H208</f>
        <v>2.2306196320714733</v>
      </c>
      <c r="I217" s="48">
        <f t="shared" si="65"/>
        <v>2.1924603409701251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2.6327215276050606</v>
      </c>
      <c r="H218" s="48">
        <f t="shared" ref="H218:K218" si="67">H207*H209</f>
        <v>2.5924392089807986</v>
      </c>
      <c r="I218" s="48">
        <f t="shared" si="67"/>
        <v>2.5611156976159664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3.1599351903252315</v>
      </c>
      <c r="H219" s="48">
        <f t="shared" ref="H219:K219" si="69">H208*H209</f>
        <v>3.1308358964284442</v>
      </c>
      <c r="I219" s="48">
        <f t="shared" si="69"/>
        <v>3.1468402417269541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-1.3633475138156905</v>
      </c>
      <c r="H220" s="48">
        <f t="shared" ref="H220:K220" si="71">LN(H156/H198)</f>
        <v>-1.3476305643759385</v>
      </c>
      <c r="I220" s="48">
        <f t="shared" si="71"/>
        <v>-1.3314670268058659</v>
      </c>
      <c r="J220" s="48">
        <f t="shared" si="71"/>
        <v>-1.3920916486223007</v>
      </c>
      <c r="K220" s="48">
        <f t="shared" si="71"/>
        <v>-1.4492500624622493</v>
      </c>
      <c r="L220" s="48">
        <f t="shared" ref="L220:M220" si="72">LN(L156/L198)</f>
        <v>-1.5064084763021979</v>
      </c>
      <c r="M220" s="48">
        <f t="shared" si="72"/>
        <v>-1.5635668901421467</v>
      </c>
      <c r="N220" s="197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1.3327471651216236</v>
      </c>
      <c r="H221" s="31">
        <f t="shared" ref="H221:K221" si="73">H157/H199</f>
        <v>1.5093312597200623</v>
      </c>
      <c r="I221" s="31">
        <f t="shared" si="73"/>
        <v>1.6135303265940901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12.815901074724351</v>
      </c>
      <c r="H226" s="50">
        <f t="shared" ref="H226:K241" si="78">H162*H205</f>
        <v>12.815901074724351</v>
      </c>
      <c r="I226" s="50">
        <f t="shared" si="78"/>
        <v>12.815901074724351</v>
      </c>
      <c r="J226" s="50">
        <f t="shared" si="78"/>
        <v>12.815901074724351</v>
      </c>
      <c r="K226" s="50">
        <f t="shared" si="78"/>
        <v>12.815901074724351</v>
      </c>
      <c r="L226" s="50">
        <f t="shared" ref="L226:M226" si="79">L162*L205</f>
        <v>12.815901074724351</v>
      </c>
      <c r="M226" s="50">
        <f t="shared" si="79"/>
        <v>12.815901074724351</v>
      </c>
      <c r="N226" s="198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-0.12041300297744277</v>
      </c>
      <c r="H227" s="50">
        <f t="shared" si="78"/>
        <v>-0.13740366416241367</v>
      </c>
      <c r="I227" s="50">
        <f t="shared" si="78"/>
        <v>-0.17774387974750638</v>
      </c>
      <c r="J227" s="50">
        <f t="shared" si="78"/>
        <v>-0.67728372991800978</v>
      </c>
      <c r="K227" s="50">
        <f t="shared" si="78"/>
        <v>-0.67728372991800978</v>
      </c>
      <c r="L227" s="50">
        <f t="shared" ref="L227:M227" si="80">L163*L206</f>
        <v>-0.67728372991800978</v>
      </c>
      <c r="M227" s="50">
        <f t="shared" si="80"/>
        <v>-0.67728372991800978</v>
      </c>
      <c r="N227" s="198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-0.60504692488719192</v>
      </c>
      <c r="H228" s="50">
        <f t="shared" si="78"/>
        <v>-0.6013268353157234</v>
      </c>
      <c r="I228" s="50">
        <f t="shared" si="78"/>
        <v>-0.59103991529316624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-0.26406185792102987</v>
      </c>
      <c r="H229" s="50">
        <f t="shared" si="78"/>
        <v>-0.26406185792102987</v>
      </c>
      <c r="I229" s="50">
        <f t="shared" si="78"/>
        <v>-0.26406185792102987</v>
      </c>
      <c r="J229" s="50">
        <f t="shared" si="78"/>
        <v>-0.26406185792102987</v>
      </c>
      <c r="K229" s="50">
        <f t="shared" si="78"/>
        <v>-0.26406185792102987</v>
      </c>
      <c r="L229" s="50">
        <f t="shared" ref="L229:M229" si="82">L165*L208</f>
        <v>-0.26406185792102987</v>
      </c>
      <c r="M229" s="50">
        <f t="shared" si="82"/>
        <v>-0.26406185792102987</v>
      </c>
      <c r="N229" s="198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-0.19857021355075546</v>
      </c>
      <c r="H230" s="50">
        <f t="shared" si="78"/>
        <v>-0.19674161497033127</v>
      </c>
      <c r="I230" s="50">
        <f t="shared" si="78"/>
        <v>-0.19774732745247178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2.2919852800993485E-3</v>
      </c>
      <c r="H231" s="50">
        <f t="shared" si="78"/>
        <v>2.9844319305483745E-3</v>
      </c>
      <c r="I231" s="50">
        <f t="shared" si="78"/>
        <v>4.9940669543575168E-3</v>
      </c>
      <c r="J231" s="50">
        <f t="shared" si="78"/>
        <v>7.2511407482286835E-2</v>
      </c>
      <c r="K231" s="50">
        <f t="shared" si="78"/>
        <v>7.2511407482286835E-2</v>
      </c>
      <c r="L231" s="50">
        <f t="shared" ref="L231:M231" si="84">L167*L210</f>
        <v>7.2511407482286835E-2</v>
      </c>
      <c r="M231" s="50">
        <f t="shared" si="84"/>
        <v>7.2511407482286835E-2</v>
      </c>
      <c r="N231" s="198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-0.35465979548836413</v>
      </c>
      <c r="H232" s="50">
        <f t="shared" si="78"/>
        <v>-0.3503119998508975</v>
      </c>
      <c r="I232" s="50">
        <f t="shared" si="78"/>
        <v>-0.33842891867822372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0.24323282954458325</v>
      </c>
      <c r="H233" s="50">
        <f t="shared" si="78"/>
        <v>0.24323282954458325</v>
      </c>
      <c r="I233" s="50">
        <f t="shared" si="78"/>
        <v>0.24323282954458325</v>
      </c>
      <c r="J233" s="50">
        <f t="shared" si="78"/>
        <v>0.24323282954458325</v>
      </c>
      <c r="K233" s="50">
        <f t="shared" si="78"/>
        <v>0.24323282954458325</v>
      </c>
      <c r="L233" s="50">
        <f t="shared" ref="L233:M233" si="86">L169*L212</f>
        <v>0.24323282954458325</v>
      </c>
      <c r="M233" s="50">
        <f t="shared" si="86"/>
        <v>0.24323282954458325</v>
      </c>
      <c r="N233" s="198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0.31103973391484185</v>
      </c>
      <c r="H234" s="50">
        <f t="shared" si="78"/>
        <v>0.3053374891682879</v>
      </c>
      <c r="I234" s="50">
        <f t="shared" si="78"/>
        <v>0.30846714326950725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1.3349775829477072E-2</v>
      </c>
      <c r="H235" s="50">
        <f t="shared" si="78"/>
        <v>1.51398100856826E-2</v>
      </c>
      <c r="I235" s="50">
        <f t="shared" si="78"/>
        <v>1.924965697075073E-2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3.3977728492454434E-3</v>
      </c>
      <c r="H236" s="50">
        <f t="shared" si="78"/>
        <v>3.8772095034067663E-3</v>
      </c>
      <c r="I236" s="50">
        <f t="shared" si="78"/>
        <v>5.0155158811109489E-3</v>
      </c>
      <c r="J236" s="50">
        <f t="shared" si="78"/>
        <v>1.9111360167491188E-2</v>
      </c>
      <c r="K236" s="50">
        <f t="shared" si="78"/>
        <v>1.9111360167491188E-2</v>
      </c>
      <c r="L236" s="50">
        <f t="shared" ref="L236:M236" si="89">L172*L215</f>
        <v>1.9111360167491188E-2</v>
      </c>
      <c r="M236" s="50">
        <f t="shared" si="89"/>
        <v>1.9111360167491188E-2</v>
      </c>
      <c r="N236" s="198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7.4680890769063268E-4</v>
      </c>
      <c r="H237" s="50">
        <f t="shared" si="78"/>
        <v>8.4433840831903205E-4</v>
      </c>
      <c r="I237" s="50">
        <f t="shared" si="78"/>
        <v>1.097810240243739E-3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0.33281307292953582</v>
      </c>
      <c r="H238" s="50">
        <f t="shared" si="78"/>
        <v>0.33076679454859137</v>
      </c>
      <c r="I238" s="50">
        <f t="shared" si="78"/>
        <v>0.32510835497495677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0.16028558572189128</v>
      </c>
      <c r="H239" s="50">
        <f t="shared" si="78"/>
        <v>0.15783311402398284</v>
      </c>
      <c r="I239" s="50">
        <f t="shared" si="78"/>
        <v>0.15592607322481949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-0.61765640219635509</v>
      </c>
      <c r="H240" s="50">
        <f t="shared" si="78"/>
        <v>-0.61196851175171141</v>
      </c>
      <c r="I240" s="50">
        <f t="shared" si="78"/>
        <v>-0.615096799435222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-0.39180027658905242</v>
      </c>
      <c r="H241" s="50">
        <f t="shared" si="78"/>
        <v>-0.38728352273485978</v>
      </c>
      <c r="I241" s="50">
        <f t="shared" si="78"/>
        <v>-0.38263842790288422</v>
      </c>
      <c r="J241" s="50">
        <f t="shared" si="78"/>
        <v>-0.40006079700179981</v>
      </c>
      <c r="K241" s="50">
        <f t="shared" si="78"/>
        <v>-0.41648704351997906</v>
      </c>
      <c r="L241" s="50">
        <f t="shared" ref="L241:M241" si="94">L177*L220</f>
        <v>-0.43291329003815837</v>
      </c>
      <c r="M241" s="50">
        <f t="shared" si="94"/>
        <v>-0.44933953655633768</v>
      </c>
      <c r="N241" s="198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2.2249215381135796E-2</v>
      </c>
      <c r="H242" s="50">
        <f t="shared" ref="H242:K243" si="95">H178*H221</f>
        <v>2.5197154537506077E-2</v>
      </c>
      <c r="I242" s="50">
        <f t="shared" si="95"/>
        <v>2.6936679889399847E-2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0.15129477612569364</v>
      </c>
      <c r="H243" s="50">
        <f t="shared" si="95"/>
        <v>0.16810530680632627</v>
      </c>
      <c r="I243" s="50">
        <f t="shared" si="95"/>
        <v>0.18491583748695889</v>
      </c>
      <c r="J243" s="50">
        <f t="shared" si="95"/>
        <v>0.20172636816759154</v>
      </c>
      <c r="K243" s="50">
        <f t="shared" si="95"/>
        <v>0.21853689884822416</v>
      </c>
      <c r="L243" s="50">
        <f t="shared" ref="L243:M243" si="97">L179*L222</f>
        <v>0.23534742952885679</v>
      </c>
      <c r="M243" s="50">
        <f t="shared" si="97"/>
        <v>0.25215796020948938</v>
      </c>
      <c r="N243" s="198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11.504394157598352</v>
      </c>
      <c r="H245" s="44">
        <f t="shared" ref="H245:K245" si="98">SUM(H226:H243)</f>
        <v>11.520121546574622</v>
      </c>
      <c r="I245" s="44">
        <f t="shared" si="98"/>
        <v>11.524087916730531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99150.498096189243</v>
      </c>
      <c r="H246" s="8">
        <f t="shared" ref="H246:K246" si="100">EXP(H245)</f>
        <v>100722.2035618004</v>
      </c>
      <c r="I246" s="8">
        <f t="shared" si="100"/>
        <v>101122.49843808128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132.11052105817498</v>
      </c>
      <c r="H247" s="21">
        <f t="shared" ref="H247:K247" si="102">H137</f>
        <v>135.13980788209608</v>
      </c>
      <c r="I247" s="21">
        <f t="shared" si="102"/>
        <v>138.23475048584561</v>
      </c>
      <c r="J247" s="21">
        <f t="shared" si="102"/>
        <v>138.23475048584561</v>
      </c>
      <c r="K247" s="21">
        <f t="shared" si="102"/>
        <v>138.23475048584561</v>
      </c>
      <c r="L247" s="21">
        <f t="shared" ref="L247:M247" si="103">L137</f>
        <v>138.23475048584561</v>
      </c>
      <c r="M247" s="21">
        <f t="shared" si="103"/>
        <v>138.23475048584561</v>
      </c>
      <c r="N247" s="189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13098823.966665147</v>
      </c>
      <c r="H248" s="8">
        <f t="shared" ref="H248:K248" si="104">H246*H247</f>
        <v>13611579.238803079</v>
      </c>
      <c r="I248" s="8">
        <f t="shared" si="104"/>
        <v>13978643.340093479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36" t="s">
        <v>151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14265652.586077746</v>
      </c>
      <c r="H256" s="60">
        <f t="shared" ref="H256:K256" si="107">H121</f>
        <v>14914065.240514774</v>
      </c>
      <c r="I256" s="60">
        <f t="shared" si="107"/>
        <v>15298951.819023233</v>
      </c>
      <c r="J256" s="60">
        <f t="shared" si="107"/>
        <v>3986820.7564658266</v>
      </c>
      <c r="K256" s="60">
        <f t="shared" si="107"/>
        <v>3803825.683744045</v>
      </c>
      <c r="L256" s="60">
        <f t="shared" ref="L256:M256" si="108">L121</f>
        <v>3629230.0848601935</v>
      </c>
      <c r="M256" s="60">
        <f t="shared" si="108"/>
        <v>3462648.4239651104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13098823.966665147</v>
      </c>
      <c r="H257" s="60">
        <f t="shared" ref="H257:K257" si="110">H248</f>
        <v>13611579.238803079</v>
      </c>
      <c r="I257" s="60">
        <f t="shared" si="110"/>
        <v>13978643.340093479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1166828.6194125991</v>
      </c>
      <c r="H258" s="25">
        <f t="shared" ref="H258:K258" si="113">H256-H257</f>
        <v>1302486.0017116945</v>
      </c>
      <c r="I258" s="25">
        <f t="shared" si="113"/>
        <v>1320308.4789297543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0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8.9078883904542161E-2</v>
      </c>
      <c r="H259" s="61">
        <f t="shared" ref="H259:K259" si="116">H258/H257</f>
        <v>9.5689558049123727E-2</v>
      </c>
      <c r="I259" s="61">
        <f t="shared" si="116"/>
        <v>9.4451832470956024E-2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8.5332278337988773E-2</v>
      </c>
      <c r="H261" s="64">
        <f t="shared" ref="H261:K261" si="118">LN(H256/H257)</f>
        <v>9.1383898447799441E-2</v>
      </c>
      <c r="I261" s="64">
        <f t="shared" si="118"/>
        <v>9.0253628306070297E-2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opLeftCell="A7" workbookViewId="0">
      <selection activeCell="E30" sqref="E3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2" t="s">
        <v>168</v>
      </c>
      <c r="D2" s="232"/>
      <c r="E2" s="232"/>
      <c r="F2" s="232"/>
      <c r="G2" s="232"/>
      <c r="H2" s="232"/>
      <c r="I2" s="232"/>
      <c r="J2" s="232"/>
      <c r="K2" s="232"/>
    </row>
    <row r="3" spans="3:17" s="92" customFormat="1" ht="23.25" customHeight="1" x14ac:dyDescent="0.25">
      <c r="C3" s="242" t="str">
        <f>'Model Inputs'!F5</f>
        <v>InnPower</v>
      </c>
      <c r="D3" s="242"/>
      <c r="E3" s="242"/>
      <c r="F3" s="242"/>
      <c r="G3" s="242"/>
      <c r="H3" s="242"/>
      <c r="I3" s="242"/>
      <c r="J3" s="242"/>
      <c r="K3" s="24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183</v>
      </c>
      <c r="G7" s="14" t="s">
        <v>184</v>
      </c>
      <c r="H7" s="14" t="s">
        <v>185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14265652.586077746</v>
      </c>
      <c r="G10" s="86">
        <f>'Benchmarking Calculations'!H121</f>
        <v>14914065.240514774</v>
      </c>
      <c r="H10" s="86">
        <f>'Benchmarking Calculations'!I121</f>
        <v>15298951.819023233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13098823.966665147</v>
      </c>
      <c r="G12" s="86">
        <f>'Benchmarking Calculations'!H257</f>
        <v>13611579.238803079</v>
      </c>
      <c r="H12" s="86">
        <f>'Benchmarking Calculations'!I257</f>
        <v>13978643.340093479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1166828.6194125991</v>
      </c>
      <c r="G14" s="86">
        <f t="shared" si="0"/>
        <v>1302486.0017116945</v>
      </c>
      <c r="H14" s="86">
        <f t="shared" si="0"/>
        <v>1320308.4789297543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182</v>
      </c>
      <c r="E16" s="11"/>
      <c r="F16" s="166">
        <f>LN(F10/F12)</f>
        <v>8.5332278337988773E-2</v>
      </c>
      <c r="G16" s="166">
        <f t="shared" ref="G16:H16" si="2">LN(G10/G12)</f>
        <v>9.1383898447799441E-2</v>
      </c>
      <c r="H16" s="166">
        <f t="shared" si="2"/>
        <v>9.0253628306070297E-2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7"/>
      <c r="G17" s="167"/>
      <c r="H17" s="167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179</v>
      </c>
      <c r="F18" s="168"/>
      <c r="G18" s="168"/>
      <c r="H18" s="168">
        <f>AVERAGE(F16:H16)</f>
        <v>8.8989935030619513E-2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180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Bruce Bacon</cp:lastModifiedBy>
  <cp:lastPrinted>2016-07-25T18:30:34Z</cp:lastPrinted>
  <dcterms:created xsi:type="dcterms:W3CDTF">2016-07-20T15:58:10Z</dcterms:created>
  <dcterms:modified xsi:type="dcterms:W3CDTF">2017-09-20T00:47:39Z</dcterms:modified>
</cp:coreProperties>
</file>