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35" yWindow="0" windowWidth="15465" windowHeight="8565" tabRatio="914" firstSheet="2" activeTab="8"/>
  </bookViews>
  <sheets>
    <sheet name="Exhibit 3 Tables" sheetId="38" r:id="rId1"/>
    <sheet name="Summary" sheetId="11" r:id="rId2"/>
    <sheet name="Purchased Power Model " sheetId="19" r:id="rId3"/>
    <sheet name="Purchased Power Model WN" sheetId="39" r:id="rId4"/>
    <sheet name="Rate Class Energy Model" sheetId="9" r:id="rId5"/>
    <sheet name="Rate Class Customer Model" sheetId="17" r:id="rId6"/>
    <sheet name="Rate Class Load Model" sheetId="18" r:id="rId7"/>
    <sheet name="Weather Analysis" sheetId="24" r:id="rId8"/>
    <sheet name="2017 COP Forecast" sheetId="32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Order1" hidden="1">255</definedName>
    <definedName name="_Sort" localSheetId="7" hidden="1">[1]Sheet1!$G$40:$K$40</definedName>
    <definedName name="_Sort" hidden="1">[2]Sheet1!$G$40:$K$40</definedName>
    <definedName name="CAfile">[3]Refs!$B$2</definedName>
    <definedName name="CArevReq">[3]Refs!$B$6</definedName>
    <definedName name="ClassRange1">[3]Refs!$B$3</definedName>
    <definedName name="ClassRange2">[3]Refs!$B$4</definedName>
    <definedName name="FolderPath">[3]Menu!$C$8</definedName>
    <definedName name="NewRevReq">[3]Refs!$B$8</definedName>
    <definedName name="PAGE11" localSheetId="3">#REF!</definedName>
    <definedName name="PAGE11" localSheetId="7">#REF!</definedName>
    <definedName name="PAGE11">#REF!</definedName>
    <definedName name="PAGE2" localSheetId="7">[1]Sheet1!$A$1:$I$40</definedName>
    <definedName name="PAGE2">[2]Sheet1!$A$1:$I$40</definedName>
    <definedName name="PAGE3" localSheetId="3">#REF!</definedName>
    <definedName name="PAGE3" localSheetId="7">#REF!</definedName>
    <definedName name="PAGE3">#REF!</definedName>
    <definedName name="PAGE4" localSheetId="3">#REF!</definedName>
    <definedName name="PAGE4" localSheetId="7">#REF!</definedName>
    <definedName name="PAGE4">#REF!</definedName>
    <definedName name="PAGE7" localSheetId="3">#REF!</definedName>
    <definedName name="PAGE7" localSheetId="7">#REF!</definedName>
    <definedName name="PAGE7">#REF!</definedName>
    <definedName name="PAGE9" localSheetId="3">#REF!</definedName>
    <definedName name="PAGE9" localSheetId="7">#REF!</definedName>
    <definedName name="PAGE9">#REF!</definedName>
    <definedName name="_xlnm.Print_Area" localSheetId="8">'2017 COP Forecast'!$A$1:$F$100</definedName>
    <definedName name="_xlnm.Print_Area" localSheetId="2">'Purchased Power Model '!$A$1:$Q$184</definedName>
    <definedName name="_xlnm.Print_Area" localSheetId="3">'Purchased Power Model WN'!$A$1:$Q$183</definedName>
    <definedName name="_xlnm.Print_Area" localSheetId="5">'Rate Class Customer Model'!$A$1:$L$20</definedName>
    <definedName name="_xlnm.Print_Area" localSheetId="4">'Rate Class Energy Model'!$A$3:$Z$104</definedName>
    <definedName name="_xlnm.Print_Area" localSheetId="6">'Rate Class Load Model'!$A$1:$E$26</definedName>
    <definedName name="_xlnm.Print_Area" localSheetId="1">Summary!$A$1:$L$67</definedName>
    <definedName name="_xlnm.Print_Area" localSheetId="7">'Weather Analysis'!$A$1:$W$41</definedName>
    <definedName name="RevReqLookupKey">[3]Refs!$B$5</definedName>
    <definedName name="RevReqRange">[3]Refs!$B$7</definedName>
  </definedNames>
  <calcPr calcId="145621" iterate="1"/>
</workbook>
</file>

<file path=xl/calcChain.xml><?xml version="1.0" encoding="utf-8"?>
<calcChain xmlns="http://schemas.openxmlformats.org/spreadsheetml/2006/main">
  <c r="D95" i="32" l="1"/>
  <c r="D94" i="32"/>
  <c r="B165" i="38" l="1"/>
  <c r="B166" i="38"/>
  <c r="B167" i="38"/>
  <c r="B168" i="38"/>
  <c r="B169" i="38"/>
  <c r="B170" i="38"/>
  <c r="B171" i="38"/>
  <c r="B172" i="38"/>
  <c r="B173" i="38"/>
  <c r="B164" i="38"/>
  <c r="J122" i="38"/>
  <c r="J147" i="38" s="1"/>
  <c r="J123" i="38"/>
  <c r="J148" i="38" s="1"/>
  <c r="J124" i="38"/>
  <c r="J149" i="38" s="1"/>
  <c r="J125" i="38"/>
  <c r="J150" i="38" s="1"/>
  <c r="J126" i="38"/>
  <c r="J151" i="38" s="1"/>
  <c r="J127" i="38"/>
  <c r="J152" i="38" s="1"/>
  <c r="J128" i="38"/>
  <c r="J153" i="38" s="1"/>
  <c r="J121" i="38"/>
  <c r="J146" i="38" s="1"/>
  <c r="I122" i="38"/>
  <c r="I147" i="38" s="1"/>
  <c r="I123" i="38"/>
  <c r="I148" i="38" s="1"/>
  <c r="I124" i="38"/>
  <c r="I149" i="38" s="1"/>
  <c r="I125" i="38"/>
  <c r="I150" i="38" s="1"/>
  <c r="I126" i="38"/>
  <c r="I151" i="38" s="1"/>
  <c r="I127" i="38"/>
  <c r="I152" i="38" s="1"/>
  <c r="I128" i="38"/>
  <c r="I153" i="38" s="1"/>
  <c r="I121" i="38"/>
  <c r="I146" i="38" s="1"/>
  <c r="H122" i="38"/>
  <c r="H147" i="38" s="1"/>
  <c r="H123" i="38"/>
  <c r="H148" i="38" s="1"/>
  <c r="H124" i="38"/>
  <c r="H149" i="38" s="1"/>
  <c r="H125" i="38"/>
  <c r="H150" i="38" s="1"/>
  <c r="H126" i="38"/>
  <c r="H151" i="38" s="1"/>
  <c r="H127" i="38"/>
  <c r="H152" i="38" s="1"/>
  <c r="H128" i="38"/>
  <c r="H153" i="38" s="1"/>
  <c r="H121" i="38"/>
  <c r="H146" i="38" s="1"/>
  <c r="G122" i="38"/>
  <c r="G147" i="38" s="1"/>
  <c r="G123" i="38"/>
  <c r="G148" i="38" s="1"/>
  <c r="G124" i="38"/>
  <c r="G149" i="38" s="1"/>
  <c r="G125" i="38"/>
  <c r="G150" i="38" s="1"/>
  <c r="G126" i="38"/>
  <c r="G151" i="38" s="1"/>
  <c r="G127" i="38"/>
  <c r="G152" i="38" s="1"/>
  <c r="G128" i="38"/>
  <c r="G153" i="38" s="1"/>
  <c r="G121" i="38"/>
  <c r="G146" i="38" s="1"/>
  <c r="F121" i="38"/>
  <c r="F146" i="38" s="1"/>
  <c r="F122" i="38"/>
  <c r="F147" i="38" s="1"/>
  <c r="F123" i="38"/>
  <c r="F148" i="38" s="1"/>
  <c r="F124" i="38"/>
  <c r="F149" i="38" s="1"/>
  <c r="F125" i="38"/>
  <c r="F150" i="38" s="1"/>
  <c r="F126" i="38"/>
  <c r="F151" i="38" s="1"/>
  <c r="F127" i="38"/>
  <c r="F152" i="38" s="1"/>
  <c r="F128" i="38"/>
  <c r="F153" i="38" s="1"/>
  <c r="E122" i="38"/>
  <c r="E147" i="38" s="1"/>
  <c r="E123" i="38"/>
  <c r="E148" i="38" s="1"/>
  <c r="E124" i="38"/>
  <c r="E149" i="38" s="1"/>
  <c r="E125" i="38"/>
  <c r="E150" i="38" s="1"/>
  <c r="E126" i="38"/>
  <c r="E151" i="38" s="1"/>
  <c r="E127" i="38"/>
  <c r="E152" i="38" s="1"/>
  <c r="E128" i="38"/>
  <c r="E153" i="38" s="1"/>
  <c r="E121" i="38"/>
  <c r="E146" i="38" s="1"/>
  <c r="K146" i="38" l="1"/>
  <c r="K150" i="38"/>
  <c r="K148" i="38"/>
  <c r="K153" i="38"/>
  <c r="K149" i="38"/>
  <c r="K147" i="38"/>
  <c r="K151" i="38"/>
  <c r="K152" i="38"/>
  <c r="J134" i="38"/>
  <c r="E139" i="38"/>
  <c r="E135" i="38"/>
  <c r="F138" i="38"/>
  <c r="F134" i="38"/>
  <c r="G139" i="38"/>
  <c r="G135" i="38"/>
  <c r="H139" i="38"/>
  <c r="H135" i="38"/>
  <c r="I139" i="38"/>
  <c r="I135" i="38"/>
  <c r="J139" i="38"/>
  <c r="J135" i="38"/>
  <c r="E138" i="38"/>
  <c r="E134" i="38"/>
  <c r="F137" i="38"/>
  <c r="G138" i="38"/>
  <c r="G134" i="38"/>
  <c r="H138" i="38"/>
  <c r="H134" i="38"/>
  <c r="I138" i="38"/>
  <c r="I134" i="38"/>
  <c r="J138" i="38"/>
  <c r="E137" i="38"/>
  <c r="H137" i="38"/>
  <c r="E140" i="38"/>
  <c r="E136" i="38"/>
  <c r="F139" i="38"/>
  <c r="F135" i="38"/>
  <c r="G140" i="38"/>
  <c r="G137" i="38"/>
  <c r="H140" i="38"/>
  <c r="H136" i="38"/>
  <c r="I140" i="38"/>
  <c r="I136" i="38"/>
  <c r="J140" i="38"/>
  <c r="J136" i="38"/>
  <c r="J137" i="38"/>
  <c r="G136" i="38"/>
  <c r="F140" i="38"/>
  <c r="I137" i="38"/>
  <c r="F136" i="38"/>
  <c r="P268" i="38"/>
  <c r="F141" i="38" l="1"/>
  <c r="F154" i="38" s="1"/>
  <c r="J141" i="38"/>
  <c r="H141" i="38"/>
  <c r="E141" i="38"/>
  <c r="E154" i="38" s="1"/>
  <c r="I141" i="38"/>
  <c r="I154" i="38" s="1"/>
  <c r="G141" i="38"/>
  <c r="H154" i="38"/>
  <c r="G154" i="38"/>
  <c r="J154" i="38"/>
  <c r="Q249" i="38"/>
  <c r="P249" i="38"/>
  <c r="F159" i="38"/>
  <c r="G159" i="38"/>
  <c r="H159" i="38"/>
  <c r="I159" i="38"/>
  <c r="J159" i="38"/>
  <c r="E159" i="38"/>
  <c r="J67" i="9"/>
  <c r="O67" i="9" s="1"/>
  <c r="H67" i="9"/>
  <c r="G67" i="9"/>
  <c r="H95" i="9"/>
  <c r="G95" i="9"/>
  <c r="H90" i="9"/>
  <c r="G90" i="9"/>
  <c r="H89" i="9"/>
  <c r="H79" i="9"/>
  <c r="H84" i="9"/>
  <c r="H74" i="9"/>
  <c r="G155" i="38" l="1"/>
  <c r="G156" i="38" s="1"/>
  <c r="G157" i="38" s="1"/>
  <c r="J155" i="38"/>
  <c r="J156" i="38" s="1"/>
  <c r="J157" i="38" s="1"/>
  <c r="I155" i="38"/>
  <c r="I156" i="38" s="1"/>
  <c r="I157" i="38" s="1"/>
  <c r="F155" i="38"/>
  <c r="F156" i="38" s="1"/>
  <c r="F157" i="38" s="1"/>
  <c r="H155" i="38"/>
  <c r="H156" i="38" s="1"/>
  <c r="H157" i="38" s="1"/>
  <c r="K154" i="38"/>
  <c r="E155" i="38"/>
  <c r="O26" i="17"/>
  <c r="N26" i="17"/>
  <c r="M26" i="17"/>
  <c r="L26" i="17"/>
  <c r="K26" i="17"/>
  <c r="J26" i="17"/>
  <c r="H26" i="17"/>
  <c r="O25" i="17"/>
  <c r="N25" i="17"/>
  <c r="M25" i="17"/>
  <c r="L25" i="17"/>
  <c r="K25" i="17"/>
  <c r="J25" i="17"/>
  <c r="H25" i="17"/>
  <c r="O24" i="17"/>
  <c r="N24" i="17"/>
  <c r="M24" i="17"/>
  <c r="L24" i="17"/>
  <c r="K24" i="17"/>
  <c r="J24" i="17"/>
  <c r="H24" i="17"/>
  <c r="O23" i="17"/>
  <c r="N23" i="17"/>
  <c r="M23" i="17"/>
  <c r="L23" i="17"/>
  <c r="K23" i="17"/>
  <c r="J23" i="17"/>
  <c r="H23" i="17"/>
  <c r="O22" i="17"/>
  <c r="N22" i="17"/>
  <c r="M22" i="17"/>
  <c r="L22" i="17"/>
  <c r="K22" i="17"/>
  <c r="J22" i="17"/>
  <c r="H22" i="17"/>
  <c r="O21" i="17"/>
  <c r="N21" i="17"/>
  <c r="M21" i="17"/>
  <c r="L21" i="17"/>
  <c r="K21" i="17"/>
  <c r="J21" i="17"/>
  <c r="H21" i="17"/>
  <c r="O20" i="17"/>
  <c r="N20" i="17"/>
  <c r="M20" i="17"/>
  <c r="L20" i="17"/>
  <c r="K20" i="17"/>
  <c r="J20" i="17"/>
  <c r="H20" i="17"/>
  <c r="H19" i="17"/>
  <c r="E156" i="38" l="1"/>
  <c r="K155" i="38"/>
  <c r="L27" i="17"/>
  <c r="D27" i="17" s="1"/>
  <c r="D28" i="17" s="1"/>
  <c r="D29" i="17" s="1"/>
  <c r="D30" i="17" s="1"/>
  <c r="J27" i="17"/>
  <c r="B27" i="17" s="1"/>
  <c r="B28" i="17" s="1"/>
  <c r="B29" i="17" s="1"/>
  <c r="B30" i="17" s="1"/>
  <c r="M27" i="17"/>
  <c r="E27" i="17" s="1"/>
  <c r="E28" i="17" s="1"/>
  <c r="E29" i="17" s="1"/>
  <c r="E30" i="17" s="1"/>
  <c r="N27" i="17"/>
  <c r="F27" i="17" s="1"/>
  <c r="F28" i="17" s="1"/>
  <c r="F29" i="17" s="1"/>
  <c r="F30" i="17" s="1"/>
  <c r="K27" i="17"/>
  <c r="C27" i="17" s="1"/>
  <c r="C28" i="17" s="1"/>
  <c r="C29" i="17" s="1"/>
  <c r="C30" i="17" s="1"/>
  <c r="O27" i="17"/>
  <c r="G27" i="17" s="1"/>
  <c r="G28" i="17" s="1"/>
  <c r="G29" i="17" s="1"/>
  <c r="G30" i="17" s="1"/>
  <c r="G31" i="17"/>
  <c r="G32" i="17" s="1"/>
  <c r="F13" i="17" s="1"/>
  <c r="E157" i="38" l="1"/>
  <c r="K157" i="38" s="1"/>
  <c r="K156" i="38"/>
  <c r="H27" i="17"/>
  <c r="C31" i="17"/>
  <c r="C32" i="17" s="1"/>
  <c r="C13" i="17" s="1"/>
  <c r="D31" i="17"/>
  <c r="D32" i="17" s="1"/>
  <c r="G13" i="17" s="1"/>
  <c r="E31" i="17"/>
  <c r="E32" i="17" s="1"/>
  <c r="D13" i="17" s="1"/>
  <c r="H28" i="17"/>
  <c r="F31" i="17"/>
  <c r="F32" i="17" s="1"/>
  <c r="E13" i="17" s="1"/>
  <c r="D19" i="11"/>
  <c r="I15" i="11"/>
  <c r="K60" i="11"/>
  <c r="K38" i="11" s="1"/>
  <c r="K59" i="11"/>
  <c r="K19" i="11" s="1"/>
  <c r="J60" i="11"/>
  <c r="J38" i="11" s="1"/>
  <c r="I60" i="11"/>
  <c r="I38" i="11" s="1"/>
  <c r="H60" i="11"/>
  <c r="H38" i="11" s="1"/>
  <c r="G60" i="11"/>
  <c r="G38" i="11" s="1"/>
  <c r="J59" i="11"/>
  <c r="J19" i="11" s="1"/>
  <c r="I59" i="11"/>
  <c r="I19" i="11" s="1"/>
  <c r="C61" i="11"/>
  <c r="B61" i="11"/>
  <c r="K58" i="11"/>
  <c r="K15" i="11" s="1"/>
  <c r="J58" i="11"/>
  <c r="J15" i="11" s="1"/>
  <c r="I58" i="11"/>
  <c r="H59" i="11"/>
  <c r="H19" i="11" s="1"/>
  <c r="H58" i="11"/>
  <c r="H15" i="11" s="1"/>
  <c r="G59" i="11"/>
  <c r="G19" i="11" s="1"/>
  <c r="G58" i="11"/>
  <c r="G15" i="11" s="1"/>
  <c r="F60" i="11"/>
  <c r="F38" i="11" s="1"/>
  <c r="F59" i="11"/>
  <c r="F19" i="11" s="1"/>
  <c r="F58" i="11"/>
  <c r="F15" i="11" s="1"/>
  <c r="E60" i="11"/>
  <c r="E38" i="11" s="1"/>
  <c r="E59" i="11"/>
  <c r="E19" i="11" s="1"/>
  <c r="E58" i="11"/>
  <c r="E15" i="11" s="1"/>
  <c r="D60" i="11"/>
  <c r="D59" i="11"/>
  <c r="D58" i="11"/>
  <c r="D15" i="11" s="1"/>
  <c r="H29" i="17" l="1"/>
  <c r="D38" i="11"/>
  <c r="F312" i="38"/>
  <c r="F325" i="38" s="1"/>
  <c r="B303" i="38"/>
  <c r="E289" i="38"/>
  <c r="F289" i="38"/>
  <c r="G289" i="38"/>
  <c r="H272" i="38"/>
  <c r="I272" i="38"/>
  <c r="J272" i="38"/>
  <c r="G203" i="38"/>
  <c r="H203" i="38"/>
  <c r="I203" i="38"/>
  <c r="J203" i="38"/>
  <c r="E208" i="38"/>
  <c r="E209" i="38"/>
  <c r="E210" i="38"/>
  <c r="E211" i="38"/>
  <c r="E212" i="38"/>
  <c r="E213" i="38"/>
  <c r="E214" i="38"/>
  <c r="E215" i="38"/>
  <c r="E216" i="38"/>
  <c r="H30" i="17" l="1"/>
  <c r="H31" i="17" s="1"/>
  <c r="B31" i="17"/>
  <c r="B32" i="17" s="1"/>
  <c r="B13" i="17" s="1"/>
  <c r="H289" i="38"/>
  <c r="F95" i="32" l="1"/>
  <c r="F94" i="32"/>
  <c r="C28" i="32"/>
  <c r="C24" i="32"/>
  <c r="C25" i="32" s="1"/>
  <c r="C26" i="32" s="1"/>
  <c r="C27" i="32" s="1"/>
  <c r="C23" i="32"/>
  <c r="U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C41" i="24"/>
  <c r="B41" i="24"/>
  <c r="T39" i="24"/>
  <c r="D111" i="19" s="1"/>
  <c r="S39" i="24"/>
  <c r="D99" i="19" s="1"/>
  <c r="R39" i="24"/>
  <c r="D86" i="19" s="1"/>
  <c r="T38" i="24"/>
  <c r="S38" i="24"/>
  <c r="R38" i="24"/>
  <c r="T37" i="24"/>
  <c r="D109" i="19" s="1"/>
  <c r="S37" i="24"/>
  <c r="R37" i="24"/>
  <c r="D84" i="19" s="1"/>
  <c r="T36" i="24"/>
  <c r="S36" i="24"/>
  <c r="D96" i="19" s="1"/>
  <c r="R36" i="24"/>
  <c r="T35" i="24"/>
  <c r="D107" i="19" s="1"/>
  <c r="S35" i="24"/>
  <c r="D95" i="19" s="1"/>
  <c r="R35" i="24"/>
  <c r="D82" i="19" s="1"/>
  <c r="T34" i="24"/>
  <c r="S34" i="24"/>
  <c r="D94" i="19" s="1"/>
  <c r="R34" i="24"/>
  <c r="T33" i="24"/>
  <c r="D105" i="19" s="1"/>
  <c r="S33" i="24"/>
  <c r="D93" i="19" s="1"/>
  <c r="R33" i="24"/>
  <c r="T32" i="24"/>
  <c r="S32" i="24"/>
  <c r="D92" i="19" s="1"/>
  <c r="R32" i="24"/>
  <c r="T31" i="24"/>
  <c r="D103" i="19" s="1"/>
  <c r="S31" i="24"/>
  <c r="D91" i="19" s="1"/>
  <c r="R31" i="24"/>
  <c r="D78" i="19" s="1"/>
  <c r="T30" i="24"/>
  <c r="S30" i="24"/>
  <c r="D90" i="19" s="1"/>
  <c r="R30" i="24"/>
  <c r="T29" i="24"/>
  <c r="D101" i="19" s="1"/>
  <c r="S29" i="24"/>
  <c r="D89" i="19" s="1"/>
  <c r="R29" i="24"/>
  <c r="T28" i="24"/>
  <c r="S28" i="24"/>
  <c r="D88" i="19" s="1"/>
  <c r="R28" i="24"/>
  <c r="U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B21" i="24"/>
  <c r="T19" i="24"/>
  <c r="S19" i="24"/>
  <c r="C99" i="19" s="1"/>
  <c r="R19" i="24"/>
  <c r="C86" i="19" s="1"/>
  <c r="T18" i="24"/>
  <c r="C110" i="19" s="1"/>
  <c r="S18" i="24"/>
  <c r="R18" i="24"/>
  <c r="C85" i="19" s="1"/>
  <c r="T17" i="24"/>
  <c r="S17" i="24"/>
  <c r="C97" i="19" s="1"/>
  <c r="R17" i="24"/>
  <c r="T16" i="24"/>
  <c r="C108" i="19" s="1"/>
  <c r="S16" i="24"/>
  <c r="R16" i="24"/>
  <c r="C83" i="19" s="1"/>
  <c r="T15" i="24"/>
  <c r="S15" i="24"/>
  <c r="C95" i="19" s="1"/>
  <c r="R15" i="24"/>
  <c r="C82" i="19" s="1"/>
  <c r="T14" i="24"/>
  <c r="C106" i="19" s="1"/>
  <c r="S14" i="24"/>
  <c r="R14" i="24"/>
  <c r="C81" i="19" s="1"/>
  <c r="T13" i="24"/>
  <c r="S13" i="24"/>
  <c r="C93" i="19" s="1"/>
  <c r="R13" i="24"/>
  <c r="T12" i="24"/>
  <c r="C104" i="19" s="1"/>
  <c r="S12" i="24"/>
  <c r="C92" i="19" s="1"/>
  <c r="R12" i="24"/>
  <c r="C79" i="19" s="1"/>
  <c r="T11" i="24"/>
  <c r="S11" i="24"/>
  <c r="C91" i="19" s="1"/>
  <c r="R11" i="24"/>
  <c r="C78" i="19" s="1"/>
  <c r="T10" i="24"/>
  <c r="C102" i="19" s="1"/>
  <c r="S10" i="24"/>
  <c r="R10" i="24"/>
  <c r="C77" i="19" s="1"/>
  <c r="T9" i="24"/>
  <c r="S9" i="24"/>
  <c r="C89" i="19" s="1"/>
  <c r="R9" i="24"/>
  <c r="T8" i="24"/>
  <c r="C100" i="19" s="1"/>
  <c r="S8" i="24"/>
  <c r="R8" i="24"/>
  <c r="L5" i="24"/>
  <c r="K5" i="24"/>
  <c r="J5" i="24"/>
  <c r="I5" i="24"/>
  <c r="H5" i="24"/>
  <c r="G5" i="24"/>
  <c r="F5" i="24"/>
  <c r="D24" i="18"/>
  <c r="G303" i="38" s="1"/>
  <c r="C24" i="18"/>
  <c r="F303" i="38" s="1"/>
  <c r="B24" i="18"/>
  <c r="E303" i="38" s="1"/>
  <c r="D19" i="18"/>
  <c r="G298" i="38" s="1"/>
  <c r="C19" i="18"/>
  <c r="F298" i="38" s="1"/>
  <c r="D18" i="18"/>
  <c r="G297" i="38" s="1"/>
  <c r="C18" i="18"/>
  <c r="F297" i="38" s="1"/>
  <c r="D17" i="18"/>
  <c r="G296" i="38" s="1"/>
  <c r="C17" i="18"/>
  <c r="F296" i="38" s="1"/>
  <c r="D16" i="18"/>
  <c r="G295" i="38" s="1"/>
  <c r="C16" i="18"/>
  <c r="F295" i="38" s="1"/>
  <c r="D15" i="18"/>
  <c r="G294" i="38" s="1"/>
  <c r="C15" i="18"/>
  <c r="F294" i="38" s="1"/>
  <c r="E11" i="18"/>
  <c r="D10" i="18"/>
  <c r="G288" i="38" s="1"/>
  <c r="C10" i="18"/>
  <c r="C23" i="18" s="1"/>
  <c r="F302" i="38" s="1"/>
  <c r="B10" i="18"/>
  <c r="J24" i="11" s="1"/>
  <c r="D9" i="18"/>
  <c r="D22" i="18" s="1"/>
  <c r="G301" i="38" s="1"/>
  <c r="C9" i="18"/>
  <c r="F287" i="38" s="1"/>
  <c r="B9" i="18"/>
  <c r="B22" i="18" s="1"/>
  <c r="E301" i="38" s="1"/>
  <c r="D8" i="18"/>
  <c r="G286" i="38" s="1"/>
  <c r="C8" i="18"/>
  <c r="C21" i="18" s="1"/>
  <c r="F300" i="38" s="1"/>
  <c r="B8" i="18"/>
  <c r="H24" i="11" s="1"/>
  <c r="F343" i="38" s="1"/>
  <c r="D7" i="18"/>
  <c r="D20" i="18" s="1"/>
  <c r="G299" i="38" s="1"/>
  <c r="C7" i="18"/>
  <c r="F285" i="38" s="1"/>
  <c r="B7" i="18"/>
  <c r="B20" i="18" s="1"/>
  <c r="E299" i="38" s="1"/>
  <c r="B6" i="18"/>
  <c r="F24" i="11" s="1"/>
  <c r="B5" i="18"/>
  <c r="E5" i="18" s="1"/>
  <c r="E48" i="11" s="1"/>
  <c r="B4" i="18"/>
  <c r="D24" i="11" s="1"/>
  <c r="B3" i="18"/>
  <c r="E3" i="18" s="1"/>
  <c r="B2" i="18"/>
  <c r="B24" i="11" s="1"/>
  <c r="G12" i="17"/>
  <c r="M35" i="9" s="1"/>
  <c r="J173" i="38" s="1"/>
  <c r="J193" i="38" s="1"/>
  <c r="F12" i="17"/>
  <c r="L35" i="9" s="1"/>
  <c r="E12" i="17"/>
  <c r="K35" i="9" s="1"/>
  <c r="D12" i="17"/>
  <c r="K22" i="11" s="1"/>
  <c r="C12" i="17"/>
  <c r="I35" i="9" s="1"/>
  <c r="B12" i="17"/>
  <c r="K14" i="11" s="1"/>
  <c r="I327" i="38" s="1"/>
  <c r="F420" i="38" s="1"/>
  <c r="E431" i="38" s="1"/>
  <c r="G11" i="17"/>
  <c r="M34" i="9" s="1"/>
  <c r="J172" i="38" s="1"/>
  <c r="F11" i="17"/>
  <c r="E11" i="17"/>
  <c r="D11" i="17"/>
  <c r="C11" i="17"/>
  <c r="I34" i="9" s="1"/>
  <c r="F172" i="38" s="1"/>
  <c r="B11" i="17"/>
  <c r="H34" i="9" s="1"/>
  <c r="G10" i="17"/>
  <c r="F10" i="17"/>
  <c r="L33" i="9" s="1"/>
  <c r="I171" i="38" s="1"/>
  <c r="E10" i="17"/>
  <c r="K33" i="9" s="1"/>
  <c r="D10" i="17"/>
  <c r="I22" i="11" s="1"/>
  <c r="G341" i="38" s="1"/>
  <c r="F399" i="38" s="1"/>
  <c r="E410" i="38" s="1"/>
  <c r="C10" i="17"/>
  <c r="I33" i="9" s="1"/>
  <c r="F171" i="38" s="1"/>
  <c r="B10" i="17"/>
  <c r="H33" i="9" s="1"/>
  <c r="E171" i="38" s="1"/>
  <c r="G9" i="17"/>
  <c r="M32" i="9" s="1"/>
  <c r="F9" i="17"/>
  <c r="H32" i="11" s="1"/>
  <c r="E9" i="17"/>
  <c r="D9" i="17"/>
  <c r="J32" i="9" s="1"/>
  <c r="C9" i="17"/>
  <c r="H18" i="11" s="1"/>
  <c r="B9" i="17"/>
  <c r="H14" i="11" s="1"/>
  <c r="G8" i="17"/>
  <c r="G37" i="11" s="1"/>
  <c r="F8" i="17"/>
  <c r="G32" i="11" s="1"/>
  <c r="I58" i="38" s="1"/>
  <c r="E8" i="17"/>
  <c r="G27" i="11" s="1"/>
  <c r="H58" i="38" s="1"/>
  <c r="D8" i="17"/>
  <c r="G22" i="11" s="1"/>
  <c r="G58" i="38" s="1"/>
  <c r="C8" i="17"/>
  <c r="B8" i="17"/>
  <c r="G14" i="11" s="1"/>
  <c r="E58" i="38" s="1"/>
  <c r="G7" i="17"/>
  <c r="F37" i="11" s="1"/>
  <c r="J57" i="38" s="1"/>
  <c r="F7" i="17"/>
  <c r="E7" i="17"/>
  <c r="K30" i="9" s="1"/>
  <c r="D7" i="17"/>
  <c r="C7" i="17"/>
  <c r="I30" i="9" s="1"/>
  <c r="F168" i="38" s="1"/>
  <c r="B7" i="17"/>
  <c r="H30" i="9" s="1"/>
  <c r="G6" i="17"/>
  <c r="F6" i="17"/>
  <c r="L29" i="9" s="1"/>
  <c r="I167" i="38" s="1"/>
  <c r="E6" i="17"/>
  <c r="K29" i="9" s="1"/>
  <c r="H167" i="38" s="1"/>
  <c r="D6" i="17"/>
  <c r="E22" i="11" s="1"/>
  <c r="G56" i="38" s="1"/>
  <c r="C6" i="17"/>
  <c r="B6" i="17"/>
  <c r="H29" i="9" s="1"/>
  <c r="E167" i="38" s="1"/>
  <c r="G5" i="17"/>
  <c r="M28" i="9" s="1"/>
  <c r="J166" i="38" s="1"/>
  <c r="F5" i="17"/>
  <c r="D32" i="11" s="1"/>
  <c r="I55" i="38" s="1"/>
  <c r="E5" i="17"/>
  <c r="D5" i="17"/>
  <c r="J28" i="9" s="1"/>
  <c r="G166" i="38" s="1"/>
  <c r="C5" i="17"/>
  <c r="I28" i="9" s="1"/>
  <c r="B5" i="17"/>
  <c r="D14" i="11" s="1"/>
  <c r="E55" i="38" s="1"/>
  <c r="G4" i="17"/>
  <c r="C37" i="11" s="1"/>
  <c r="J54" i="38" s="1"/>
  <c r="F4" i="17"/>
  <c r="C32" i="11" s="1"/>
  <c r="I54" i="38" s="1"/>
  <c r="E4" i="17"/>
  <c r="C27" i="11" s="1"/>
  <c r="H54" i="38" s="1"/>
  <c r="D4" i="17"/>
  <c r="C22" i="11" s="1"/>
  <c r="G54" i="38" s="1"/>
  <c r="C4" i="17"/>
  <c r="B4" i="17"/>
  <c r="C14" i="11" s="1"/>
  <c r="E54" i="38" s="1"/>
  <c r="G3" i="17"/>
  <c r="M26" i="9" s="1"/>
  <c r="J164" i="38" s="1"/>
  <c r="F3" i="17"/>
  <c r="E3" i="17"/>
  <c r="B27" i="11" s="1"/>
  <c r="H53" i="38" s="1"/>
  <c r="D3" i="17"/>
  <c r="C3" i="17"/>
  <c r="I26" i="9" s="1"/>
  <c r="F164" i="38" s="1"/>
  <c r="B3" i="17"/>
  <c r="H26" i="9" s="1"/>
  <c r="E164" i="38" s="1"/>
  <c r="G2" i="17"/>
  <c r="F2" i="17"/>
  <c r="D1" i="18" s="1"/>
  <c r="E2" i="17"/>
  <c r="C1" i="18" s="1"/>
  <c r="D2" i="17"/>
  <c r="B1" i="18" s="1"/>
  <c r="C2" i="17"/>
  <c r="B2" i="17"/>
  <c r="O92" i="9"/>
  <c r="Q228" i="38"/>
  <c r="Q229" i="38" s="1"/>
  <c r="P227" i="38"/>
  <c r="P229" i="38" s="1"/>
  <c r="H59" i="9"/>
  <c r="E203" i="38" s="1"/>
  <c r="N35" i="9"/>
  <c r="N36" i="9" s="1"/>
  <c r="N53" i="9" s="1"/>
  <c r="N60" i="9" s="1"/>
  <c r="N34" i="9"/>
  <c r="N47" i="9" s="1"/>
  <c r="N33" i="9"/>
  <c r="N32" i="9"/>
  <c r="N31" i="9"/>
  <c r="M31" i="9"/>
  <c r="N30" i="9"/>
  <c r="N29" i="9"/>
  <c r="N28" i="9"/>
  <c r="N27" i="9"/>
  <c r="N26" i="9"/>
  <c r="A18" i="9"/>
  <c r="A36" i="9" s="1"/>
  <c r="G17" i="9"/>
  <c r="K10" i="11" s="1"/>
  <c r="E25" i="38" s="1"/>
  <c r="A17" i="9"/>
  <c r="A35" i="9" s="1"/>
  <c r="G16" i="9"/>
  <c r="J47" i="11" s="1"/>
  <c r="A16" i="9"/>
  <c r="A34" i="9" s="1"/>
  <c r="G15" i="9"/>
  <c r="I47" i="11" s="1"/>
  <c r="A15" i="9"/>
  <c r="A33" i="9" s="1"/>
  <c r="G14" i="9"/>
  <c r="H10" i="11" s="1"/>
  <c r="E22" i="38" s="1"/>
  <c r="A14" i="9"/>
  <c r="A32" i="9" s="1"/>
  <c r="G13" i="9"/>
  <c r="G10" i="11" s="1"/>
  <c r="E21" i="38" s="1"/>
  <c r="A13" i="9"/>
  <c r="A31" i="9" s="1"/>
  <c r="G12" i="9"/>
  <c r="F47" i="11" s="1"/>
  <c r="A12" i="9"/>
  <c r="A30" i="9" s="1"/>
  <c r="G11" i="9"/>
  <c r="A11" i="9"/>
  <c r="A29" i="9" s="1"/>
  <c r="G10" i="9"/>
  <c r="D47" i="11" s="1"/>
  <c r="A10" i="9"/>
  <c r="A28" i="9" s="1"/>
  <c r="G9" i="9"/>
  <c r="C10" i="11" s="1"/>
  <c r="E17" i="38" s="1"/>
  <c r="A9" i="9"/>
  <c r="A27" i="9" s="1"/>
  <c r="G8" i="9"/>
  <c r="B47" i="11" s="1"/>
  <c r="A8" i="9"/>
  <c r="A26" i="9" s="1"/>
  <c r="B149" i="39"/>
  <c r="B148" i="39"/>
  <c r="B147" i="39"/>
  <c r="B146" i="39"/>
  <c r="G122" i="39"/>
  <c r="G123" i="39" s="1"/>
  <c r="G121" i="39"/>
  <c r="G120" i="39"/>
  <c r="G119" i="39"/>
  <c r="G118" i="39"/>
  <c r="G117" i="39"/>
  <c r="G116" i="39"/>
  <c r="G115" i="39"/>
  <c r="G114" i="39"/>
  <c r="G113" i="39"/>
  <c r="G112" i="39"/>
  <c r="G111" i="39"/>
  <c r="G110" i="39"/>
  <c r="G109" i="39"/>
  <c r="G108" i="39"/>
  <c r="G107" i="39"/>
  <c r="G106" i="39"/>
  <c r="G105" i="39"/>
  <c r="G104" i="39"/>
  <c r="G103" i="39"/>
  <c r="G102" i="39"/>
  <c r="G101" i="39"/>
  <c r="G100" i="39"/>
  <c r="G99" i="39"/>
  <c r="G98" i="39"/>
  <c r="G97" i="39"/>
  <c r="G96" i="39"/>
  <c r="G95" i="39"/>
  <c r="G94" i="39"/>
  <c r="G93" i="39"/>
  <c r="G92" i="39"/>
  <c r="G91" i="39"/>
  <c r="G90" i="39"/>
  <c r="G89" i="39"/>
  <c r="G88" i="39"/>
  <c r="G87" i="39"/>
  <c r="G86" i="39"/>
  <c r="G85" i="39"/>
  <c r="G84" i="39"/>
  <c r="G83" i="39"/>
  <c r="C83" i="39"/>
  <c r="C95" i="39" s="1"/>
  <c r="C107" i="39" s="1"/>
  <c r="C119" i="39" s="1"/>
  <c r="G82" i="39"/>
  <c r="G81" i="39"/>
  <c r="G80" i="39"/>
  <c r="G79" i="39"/>
  <c r="G78" i="39"/>
  <c r="G77" i="39"/>
  <c r="G76" i="39"/>
  <c r="G75" i="39"/>
  <c r="G74" i="39"/>
  <c r="B74" i="39"/>
  <c r="G73" i="39"/>
  <c r="B73" i="39"/>
  <c r="G72" i="39"/>
  <c r="C72" i="39"/>
  <c r="C84" i="39" s="1"/>
  <c r="C96" i="39" s="1"/>
  <c r="C108" i="39" s="1"/>
  <c r="C120" i="39" s="1"/>
  <c r="B72" i="39"/>
  <c r="G71" i="39"/>
  <c r="C71" i="39"/>
  <c r="B71" i="39"/>
  <c r="G70" i="39"/>
  <c r="B70" i="39"/>
  <c r="G69" i="39"/>
  <c r="B69" i="39"/>
  <c r="G68" i="39"/>
  <c r="C68" i="39"/>
  <c r="C80" i="39" s="1"/>
  <c r="C92" i="39" s="1"/>
  <c r="C104" i="39" s="1"/>
  <c r="C116" i="39" s="1"/>
  <c r="B68" i="39"/>
  <c r="G67" i="39"/>
  <c r="B67" i="39"/>
  <c r="G66" i="39"/>
  <c r="B66" i="39"/>
  <c r="G65" i="39"/>
  <c r="B65" i="39"/>
  <c r="G64" i="39"/>
  <c r="B64" i="39"/>
  <c r="G63" i="39"/>
  <c r="B63" i="39"/>
  <c r="B62" i="39"/>
  <c r="G61" i="39"/>
  <c r="B61" i="39"/>
  <c r="G60" i="39"/>
  <c r="B60" i="39"/>
  <c r="G59" i="39"/>
  <c r="B59" i="39"/>
  <c r="G58" i="39"/>
  <c r="B58" i="39"/>
  <c r="G57" i="39"/>
  <c r="B57" i="39"/>
  <c r="G56" i="39"/>
  <c r="B56" i="39"/>
  <c r="G55" i="39"/>
  <c r="B55" i="39"/>
  <c r="G54" i="39"/>
  <c r="B54" i="39"/>
  <c r="G53" i="39"/>
  <c r="B53" i="39"/>
  <c r="G52" i="39"/>
  <c r="B52" i="39"/>
  <c r="G51" i="39"/>
  <c r="B51" i="39"/>
  <c r="G50" i="39"/>
  <c r="B50" i="39"/>
  <c r="G49" i="39"/>
  <c r="B49" i="39"/>
  <c r="G48" i="39"/>
  <c r="B48" i="39"/>
  <c r="G47" i="39"/>
  <c r="B47" i="39"/>
  <c r="G46" i="39"/>
  <c r="B46" i="39"/>
  <c r="G45" i="39"/>
  <c r="C45" i="39"/>
  <c r="C57" i="39" s="1"/>
  <c r="C69" i="39" s="1"/>
  <c r="C81" i="39" s="1"/>
  <c r="C93" i="39" s="1"/>
  <c r="C105" i="39" s="1"/>
  <c r="C117" i="39" s="1"/>
  <c r="B45" i="39"/>
  <c r="G44" i="39"/>
  <c r="C44" i="39"/>
  <c r="C56" i="39" s="1"/>
  <c r="B44" i="39"/>
  <c r="G43" i="39"/>
  <c r="B43" i="39"/>
  <c r="G42" i="39"/>
  <c r="B42" i="39"/>
  <c r="G41" i="39"/>
  <c r="B41" i="39"/>
  <c r="G40" i="39"/>
  <c r="B40" i="39"/>
  <c r="G39" i="39"/>
  <c r="B39" i="39"/>
  <c r="G38" i="39"/>
  <c r="C38" i="39"/>
  <c r="C50" i="39" s="1"/>
  <c r="C62" i="39" s="1"/>
  <c r="C74" i="39" s="1"/>
  <c r="C86" i="39" s="1"/>
  <c r="C98" i="39" s="1"/>
  <c r="C110" i="39" s="1"/>
  <c r="C122" i="39" s="1"/>
  <c r="B38" i="39"/>
  <c r="G37" i="39"/>
  <c r="D37" i="39"/>
  <c r="D49" i="39" s="1"/>
  <c r="D61" i="39" s="1"/>
  <c r="D73" i="39" s="1"/>
  <c r="D85" i="39" s="1"/>
  <c r="D97" i="39" s="1"/>
  <c r="D109" i="39" s="1"/>
  <c r="D121" i="39" s="1"/>
  <c r="C37" i="39"/>
  <c r="C49" i="39" s="1"/>
  <c r="C61" i="39" s="1"/>
  <c r="C73" i="39" s="1"/>
  <c r="C85" i="39" s="1"/>
  <c r="C97" i="39" s="1"/>
  <c r="C109" i="39" s="1"/>
  <c r="C121" i="39" s="1"/>
  <c r="B37" i="39"/>
  <c r="G36" i="39"/>
  <c r="D36" i="39"/>
  <c r="D48" i="39" s="1"/>
  <c r="D60" i="39" s="1"/>
  <c r="D72" i="39" s="1"/>
  <c r="D84" i="39" s="1"/>
  <c r="D96" i="39" s="1"/>
  <c r="D108" i="39" s="1"/>
  <c r="D120" i="39" s="1"/>
  <c r="C36" i="39"/>
  <c r="C48" i="39" s="1"/>
  <c r="C60" i="39" s="1"/>
  <c r="B36" i="39"/>
  <c r="G35" i="39"/>
  <c r="D35" i="39"/>
  <c r="D47" i="39" s="1"/>
  <c r="D59" i="39" s="1"/>
  <c r="D71" i="39" s="1"/>
  <c r="D83" i="39" s="1"/>
  <c r="D95" i="39" s="1"/>
  <c r="D107" i="39" s="1"/>
  <c r="D119" i="39" s="1"/>
  <c r="C35" i="39"/>
  <c r="C47" i="39" s="1"/>
  <c r="C59" i="39" s="1"/>
  <c r="B35" i="39"/>
  <c r="G34" i="39"/>
  <c r="D34" i="39"/>
  <c r="D46" i="39" s="1"/>
  <c r="D58" i="39" s="1"/>
  <c r="D70" i="39" s="1"/>
  <c r="D82" i="39" s="1"/>
  <c r="D94" i="39" s="1"/>
  <c r="D106" i="39" s="1"/>
  <c r="D118" i="39" s="1"/>
  <c r="C34" i="39"/>
  <c r="C46" i="39" s="1"/>
  <c r="C58" i="39" s="1"/>
  <c r="C70" i="39" s="1"/>
  <c r="C82" i="39" s="1"/>
  <c r="C94" i="39" s="1"/>
  <c r="C106" i="39" s="1"/>
  <c r="C118" i="39" s="1"/>
  <c r="B34" i="39"/>
  <c r="G33" i="39"/>
  <c r="D33" i="39"/>
  <c r="D45" i="39" s="1"/>
  <c r="D57" i="39" s="1"/>
  <c r="D69" i="39" s="1"/>
  <c r="D81" i="39" s="1"/>
  <c r="D93" i="39" s="1"/>
  <c r="D105" i="39" s="1"/>
  <c r="D117" i="39" s="1"/>
  <c r="C33" i="39"/>
  <c r="B33" i="39"/>
  <c r="G32" i="39"/>
  <c r="D32" i="39"/>
  <c r="D44" i="39" s="1"/>
  <c r="D56" i="39" s="1"/>
  <c r="D68" i="39" s="1"/>
  <c r="D80" i="39" s="1"/>
  <c r="D92" i="39" s="1"/>
  <c r="D104" i="39" s="1"/>
  <c r="D116" i="39" s="1"/>
  <c r="C32" i="39"/>
  <c r="B32" i="39"/>
  <c r="G31" i="39"/>
  <c r="D31" i="39"/>
  <c r="D43" i="39" s="1"/>
  <c r="D55" i="39" s="1"/>
  <c r="D67" i="39" s="1"/>
  <c r="D79" i="39" s="1"/>
  <c r="D91" i="39" s="1"/>
  <c r="D103" i="39" s="1"/>
  <c r="D115" i="39" s="1"/>
  <c r="C31" i="39"/>
  <c r="C43" i="39" s="1"/>
  <c r="B31" i="39"/>
  <c r="G30" i="39"/>
  <c r="D30" i="39"/>
  <c r="D42" i="39" s="1"/>
  <c r="D54" i="39" s="1"/>
  <c r="D66" i="39" s="1"/>
  <c r="D78" i="39" s="1"/>
  <c r="D90" i="39" s="1"/>
  <c r="D102" i="39" s="1"/>
  <c r="D114" i="39" s="1"/>
  <c r="C30" i="39"/>
  <c r="C42" i="39" s="1"/>
  <c r="C54" i="39" s="1"/>
  <c r="C66" i="39" s="1"/>
  <c r="C78" i="39" s="1"/>
  <c r="C90" i="39" s="1"/>
  <c r="C102" i="39" s="1"/>
  <c r="C114" i="39" s="1"/>
  <c r="B30" i="39"/>
  <c r="G29" i="39"/>
  <c r="B29" i="39"/>
  <c r="G28" i="39"/>
  <c r="B28" i="39"/>
  <c r="G27" i="39"/>
  <c r="B27" i="39"/>
  <c r="G26" i="39"/>
  <c r="H26" i="39" s="1"/>
  <c r="D26" i="39"/>
  <c r="C26" i="39"/>
  <c r="B26" i="39"/>
  <c r="G25" i="39"/>
  <c r="H25" i="39" s="1"/>
  <c r="D25" i="39"/>
  <c r="D133" i="39" s="1"/>
  <c r="C25" i="39"/>
  <c r="B25" i="39"/>
  <c r="G24" i="39"/>
  <c r="H24" i="39" s="1"/>
  <c r="D24" i="39"/>
  <c r="C24" i="39"/>
  <c r="B24" i="39"/>
  <c r="G23" i="39"/>
  <c r="H23" i="39" s="1"/>
  <c r="D23" i="39"/>
  <c r="D131" i="39" s="1"/>
  <c r="C23" i="39"/>
  <c r="B23" i="39"/>
  <c r="G22" i="39"/>
  <c r="H22" i="39" s="1"/>
  <c r="D22" i="39"/>
  <c r="C22" i="39"/>
  <c r="B22" i="39"/>
  <c r="G21" i="39"/>
  <c r="H21" i="39" s="1"/>
  <c r="D21" i="39"/>
  <c r="D129" i="39" s="1"/>
  <c r="C21" i="39"/>
  <c r="B21" i="39"/>
  <c r="G20" i="39"/>
  <c r="H20" i="39" s="1"/>
  <c r="D20" i="39"/>
  <c r="C20" i="39"/>
  <c r="B20" i="39"/>
  <c r="G19" i="39"/>
  <c r="H19" i="39" s="1"/>
  <c r="D19" i="39"/>
  <c r="D127" i="39" s="1"/>
  <c r="C19" i="39"/>
  <c r="B19" i="39"/>
  <c r="G18" i="39"/>
  <c r="H18" i="39" s="1"/>
  <c r="D18" i="39"/>
  <c r="C18" i="39"/>
  <c r="B18" i="39"/>
  <c r="G17" i="39"/>
  <c r="H17" i="39" s="1"/>
  <c r="D17" i="39"/>
  <c r="C17" i="39"/>
  <c r="B17" i="39"/>
  <c r="G16" i="39"/>
  <c r="H16" i="39" s="1"/>
  <c r="D16" i="39"/>
  <c r="C16" i="39"/>
  <c r="B16" i="39"/>
  <c r="G15" i="39"/>
  <c r="H15" i="39" s="1"/>
  <c r="D15" i="39"/>
  <c r="D27" i="39" s="1"/>
  <c r="D39" i="39" s="1"/>
  <c r="D51" i="39" s="1"/>
  <c r="D63" i="39" s="1"/>
  <c r="D75" i="39" s="1"/>
  <c r="D87" i="39" s="1"/>
  <c r="D99" i="39" s="1"/>
  <c r="D111" i="39" s="1"/>
  <c r="C15" i="39"/>
  <c r="C27" i="39" s="1"/>
  <c r="B15" i="39"/>
  <c r="G14" i="39"/>
  <c r="H14" i="39" s="1"/>
  <c r="B14" i="39"/>
  <c r="G13" i="39"/>
  <c r="H13" i="39" s="1"/>
  <c r="B13" i="39"/>
  <c r="G12" i="39"/>
  <c r="H12" i="39" s="1"/>
  <c r="B12" i="39"/>
  <c r="G11" i="39"/>
  <c r="H11" i="39" s="1"/>
  <c r="B11" i="39"/>
  <c r="G10" i="39"/>
  <c r="H10" i="39" s="1"/>
  <c r="B10" i="39"/>
  <c r="G9" i="39"/>
  <c r="H9" i="39" s="1"/>
  <c r="B9" i="39"/>
  <c r="G8" i="39"/>
  <c r="H8" i="39" s="1"/>
  <c r="B8" i="39"/>
  <c r="G7" i="39"/>
  <c r="H7" i="39" s="1"/>
  <c r="B7" i="39"/>
  <c r="G6" i="39"/>
  <c r="H6" i="39" s="1"/>
  <c r="B6" i="39"/>
  <c r="G5" i="39"/>
  <c r="H5" i="39" s="1"/>
  <c r="B5" i="39"/>
  <c r="G4" i="39"/>
  <c r="H4" i="39" s="1"/>
  <c r="B4" i="39"/>
  <c r="G3" i="39"/>
  <c r="H3" i="39" s="1"/>
  <c r="B3" i="39"/>
  <c r="A1" i="39"/>
  <c r="F171" i="19"/>
  <c r="E171" i="19"/>
  <c r="F170" i="19"/>
  <c r="E170" i="19"/>
  <c r="F169" i="19"/>
  <c r="E169" i="19"/>
  <c r="F168" i="19"/>
  <c r="E168" i="19"/>
  <c r="F167" i="19"/>
  <c r="E167" i="19"/>
  <c r="F166" i="19"/>
  <c r="E166" i="19"/>
  <c r="F165" i="19"/>
  <c r="E165" i="19"/>
  <c r="F164" i="19"/>
  <c r="E164" i="19"/>
  <c r="F163" i="19"/>
  <c r="E163" i="19"/>
  <c r="F162" i="19"/>
  <c r="E162" i="19"/>
  <c r="F161" i="19"/>
  <c r="E161" i="19"/>
  <c r="F160" i="19"/>
  <c r="E160" i="19"/>
  <c r="B150" i="19"/>
  <c r="E110" i="38" s="1"/>
  <c r="J111" i="38" s="1"/>
  <c r="B149" i="19"/>
  <c r="B16" i="9" s="1"/>
  <c r="B148" i="19"/>
  <c r="B15" i="9" s="1"/>
  <c r="F15" i="9" s="1"/>
  <c r="B147" i="19"/>
  <c r="B14" i="9" s="1"/>
  <c r="F14" i="9" s="1"/>
  <c r="G123" i="19"/>
  <c r="G124" i="19" s="1"/>
  <c r="G160" i="19" s="1"/>
  <c r="G122" i="19"/>
  <c r="H122" i="19" s="1"/>
  <c r="I122" i="19" s="1"/>
  <c r="J122" i="19" s="1"/>
  <c r="G121" i="19"/>
  <c r="H121" i="19" s="1"/>
  <c r="I121" i="19" s="1"/>
  <c r="J121" i="19" s="1"/>
  <c r="G120" i="19"/>
  <c r="H120" i="19" s="1"/>
  <c r="I120" i="19" s="1"/>
  <c r="J120" i="19" s="1"/>
  <c r="G119" i="19"/>
  <c r="H119" i="19" s="1"/>
  <c r="I119" i="19" s="1"/>
  <c r="J119" i="19" s="1"/>
  <c r="G118" i="19"/>
  <c r="H118" i="19" s="1"/>
  <c r="I118" i="19" s="1"/>
  <c r="J118" i="19" s="1"/>
  <c r="G117" i="19"/>
  <c r="H117" i="19" s="1"/>
  <c r="I117" i="19" s="1"/>
  <c r="J117" i="19" s="1"/>
  <c r="G116" i="19"/>
  <c r="H116" i="19" s="1"/>
  <c r="I116" i="19" s="1"/>
  <c r="J116" i="19" s="1"/>
  <c r="G115" i="19"/>
  <c r="H115" i="19" s="1"/>
  <c r="I115" i="19" s="1"/>
  <c r="J115" i="19" s="1"/>
  <c r="G114" i="19"/>
  <c r="H114" i="19" s="1"/>
  <c r="I114" i="19" s="1"/>
  <c r="J114" i="19" s="1"/>
  <c r="G113" i="19"/>
  <c r="H113" i="19" s="1"/>
  <c r="I113" i="19" s="1"/>
  <c r="J113" i="19" s="1"/>
  <c r="G112" i="19"/>
  <c r="H112" i="19" s="1"/>
  <c r="G111" i="19"/>
  <c r="G110" i="19"/>
  <c r="D110" i="19"/>
  <c r="G109" i="19"/>
  <c r="G108" i="19"/>
  <c r="D108" i="19"/>
  <c r="G107" i="19"/>
  <c r="G106" i="19"/>
  <c r="D106" i="19"/>
  <c r="G105" i="19"/>
  <c r="G104" i="19"/>
  <c r="D104" i="19"/>
  <c r="G103" i="19"/>
  <c r="G102" i="19"/>
  <c r="D102" i="19"/>
  <c r="G101" i="19"/>
  <c r="G100" i="19"/>
  <c r="D100" i="19"/>
  <c r="G99" i="19"/>
  <c r="G98" i="19"/>
  <c r="G97" i="19"/>
  <c r="D97" i="19"/>
  <c r="G96" i="19"/>
  <c r="G95" i="19"/>
  <c r="G94" i="19"/>
  <c r="C94" i="19"/>
  <c r="G93" i="19"/>
  <c r="G92" i="19"/>
  <c r="G91" i="19"/>
  <c r="G90" i="19"/>
  <c r="C90" i="19"/>
  <c r="G89" i="19"/>
  <c r="G88" i="19"/>
  <c r="C88" i="19"/>
  <c r="G86" i="19"/>
  <c r="G85" i="19"/>
  <c r="D85" i="19"/>
  <c r="G84" i="19"/>
  <c r="C84" i="19"/>
  <c r="G83" i="19"/>
  <c r="D83" i="19"/>
  <c r="G82" i="19"/>
  <c r="G81" i="19"/>
  <c r="G80" i="19"/>
  <c r="C80" i="19"/>
  <c r="G79" i="19"/>
  <c r="D79" i="19"/>
  <c r="G78" i="19"/>
  <c r="G77" i="19"/>
  <c r="G76" i="19"/>
  <c r="C76" i="19"/>
  <c r="G75" i="19"/>
  <c r="D75" i="19"/>
  <c r="G74" i="19"/>
  <c r="D74" i="19"/>
  <c r="C74" i="19"/>
  <c r="B74" i="19"/>
  <c r="G73" i="19"/>
  <c r="D73" i="19"/>
  <c r="C73" i="19"/>
  <c r="B73" i="19"/>
  <c r="G72" i="19"/>
  <c r="D72" i="19"/>
  <c r="C72" i="19"/>
  <c r="B72" i="19"/>
  <c r="G71" i="19"/>
  <c r="D71" i="19"/>
  <c r="C71" i="19"/>
  <c r="B71" i="19"/>
  <c r="G70" i="19"/>
  <c r="D70" i="19"/>
  <c r="C70" i="19"/>
  <c r="B70" i="19"/>
  <c r="G69" i="19"/>
  <c r="D69" i="19"/>
  <c r="C69" i="19"/>
  <c r="B69" i="19"/>
  <c r="G68" i="19"/>
  <c r="D68" i="19"/>
  <c r="C68" i="19"/>
  <c r="B68" i="19"/>
  <c r="G67" i="19"/>
  <c r="D67" i="19"/>
  <c r="C67" i="19"/>
  <c r="B67" i="19"/>
  <c r="G66" i="19"/>
  <c r="D66" i="19"/>
  <c r="C66" i="19"/>
  <c r="B66" i="19"/>
  <c r="G65" i="19"/>
  <c r="D65" i="19"/>
  <c r="C65" i="19"/>
  <c r="B65" i="19"/>
  <c r="G64" i="19"/>
  <c r="D64" i="19"/>
  <c r="C64" i="19"/>
  <c r="B64" i="19"/>
  <c r="G63" i="19"/>
  <c r="D63" i="19"/>
  <c r="C63" i="19"/>
  <c r="B63" i="19"/>
  <c r="D62" i="19"/>
  <c r="C62" i="19"/>
  <c r="B62" i="19"/>
  <c r="G61" i="19"/>
  <c r="D61" i="19"/>
  <c r="C61" i="19"/>
  <c r="B61" i="19"/>
  <c r="G60" i="19"/>
  <c r="D60" i="19"/>
  <c r="C60" i="19"/>
  <c r="B60" i="19"/>
  <c r="G59" i="19"/>
  <c r="D59" i="19"/>
  <c r="C59" i="19"/>
  <c r="B59" i="19"/>
  <c r="G58" i="19"/>
  <c r="D58" i="19"/>
  <c r="C58" i="19"/>
  <c r="B58" i="19"/>
  <c r="G57" i="19"/>
  <c r="D57" i="19"/>
  <c r="C57" i="19"/>
  <c r="B57" i="19"/>
  <c r="G56" i="19"/>
  <c r="D56" i="19"/>
  <c r="C56" i="19"/>
  <c r="B56" i="19"/>
  <c r="G55" i="19"/>
  <c r="D55" i="19"/>
  <c r="C55" i="19"/>
  <c r="B55" i="19"/>
  <c r="G54" i="19"/>
  <c r="D54" i="19"/>
  <c r="C54" i="19"/>
  <c r="B54" i="19"/>
  <c r="G53" i="19"/>
  <c r="D53" i="19"/>
  <c r="C53" i="19"/>
  <c r="B53" i="19"/>
  <c r="G52" i="19"/>
  <c r="D52" i="19"/>
  <c r="C52" i="19"/>
  <c r="B52" i="19"/>
  <c r="G51" i="19"/>
  <c r="D51" i="19"/>
  <c r="C51" i="19"/>
  <c r="B51" i="19"/>
  <c r="G50" i="19"/>
  <c r="D50" i="19"/>
  <c r="C50" i="19"/>
  <c r="B50" i="19"/>
  <c r="G49" i="19"/>
  <c r="D49" i="19"/>
  <c r="C49" i="19"/>
  <c r="B49" i="19"/>
  <c r="G48" i="19"/>
  <c r="D48" i="19"/>
  <c r="C48" i="19"/>
  <c r="B48" i="19"/>
  <c r="G47" i="19"/>
  <c r="D47" i="19"/>
  <c r="C47" i="19"/>
  <c r="B47" i="19"/>
  <c r="G46" i="19"/>
  <c r="D46" i="19"/>
  <c r="C46" i="19"/>
  <c r="B46" i="19"/>
  <c r="G45" i="19"/>
  <c r="D45" i="19"/>
  <c r="C45" i="19"/>
  <c r="B45" i="19"/>
  <c r="G44" i="19"/>
  <c r="D44" i="19"/>
  <c r="C44" i="19"/>
  <c r="B44" i="19"/>
  <c r="G43" i="19"/>
  <c r="D43" i="19"/>
  <c r="C43" i="19"/>
  <c r="B43" i="19"/>
  <c r="G42" i="19"/>
  <c r="D42" i="19"/>
  <c r="C42" i="19"/>
  <c r="B42" i="19"/>
  <c r="G41" i="19"/>
  <c r="D41" i="19"/>
  <c r="C41" i="19"/>
  <c r="B41" i="19"/>
  <c r="G40" i="19"/>
  <c r="D40" i="19"/>
  <c r="C40" i="19"/>
  <c r="B40" i="19"/>
  <c r="G39" i="19"/>
  <c r="D39" i="19"/>
  <c r="C39" i="19"/>
  <c r="B39" i="19"/>
  <c r="G38" i="19"/>
  <c r="D38" i="19"/>
  <c r="C38" i="19"/>
  <c r="B38" i="19"/>
  <c r="G37" i="19"/>
  <c r="D37" i="19"/>
  <c r="C37" i="19"/>
  <c r="B37" i="19"/>
  <c r="G36" i="19"/>
  <c r="D36" i="19"/>
  <c r="C36" i="19"/>
  <c r="B36" i="19"/>
  <c r="G35" i="19"/>
  <c r="D35" i="19"/>
  <c r="C35" i="19"/>
  <c r="B35" i="19"/>
  <c r="G34" i="19"/>
  <c r="D34" i="19"/>
  <c r="C34" i="19"/>
  <c r="B34" i="19"/>
  <c r="G33" i="19"/>
  <c r="D33" i="19"/>
  <c r="C33" i="19"/>
  <c r="B33" i="19"/>
  <c r="G32" i="19"/>
  <c r="D32" i="19"/>
  <c r="C32" i="19"/>
  <c r="B32" i="19"/>
  <c r="G31" i="19"/>
  <c r="D31" i="19"/>
  <c r="C31" i="19"/>
  <c r="B31" i="19"/>
  <c r="G30" i="19"/>
  <c r="D30" i="19"/>
  <c r="C30" i="19"/>
  <c r="B30" i="19"/>
  <c r="G29" i="19"/>
  <c r="D29" i="19"/>
  <c r="C29" i="19"/>
  <c r="B29" i="19"/>
  <c r="G28" i="19"/>
  <c r="D28" i="19"/>
  <c r="C28" i="19"/>
  <c r="B28" i="19"/>
  <c r="G27" i="19"/>
  <c r="D27" i="19"/>
  <c r="C27" i="19"/>
  <c r="B27" i="19"/>
  <c r="G26" i="19"/>
  <c r="D26" i="19"/>
  <c r="C26" i="19"/>
  <c r="B26" i="19"/>
  <c r="G25" i="19"/>
  <c r="D25" i="19"/>
  <c r="C25" i="19"/>
  <c r="B25" i="19"/>
  <c r="G24" i="19"/>
  <c r="D24" i="19"/>
  <c r="C24" i="19"/>
  <c r="B24" i="19"/>
  <c r="G23" i="19"/>
  <c r="D23" i="19"/>
  <c r="C23" i="19"/>
  <c r="B23" i="19"/>
  <c r="G22" i="19"/>
  <c r="D22" i="19"/>
  <c r="C22" i="19"/>
  <c r="B22" i="19"/>
  <c r="G21" i="19"/>
  <c r="D21" i="19"/>
  <c r="C21" i="19"/>
  <c r="B21" i="19"/>
  <c r="G20" i="19"/>
  <c r="D20" i="19"/>
  <c r="C20" i="19"/>
  <c r="B20" i="19"/>
  <c r="G19" i="19"/>
  <c r="D19" i="19"/>
  <c r="C19" i="19"/>
  <c r="B19" i="19"/>
  <c r="G18" i="19"/>
  <c r="D18" i="19"/>
  <c r="C18" i="19"/>
  <c r="B18" i="19"/>
  <c r="G17" i="19"/>
  <c r="D17" i="19"/>
  <c r="C17" i="19"/>
  <c r="B17" i="19"/>
  <c r="G16" i="19"/>
  <c r="D16" i="19"/>
  <c r="C16" i="19"/>
  <c r="B16" i="19"/>
  <c r="G15" i="19"/>
  <c r="D15" i="19"/>
  <c r="C15" i="19"/>
  <c r="B15" i="19"/>
  <c r="G14" i="19"/>
  <c r="H14" i="19" s="1"/>
  <c r="I14" i="19" s="1"/>
  <c r="J14" i="19" s="1"/>
  <c r="B14" i="19"/>
  <c r="G13" i="19"/>
  <c r="H13" i="19" s="1"/>
  <c r="B13" i="19"/>
  <c r="G12" i="19"/>
  <c r="H12" i="19" s="1"/>
  <c r="B12" i="19"/>
  <c r="G11" i="19"/>
  <c r="H11" i="19" s="1"/>
  <c r="B11" i="19"/>
  <c r="G10" i="19"/>
  <c r="H10" i="19" s="1"/>
  <c r="B10" i="19"/>
  <c r="G9" i="19"/>
  <c r="H9" i="19" s="1"/>
  <c r="B9" i="19"/>
  <c r="G8" i="19"/>
  <c r="H8" i="19" s="1"/>
  <c r="B8" i="19"/>
  <c r="G7" i="19"/>
  <c r="H7" i="19" s="1"/>
  <c r="B7" i="19"/>
  <c r="G6" i="19"/>
  <c r="H6" i="19" s="1"/>
  <c r="B6" i="19"/>
  <c r="G5" i="19"/>
  <c r="H5" i="19" s="1"/>
  <c r="B5" i="19"/>
  <c r="G4" i="19"/>
  <c r="H4" i="19" s="1"/>
  <c r="B4" i="19"/>
  <c r="G3" i="19"/>
  <c r="H3" i="19" s="1"/>
  <c r="B3" i="19"/>
  <c r="A1" i="19"/>
  <c r="K56" i="11"/>
  <c r="J56" i="11"/>
  <c r="I56" i="11"/>
  <c r="H56" i="11"/>
  <c r="G56" i="11"/>
  <c r="F56" i="11"/>
  <c r="E56" i="11"/>
  <c r="D56" i="11"/>
  <c r="C56" i="11"/>
  <c r="C62" i="11" s="1"/>
  <c r="B56" i="11"/>
  <c r="B62" i="11" s="1"/>
  <c r="A55" i="11"/>
  <c r="K48" i="11"/>
  <c r="C48" i="11"/>
  <c r="K47" i="11"/>
  <c r="H47" i="11"/>
  <c r="E47" i="11"/>
  <c r="A36" i="11"/>
  <c r="K34" i="11"/>
  <c r="G34" i="11"/>
  <c r="F34" i="11"/>
  <c r="E34" i="11"/>
  <c r="D34" i="11"/>
  <c r="C34" i="11"/>
  <c r="B34" i="11"/>
  <c r="K33" i="11"/>
  <c r="I360" i="38" s="1"/>
  <c r="I424" i="38" s="1"/>
  <c r="H435" i="38" s="1"/>
  <c r="J33" i="11"/>
  <c r="I43" i="38" s="1"/>
  <c r="I33" i="11"/>
  <c r="G360" i="38" s="1"/>
  <c r="I401" i="38" s="1"/>
  <c r="H412" i="38" s="1"/>
  <c r="H33" i="11"/>
  <c r="F360" i="38" s="1"/>
  <c r="G33" i="11"/>
  <c r="I40" i="38" s="1"/>
  <c r="F33" i="11"/>
  <c r="I39" i="38" s="1"/>
  <c r="E33" i="11"/>
  <c r="I38" i="38" s="1"/>
  <c r="D33" i="11"/>
  <c r="I37" i="38" s="1"/>
  <c r="C33" i="11"/>
  <c r="I36" i="38" s="1"/>
  <c r="B33" i="11"/>
  <c r="I35" i="38" s="1"/>
  <c r="A31" i="11"/>
  <c r="K29" i="11"/>
  <c r="I352" i="38" s="1"/>
  <c r="H29" i="11"/>
  <c r="F352" i="38" s="1"/>
  <c r="F29" i="11"/>
  <c r="E29" i="11"/>
  <c r="D29" i="11"/>
  <c r="C29" i="11"/>
  <c r="B29" i="11"/>
  <c r="K28" i="11"/>
  <c r="I351" i="38" s="1"/>
  <c r="J28" i="11"/>
  <c r="H351" i="38" s="1"/>
  <c r="I411" i="38" s="1"/>
  <c r="I28" i="11"/>
  <c r="G351" i="38" s="1"/>
  <c r="I400" i="38" s="1"/>
  <c r="H411" i="38" s="1"/>
  <c r="H28" i="11"/>
  <c r="F351" i="38" s="1"/>
  <c r="G28" i="11"/>
  <c r="H40" i="38" s="1"/>
  <c r="F28" i="11"/>
  <c r="H39" i="38" s="1"/>
  <c r="E28" i="11"/>
  <c r="H38" i="38" s="1"/>
  <c r="D28" i="11"/>
  <c r="H37" i="38" s="1"/>
  <c r="C28" i="11"/>
  <c r="H36" i="38" s="1"/>
  <c r="B28" i="11"/>
  <c r="H35" i="38" s="1"/>
  <c r="A26" i="11"/>
  <c r="K24" i="11"/>
  <c r="I343" i="38" s="1"/>
  <c r="I24" i="11"/>
  <c r="G343" i="38" s="1"/>
  <c r="K399" i="38" s="1"/>
  <c r="J410" i="38" s="1"/>
  <c r="E24" i="11"/>
  <c r="K23" i="11"/>
  <c r="J23" i="11"/>
  <c r="I23" i="11"/>
  <c r="H23" i="11"/>
  <c r="G41" i="38" s="1"/>
  <c r="G23" i="11"/>
  <c r="F23" i="11"/>
  <c r="E23" i="11"/>
  <c r="G38" i="38" s="1"/>
  <c r="D23" i="11"/>
  <c r="G37" i="38" s="1"/>
  <c r="C23" i="11"/>
  <c r="G36" i="38" s="1"/>
  <c r="B23" i="11"/>
  <c r="G35" i="38" s="1"/>
  <c r="A21" i="11"/>
  <c r="G18" i="11"/>
  <c r="F58" i="38" s="1"/>
  <c r="C18" i="11"/>
  <c r="F54" i="38" s="1"/>
  <c r="A17" i="11"/>
  <c r="A13" i="11"/>
  <c r="I10" i="11"/>
  <c r="E23" i="38" s="1"/>
  <c r="E10" i="11"/>
  <c r="E19" i="38" s="1"/>
  <c r="K4" i="11"/>
  <c r="I313" i="38" s="1"/>
  <c r="J4" i="11"/>
  <c r="H313" i="38" s="1"/>
  <c r="K430" i="38"/>
  <c r="I430" i="38"/>
  <c r="E430" i="38"/>
  <c r="J430" i="38" s="1"/>
  <c r="K419" i="38"/>
  <c r="I419" i="38"/>
  <c r="E419" i="38"/>
  <c r="H419" i="38" s="1"/>
  <c r="K407" i="38"/>
  <c r="I407" i="38"/>
  <c r="E407" i="38"/>
  <c r="H407" i="38" s="1"/>
  <c r="B402" i="38"/>
  <c r="B413" i="38" s="1"/>
  <c r="B425" i="38" s="1"/>
  <c r="B436" i="38" s="1"/>
  <c r="B401" i="38"/>
  <c r="B412" i="38" s="1"/>
  <c r="B424" i="38" s="1"/>
  <c r="B435" i="38" s="1"/>
  <c r="B400" i="38"/>
  <c r="B411" i="38" s="1"/>
  <c r="B423" i="38" s="1"/>
  <c r="B434" i="38" s="1"/>
  <c r="B399" i="38"/>
  <c r="B410" i="38" s="1"/>
  <c r="B422" i="38" s="1"/>
  <c r="B433" i="38" s="1"/>
  <c r="B398" i="38"/>
  <c r="B409" i="38" s="1"/>
  <c r="B421" i="38" s="1"/>
  <c r="B432" i="38" s="1"/>
  <c r="B397" i="38"/>
  <c r="B408" i="38" s="1"/>
  <c r="B420" i="38" s="1"/>
  <c r="B431" i="38" s="1"/>
  <c r="K396" i="38"/>
  <c r="I396" i="38"/>
  <c r="E396" i="38"/>
  <c r="H396" i="38" s="1"/>
  <c r="J390" i="38"/>
  <c r="J389" i="38"/>
  <c r="J388" i="38"/>
  <c r="K385" i="38"/>
  <c r="J385" i="38"/>
  <c r="I385" i="38"/>
  <c r="H385" i="38"/>
  <c r="B381" i="38"/>
  <c r="B380" i="38"/>
  <c r="B379" i="38"/>
  <c r="E377" i="38"/>
  <c r="B372" i="38"/>
  <c r="B371" i="38"/>
  <c r="E369" i="38"/>
  <c r="E368" i="38"/>
  <c r="B365" i="38"/>
  <c r="B364" i="38"/>
  <c r="B363" i="38"/>
  <c r="I361" i="38"/>
  <c r="K424" i="38" s="1"/>
  <c r="J435" i="38" s="1"/>
  <c r="E360" i="38"/>
  <c r="E359" i="38"/>
  <c r="B356" i="38"/>
  <c r="B355" i="38"/>
  <c r="B354" i="38"/>
  <c r="E351" i="38"/>
  <c r="E350" i="38"/>
  <c r="B347" i="38"/>
  <c r="B346" i="38"/>
  <c r="B345" i="38"/>
  <c r="G342" i="38"/>
  <c r="I399" i="38" s="1"/>
  <c r="H410" i="38" s="1"/>
  <c r="E342" i="38"/>
  <c r="E341" i="38"/>
  <c r="B338" i="38"/>
  <c r="B337" i="38"/>
  <c r="E334" i="38"/>
  <c r="B331" i="38"/>
  <c r="B330" i="38"/>
  <c r="E327" i="38"/>
  <c r="E325" i="38"/>
  <c r="J312" i="38"/>
  <c r="J325" i="38" s="1"/>
  <c r="I312" i="38"/>
  <c r="I325" i="38" s="1"/>
  <c r="H312" i="38"/>
  <c r="H325" i="38" s="1"/>
  <c r="G312" i="38"/>
  <c r="G325" i="38" s="1"/>
  <c r="B302" i="38"/>
  <c r="B301" i="38"/>
  <c r="B300" i="38"/>
  <c r="B299" i="38"/>
  <c r="B298" i="38"/>
  <c r="B297" i="38"/>
  <c r="B296" i="38"/>
  <c r="B295" i="38"/>
  <c r="B294" i="38"/>
  <c r="E287" i="38"/>
  <c r="F286" i="38"/>
  <c r="G284" i="38"/>
  <c r="F284" i="38"/>
  <c r="E284" i="38"/>
  <c r="G283" i="38"/>
  <c r="F283" i="38"/>
  <c r="G282" i="38"/>
  <c r="F282" i="38"/>
  <c r="G281" i="38"/>
  <c r="F281" i="38"/>
  <c r="G280" i="38"/>
  <c r="F280" i="38"/>
  <c r="B266" i="38"/>
  <c r="O229" i="38"/>
  <c r="O237" i="38" s="1"/>
  <c r="O244" i="38" s="1"/>
  <c r="O251" i="38" s="1"/>
  <c r="O228" i="38"/>
  <c r="O236" i="38" s="1"/>
  <c r="O243" i="38" s="1"/>
  <c r="O250" i="38" s="1"/>
  <c r="O227" i="38"/>
  <c r="O235" i="38" s="1"/>
  <c r="O242" i="38" s="1"/>
  <c r="O249" i="38" s="1"/>
  <c r="E207" i="38"/>
  <c r="B193" i="38"/>
  <c r="B268" i="38" s="1"/>
  <c r="B140" i="38"/>
  <c r="B139" i="38"/>
  <c r="B138" i="38"/>
  <c r="B137" i="38"/>
  <c r="B136" i="38"/>
  <c r="B135" i="38"/>
  <c r="B134" i="38"/>
  <c r="B133" i="38"/>
  <c r="E109" i="38"/>
  <c r="J110" i="38" s="1"/>
  <c r="E96" i="38"/>
  <c r="E95" i="38"/>
  <c r="B95" i="38"/>
  <c r="E94" i="38"/>
  <c r="B94" i="38"/>
  <c r="E93" i="38"/>
  <c r="B93" i="38"/>
  <c r="E92" i="38"/>
  <c r="B92" i="38"/>
  <c r="E91" i="38"/>
  <c r="B91" i="38"/>
  <c r="E88" i="38"/>
  <c r="E87" i="38"/>
  <c r="E86" i="38"/>
  <c r="J69" i="38"/>
  <c r="I69" i="38"/>
  <c r="H69" i="38"/>
  <c r="G69" i="38"/>
  <c r="J66" i="38"/>
  <c r="J119" i="38" s="1"/>
  <c r="J131" i="38" s="1"/>
  <c r="J144" i="38" s="1"/>
  <c r="J162" i="38" s="1"/>
  <c r="J176" i="38" s="1"/>
  <c r="J191" i="38" s="1"/>
  <c r="J196" i="38" s="1"/>
  <c r="J201" i="38" s="1"/>
  <c r="I66" i="38"/>
  <c r="I119" i="38" s="1"/>
  <c r="I131" i="38" s="1"/>
  <c r="I144" i="38" s="1"/>
  <c r="I162" i="38" s="1"/>
  <c r="I176" i="38" s="1"/>
  <c r="I191" i="38" s="1"/>
  <c r="I196" i="38" s="1"/>
  <c r="I201" i="38" s="1"/>
  <c r="H66" i="38"/>
  <c r="H119" i="38" s="1"/>
  <c r="H131" i="38" s="1"/>
  <c r="H144" i="38" s="1"/>
  <c r="H162" i="38" s="1"/>
  <c r="H176" i="38" s="1"/>
  <c r="H191" i="38" s="1"/>
  <c r="H196" i="38" s="1"/>
  <c r="H201" i="38" s="1"/>
  <c r="G66" i="38"/>
  <c r="F66" i="38"/>
  <c r="F119" i="38" s="1"/>
  <c r="F131" i="38" s="1"/>
  <c r="F144" i="38" s="1"/>
  <c r="F162" i="38" s="1"/>
  <c r="F176" i="38" s="1"/>
  <c r="F191" i="38" s="1"/>
  <c r="F196" i="38" s="1"/>
  <c r="F201" i="38" s="1"/>
  <c r="E66" i="38"/>
  <c r="K51" i="38"/>
  <c r="H14" i="38" s="1"/>
  <c r="B45" i="38"/>
  <c r="H44" i="38"/>
  <c r="G44" i="38"/>
  <c r="B44" i="38"/>
  <c r="B80" i="38" s="1"/>
  <c r="B43" i="38"/>
  <c r="B79" i="38" s="1"/>
  <c r="G42" i="38"/>
  <c r="B42" i="38"/>
  <c r="H41" i="38"/>
  <c r="B41" i="38"/>
  <c r="B77" i="38" s="1"/>
  <c r="B40" i="38"/>
  <c r="B76" i="38" s="1"/>
  <c r="G39" i="38"/>
  <c r="B39" i="38"/>
  <c r="B75" i="38" s="1"/>
  <c r="B38" i="38"/>
  <c r="B37" i="38"/>
  <c r="B55" i="38" s="1"/>
  <c r="B36" i="38"/>
  <c r="B54" i="38" s="1"/>
  <c r="B35" i="38"/>
  <c r="B71" i="38" s="1"/>
  <c r="F33" i="38"/>
  <c r="F69" i="38" s="1"/>
  <c r="E33" i="38"/>
  <c r="E69" i="38" s="1"/>
  <c r="B33" i="38"/>
  <c r="B51" i="38" s="1"/>
  <c r="G7" i="38"/>
  <c r="F7" i="38"/>
  <c r="A5" i="38"/>
  <c r="F96" i="32" l="1"/>
  <c r="B93" i="32" s="1"/>
  <c r="V29" i="24"/>
  <c r="V33" i="24"/>
  <c r="E280" i="38"/>
  <c r="H108" i="19"/>
  <c r="I108" i="19" s="1"/>
  <c r="J108" i="19" s="1"/>
  <c r="J31" i="9"/>
  <c r="G169" i="38" s="1"/>
  <c r="G42" i="11"/>
  <c r="K42" i="11"/>
  <c r="H42" i="38"/>
  <c r="D10" i="11"/>
  <c r="E18" i="38" s="1"/>
  <c r="F18" i="38" s="1"/>
  <c r="G18" i="38" s="1"/>
  <c r="J10" i="11"/>
  <c r="E24" i="38" s="1"/>
  <c r="F24" i="38" s="1"/>
  <c r="G24" i="38" s="1"/>
  <c r="I41" i="38"/>
  <c r="I342" i="38"/>
  <c r="I422" i="38" s="1"/>
  <c r="H433" i="38" s="1"/>
  <c r="F16" i="9"/>
  <c r="F42" i="11"/>
  <c r="J42" i="11"/>
  <c r="G47" i="11"/>
  <c r="G43" i="38"/>
  <c r="H360" i="38"/>
  <c r="I412" i="38" s="1"/>
  <c r="H424" i="38" s="1"/>
  <c r="D42" i="11"/>
  <c r="C47" i="11"/>
  <c r="K422" i="38"/>
  <c r="J433" i="38" s="1"/>
  <c r="G40" i="38"/>
  <c r="G76" i="38" s="1"/>
  <c r="I44" i="38"/>
  <c r="N45" i="9"/>
  <c r="I27" i="11"/>
  <c r="H60" i="38" s="1"/>
  <c r="K26" i="9"/>
  <c r="H164" i="38" s="1"/>
  <c r="K32" i="11"/>
  <c r="I62" i="38" s="1"/>
  <c r="I80" i="38" s="1"/>
  <c r="J187" i="38"/>
  <c r="J35" i="9"/>
  <c r="G173" i="38" s="1"/>
  <c r="G193" i="38" s="1"/>
  <c r="K27" i="11"/>
  <c r="I359" i="38"/>
  <c r="F424" i="38" s="1"/>
  <c r="E435" i="38" s="1"/>
  <c r="I14" i="11"/>
  <c r="G327" i="38" s="1"/>
  <c r="F397" i="38" s="1"/>
  <c r="E408" i="38" s="1"/>
  <c r="E32" i="11"/>
  <c r="I56" i="38" s="1"/>
  <c r="H35" i="9"/>
  <c r="E173" i="38" s="1"/>
  <c r="E193" i="38" s="1"/>
  <c r="I32" i="11"/>
  <c r="G359" i="38" s="1"/>
  <c r="F401" i="38" s="1"/>
  <c r="E412" i="38" s="1"/>
  <c r="C55" i="39"/>
  <c r="C67" i="39" s="1"/>
  <c r="C79" i="39" s="1"/>
  <c r="C91" i="39" s="1"/>
  <c r="C103" i="39" s="1"/>
  <c r="C115" i="39" s="1"/>
  <c r="C127" i="39"/>
  <c r="C39" i="39"/>
  <c r="C51" i="39" s="1"/>
  <c r="C63" i="39" s="1"/>
  <c r="C75" i="39" s="1"/>
  <c r="C87" i="39" s="1"/>
  <c r="C99" i="39" s="1"/>
  <c r="C111" i="39" s="1"/>
  <c r="C129" i="39"/>
  <c r="C133" i="39"/>
  <c r="I341" i="38"/>
  <c r="F422" i="38" s="1"/>
  <c r="E433" i="38" s="1"/>
  <c r="G62" i="38"/>
  <c r="J423" i="38"/>
  <c r="K423" i="38"/>
  <c r="J434" i="38" s="1"/>
  <c r="H46" i="39"/>
  <c r="H56" i="39"/>
  <c r="H84" i="39"/>
  <c r="H88" i="39"/>
  <c r="H96" i="39"/>
  <c r="H104" i="39"/>
  <c r="H108" i="39"/>
  <c r="H120" i="39"/>
  <c r="E59" i="38"/>
  <c r="F327" i="38"/>
  <c r="I59" i="38"/>
  <c r="F359" i="38"/>
  <c r="H43" i="38"/>
  <c r="E62" i="38"/>
  <c r="H343" i="38"/>
  <c r="H30" i="39"/>
  <c r="H31" i="39"/>
  <c r="H32" i="39"/>
  <c r="H33" i="39"/>
  <c r="H34" i="39"/>
  <c r="H35" i="39"/>
  <c r="H36" i="39"/>
  <c r="H37" i="39"/>
  <c r="H81" i="39"/>
  <c r="H85" i="39"/>
  <c r="H93" i="39"/>
  <c r="H97" i="39"/>
  <c r="H105" i="39"/>
  <c r="H109" i="39"/>
  <c r="H117" i="39"/>
  <c r="H121" i="39"/>
  <c r="D123" i="39"/>
  <c r="K36" i="9"/>
  <c r="H173" i="38"/>
  <c r="H193" i="38" s="1"/>
  <c r="I59" i="9"/>
  <c r="F203" i="38" s="1"/>
  <c r="F59" i="38"/>
  <c r="F334" i="38"/>
  <c r="H27" i="39"/>
  <c r="H58" i="39"/>
  <c r="H80" i="39"/>
  <c r="C131" i="39"/>
  <c r="D43" i="11"/>
  <c r="I42" i="38"/>
  <c r="H423" i="38"/>
  <c r="I423" i="38"/>
  <c r="H434" i="38" s="1"/>
  <c r="F14" i="11"/>
  <c r="E57" i="38" s="1"/>
  <c r="F342" i="38"/>
  <c r="H42" i="11"/>
  <c r="E43" i="11"/>
  <c r="E53" i="11" s="1"/>
  <c r="F355" i="38"/>
  <c r="I389" i="38"/>
  <c r="H400" i="38" s="1"/>
  <c r="C126" i="39"/>
  <c r="C128" i="39"/>
  <c r="C130" i="39"/>
  <c r="C132" i="39"/>
  <c r="C134" i="39"/>
  <c r="C28" i="39"/>
  <c r="C40" i="39" s="1"/>
  <c r="C52" i="39" s="1"/>
  <c r="C64" i="39" s="1"/>
  <c r="C76" i="39" s="1"/>
  <c r="C88" i="39" s="1"/>
  <c r="C100" i="39" s="1"/>
  <c r="C112" i="39" s="1"/>
  <c r="H112" i="39" s="1"/>
  <c r="C29" i="39"/>
  <c r="H45" i="39"/>
  <c r="H47" i="39"/>
  <c r="H49" i="39"/>
  <c r="H55" i="39"/>
  <c r="H57" i="39"/>
  <c r="H59" i="39"/>
  <c r="H61" i="39"/>
  <c r="K43" i="11"/>
  <c r="K53" i="11" s="1"/>
  <c r="H48" i="39"/>
  <c r="H54" i="39"/>
  <c r="H60" i="39"/>
  <c r="H92" i="39"/>
  <c r="H116" i="39"/>
  <c r="H342" i="38"/>
  <c r="I410" i="38" s="1"/>
  <c r="H422" i="38" s="1"/>
  <c r="E42" i="11"/>
  <c r="I42" i="11"/>
  <c r="K389" i="38"/>
  <c r="J400" i="38" s="1"/>
  <c r="F356" i="38"/>
  <c r="F364" i="38"/>
  <c r="I390" i="38"/>
  <c r="H401" i="38" s="1"/>
  <c r="D124" i="39"/>
  <c r="D126" i="39"/>
  <c r="D128" i="39"/>
  <c r="D130" i="39"/>
  <c r="D132" i="39"/>
  <c r="D134" i="39"/>
  <c r="D38" i="39"/>
  <c r="D50" i="39" s="1"/>
  <c r="D62" i="39" s="1"/>
  <c r="D74" i="39" s="1"/>
  <c r="D86" i="39" s="1"/>
  <c r="D98" i="39" s="1"/>
  <c r="D110" i="39" s="1"/>
  <c r="D122" i="39" s="1"/>
  <c r="D28" i="39"/>
  <c r="D40" i="39" s="1"/>
  <c r="D52" i="39" s="1"/>
  <c r="D64" i="39" s="1"/>
  <c r="D76" i="39" s="1"/>
  <c r="D88" i="39" s="1"/>
  <c r="D100" i="39" s="1"/>
  <c r="D112" i="39" s="1"/>
  <c r="D29" i="39"/>
  <c r="D41" i="39" s="1"/>
  <c r="D53" i="39" s="1"/>
  <c r="D65" i="39" s="1"/>
  <c r="D77" i="39" s="1"/>
  <c r="D89" i="39" s="1"/>
  <c r="D101" i="39" s="1"/>
  <c r="D113" i="39" s="1"/>
  <c r="W38" i="24"/>
  <c r="D170" i="19" s="1"/>
  <c r="H79" i="39"/>
  <c r="H83" i="39"/>
  <c r="H87" i="39"/>
  <c r="H91" i="39"/>
  <c r="H95" i="39"/>
  <c r="H103" i="39"/>
  <c r="H107" i="39"/>
  <c r="H111" i="39"/>
  <c r="H115" i="39"/>
  <c r="H119" i="39"/>
  <c r="N39" i="9"/>
  <c r="N42" i="9"/>
  <c r="L36" i="9"/>
  <c r="I173" i="38"/>
  <c r="I193" i="38" s="1"/>
  <c r="J12" i="17"/>
  <c r="H40" i="39"/>
  <c r="H42" i="39"/>
  <c r="H43" i="39"/>
  <c r="H44" i="39"/>
  <c r="H64" i="39"/>
  <c r="H66" i="39"/>
  <c r="H67" i="39"/>
  <c r="H68" i="39"/>
  <c r="H69" i="39"/>
  <c r="H70" i="39"/>
  <c r="H71" i="39"/>
  <c r="H72" i="39"/>
  <c r="H73" i="39"/>
  <c r="H74" i="39"/>
  <c r="H78" i="39"/>
  <c r="H82" i="39"/>
  <c r="H86" i="39"/>
  <c r="H90" i="39"/>
  <c r="H94" i="39"/>
  <c r="H98" i="39"/>
  <c r="H102" i="39"/>
  <c r="H106" i="39"/>
  <c r="H110" i="39"/>
  <c r="H114" i="39"/>
  <c r="H118" i="39"/>
  <c r="I36" i="9"/>
  <c r="F173" i="38"/>
  <c r="F193" i="38" s="1"/>
  <c r="B43" i="11"/>
  <c r="F43" i="11"/>
  <c r="K388" i="38"/>
  <c r="J399" i="38" s="1"/>
  <c r="F347" i="38"/>
  <c r="N40" i="9"/>
  <c r="N46" i="9"/>
  <c r="N44" i="9"/>
  <c r="N43" i="9"/>
  <c r="F10" i="11"/>
  <c r="E20" i="38" s="1"/>
  <c r="F21" i="38" s="1"/>
  <c r="G21" i="38" s="1"/>
  <c r="N41" i="9"/>
  <c r="F37" i="38"/>
  <c r="B10" i="11"/>
  <c r="E16" i="38" s="1"/>
  <c r="F17" i="38" s="1"/>
  <c r="G17" i="38" s="1"/>
  <c r="H4" i="11"/>
  <c r="F313" i="38" s="1"/>
  <c r="I4" i="11"/>
  <c r="G313" i="38" s="1"/>
  <c r="E107" i="38"/>
  <c r="J108" i="38" s="1"/>
  <c r="H15" i="19"/>
  <c r="I15" i="19" s="1"/>
  <c r="J15" i="19" s="1"/>
  <c r="H16" i="19"/>
  <c r="I16" i="19" s="1"/>
  <c r="J16" i="19" s="1"/>
  <c r="H17" i="19"/>
  <c r="I17" i="19" s="1"/>
  <c r="J17" i="19" s="1"/>
  <c r="H18" i="19"/>
  <c r="I18" i="19" s="1"/>
  <c r="J18" i="19" s="1"/>
  <c r="H19" i="19"/>
  <c r="I19" i="19" s="1"/>
  <c r="J19" i="19" s="1"/>
  <c r="H20" i="19"/>
  <c r="I20" i="19" s="1"/>
  <c r="J20" i="19" s="1"/>
  <c r="H21" i="19"/>
  <c r="I21" i="19" s="1"/>
  <c r="J21" i="19" s="1"/>
  <c r="H22" i="19"/>
  <c r="I22" i="19" s="1"/>
  <c r="J22" i="19" s="1"/>
  <c r="H23" i="19"/>
  <c r="I23" i="19" s="1"/>
  <c r="J23" i="19" s="1"/>
  <c r="H24" i="19"/>
  <c r="I24" i="19" s="1"/>
  <c r="J24" i="19" s="1"/>
  <c r="H25" i="19"/>
  <c r="I25" i="19" s="1"/>
  <c r="J25" i="19" s="1"/>
  <c r="H26" i="19"/>
  <c r="I26" i="19" s="1"/>
  <c r="J26" i="19" s="1"/>
  <c r="H27" i="19"/>
  <c r="I27" i="19" s="1"/>
  <c r="J27" i="19" s="1"/>
  <c r="H28" i="19"/>
  <c r="I28" i="19" s="1"/>
  <c r="J28" i="19" s="1"/>
  <c r="H29" i="19"/>
  <c r="I29" i="19" s="1"/>
  <c r="J29" i="19" s="1"/>
  <c r="H30" i="19"/>
  <c r="H31" i="19"/>
  <c r="I31" i="19" s="1"/>
  <c r="J31" i="19" s="1"/>
  <c r="H32" i="19"/>
  <c r="I32" i="19" s="1"/>
  <c r="J32" i="19" s="1"/>
  <c r="H33" i="19"/>
  <c r="I33" i="19" s="1"/>
  <c r="J33" i="19" s="1"/>
  <c r="H34" i="19"/>
  <c r="I34" i="19" s="1"/>
  <c r="J34" i="19" s="1"/>
  <c r="H35" i="19"/>
  <c r="I35" i="19" s="1"/>
  <c r="J35" i="19" s="1"/>
  <c r="H36" i="19"/>
  <c r="I36" i="19" s="1"/>
  <c r="J36" i="19" s="1"/>
  <c r="H37" i="19"/>
  <c r="I37" i="19" s="1"/>
  <c r="J37" i="19" s="1"/>
  <c r="H38" i="19"/>
  <c r="I38" i="19" s="1"/>
  <c r="J38" i="19" s="1"/>
  <c r="H39" i="19"/>
  <c r="I39" i="19" s="1"/>
  <c r="J39" i="19" s="1"/>
  <c r="E108" i="38"/>
  <c r="J109" i="38" s="1"/>
  <c r="B17" i="9"/>
  <c r="F17" i="9" s="1"/>
  <c r="H63" i="19"/>
  <c r="I63" i="19" s="1"/>
  <c r="J63" i="19" s="1"/>
  <c r="H64" i="19"/>
  <c r="I64" i="19" s="1"/>
  <c r="J64" i="19" s="1"/>
  <c r="H65" i="19"/>
  <c r="I65" i="19" s="1"/>
  <c r="J65" i="19" s="1"/>
  <c r="H66" i="19"/>
  <c r="I66" i="19" s="1"/>
  <c r="J66" i="19" s="1"/>
  <c r="H67" i="19"/>
  <c r="I67" i="19" s="1"/>
  <c r="J67" i="19" s="1"/>
  <c r="H68" i="19"/>
  <c r="I68" i="19" s="1"/>
  <c r="J68" i="19" s="1"/>
  <c r="H69" i="19"/>
  <c r="I69" i="19" s="1"/>
  <c r="J69" i="19" s="1"/>
  <c r="H70" i="19"/>
  <c r="I70" i="19" s="1"/>
  <c r="J70" i="19" s="1"/>
  <c r="H71" i="19"/>
  <c r="H72" i="19"/>
  <c r="H73" i="19"/>
  <c r="I73" i="19" s="1"/>
  <c r="J73" i="19" s="1"/>
  <c r="H74" i="19"/>
  <c r="I74" i="19" s="1"/>
  <c r="J74" i="19" s="1"/>
  <c r="H100" i="19"/>
  <c r="I100" i="19" s="1"/>
  <c r="J100" i="19" s="1"/>
  <c r="H40" i="19"/>
  <c r="I40" i="19" s="1"/>
  <c r="J40" i="19" s="1"/>
  <c r="H42" i="19"/>
  <c r="I42" i="19" s="1"/>
  <c r="J42" i="19" s="1"/>
  <c r="H43" i="19"/>
  <c r="I43" i="19" s="1"/>
  <c r="J43" i="19" s="1"/>
  <c r="H45" i="19"/>
  <c r="I45" i="19" s="1"/>
  <c r="J45" i="19" s="1"/>
  <c r="H47" i="19"/>
  <c r="I47" i="19" s="1"/>
  <c r="J47" i="19" s="1"/>
  <c r="H49" i="19"/>
  <c r="I49" i="19" s="1"/>
  <c r="J49" i="19" s="1"/>
  <c r="H51" i="19"/>
  <c r="I51" i="19" s="1"/>
  <c r="J51" i="19" s="1"/>
  <c r="H54" i="19"/>
  <c r="I54" i="19" s="1"/>
  <c r="J54" i="19" s="1"/>
  <c r="H55" i="19"/>
  <c r="I55" i="19" s="1"/>
  <c r="J55" i="19" s="1"/>
  <c r="H57" i="19"/>
  <c r="I57" i="19" s="1"/>
  <c r="J57" i="19" s="1"/>
  <c r="H59" i="19"/>
  <c r="I59" i="19" s="1"/>
  <c r="J59" i="19" s="1"/>
  <c r="I112" i="19"/>
  <c r="J112" i="19" s="1"/>
  <c r="H123" i="19"/>
  <c r="I123" i="19" s="1"/>
  <c r="J123" i="19" s="1"/>
  <c r="H41" i="19"/>
  <c r="I41" i="19" s="1"/>
  <c r="J41" i="19" s="1"/>
  <c r="H44" i="19"/>
  <c r="I44" i="19" s="1"/>
  <c r="J44" i="19" s="1"/>
  <c r="H46" i="19"/>
  <c r="I46" i="19" s="1"/>
  <c r="J46" i="19" s="1"/>
  <c r="H48" i="19"/>
  <c r="I48" i="19" s="1"/>
  <c r="J48" i="19" s="1"/>
  <c r="H50" i="19"/>
  <c r="I50" i="19" s="1"/>
  <c r="J50" i="19" s="1"/>
  <c r="H52" i="19"/>
  <c r="I52" i="19" s="1"/>
  <c r="J52" i="19" s="1"/>
  <c r="H53" i="19"/>
  <c r="I53" i="19" s="1"/>
  <c r="J53" i="19" s="1"/>
  <c r="H56" i="19"/>
  <c r="I56" i="19" s="1"/>
  <c r="J56" i="19" s="1"/>
  <c r="H58" i="19"/>
  <c r="I58" i="19" s="1"/>
  <c r="J58" i="19" s="1"/>
  <c r="H60" i="19"/>
  <c r="I60" i="19" s="1"/>
  <c r="J60" i="19" s="1"/>
  <c r="E386" i="38"/>
  <c r="E389" i="38"/>
  <c r="E390" i="38"/>
  <c r="E387" i="38"/>
  <c r="H388" i="38"/>
  <c r="H391" i="38"/>
  <c r="E391" i="38"/>
  <c r="H389" i="38"/>
  <c r="H390" i="38"/>
  <c r="P230" i="38"/>
  <c r="E27" i="11"/>
  <c r="H56" i="38" s="1"/>
  <c r="I4" i="19"/>
  <c r="J4" i="19" s="1"/>
  <c r="I6" i="19"/>
  <c r="J6" i="19" s="1"/>
  <c r="I8" i="19"/>
  <c r="J8" i="19" s="1"/>
  <c r="I10" i="19"/>
  <c r="J10" i="19" s="1"/>
  <c r="I12" i="19"/>
  <c r="J12" i="19" s="1"/>
  <c r="I71" i="19"/>
  <c r="J71" i="19" s="1"/>
  <c r="I72" i="19"/>
  <c r="J72" i="19" s="1"/>
  <c r="D37" i="11"/>
  <c r="J55" i="38" s="1"/>
  <c r="I3" i="19"/>
  <c r="J3" i="19" s="1"/>
  <c r="I5" i="19"/>
  <c r="J5" i="19" s="1"/>
  <c r="I7" i="19"/>
  <c r="J7" i="19" s="1"/>
  <c r="I9" i="19"/>
  <c r="J9" i="19" s="1"/>
  <c r="I11" i="19"/>
  <c r="J11" i="19" s="1"/>
  <c r="I30" i="19"/>
  <c r="J30" i="19" s="1"/>
  <c r="D98" i="19"/>
  <c r="D134" i="19" s="1"/>
  <c r="H37" i="11"/>
  <c r="I13" i="19"/>
  <c r="J13" i="19" s="1"/>
  <c r="B180" i="38"/>
  <c r="B185" i="38"/>
  <c r="B179" i="38"/>
  <c r="B183" i="38"/>
  <c r="B187" i="38"/>
  <c r="B184" i="38"/>
  <c r="B181" i="38"/>
  <c r="B178" i="38"/>
  <c r="B182" i="38"/>
  <c r="B186" i="38"/>
  <c r="M30" i="9"/>
  <c r="J168" i="38" s="1"/>
  <c r="V31" i="24"/>
  <c r="I18" i="11"/>
  <c r="G334" i="38" s="1"/>
  <c r="F398" i="38" s="1"/>
  <c r="E409" i="38" s="1"/>
  <c r="B37" i="11"/>
  <c r="J53" i="38" s="1"/>
  <c r="J37" i="11"/>
  <c r="J61" i="38" s="1"/>
  <c r="I27" i="9"/>
  <c r="F165" i="38" s="1"/>
  <c r="F179" i="38" s="1"/>
  <c r="H42" i="9"/>
  <c r="T41" i="24"/>
  <c r="W30" i="24"/>
  <c r="D162" i="19" s="1"/>
  <c r="W34" i="24"/>
  <c r="D166" i="19" s="1"/>
  <c r="E282" i="38"/>
  <c r="H282" i="38" s="1"/>
  <c r="E288" i="38"/>
  <c r="E18" i="11"/>
  <c r="F56" i="38" s="1"/>
  <c r="W28" i="24"/>
  <c r="D160" i="19" s="1"/>
  <c r="W32" i="24"/>
  <c r="D164" i="19" s="1"/>
  <c r="H168" i="38"/>
  <c r="H182" i="38" s="1"/>
  <c r="M27" i="9"/>
  <c r="M39" i="9" s="1"/>
  <c r="E281" i="38"/>
  <c r="H281" i="38" s="1"/>
  <c r="E285" i="38"/>
  <c r="F288" i="38"/>
  <c r="G350" i="38"/>
  <c r="F400" i="38" s="1"/>
  <c r="E411" i="38" s="1"/>
  <c r="B18" i="11"/>
  <c r="F53" i="38" s="1"/>
  <c r="F18" i="11"/>
  <c r="F57" i="38" s="1"/>
  <c r="J18" i="11"/>
  <c r="C24" i="11"/>
  <c r="C43" i="11" s="1"/>
  <c r="C53" i="11" s="1"/>
  <c r="D27" i="11"/>
  <c r="H55" i="38" s="1"/>
  <c r="H27" i="11"/>
  <c r="J29" i="11"/>
  <c r="H352" i="38" s="1"/>
  <c r="E37" i="11"/>
  <c r="J56" i="38" s="1"/>
  <c r="I37" i="11"/>
  <c r="D77" i="19"/>
  <c r="H77" i="19" s="1"/>
  <c r="I77" i="19" s="1"/>
  <c r="J77" i="19" s="1"/>
  <c r="D80" i="19"/>
  <c r="D129" i="19" s="1"/>
  <c r="K28" i="9"/>
  <c r="K41" i="9" s="1"/>
  <c r="I29" i="9"/>
  <c r="F167" i="38" s="1"/>
  <c r="F182" i="38" s="1"/>
  <c r="K31" i="9"/>
  <c r="H169" i="38" s="1"/>
  <c r="I32" i="9"/>
  <c r="F170" i="38" s="1"/>
  <c r="M33" i="9"/>
  <c r="J171" i="38" s="1"/>
  <c r="J186" i="38" s="1"/>
  <c r="K34" i="9"/>
  <c r="S41" i="24"/>
  <c r="H90" i="19"/>
  <c r="I90" i="19" s="1"/>
  <c r="J90" i="19" s="1"/>
  <c r="H94" i="19"/>
  <c r="I94" i="19" s="1"/>
  <c r="J94" i="19" s="1"/>
  <c r="H92" i="19"/>
  <c r="I92" i="19" s="1"/>
  <c r="J92" i="19" s="1"/>
  <c r="D133" i="19"/>
  <c r="E283" i="38"/>
  <c r="H283" i="38" s="1"/>
  <c r="G285" i="38"/>
  <c r="G287" i="38"/>
  <c r="H287" i="38" s="1"/>
  <c r="D18" i="11"/>
  <c r="F55" i="38" s="1"/>
  <c r="G24" i="11"/>
  <c r="F27" i="11"/>
  <c r="H57" i="38" s="1"/>
  <c r="J27" i="11"/>
  <c r="H350" i="38" s="1"/>
  <c r="F411" i="38" s="1"/>
  <c r="I34" i="11"/>
  <c r="G361" i="38" s="1"/>
  <c r="D76" i="19"/>
  <c r="D125" i="19" s="1"/>
  <c r="D81" i="19"/>
  <c r="D130" i="19" s="1"/>
  <c r="H88" i="19"/>
  <c r="I88" i="19" s="1"/>
  <c r="J88" i="19" s="1"/>
  <c r="K27" i="9"/>
  <c r="M29" i="9"/>
  <c r="I31" i="9"/>
  <c r="F169" i="38" s="1"/>
  <c r="F183" i="38" s="1"/>
  <c r="K32" i="9"/>
  <c r="H170" i="38" s="1"/>
  <c r="B16" i="18"/>
  <c r="E295" i="38" s="1"/>
  <c r="C128" i="19"/>
  <c r="V37" i="24"/>
  <c r="H430" i="38"/>
  <c r="F22" i="38"/>
  <c r="G22" i="38" s="1"/>
  <c r="F23" i="38"/>
  <c r="G23" i="38" s="1"/>
  <c r="J419" i="38"/>
  <c r="B69" i="38"/>
  <c r="J396" i="38"/>
  <c r="J392" i="38"/>
  <c r="B59" i="38"/>
  <c r="J407" i="38"/>
  <c r="H280" i="38"/>
  <c r="H284" i="38"/>
  <c r="E328" i="38"/>
  <c r="I365" i="38"/>
  <c r="J256" i="38"/>
  <c r="J264" i="38"/>
  <c r="I256" i="38"/>
  <c r="I264" i="38"/>
  <c r="G278" i="38" s="1"/>
  <c r="G292" i="38" s="1"/>
  <c r="G307" i="38" s="1"/>
  <c r="H264" i="38"/>
  <c r="F278" i="38" s="1"/>
  <c r="F292" i="38" s="1"/>
  <c r="F307" i="38" s="1"/>
  <c r="H256" i="38"/>
  <c r="F256" i="38"/>
  <c r="F264" i="38"/>
  <c r="B333" i="38" s="1"/>
  <c r="A6" i="38"/>
  <c r="G119" i="38"/>
  <c r="G131" i="38" s="1"/>
  <c r="G144" i="38" s="1"/>
  <c r="G162" i="38" s="1"/>
  <c r="G176" i="38" s="1"/>
  <c r="G191" i="38" s="1"/>
  <c r="G196" i="38" s="1"/>
  <c r="G201" i="38" s="1"/>
  <c r="E388" i="38"/>
  <c r="B81" i="38"/>
  <c r="B111" i="38" s="1"/>
  <c r="B116" i="38" s="1"/>
  <c r="B222" i="38" s="1"/>
  <c r="B274" i="38" s="1"/>
  <c r="B309" i="38" s="1"/>
  <c r="B63" i="38"/>
  <c r="B56" i="38"/>
  <c r="B74" i="38"/>
  <c r="B60" i="38"/>
  <c r="B78" i="38"/>
  <c r="B58" i="38"/>
  <c r="B62" i="38"/>
  <c r="E119" i="38"/>
  <c r="E131" i="38" s="1"/>
  <c r="E144" i="38" s="1"/>
  <c r="E162" i="38" s="1"/>
  <c r="E176" i="38" s="1"/>
  <c r="E191" i="38" s="1"/>
  <c r="E196" i="38" s="1"/>
  <c r="E201" i="38" s="1"/>
  <c r="A4" i="38"/>
  <c r="B272" i="38"/>
  <c r="B270" i="38"/>
  <c r="I356" i="38"/>
  <c r="E335" i="38"/>
  <c r="K33" i="38"/>
  <c r="E14" i="38" s="1"/>
  <c r="I364" i="38"/>
  <c r="G364" i="38"/>
  <c r="E375" i="38"/>
  <c r="H72" i="38"/>
  <c r="H76" i="38"/>
  <c r="I355" i="38"/>
  <c r="B57" i="38"/>
  <c r="B73" i="38"/>
  <c r="B61" i="38"/>
  <c r="B53" i="38"/>
  <c r="B72" i="38"/>
  <c r="I347" i="38"/>
  <c r="M44" i="9"/>
  <c r="J170" i="38"/>
  <c r="L26" i="9"/>
  <c r="I164" i="38" s="1"/>
  <c r="B32" i="11"/>
  <c r="I53" i="38" s="1"/>
  <c r="H46" i="9"/>
  <c r="E172" i="38"/>
  <c r="G72" i="38"/>
  <c r="J165" i="38"/>
  <c r="J179" i="38" s="1"/>
  <c r="E286" i="38"/>
  <c r="H286" i="38" s="1"/>
  <c r="H110" i="19"/>
  <c r="I110" i="19" s="1"/>
  <c r="J110" i="19" s="1"/>
  <c r="H140" i="39"/>
  <c r="I141" i="19" s="1"/>
  <c r="J27" i="9"/>
  <c r="G165" i="38" s="1"/>
  <c r="G180" i="38" s="1"/>
  <c r="J169" i="38"/>
  <c r="J44" i="9"/>
  <c r="K42" i="9"/>
  <c r="H3" i="17"/>
  <c r="B46" i="11" s="1"/>
  <c r="H16" i="38" s="1"/>
  <c r="B22" i="11"/>
  <c r="G53" i="38" s="1"/>
  <c r="J26" i="9"/>
  <c r="G164" i="38" s="1"/>
  <c r="D22" i="11"/>
  <c r="G55" i="38" s="1"/>
  <c r="F22" i="11"/>
  <c r="G57" i="38" s="1"/>
  <c r="J30" i="9"/>
  <c r="G168" i="38" s="1"/>
  <c r="G183" i="38" s="1"/>
  <c r="H22" i="11"/>
  <c r="J22" i="11"/>
  <c r="J34" i="9"/>
  <c r="G172" i="38" s="1"/>
  <c r="C20" i="18"/>
  <c r="F299" i="38" s="1"/>
  <c r="G29" i="11"/>
  <c r="D21" i="18"/>
  <c r="G300" i="38" s="1"/>
  <c r="H34" i="11"/>
  <c r="C126" i="19"/>
  <c r="C130" i="19"/>
  <c r="H89" i="19"/>
  <c r="I89" i="19" s="1"/>
  <c r="J89" i="19" s="1"/>
  <c r="H91" i="19"/>
  <c r="I91" i="19" s="1"/>
  <c r="J91" i="19" s="1"/>
  <c r="H93" i="19"/>
  <c r="I93" i="19" s="1"/>
  <c r="J93" i="19" s="1"/>
  <c r="H95" i="19"/>
  <c r="I95" i="19" s="1"/>
  <c r="J95" i="19" s="1"/>
  <c r="H99" i="19"/>
  <c r="I99" i="19" s="1"/>
  <c r="J99" i="19" s="1"/>
  <c r="E14" i="11"/>
  <c r="E56" i="38" s="1"/>
  <c r="J14" i="11"/>
  <c r="H104" i="19"/>
  <c r="I104" i="19" s="1"/>
  <c r="J104" i="19" s="1"/>
  <c r="H102" i="19"/>
  <c r="I102" i="19" s="1"/>
  <c r="J102" i="19" s="1"/>
  <c r="H171" i="38"/>
  <c r="J29" i="9"/>
  <c r="G167" i="38" s="1"/>
  <c r="G181" i="38" s="1"/>
  <c r="L30" i="9"/>
  <c r="F32" i="11"/>
  <c r="J33" i="9"/>
  <c r="G171" i="38" s="1"/>
  <c r="L34" i="9"/>
  <c r="J32" i="11"/>
  <c r="H359" i="38" s="1"/>
  <c r="F412" i="38" s="1"/>
  <c r="E424" i="38" s="1"/>
  <c r="C22" i="18"/>
  <c r="F301" i="38" s="1"/>
  <c r="I29" i="11"/>
  <c r="G352" i="38" s="1"/>
  <c r="D23" i="18"/>
  <c r="G302" i="38" s="1"/>
  <c r="J34" i="11"/>
  <c r="H361" i="38" s="1"/>
  <c r="K412" i="38" s="1"/>
  <c r="J424" i="38" s="1"/>
  <c r="R21" i="24"/>
  <c r="C75" i="19"/>
  <c r="C124" i="19" s="1"/>
  <c r="V35" i="24"/>
  <c r="W36" i="24"/>
  <c r="D168" i="19" s="1"/>
  <c r="V39" i="24"/>
  <c r="E168" i="38"/>
  <c r="E182" i="38" s="1"/>
  <c r="G170" i="38"/>
  <c r="G184" i="38" s="1"/>
  <c r="B14" i="11"/>
  <c r="E53" i="38" s="1"/>
  <c r="B144" i="19"/>
  <c r="E4" i="11" s="1"/>
  <c r="D127" i="19"/>
  <c r="B143" i="19"/>
  <c r="D4" i="11" s="1"/>
  <c r="H84" i="19"/>
  <c r="I84" i="19" s="1"/>
  <c r="J84" i="19" s="1"/>
  <c r="B140" i="39"/>
  <c r="B142" i="39"/>
  <c r="B144" i="39"/>
  <c r="V10" i="24"/>
  <c r="V14" i="24"/>
  <c r="B142" i="19"/>
  <c r="E102" i="38" s="1"/>
  <c r="J103" i="38" s="1"/>
  <c r="H78" i="19"/>
  <c r="I78" i="19" s="1"/>
  <c r="J78" i="19" s="1"/>
  <c r="H82" i="19"/>
  <c r="I82" i="19" s="1"/>
  <c r="J82" i="19" s="1"/>
  <c r="H86" i="19"/>
  <c r="I86" i="19" s="1"/>
  <c r="J86" i="19" s="1"/>
  <c r="E9" i="18"/>
  <c r="I48" i="11" s="1"/>
  <c r="V12" i="24"/>
  <c r="W29" i="24"/>
  <c r="D161" i="19" s="1"/>
  <c r="V30" i="24"/>
  <c r="W31" i="24"/>
  <c r="D163" i="19" s="1"/>
  <c r="V32" i="24"/>
  <c r="W33" i="24"/>
  <c r="D165" i="19" s="1"/>
  <c r="V34" i="24"/>
  <c r="W35" i="24"/>
  <c r="D167" i="19" s="1"/>
  <c r="V36" i="24"/>
  <c r="W37" i="24"/>
  <c r="D169" i="19" s="1"/>
  <c r="V38" i="24"/>
  <c r="W39" i="24"/>
  <c r="D171" i="19" s="1"/>
  <c r="M36" i="9"/>
  <c r="M47" i="9"/>
  <c r="G124" i="39"/>
  <c r="H122" i="39"/>
  <c r="H12" i="17"/>
  <c r="K46" i="11" s="1"/>
  <c r="H25" i="38" s="1"/>
  <c r="K37" i="11"/>
  <c r="K18" i="11"/>
  <c r="G125" i="19"/>
  <c r="E37" i="38"/>
  <c r="E73" i="38" s="1"/>
  <c r="H85" i="19"/>
  <c r="I85" i="19" s="1"/>
  <c r="J85" i="19" s="1"/>
  <c r="G60" i="38"/>
  <c r="F186" i="38"/>
  <c r="G62" i="19"/>
  <c r="H62" i="19" s="1"/>
  <c r="I62" i="19" s="1"/>
  <c r="J62" i="19" s="1"/>
  <c r="H61" i="19"/>
  <c r="I61" i="19" s="1"/>
  <c r="J61" i="19" s="1"/>
  <c r="D135" i="19"/>
  <c r="G345" i="38"/>
  <c r="G41" i="11"/>
  <c r="J58" i="38"/>
  <c r="C41" i="11"/>
  <c r="B146" i="19"/>
  <c r="D124" i="19"/>
  <c r="D128" i="19"/>
  <c r="H79" i="19"/>
  <c r="I79" i="19" s="1"/>
  <c r="J79" i="19" s="1"/>
  <c r="D132" i="19"/>
  <c r="H83" i="19"/>
  <c r="I83" i="19" s="1"/>
  <c r="J83" i="19" s="1"/>
  <c r="H63" i="39"/>
  <c r="G62" i="39"/>
  <c r="H62" i="39" s="1"/>
  <c r="F166" i="38"/>
  <c r="H71" i="38"/>
  <c r="G74" i="38"/>
  <c r="G347" i="38"/>
  <c r="D131" i="19"/>
  <c r="H141" i="19"/>
  <c r="H7" i="17"/>
  <c r="F46" i="11" s="1"/>
  <c r="H20" i="38" s="1"/>
  <c r="B141" i="19"/>
  <c r="B145" i="19"/>
  <c r="H97" i="19"/>
  <c r="I97" i="19" s="1"/>
  <c r="J97" i="19" s="1"/>
  <c r="H106" i="19"/>
  <c r="I106" i="19" s="1"/>
  <c r="J106" i="19" s="1"/>
  <c r="B143" i="39"/>
  <c r="J4" i="17"/>
  <c r="H4" i="17"/>
  <c r="C46" i="11" s="1"/>
  <c r="H17" i="38" s="1"/>
  <c r="H27" i="9"/>
  <c r="L27" i="9"/>
  <c r="J9" i="17"/>
  <c r="H32" i="9"/>
  <c r="H9" i="17"/>
  <c r="H46" i="11" s="1"/>
  <c r="H22" i="38" s="1"/>
  <c r="L32" i="9"/>
  <c r="L45" i="9" s="1"/>
  <c r="H10" i="17"/>
  <c r="I46" i="11" s="1"/>
  <c r="H23" i="38" s="1"/>
  <c r="B17" i="18"/>
  <c r="E296" i="38" s="1"/>
  <c r="E4" i="18"/>
  <c r="D48" i="11" s="1"/>
  <c r="B23" i="18"/>
  <c r="E302" i="38" s="1"/>
  <c r="E10" i="18"/>
  <c r="J48" i="11" s="1"/>
  <c r="W11" i="24"/>
  <c r="C163" i="19" s="1"/>
  <c r="C103" i="19"/>
  <c r="H103" i="19" s="1"/>
  <c r="I103" i="19" s="1"/>
  <c r="J103" i="19" s="1"/>
  <c r="W15" i="24"/>
  <c r="C107" i="19"/>
  <c r="H107" i="19" s="1"/>
  <c r="I107" i="19" s="1"/>
  <c r="J107" i="19" s="1"/>
  <c r="V18" i="24"/>
  <c r="C98" i="19"/>
  <c r="W19" i="24"/>
  <c r="C171" i="19" s="1"/>
  <c r="C111" i="19"/>
  <c r="H111" i="19" s="1"/>
  <c r="I111" i="19" s="1"/>
  <c r="J111" i="19" s="1"/>
  <c r="B141" i="39"/>
  <c r="H141" i="39"/>
  <c r="I142" i="19" s="1"/>
  <c r="B145" i="39"/>
  <c r="H75" i="9"/>
  <c r="J5" i="17"/>
  <c r="H28" i="9"/>
  <c r="H5" i="17"/>
  <c r="D46" i="11" s="1"/>
  <c r="H18" i="38" s="1"/>
  <c r="L28" i="9"/>
  <c r="L41" i="9" s="1"/>
  <c r="H6" i="17"/>
  <c r="E46" i="11" s="1"/>
  <c r="H19" i="38" s="1"/>
  <c r="J8" i="17"/>
  <c r="H8" i="17"/>
  <c r="G46" i="11" s="1"/>
  <c r="H21" i="38" s="1"/>
  <c r="H31" i="9"/>
  <c r="L31" i="9"/>
  <c r="S21" i="24"/>
  <c r="V8" i="24"/>
  <c r="W9" i="24"/>
  <c r="C161" i="19" s="1"/>
  <c r="C101" i="19"/>
  <c r="H101" i="19" s="1"/>
  <c r="I101" i="19" s="1"/>
  <c r="J101" i="19" s="1"/>
  <c r="W13" i="24"/>
  <c r="C165" i="19" s="1"/>
  <c r="C105" i="19"/>
  <c r="H105" i="19" s="1"/>
  <c r="I105" i="19" s="1"/>
  <c r="J105" i="19" s="1"/>
  <c r="V16" i="24"/>
  <c r="C96" i="19"/>
  <c r="H96" i="19" s="1"/>
  <c r="I96" i="19" s="1"/>
  <c r="J96" i="19" s="1"/>
  <c r="W17" i="24"/>
  <c r="C169" i="19" s="1"/>
  <c r="C109" i="19"/>
  <c r="H109" i="19" s="1"/>
  <c r="I109" i="19" s="1"/>
  <c r="J109" i="19" s="1"/>
  <c r="V28" i="24"/>
  <c r="R41" i="24"/>
  <c r="I46" i="9"/>
  <c r="I47" i="9"/>
  <c r="G75" i="9"/>
  <c r="H11" i="17"/>
  <c r="J46" i="11" s="1"/>
  <c r="H24" i="38" s="1"/>
  <c r="B18" i="18"/>
  <c r="E297" i="38" s="1"/>
  <c r="T21" i="24"/>
  <c r="J3" i="17"/>
  <c r="J7" i="17"/>
  <c r="J11" i="17"/>
  <c r="B15" i="18"/>
  <c r="E294" i="38" s="1"/>
  <c r="E2" i="18"/>
  <c r="B48" i="11" s="1"/>
  <c r="B19" i="18"/>
  <c r="E298" i="38" s="1"/>
  <c r="E6" i="18"/>
  <c r="F48" i="11" s="1"/>
  <c r="F53" i="11" s="1"/>
  <c r="B21" i="18"/>
  <c r="E300" i="38" s="1"/>
  <c r="E8" i="18"/>
  <c r="H48" i="11" s="1"/>
  <c r="J6" i="17"/>
  <c r="J10" i="17"/>
  <c r="E7" i="18"/>
  <c r="G48" i="11" s="1"/>
  <c r="V9" i="24"/>
  <c r="W10" i="24"/>
  <c r="C162" i="19" s="1"/>
  <c r="V11" i="24"/>
  <c r="W12" i="24"/>
  <c r="C164" i="19" s="1"/>
  <c r="V13" i="24"/>
  <c r="W14" i="24"/>
  <c r="V15" i="24"/>
  <c r="W16" i="24"/>
  <c r="C168" i="19" s="1"/>
  <c r="V17" i="24"/>
  <c r="W18" i="24"/>
  <c r="C170" i="19" s="1"/>
  <c r="V19" i="24"/>
  <c r="W8" i="24"/>
  <c r="C160" i="19" s="1"/>
  <c r="I330" i="38"/>
  <c r="G346" i="38"/>
  <c r="H355" i="38"/>
  <c r="I74" i="38"/>
  <c r="K54" i="38"/>
  <c r="I72" i="38"/>
  <c r="I76" i="38"/>
  <c r="I73" i="38"/>
  <c r="G355" i="38"/>
  <c r="I377" i="38"/>
  <c r="I381" i="38" s="1"/>
  <c r="F25" i="38" l="1"/>
  <c r="G25" i="38" s="1"/>
  <c r="J36" i="9"/>
  <c r="H346" i="38"/>
  <c r="B53" i="11"/>
  <c r="I346" i="38"/>
  <c r="F20" i="38"/>
  <c r="G20" i="38" s="1"/>
  <c r="H78" i="38"/>
  <c r="F19" i="38"/>
  <c r="G19" i="38" s="1"/>
  <c r="I77" i="38"/>
  <c r="G304" i="38"/>
  <c r="F304" i="38"/>
  <c r="J41" i="9"/>
  <c r="D53" i="11"/>
  <c r="H364" i="38"/>
  <c r="E60" i="38"/>
  <c r="G330" i="38"/>
  <c r="I363" i="38"/>
  <c r="I60" i="38"/>
  <c r="M46" i="9"/>
  <c r="I44" i="9"/>
  <c r="J45" i="9"/>
  <c r="I18" i="38"/>
  <c r="J18" i="38" s="1"/>
  <c r="G363" i="38"/>
  <c r="M45" i="9"/>
  <c r="I41" i="9"/>
  <c r="M42" i="9"/>
  <c r="I350" i="38"/>
  <c r="H62" i="38"/>
  <c r="G187" i="38"/>
  <c r="I345" i="38"/>
  <c r="G80" i="38"/>
  <c r="H36" i="9"/>
  <c r="K45" i="9"/>
  <c r="H285" i="38"/>
  <c r="E304" i="38"/>
  <c r="E187" i="38"/>
  <c r="L388" i="38"/>
  <c r="H47" i="9"/>
  <c r="G43" i="11"/>
  <c r="F187" i="38"/>
  <c r="H347" i="38"/>
  <c r="K410" i="38"/>
  <c r="J422" i="38" s="1"/>
  <c r="J426" i="38" s="1"/>
  <c r="F390" i="38"/>
  <c r="E401" i="38" s="1"/>
  <c r="G401" i="38" s="1"/>
  <c r="F363" i="38"/>
  <c r="D125" i="39"/>
  <c r="G356" i="38"/>
  <c r="K400" i="38"/>
  <c r="J411" i="38" s="1"/>
  <c r="H43" i="11"/>
  <c r="H53" i="11" s="1"/>
  <c r="F361" i="38"/>
  <c r="H356" i="38"/>
  <c r="K411" i="38"/>
  <c r="D41" i="11"/>
  <c r="D51" i="11" s="1"/>
  <c r="I39" i="9"/>
  <c r="H59" i="38"/>
  <c r="F350" i="38"/>
  <c r="H75" i="39"/>
  <c r="H76" i="39"/>
  <c r="H28" i="39"/>
  <c r="C124" i="39"/>
  <c r="H50" i="39"/>
  <c r="F387" i="38"/>
  <c r="E398" i="38" s="1"/>
  <c r="F337" i="38"/>
  <c r="C123" i="39"/>
  <c r="H123" i="39" s="1"/>
  <c r="G59" i="38"/>
  <c r="F341" i="38"/>
  <c r="H51" i="39"/>
  <c r="C41" i="39"/>
  <c r="H29" i="39"/>
  <c r="F346" i="38"/>
  <c r="I388" i="38"/>
  <c r="H399" i="38" s="1"/>
  <c r="H100" i="39"/>
  <c r="H38" i="39"/>
  <c r="F386" i="38"/>
  <c r="F330" i="38"/>
  <c r="K401" i="38"/>
  <c r="J412" i="38" s="1"/>
  <c r="L412" i="38" s="1"/>
  <c r="J59" i="38"/>
  <c r="F368" i="38"/>
  <c r="N50" i="9"/>
  <c r="H99" i="39"/>
  <c r="H39" i="39"/>
  <c r="H52" i="39"/>
  <c r="H142" i="19"/>
  <c r="J142" i="19" s="1"/>
  <c r="H143" i="19"/>
  <c r="D5" i="11" s="1"/>
  <c r="D6" i="11" s="1"/>
  <c r="E104" i="38"/>
  <c r="J105" i="38" s="1"/>
  <c r="H146" i="19"/>
  <c r="C13" i="9" s="1"/>
  <c r="H76" i="19"/>
  <c r="I76" i="19" s="1"/>
  <c r="J76" i="19" s="1"/>
  <c r="H150" i="19"/>
  <c r="C17" i="9" s="1"/>
  <c r="D17" i="9" s="1"/>
  <c r="E17" i="9" s="1"/>
  <c r="D126" i="19"/>
  <c r="H144" i="19"/>
  <c r="B9" i="9"/>
  <c r="F9" i="9" s="1"/>
  <c r="E392" i="38"/>
  <c r="H386" i="38"/>
  <c r="H387" i="38"/>
  <c r="H74" i="38"/>
  <c r="M40" i="9"/>
  <c r="H98" i="19"/>
  <c r="I98" i="19" s="1"/>
  <c r="J98" i="19" s="1"/>
  <c r="H75" i="38"/>
  <c r="K43" i="9"/>
  <c r="H368" i="38"/>
  <c r="F413" i="38" s="1"/>
  <c r="I41" i="11"/>
  <c r="I51" i="11" s="1"/>
  <c r="I43" i="9"/>
  <c r="H81" i="19"/>
  <c r="I81" i="19" s="1"/>
  <c r="J81" i="19" s="1"/>
  <c r="F60" i="38"/>
  <c r="H184" i="38"/>
  <c r="H183" i="38"/>
  <c r="G354" i="38"/>
  <c r="G411" i="38"/>
  <c r="G337" i="38"/>
  <c r="H288" i="38"/>
  <c r="J185" i="38"/>
  <c r="K56" i="38"/>
  <c r="I40" i="9"/>
  <c r="C4" i="11"/>
  <c r="M43" i="9"/>
  <c r="H354" i="38"/>
  <c r="H160" i="19"/>
  <c r="K44" i="9"/>
  <c r="V41" i="24"/>
  <c r="E41" i="11"/>
  <c r="E51" i="11" s="1"/>
  <c r="H61" i="38"/>
  <c r="H185" i="38"/>
  <c r="I53" i="9"/>
  <c r="H334" i="38"/>
  <c r="F409" i="38" s="1"/>
  <c r="F61" i="38"/>
  <c r="I45" i="9"/>
  <c r="J43" i="11"/>
  <c r="J53" i="11" s="1"/>
  <c r="H145" i="19"/>
  <c r="I43" i="11"/>
  <c r="I53" i="11" s="1"/>
  <c r="E103" i="38"/>
  <c r="J104" i="38" s="1"/>
  <c r="J167" i="38"/>
  <c r="M41" i="9"/>
  <c r="B152" i="39"/>
  <c r="H75" i="19"/>
  <c r="I75" i="19" s="1"/>
  <c r="J75" i="19" s="1"/>
  <c r="J141" i="19"/>
  <c r="K39" i="9"/>
  <c r="H165" i="38"/>
  <c r="H179" i="38" s="1"/>
  <c r="K47" i="9"/>
  <c r="H172" i="38"/>
  <c r="H187" i="38" s="1"/>
  <c r="J60" i="38"/>
  <c r="G368" i="38"/>
  <c r="F402" i="38" s="1"/>
  <c r="E413" i="38" s="1"/>
  <c r="G365" i="38"/>
  <c r="F73" i="38"/>
  <c r="K46" i="9"/>
  <c r="I42" i="9"/>
  <c r="C133" i="19"/>
  <c r="H73" i="38"/>
  <c r="H80" i="19"/>
  <c r="I80" i="19" s="1"/>
  <c r="J80" i="19" s="1"/>
  <c r="K40" i="9"/>
  <c r="H166" i="38"/>
  <c r="I21" i="38"/>
  <c r="J21" i="38" s="1"/>
  <c r="K55" i="38"/>
  <c r="I24" i="38"/>
  <c r="J24" i="38" s="1"/>
  <c r="I19" i="38"/>
  <c r="J19" i="38" s="1"/>
  <c r="I17" i="38"/>
  <c r="J17" i="38" s="1"/>
  <c r="I20" i="38"/>
  <c r="J20" i="38" s="1"/>
  <c r="I22" i="38"/>
  <c r="J22" i="38" s="1"/>
  <c r="I23" i="38"/>
  <c r="J23" i="38" s="1"/>
  <c r="I25" i="38"/>
  <c r="J25" i="38" s="1"/>
  <c r="G377" i="38"/>
  <c r="G381" i="38" s="1"/>
  <c r="E186" i="38"/>
  <c r="J180" i="38"/>
  <c r="H377" i="38"/>
  <c r="H381" i="38" s="1"/>
  <c r="H365" i="38"/>
  <c r="K124" i="38"/>
  <c r="E376" i="38"/>
  <c r="G75" i="38"/>
  <c r="G185" i="38"/>
  <c r="E256" i="38"/>
  <c r="E264" i="38"/>
  <c r="F180" i="38"/>
  <c r="G264" i="38"/>
  <c r="E278" i="38" s="1"/>
  <c r="E292" i="38" s="1"/>
  <c r="E307" i="38" s="1"/>
  <c r="G256" i="38"/>
  <c r="G179" i="38"/>
  <c r="I57" i="38"/>
  <c r="F41" i="11"/>
  <c r="F51" i="11" s="1"/>
  <c r="J184" i="38"/>
  <c r="J183" i="38"/>
  <c r="C134" i="19"/>
  <c r="B41" i="11"/>
  <c r="B51" i="11" s="1"/>
  <c r="B11" i="9"/>
  <c r="F11" i="9" s="1"/>
  <c r="J47" i="9"/>
  <c r="J41" i="11"/>
  <c r="J51" i="11" s="1"/>
  <c r="G71" i="38"/>
  <c r="L46" i="9"/>
  <c r="L47" i="9"/>
  <c r="I172" i="38"/>
  <c r="I187" i="38" s="1"/>
  <c r="L42" i="9"/>
  <c r="I168" i="38"/>
  <c r="I182" i="38" s="1"/>
  <c r="H327" i="38"/>
  <c r="F408" i="38" s="1"/>
  <c r="E420" i="38" s="1"/>
  <c r="E61" i="38"/>
  <c r="C26" i="18"/>
  <c r="G53" i="11"/>
  <c r="I61" i="38"/>
  <c r="G186" i="38"/>
  <c r="D26" i="18"/>
  <c r="J43" i="9"/>
  <c r="C127" i="19"/>
  <c r="H41" i="11"/>
  <c r="H51" i="11" s="1"/>
  <c r="J42" i="9"/>
  <c r="G51" i="11"/>
  <c r="J46" i="9"/>
  <c r="F181" i="38"/>
  <c r="B10" i="9"/>
  <c r="F10" i="9" s="1"/>
  <c r="J40" i="9"/>
  <c r="H341" i="38"/>
  <c r="F410" i="38" s="1"/>
  <c r="E422" i="38" s="1"/>
  <c r="G61" i="38"/>
  <c r="J39" i="9"/>
  <c r="G73" i="38"/>
  <c r="G161" i="19"/>
  <c r="H161" i="19" s="1"/>
  <c r="G126" i="19"/>
  <c r="F62" i="38"/>
  <c r="I334" i="38"/>
  <c r="F421" i="38" s="1"/>
  <c r="E432" i="38" s="1"/>
  <c r="H149" i="19"/>
  <c r="J62" i="38"/>
  <c r="I368" i="38"/>
  <c r="F425" i="38" s="1"/>
  <c r="E436" i="38" s="1"/>
  <c r="K41" i="11"/>
  <c r="K51" i="11" s="1"/>
  <c r="G125" i="39"/>
  <c r="H124" i="39"/>
  <c r="E61" i="11"/>
  <c r="E62" i="11" s="1"/>
  <c r="D61" i="11"/>
  <c r="F38" i="38"/>
  <c r="F74" i="38" s="1"/>
  <c r="P252" i="38"/>
  <c r="H80" i="9"/>
  <c r="Q236" i="38"/>
  <c r="C132" i="19"/>
  <c r="B13" i="9"/>
  <c r="F13" i="9" s="1"/>
  <c r="G4" i="11"/>
  <c r="E106" i="38"/>
  <c r="J107" i="38" s="1"/>
  <c r="C135" i="19"/>
  <c r="C131" i="19"/>
  <c r="H44" i="9"/>
  <c r="E170" i="38"/>
  <c r="B8" i="9"/>
  <c r="F8" i="9" s="1"/>
  <c r="B153" i="19"/>
  <c r="B4" i="11"/>
  <c r="E101" i="38"/>
  <c r="J102" i="38" s="1"/>
  <c r="G78" i="38"/>
  <c r="C125" i="19"/>
  <c r="H125" i="19" s="1"/>
  <c r="K58" i="38"/>
  <c r="K121" i="38"/>
  <c r="H45" i="9"/>
  <c r="J320" i="38"/>
  <c r="Q227" i="38"/>
  <c r="Q230" i="38" s="1"/>
  <c r="V21" i="24"/>
  <c r="H43" i="9"/>
  <c r="E169" i="38"/>
  <c r="E183" i="38" s="1"/>
  <c r="H41" i="9"/>
  <c r="H40" i="9"/>
  <c r="E166" i="38"/>
  <c r="C129" i="19"/>
  <c r="L44" i="9"/>
  <c r="I170" i="38"/>
  <c r="H39" i="9"/>
  <c r="E165" i="38"/>
  <c r="E179" i="38" s="1"/>
  <c r="G182" i="38"/>
  <c r="L43" i="9"/>
  <c r="I169" i="38"/>
  <c r="L39" i="9"/>
  <c r="I165" i="38"/>
  <c r="I179" i="38" s="1"/>
  <c r="B12" i="9"/>
  <c r="F12" i="9" s="1"/>
  <c r="F4" i="11"/>
  <c r="E105" i="38"/>
  <c r="J106" i="38" s="1"/>
  <c r="G5" i="11"/>
  <c r="K53" i="38"/>
  <c r="B26" i="18"/>
  <c r="C8" i="9"/>
  <c r="B5" i="11"/>
  <c r="F101" i="38"/>
  <c r="K102" i="38" s="1"/>
  <c r="F185" i="38"/>
  <c r="F184" i="38"/>
  <c r="I71" i="38"/>
  <c r="P235" i="38"/>
  <c r="P238" i="38" s="1"/>
  <c r="G80" i="9"/>
  <c r="I166" i="38"/>
  <c r="L40" i="9"/>
  <c r="C51" i="11"/>
  <c r="H124" i="19"/>
  <c r="C9" i="9"/>
  <c r="G412" i="38"/>
  <c r="H363" i="38"/>
  <c r="L399" i="38"/>
  <c r="K123" i="38"/>
  <c r="K126" i="38"/>
  <c r="K122" i="38"/>
  <c r="F103" i="38" l="1"/>
  <c r="F102" i="38"/>
  <c r="K103" i="38" s="1"/>
  <c r="C10" i="9"/>
  <c r="D10" i="9" s="1"/>
  <c r="E10" i="9" s="1"/>
  <c r="C5" i="11"/>
  <c r="C6" i="11" s="1"/>
  <c r="L411" i="38"/>
  <c r="K403" i="38"/>
  <c r="G390" i="38"/>
  <c r="L410" i="38"/>
  <c r="F375" i="38"/>
  <c r="F379" i="38" s="1"/>
  <c r="I78" i="38"/>
  <c r="G77" i="38"/>
  <c r="G387" i="38"/>
  <c r="K59" i="38"/>
  <c r="L18" i="11"/>
  <c r="F63" i="38" s="1"/>
  <c r="H198" i="38"/>
  <c r="H266" i="38" s="1"/>
  <c r="H80" i="38"/>
  <c r="F423" i="38"/>
  <c r="E434" i="38" s="1"/>
  <c r="E423" i="38"/>
  <c r="I354" i="38"/>
  <c r="K414" i="38"/>
  <c r="I50" i="9"/>
  <c r="F188" i="38" s="1"/>
  <c r="H77" i="38"/>
  <c r="L22" i="11"/>
  <c r="K127" i="38"/>
  <c r="K50" i="9"/>
  <c r="H188" i="38" s="1"/>
  <c r="E397" i="38"/>
  <c r="G397" i="38" s="1"/>
  <c r="G386" i="38"/>
  <c r="F388" i="38"/>
  <c r="F345" i="38"/>
  <c r="F365" i="38"/>
  <c r="K390" i="38"/>
  <c r="F377" i="38"/>
  <c r="F381" i="38" s="1"/>
  <c r="B59" i="11"/>
  <c r="B19" i="11" s="1"/>
  <c r="F35" i="38" s="1"/>
  <c r="F71" i="38" s="1"/>
  <c r="C59" i="11"/>
  <c r="C19" i="11" s="1"/>
  <c r="F36" i="38" s="1"/>
  <c r="F72" i="38" s="1"/>
  <c r="B60" i="11"/>
  <c r="B38" i="11" s="1"/>
  <c r="J35" i="38" s="1"/>
  <c r="J71" i="38" s="1"/>
  <c r="C60" i="11"/>
  <c r="C38" i="11" s="1"/>
  <c r="J36" i="38" s="1"/>
  <c r="J72" i="38" s="1"/>
  <c r="B58" i="11"/>
  <c r="B15" i="11" s="1"/>
  <c r="C58" i="11"/>
  <c r="C15" i="11" s="1"/>
  <c r="D62" i="11"/>
  <c r="C53" i="39"/>
  <c r="H41" i="39"/>
  <c r="H143" i="39" s="1"/>
  <c r="I144" i="19" s="1"/>
  <c r="J144" i="19" s="1"/>
  <c r="F354" i="38"/>
  <c r="F389" i="38"/>
  <c r="F371" i="38"/>
  <c r="F391" i="38"/>
  <c r="E402" i="38" s="1"/>
  <c r="H142" i="39"/>
  <c r="E5" i="11"/>
  <c r="E6" i="11" s="1"/>
  <c r="C11" i="9"/>
  <c r="D11" i="9" s="1"/>
  <c r="E11" i="9" s="1"/>
  <c r="F106" i="38"/>
  <c r="K107" i="38" s="1"/>
  <c r="F104" i="38"/>
  <c r="G104" i="38" s="1"/>
  <c r="D9" i="9"/>
  <c r="E9" i="9" s="1"/>
  <c r="F5" i="11"/>
  <c r="F6" i="11" s="1"/>
  <c r="F110" i="38"/>
  <c r="K5" i="11"/>
  <c r="J124" i="19"/>
  <c r="E89" i="38" s="1"/>
  <c r="C12" i="9"/>
  <c r="D12" i="9" s="1"/>
  <c r="E12" i="9" s="1"/>
  <c r="H147" i="19"/>
  <c r="H5" i="11" s="1"/>
  <c r="F105" i="38"/>
  <c r="K106" i="38" s="1"/>
  <c r="H392" i="38"/>
  <c r="Q237" i="38"/>
  <c r="E257" i="38"/>
  <c r="G198" i="38"/>
  <c r="G266" i="38" s="1"/>
  <c r="P266" i="38" s="1"/>
  <c r="H371" i="38"/>
  <c r="H148" i="19"/>
  <c r="C15" i="9" s="1"/>
  <c r="D15" i="9" s="1"/>
  <c r="E15" i="9" s="1"/>
  <c r="M50" i="9"/>
  <c r="J188" i="38" s="1"/>
  <c r="K60" i="38"/>
  <c r="H79" i="38"/>
  <c r="G102" i="38"/>
  <c r="K128" i="38"/>
  <c r="G103" i="38"/>
  <c r="K104" i="38"/>
  <c r="B6" i="11"/>
  <c r="L50" i="9"/>
  <c r="I188" i="38" s="1"/>
  <c r="H186" i="38"/>
  <c r="G371" i="38"/>
  <c r="G375" i="38"/>
  <c r="G379" i="38" s="1"/>
  <c r="J50" i="9"/>
  <c r="G188" i="38" s="1"/>
  <c r="H337" i="38"/>
  <c r="G398" i="38"/>
  <c r="J181" i="38"/>
  <c r="J182" i="38"/>
  <c r="D8" i="9"/>
  <c r="E8" i="9" s="1"/>
  <c r="H181" i="38"/>
  <c r="H180" i="38"/>
  <c r="L400" i="38"/>
  <c r="J414" i="38"/>
  <c r="L389" i="38"/>
  <c r="G101" i="38"/>
  <c r="K61" i="38"/>
  <c r="I186" i="38"/>
  <c r="I75" i="38"/>
  <c r="K57" i="38"/>
  <c r="F21" i="9"/>
  <c r="L7" i="11" s="1"/>
  <c r="G79" i="38"/>
  <c r="H330" i="38"/>
  <c r="H375" i="38"/>
  <c r="H379" i="38" s="1"/>
  <c r="H345" i="38"/>
  <c r="G410" i="38"/>
  <c r="I79" i="38"/>
  <c r="I183" i="38"/>
  <c r="F109" i="38"/>
  <c r="C16" i="9"/>
  <c r="D16" i="9" s="1"/>
  <c r="E16" i="9" s="1"/>
  <c r="G126" i="39"/>
  <c r="I337" i="38"/>
  <c r="I375" i="38"/>
  <c r="I379" i="38" s="1"/>
  <c r="G162" i="19"/>
  <c r="H162" i="19" s="1"/>
  <c r="G127" i="19"/>
  <c r="H126" i="19"/>
  <c r="I371" i="38"/>
  <c r="J5" i="11"/>
  <c r="J6" i="11" s="1"/>
  <c r="K62" i="38"/>
  <c r="J37" i="38"/>
  <c r="D52" i="11"/>
  <c r="F39" i="38"/>
  <c r="F75" i="38" s="1"/>
  <c r="J38" i="38"/>
  <c r="J74" i="38" s="1"/>
  <c r="E38" i="38"/>
  <c r="F61" i="11"/>
  <c r="F62" i="11" s="1"/>
  <c r="Q250" i="38"/>
  <c r="H96" i="9"/>
  <c r="H99" i="9" s="1"/>
  <c r="I60" i="9"/>
  <c r="I180" i="38"/>
  <c r="I181" i="38"/>
  <c r="K53" i="9"/>
  <c r="L27" i="11"/>
  <c r="G6" i="11"/>
  <c r="H50" i="9"/>
  <c r="E188" i="38" s="1"/>
  <c r="D13" i="9"/>
  <c r="E13" i="9" s="1"/>
  <c r="I184" i="38"/>
  <c r="I185" i="38"/>
  <c r="E180" i="38"/>
  <c r="E181" i="38"/>
  <c r="P251" i="38"/>
  <c r="H98" i="9"/>
  <c r="G85" i="9"/>
  <c r="P242" i="38"/>
  <c r="P245" i="38" s="1"/>
  <c r="G98" i="9"/>
  <c r="E272" i="38"/>
  <c r="Q235" i="38"/>
  <c r="Q238" i="38" s="1"/>
  <c r="H85" i="9"/>
  <c r="Q243" i="38"/>
  <c r="P237" i="38"/>
  <c r="M53" i="9"/>
  <c r="L37" i="11"/>
  <c r="E184" i="38"/>
  <c r="E185" i="38"/>
  <c r="G272" i="38"/>
  <c r="P272" i="38" s="1"/>
  <c r="J334" i="38" l="1"/>
  <c r="F432" i="38" s="1"/>
  <c r="G432" i="38" s="1"/>
  <c r="J53" i="9"/>
  <c r="J60" i="9" s="1"/>
  <c r="G106" i="38"/>
  <c r="C65" i="39"/>
  <c r="H53" i="39"/>
  <c r="H144" i="39" s="1"/>
  <c r="I145" i="19" s="1"/>
  <c r="J145" i="19" s="1"/>
  <c r="C42" i="11"/>
  <c r="C52" i="11" s="1"/>
  <c r="E36" i="38"/>
  <c r="E399" i="38"/>
  <c r="G399" i="38" s="1"/>
  <c r="G388" i="38"/>
  <c r="E400" i="38"/>
  <c r="G400" i="38" s="1"/>
  <c r="G389" i="38"/>
  <c r="E35" i="38"/>
  <c r="B42" i="11"/>
  <c r="B52" i="11" s="1"/>
  <c r="J401" i="38"/>
  <c r="L401" i="38" s="1"/>
  <c r="K392" i="38"/>
  <c r="L390" i="38"/>
  <c r="K105" i="38"/>
  <c r="I143" i="19"/>
  <c r="J143" i="19" s="1"/>
  <c r="C14" i="9"/>
  <c r="D14" i="9" s="1"/>
  <c r="E14" i="9" s="1"/>
  <c r="H314" i="38"/>
  <c r="H315" i="38" s="1"/>
  <c r="G105" i="38"/>
  <c r="I314" i="38"/>
  <c r="I315" i="38" s="1"/>
  <c r="K6" i="11"/>
  <c r="G110" i="38"/>
  <c r="K111" i="38"/>
  <c r="H6" i="11"/>
  <c r="F314" i="38"/>
  <c r="F315" i="38" s="1"/>
  <c r="H153" i="19"/>
  <c r="I153" i="19" s="1"/>
  <c r="F107" i="38"/>
  <c r="G107" i="38" s="1"/>
  <c r="Q252" i="38"/>
  <c r="Q244" i="38"/>
  <c r="F257" i="38"/>
  <c r="Q251" i="38"/>
  <c r="G257" i="38"/>
  <c r="G258" i="38" s="1"/>
  <c r="J317" i="38"/>
  <c r="F116" i="38"/>
  <c r="F108" i="38"/>
  <c r="I5" i="11"/>
  <c r="G109" i="38"/>
  <c r="K110" i="38"/>
  <c r="G391" i="38"/>
  <c r="F392" i="38"/>
  <c r="G402" i="38"/>
  <c r="J198" i="38"/>
  <c r="J266" i="38" s="1"/>
  <c r="K125" i="38"/>
  <c r="F403" i="38"/>
  <c r="E414" i="38"/>
  <c r="G408" i="38"/>
  <c r="G127" i="39"/>
  <c r="H126" i="39"/>
  <c r="I198" i="38"/>
  <c r="I266" i="38" s="1"/>
  <c r="E425" i="38"/>
  <c r="G413" i="38"/>
  <c r="G128" i="19"/>
  <c r="G163" i="19"/>
  <c r="H163" i="19" s="1"/>
  <c r="H127" i="19"/>
  <c r="E421" i="38"/>
  <c r="F414" i="38"/>
  <c r="G409" i="38"/>
  <c r="K37" i="38"/>
  <c r="J73" i="38"/>
  <c r="E52" i="11"/>
  <c r="F40" i="38"/>
  <c r="F76" i="38" s="1"/>
  <c r="J39" i="38"/>
  <c r="J75" i="38" s="1"/>
  <c r="E39" i="38"/>
  <c r="E74" i="38"/>
  <c r="K38" i="38"/>
  <c r="G61" i="11"/>
  <c r="G62" i="11" s="1"/>
  <c r="G63" i="38"/>
  <c r="J341" i="38"/>
  <c r="J13" i="17"/>
  <c r="H53" i="9"/>
  <c r="H13" i="17"/>
  <c r="L46" i="11" s="1"/>
  <c r="H26" i="38" s="1"/>
  <c r="I26" i="38" s="1"/>
  <c r="J26" i="38" s="1"/>
  <c r="L14" i="11"/>
  <c r="M60" i="9"/>
  <c r="P244" i="38"/>
  <c r="L53" i="9"/>
  <c r="L32" i="11"/>
  <c r="J350" i="38"/>
  <c r="F434" i="38" s="1"/>
  <c r="H63" i="38"/>
  <c r="I67" i="9"/>
  <c r="Q242" i="38"/>
  <c r="Q245" i="38" s="1"/>
  <c r="J368" i="38"/>
  <c r="F436" i="38" s="1"/>
  <c r="J63" i="38"/>
  <c r="K60" i="9"/>
  <c r="J337" i="38" l="1"/>
  <c r="F433" i="38"/>
  <c r="G433" i="38" s="1"/>
  <c r="Q266" i="38"/>
  <c r="J403" i="38"/>
  <c r="G403" i="38"/>
  <c r="E403" i="38"/>
  <c r="L41" i="11"/>
  <c r="L51" i="11" s="1"/>
  <c r="P67" i="9"/>
  <c r="F272" i="38"/>
  <c r="K272" i="38" s="1"/>
  <c r="G392" i="38"/>
  <c r="K35" i="38"/>
  <c r="E71" i="38"/>
  <c r="E72" i="38"/>
  <c r="K36" i="38"/>
  <c r="C77" i="39"/>
  <c r="H65" i="39"/>
  <c r="H145" i="39" s="1"/>
  <c r="F52" i="11"/>
  <c r="K108" i="38"/>
  <c r="G314" i="38"/>
  <c r="G315" i="38" s="1"/>
  <c r="I6" i="11"/>
  <c r="G108" i="38"/>
  <c r="K109" i="38"/>
  <c r="G421" i="38"/>
  <c r="G414" i="38"/>
  <c r="F198" i="38"/>
  <c r="F266" i="38" s="1"/>
  <c r="E426" i="38"/>
  <c r="G129" i="19"/>
  <c r="G164" i="19"/>
  <c r="H164" i="19" s="1"/>
  <c r="H128" i="19"/>
  <c r="H127" i="39"/>
  <c r="G128" i="39"/>
  <c r="J40" i="38"/>
  <c r="J76" i="38" s="1"/>
  <c r="E40" i="38"/>
  <c r="K39" i="38"/>
  <c r="E75" i="38"/>
  <c r="F328" i="38"/>
  <c r="G423" i="38"/>
  <c r="G434" i="38"/>
  <c r="J354" i="38"/>
  <c r="J327" i="38"/>
  <c r="F431" i="38" s="1"/>
  <c r="E63" i="38"/>
  <c r="J345" i="38"/>
  <c r="G422" i="38"/>
  <c r="K257" i="38"/>
  <c r="J359" i="38"/>
  <c r="F435" i="38" s="1"/>
  <c r="I63" i="38"/>
  <c r="O53" i="9"/>
  <c r="W53" i="9" s="1"/>
  <c r="G53" i="9"/>
  <c r="H60" i="9"/>
  <c r="K258" i="38"/>
  <c r="G259" i="38"/>
  <c r="K259" i="38" s="1"/>
  <c r="G436" i="38"/>
  <c r="J371" i="38"/>
  <c r="G425" i="38"/>
  <c r="L60" i="9"/>
  <c r="Q268" i="38" l="1"/>
  <c r="R266" i="38"/>
  <c r="F437" i="38"/>
  <c r="C89" i="39"/>
  <c r="H77" i="39"/>
  <c r="H146" i="39" s="1"/>
  <c r="I147" i="19" s="1"/>
  <c r="J147" i="19" s="1"/>
  <c r="I146" i="19"/>
  <c r="J146" i="19" s="1"/>
  <c r="I386" i="38"/>
  <c r="H397" i="38" s="1"/>
  <c r="F331" i="38"/>
  <c r="F41" i="38"/>
  <c r="F77" i="38" s="1"/>
  <c r="F335" i="38"/>
  <c r="G129" i="39"/>
  <c r="H128" i="39"/>
  <c r="G165" i="19"/>
  <c r="H165" i="19" s="1"/>
  <c r="G130" i="19"/>
  <c r="H129" i="19"/>
  <c r="H61" i="11"/>
  <c r="H62" i="11" s="1"/>
  <c r="G52" i="11"/>
  <c r="E41" i="38"/>
  <c r="I61" i="11"/>
  <c r="I62" i="11" s="1"/>
  <c r="K40" i="38"/>
  <c r="E76" i="38"/>
  <c r="G424" i="38"/>
  <c r="J363" i="38"/>
  <c r="G435" i="38"/>
  <c r="O60" i="9"/>
  <c r="Y53" i="9"/>
  <c r="T53" i="9"/>
  <c r="U53" i="9"/>
  <c r="X53" i="9"/>
  <c r="V53" i="9"/>
  <c r="K63" i="38"/>
  <c r="S53" i="9"/>
  <c r="J375" i="38"/>
  <c r="J379" i="38" s="1"/>
  <c r="J330" i="38"/>
  <c r="Q270" i="38" l="1"/>
  <c r="Q272" i="38" s="1"/>
  <c r="R268" i="38"/>
  <c r="C101" i="39"/>
  <c r="H89" i="39"/>
  <c r="H147" i="39" s="1"/>
  <c r="I148" i="19" s="1"/>
  <c r="J148" i="19" s="1"/>
  <c r="J41" i="38"/>
  <c r="J77" i="38" s="1"/>
  <c r="F369" i="38"/>
  <c r="I387" i="38"/>
  <c r="H398" i="38" s="1"/>
  <c r="F338" i="38"/>
  <c r="G131" i="19"/>
  <c r="G166" i="19"/>
  <c r="H166" i="19" s="1"/>
  <c r="H130" i="19"/>
  <c r="H129" i="39"/>
  <c r="G130" i="39"/>
  <c r="G335" i="38"/>
  <c r="I398" i="38" s="1"/>
  <c r="H409" i="38" s="1"/>
  <c r="F42" i="38"/>
  <c r="F78" i="38" s="1"/>
  <c r="I52" i="11"/>
  <c r="J61" i="11"/>
  <c r="J62" i="11" s="1"/>
  <c r="H52" i="11"/>
  <c r="G328" i="38"/>
  <c r="I397" i="38" s="1"/>
  <c r="H408" i="38" s="1"/>
  <c r="E42" i="38"/>
  <c r="E77" i="38"/>
  <c r="K159" i="38"/>
  <c r="E198" i="38"/>
  <c r="F426" i="38"/>
  <c r="G420" i="38"/>
  <c r="G426" i="38" s="1"/>
  <c r="E437" i="38"/>
  <c r="G431" i="38"/>
  <c r="G437" i="38" s="1"/>
  <c r="Q274" i="38" l="1"/>
  <c r="R272" i="38"/>
  <c r="C113" i="39"/>
  <c r="H113" i="39" s="1"/>
  <c r="H149" i="39" s="1"/>
  <c r="I150" i="19" s="1"/>
  <c r="J150" i="19" s="1"/>
  <c r="H101" i="39"/>
  <c r="H148" i="39" s="1"/>
  <c r="I149" i="19" s="1"/>
  <c r="J149" i="19" s="1"/>
  <c r="C125" i="39"/>
  <c r="H125" i="39" s="1"/>
  <c r="K41" i="38"/>
  <c r="F372" i="38"/>
  <c r="I391" i="38"/>
  <c r="H402" i="38" s="1"/>
  <c r="F376" i="38"/>
  <c r="F380" i="38" s="1"/>
  <c r="G131" i="39"/>
  <c r="H130" i="39"/>
  <c r="G132" i="19"/>
  <c r="G167" i="19"/>
  <c r="H167" i="19" s="1"/>
  <c r="H131" i="19"/>
  <c r="L59" i="11"/>
  <c r="F268" i="38" s="1"/>
  <c r="L387" i="38"/>
  <c r="G338" i="38"/>
  <c r="J52" i="11"/>
  <c r="H335" i="38"/>
  <c r="I409" i="38" s="1"/>
  <c r="F43" i="38"/>
  <c r="F79" i="38" s="1"/>
  <c r="G369" i="38"/>
  <c r="I402" i="38" s="1"/>
  <c r="H413" i="38" s="1"/>
  <c r="J42" i="38"/>
  <c r="J78" i="38" s="1"/>
  <c r="G331" i="38"/>
  <c r="H328" i="38"/>
  <c r="I408" i="38" s="1"/>
  <c r="E43" i="38"/>
  <c r="E78" i="38"/>
  <c r="L58" i="11"/>
  <c r="E268" i="38" s="1"/>
  <c r="K198" i="38"/>
  <c r="F222" i="38" s="1"/>
  <c r="E266" i="38"/>
  <c r="H152" i="39" l="1"/>
  <c r="I152" i="39" s="1"/>
  <c r="L60" i="11"/>
  <c r="K42" i="38"/>
  <c r="H131" i="39"/>
  <c r="G132" i="39"/>
  <c r="G133" i="19"/>
  <c r="G168" i="19"/>
  <c r="H168" i="19" s="1"/>
  <c r="H132" i="19"/>
  <c r="I392" i="38"/>
  <c r="G372" i="38"/>
  <c r="K61" i="11"/>
  <c r="K62" i="11" s="1"/>
  <c r="G376" i="38"/>
  <c r="G380" i="38" s="1"/>
  <c r="H338" i="38"/>
  <c r="L398" i="38"/>
  <c r="H369" i="38"/>
  <c r="J43" i="38"/>
  <c r="J79" i="38" s="1"/>
  <c r="I335" i="38"/>
  <c r="I421" i="38" s="1"/>
  <c r="H432" i="38" s="1"/>
  <c r="F44" i="38"/>
  <c r="F80" i="38" s="1"/>
  <c r="E44" i="38"/>
  <c r="I328" i="38"/>
  <c r="I420" i="38" s="1"/>
  <c r="E79" i="38"/>
  <c r="L386" i="38"/>
  <c r="H331" i="38"/>
  <c r="K266" i="38"/>
  <c r="L61" i="11" l="1"/>
  <c r="J268" i="38"/>
  <c r="I369" i="38"/>
  <c r="I376" i="38" s="1"/>
  <c r="I380" i="38" s="1"/>
  <c r="J44" i="38"/>
  <c r="J80" i="38" s="1"/>
  <c r="K52" i="11"/>
  <c r="H431" i="38"/>
  <c r="H376" i="38"/>
  <c r="H380" i="38" s="1"/>
  <c r="I413" i="38"/>
  <c r="H425" i="38" s="1"/>
  <c r="K43" i="38"/>
  <c r="G134" i="19"/>
  <c r="G169" i="19"/>
  <c r="H169" i="19" s="1"/>
  <c r="H133" i="19"/>
  <c r="G133" i="39"/>
  <c r="H132" i="39"/>
  <c r="I338" i="38"/>
  <c r="H372" i="38"/>
  <c r="L391" i="38"/>
  <c r="L397" i="38"/>
  <c r="I331" i="38"/>
  <c r="E80" i="38"/>
  <c r="L413" i="38" l="1"/>
  <c r="I425" i="38"/>
  <c r="I372" i="38"/>
  <c r="K44" i="38"/>
  <c r="G135" i="19"/>
  <c r="G170" i="19"/>
  <c r="H170" i="19" s="1"/>
  <c r="H134" i="19"/>
  <c r="H133" i="39"/>
  <c r="G134" i="39"/>
  <c r="H134" i="39" s="1"/>
  <c r="I403" i="38"/>
  <c r="L402" i="38"/>
  <c r="H403" i="38"/>
  <c r="H414" i="38"/>
  <c r="H421" i="38"/>
  <c r="L421" i="38" s="1"/>
  <c r="L409" i="38"/>
  <c r="H420" i="38"/>
  <c r="L408" i="38"/>
  <c r="I414" i="38"/>
  <c r="H436" i="38" l="1"/>
  <c r="H437" i="38" s="1"/>
  <c r="I426" i="38"/>
  <c r="L425" i="38"/>
  <c r="H150" i="39"/>
  <c r="H136" i="39"/>
  <c r="G171" i="19"/>
  <c r="H171" i="19" s="1"/>
  <c r="I171" i="19" s="1"/>
  <c r="F112" i="38" s="1"/>
  <c r="H135" i="19"/>
  <c r="H151" i="19" s="1"/>
  <c r="K13" i="17"/>
  <c r="H426" i="38"/>
  <c r="L420" i="38"/>
  <c r="H137" i="19" l="1"/>
  <c r="I151" i="19"/>
  <c r="J151" i="19" s="1"/>
  <c r="H154" i="39"/>
  <c r="I154" i="39" s="1"/>
  <c r="F111" i="38"/>
  <c r="E116" i="38" s="1"/>
  <c r="G116" i="38" s="1"/>
  <c r="E222" i="38" s="1"/>
  <c r="H155" i="19"/>
  <c r="C18" i="9"/>
  <c r="G18" i="9" s="1"/>
  <c r="G56" i="9" s="1"/>
  <c r="L5" i="11"/>
  <c r="I155" i="19" l="1"/>
  <c r="G60" i="9"/>
  <c r="L8" i="11"/>
  <c r="L10" i="11" s="1"/>
  <c r="E26" i="38" s="1"/>
  <c r="F26" i="38" s="1"/>
  <c r="G26" i="38" s="1"/>
  <c r="J314" i="38"/>
  <c r="J319" i="38" s="1"/>
  <c r="J321" i="38" s="1"/>
  <c r="H63" i="9" l="1"/>
  <c r="E270" i="38" s="1"/>
  <c r="N63" i="9"/>
  <c r="N56" i="9" s="1"/>
  <c r="M63" i="9"/>
  <c r="I63" i="9"/>
  <c r="F270" i="38" s="1"/>
  <c r="L63" i="9"/>
  <c r="J63" i="9"/>
  <c r="G270" i="38" s="1"/>
  <c r="K63" i="9"/>
  <c r="G274" i="38" l="1"/>
  <c r="E309" i="38" s="1"/>
  <c r="P270" i="38"/>
  <c r="L56" i="9"/>
  <c r="L33" i="11" s="1"/>
  <c r="I270" i="38"/>
  <c r="I274" i="38" s="1"/>
  <c r="G309" i="38" s="1"/>
  <c r="K56" i="9"/>
  <c r="L28" i="11" s="1"/>
  <c r="H270" i="38"/>
  <c r="H274" i="38" s="1"/>
  <c r="F309" i="38" s="1"/>
  <c r="M56" i="9"/>
  <c r="L38" i="11" s="1"/>
  <c r="J270" i="38"/>
  <c r="I56" i="9"/>
  <c r="L19" i="11" s="1"/>
  <c r="J56" i="9"/>
  <c r="L56" i="11"/>
  <c r="L62" i="11" s="1"/>
  <c r="E217" i="38"/>
  <c r="G222" i="38" s="1"/>
  <c r="H222" i="38" s="1"/>
  <c r="H56" i="9"/>
  <c r="L15" i="11" s="1"/>
  <c r="O63" i="9"/>
  <c r="J351" i="38" l="1"/>
  <c r="I434" i="38" s="1"/>
  <c r="J360" i="38"/>
  <c r="I435" i="38" s="1"/>
  <c r="R270" i="38"/>
  <c r="P274" i="38"/>
  <c r="R274" i="38" s="1"/>
  <c r="C12" i="18"/>
  <c r="L29" i="11" s="1"/>
  <c r="H309" i="38"/>
  <c r="D12" i="18"/>
  <c r="L34" i="11" s="1"/>
  <c r="J364" i="38"/>
  <c r="J355" i="38"/>
  <c r="F274" i="38"/>
  <c r="J274" i="38"/>
  <c r="K270" i="38"/>
  <c r="B6" i="32"/>
  <c r="B17" i="32" s="1"/>
  <c r="D17" i="32" s="1"/>
  <c r="H45" i="38"/>
  <c r="H81" i="38" s="1"/>
  <c r="B5" i="32"/>
  <c r="B16" i="32" s="1"/>
  <c r="D16" i="32" s="1"/>
  <c r="I45" i="38"/>
  <c r="I81" i="38" s="1"/>
  <c r="O56" i="9"/>
  <c r="J328" i="38"/>
  <c r="J369" i="38"/>
  <c r="B12" i="18"/>
  <c r="L23" i="11"/>
  <c r="J361" i="38" l="1"/>
  <c r="K435" i="38" s="1"/>
  <c r="L435" i="38" s="1"/>
  <c r="J342" i="38"/>
  <c r="I433" i="38" s="1"/>
  <c r="C6" i="32"/>
  <c r="D37" i="32" s="1"/>
  <c r="J352" i="38"/>
  <c r="K434" i="38" s="1"/>
  <c r="L434" i="38" s="1"/>
  <c r="L42" i="11"/>
  <c r="C5" i="32"/>
  <c r="D86" i="32" s="1"/>
  <c r="F86" i="32" s="1"/>
  <c r="J346" i="38"/>
  <c r="I436" i="38"/>
  <c r="L436" i="38" s="1"/>
  <c r="J372" i="38"/>
  <c r="F45" i="38"/>
  <c r="F81" i="38" s="1"/>
  <c r="J335" i="38"/>
  <c r="J376" i="38" s="1"/>
  <c r="J380" i="38" s="1"/>
  <c r="I431" i="38"/>
  <c r="J331" i="38"/>
  <c r="K268" i="38"/>
  <c r="E274" i="38"/>
  <c r="K274" i="38" s="1"/>
  <c r="B7" i="32"/>
  <c r="B18" i="32" s="1"/>
  <c r="D18" i="32" s="1"/>
  <c r="J45" i="38"/>
  <c r="J81" i="38" s="1"/>
  <c r="B4" i="32"/>
  <c r="B15" i="32" s="1"/>
  <c r="D15" i="32" s="1"/>
  <c r="G45" i="38"/>
  <c r="G81" i="38" s="1"/>
  <c r="B2" i="32"/>
  <c r="D83" i="32" s="1"/>
  <c r="E45" i="38"/>
  <c r="B26" i="32"/>
  <c r="D26" i="32" s="1"/>
  <c r="F26" i="32" s="1"/>
  <c r="B27" i="32"/>
  <c r="D27" i="32" s="1"/>
  <c r="F27" i="32" s="1"/>
  <c r="L423" i="38"/>
  <c r="L47" i="11"/>
  <c r="P56" i="9"/>
  <c r="Q56" i="9" s="1"/>
  <c r="X56" i="9"/>
  <c r="W56" i="9"/>
  <c r="Y56" i="9"/>
  <c r="V56" i="9"/>
  <c r="L24" i="11"/>
  <c r="E12" i="18"/>
  <c r="L48" i="11" s="1"/>
  <c r="F16" i="32"/>
  <c r="F17" i="32"/>
  <c r="T56" i="9"/>
  <c r="D87" i="32"/>
  <c r="F87" i="32" s="1"/>
  <c r="U56" i="9"/>
  <c r="B3" i="32"/>
  <c r="J365" i="38"/>
  <c r="L424" i="38"/>
  <c r="S56" i="9"/>
  <c r="J356" i="38" l="1"/>
  <c r="D36" i="32"/>
  <c r="D46" i="32" s="1"/>
  <c r="F46" i="32" s="1"/>
  <c r="D88" i="32"/>
  <c r="F88" i="32" s="1"/>
  <c r="L431" i="38"/>
  <c r="D57" i="32"/>
  <c r="F57" i="32" s="1"/>
  <c r="I432" i="38"/>
  <c r="L432" i="38" s="1"/>
  <c r="J338" i="38"/>
  <c r="D56" i="32"/>
  <c r="F56" i="32" s="1"/>
  <c r="B8" i="32"/>
  <c r="B13" i="32"/>
  <c r="B23" i="32" s="1"/>
  <c r="D23" i="32" s="1"/>
  <c r="K45" i="38"/>
  <c r="E81" i="38"/>
  <c r="L52" i="11"/>
  <c r="F15" i="32"/>
  <c r="B28" i="32"/>
  <c r="D28" i="32" s="1"/>
  <c r="F28" i="32" s="1"/>
  <c r="C4" i="32"/>
  <c r="J343" i="38"/>
  <c r="K433" i="38" s="1"/>
  <c r="K437" i="38" s="1"/>
  <c r="L43" i="11"/>
  <c r="L53" i="11" s="1"/>
  <c r="B14" i="32"/>
  <c r="D14" i="32" s="1"/>
  <c r="D84" i="32"/>
  <c r="F84" i="32" s="1"/>
  <c r="F37" i="32"/>
  <c r="D47" i="32"/>
  <c r="F47" i="32" s="1"/>
  <c r="F83" i="32"/>
  <c r="F18" i="32"/>
  <c r="B25" i="32"/>
  <c r="D25" i="32" s="1"/>
  <c r="F25" i="32" s="1"/>
  <c r="F36" i="32" l="1"/>
  <c r="I437" i="38"/>
  <c r="D67" i="32"/>
  <c r="D77" i="32" s="1"/>
  <c r="F77" i="32" s="1"/>
  <c r="D58" i="32"/>
  <c r="D68" i="32" s="1"/>
  <c r="D66" i="32"/>
  <c r="D76" i="32" s="1"/>
  <c r="F76" i="32" s="1"/>
  <c r="B19" i="32"/>
  <c r="D38" i="32"/>
  <c r="D48" i="32" s="1"/>
  <c r="F48" i="32" s="1"/>
  <c r="D13" i="32"/>
  <c r="D33" i="32" s="1"/>
  <c r="B24" i="32"/>
  <c r="D24" i="32" s="1"/>
  <c r="F24" i="32" s="1"/>
  <c r="D85" i="32"/>
  <c r="D35" i="32"/>
  <c r="C8" i="32"/>
  <c r="D55" i="32"/>
  <c r="F14" i="32"/>
  <c r="F23" i="32"/>
  <c r="J347" i="38"/>
  <c r="J377" i="38"/>
  <c r="J381" i="38" s="1"/>
  <c r="D29" i="32" l="1"/>
  <c r="D53" i="32"/>
  <c r="F53" i="32" s="1"/>
  <c r="F67" i="32"/>
  <c r="F38" i="32"/>
  <c r="B29" i="32"/>
  <c r="F66" i="32"/>
  <c r="D54" i="32"/>
  <c r="F29" i="32"/>
  <c r="D34" i="32"/>
  <c r="F34" i="32" s="1"/>
  <c r="F58" i="32"/>
  <c r="D19" i="32"/>
  <c r="F13" i="32"/>
  <c r="F19" i="32" s="1"/>
  <c r="L422" i="38"/>
  <c r="K426" i="38"/>
  <c r="D43" i="32"/>
  <c r="F43" i="32" s="1"/>
  <c r="F33" i="32"/>
  <c r="F35" i="32"/>
  <c r="D45" i="32"/>
  <c r="F45" i="32" s="1"/>
  <c r="F68" i="32"/>
  <c r="D78" i="32"/>
  <c r="F78" i="32" s="1"/>
  <c r="J437" i="38"/>
  <c r="L433" i="38"/>
  <c r="F85" i="32"/>
  <c r="F89" i="32" s="1"/>
  <c r="B99" i="32" s="1"/>
  <c r="D89" i="32"/>
  <c r="F55" i="32"/>
  <c r="D65" i="32"/>
  <c r="D63" i="32" l="1"/>
  <c r="D73" i="32" s="1"/>
  <c r="D59" i="32"/>
  <c r="B94" i="32"/>
  <c r="D44" i="32"/>
  <c r="F44" i="32" s="1"/>
  <c r="F49" i="32" s="1"/>
  <c r="B97" i="32" s="1"/>
  <c r="F54" i="32"/>
  <c r="F59" i="32" s="1"/>
  <c r="B95" i="32" s="1"/>
  <c r="D64" i="32"/>
  <c r="F64" i="32" s="1"/>
  <c r="D75" i="32"/>
  <c r="F75" i="32" s="1"/>
  <c r="F65" i="32"/>
  <c r="F39" i="32"/>
  <c r="B96" i="32" s="1"/>
  <c r="F63" i="32" l="1"/>
  <c r="F69" i="32" s="1"/>
  <c r="B98" i="32" s="1"/>
  <c r="D69" i="32"/>
  <c r="D74" i="32"/>
  <c r="F74" i="32" s="1"/>
  <c r="F73" i="32"/>
  <c r="D79" i="32" l="1"/>
  <c r="F79" i="32"/>
  <c r="B92" i="32" s="1"/>
  <c r="B100" i="32" s="1"/>
</calcChain>
</file>

<file path=xl/sharedStrings.xml><?xml version="1.0" encoding="utf-8"?>
<sst xmlns="http://schemas.openxmlformats.org/spreadsheetml/2006/main" count="721" uniqueCount="335">
  <si>
    <t>Purchased</t>
  </si>
  <si>
    <t>Loss Factor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</si>
  <si>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</si>
  <si>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</si>
  <si>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</si>
  <si>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</si>
  <si>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</si>
  <si>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</si>
  <si>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</si>
  <si>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</si>
  <si>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</si>
  <si>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</si>
  <si>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</si>
  <si>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</si>
  <si>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</si>
  <si>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</si>
  <si>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</si>
  <si>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</si>
  <si>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</si>
  <si>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</si>
  <si>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</si>
  <si>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</si>
  <si>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</si>
  <si>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</si>
  <si>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</si>
  <si>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</si>
  <si>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</si>
  <si>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</si>
  <si>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</si>
  <si>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</si>
  <si>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</si>
  <si>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</si>
  <si>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</si>
  <si>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</si>
  <si>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</si>
  <si>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</si>
  <si>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</si>
  <si>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</si>
  <si>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</si>
  <si>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</si>
  <si>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</si>
  <si>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</si>
  <si>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</si>
  <si>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</si>
  <si>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</si>
  <si>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</si>
  <si>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</si>
  <si>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</si>
  <si>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</si>
  <si>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</si>
  <si>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</si>
  <si>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</si>
  <si>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By Class</t>
  </si>
  <si>
    <t>Billed kWh</t>
  </si>
  <si>
    <t>kW/kWh</t>
  </si>
  <si>
    <t>2008 Actual</t>
  </si>
  <si>
    <t>Residential</t>
  </si>
  <si>
    <t>GS&lt;50</t>
  </si>
  <si>
    <t>GS&gt;50</t>
  </si>
  <si>
    <t>USL</t>
  </si>
  <si>
    <t>Weather Normal</t>
  </si>
  <si>
    <t>Streetlights</t>
  </si>
  <si>
    <t xml:space="preserve">2009 Actual </t>
  </si>
  <si>
    <t xml:space="preserve">  Connections</t>
  </si>
  <si>
    <t>Total of Above</t>
  </si>
  <si>
    <t>Total from Model</t>
  </si>
  <si>
    <t>Check should all be zero</t>
  </si>
  <si>
    <t>Sentinels</t>
  </si>
  <si>
    <t xml:space="preserve">2010 Actual </t>
  </si>
  <si>
    <t xml:space="preserve">2011 Actual </t>
  </si>
  <si>
    <t>Number of Customers - 3 Main Classes</t>
  </si>
  <si>
    <t>Summary of Degree Day Information</t>
  </si>
  <si>
    <t>Summary of All Heating Degree Days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</si>
  <si>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</si>
  <si>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</si>
  <si>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</si>
  <si>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</si>
  <si>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</si>
  <si>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</si>
  <si>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</si>
  <si>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</si>
  <si>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</si>
  <si>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</si>
  <si>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</si>
  <si>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</si>
  <si>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</si>
  <si>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</si>
  <si>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10 Year Avg</t>
  </si>
  <si>
    <t>20 Year Trend</t>
  </si>
  <si>
    <t>kWh</t>
  </si>
  <si>
    <t>kW</t>
  </si>
  <si>
    <t xml:space="preserve">Residential </t>
  </si>
  <si>
    <t>General Service &lt; 50 kW</t>
  </si>
  <si>
    <t>General Service  50 to 4,999 kW</t>
  </si>
  <si>
    <t>Street Lighting</t>
  </si>
  <si>
    <t>Sentinel Lighting</t>
  </si>
  <si>
    <t>Unmetered Scattered Load</t>
  </si>
  <si>
    <t>TOTAL</t>
  </si>
  <si>
    <t>Electricity - Commodity RPP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</si>
  <si>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</si>
  <si>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</si>
  <si>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</si>
  <si>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</si>
  <si>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</si>
  <si>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</si>
  <si>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</si>
  <si>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</si>
  <si>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</si>
  <si>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4705-Power Purchased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</si>
  <si>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</si>
  <si>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</si>
  <si>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</si>
  <si>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</si>
  <si>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</si>
  <si>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TORONTO LESTER B. PEARSON INT'L A</t>
  </si>
  <si>
    <t>Hydro One Load Transfers</t>
  </si>
  <si>
    <t>SME</t>
  </si>
  <si>
    <t>Customers</t>
  </si>
  <si>
    <t>Rate</t>
  </si>
  <si>
    <t>LV</t>
  </si>
  <si>
    <t>Metric(w/o losses)</t>
  </si>
  <si>
    <t>Summary</t>
  </si>
  <si>
    <t>2012 Actual</t>
  </si>
  <si>
    <t>2013 Actual</t>
  </si>
  <si>
    <t>2014 Actual</t>
  </si>
  <si>
    <t>2015 Actual</t>
  </si>
  <si>
    <t>2017 Weather Normal</t>
  </si>
  <si>
    <t>Total to 2015 - Aug</t>
  </si>
  <si>
    <t>2017 Load Foreacst</t>
  </si>
  <si>
    <t>2017 Forecasted Metered kWhs</t>
  </si>
  <si>
    <t>2017  Loss Factor</t>
  </si>
  <si>
    <t>CDM Adjustment</t>
  </si>
  <si>
    <t>2015 %RPP</t>
  </si>
  <si>
    <t>2016 Programs</t>
  </si>
  <si>
    <t>2017 Programs</t>
  </si>
  <si>
    <t>Target Credit</t>
  </si>
  <si>
    <t>Persistence Assumption - Total</t>
  </si>
  <si>
    <t>Persistence Assumption - Residential</t>
  </si>
  <si>
    <t>Persistence Assumption - GS &lt; 50 kW</t>
  </si>
  <si>
    <t>Persistence Assumption - GS &gt; 50 kW</t>
  </si>
  <si>
    <t>Predicted kWh Purchases Before CDM</t>
  </si>
  <si>
    <t>Predicted kWh Purchases After CDM</t>
  </si>
  <si>
    <t>CDM Adjustment - Purchased</t>
  </si>
  <si>
    <t xml:space="preserve">Check </t>
  </si>
  <si>
    <t>OESP</t>
  </si>
  <si>
    <t>4062-OESP</t>
  </si>
  <si>
    <t>Table 2: Summary of Load and Customer/Connection Forecast</t>
  </si>
  <si>
    <t>Year</t>
  </si>
  <si>
    <t>Billed (GWh)</t>
  </si>
  <si>
    <t>Growth 
(GWh)</t>
  </si>
  <si>
    <t>Percent 
Change</t>
  </si>
  <si>
    <t>Customer/
Connection
Count</t>
  </si>
  <si>
    <t xml:space="preserve">Growth </t>
  </si>
  <si>
    <t>Percent 
Change
(%)</t>
  </si>
  <si>
    <t>Billed Energy (GWh) and Customer Count / Connections</t>
  </si>
  <si>
    <t xml:space="preserve">2008 Actual </t>
  </si>
  <si>
    <t xml:space="preserve">2012 Actual </t>
  </si>
  <si>
    <t xml:space="preserve">2013 Actual </t>
  </si>
  <si>
    <t xml:space="preserve">2014 Actual </t>
  </si>
  <si>
    <t>General Service 50 to 4,999 kW</t>
  </si>
  <si>
    <t>Billed Energy (GWh)</t>
  </si>
  <si>
    <t>Number of Customers/Connections</t>
  </si>
  <si>
    <t>Energy Usage per Customer/Connection (kWh per customer/connection)</t>
  </si>
  <si>
    <t>Statistic</t>
  </si>
  <si>
    <t>Value</t>
  </si>
  <si>
    <t>F Test</t>
  </si>
  <si>
    <t xml:space="preserve">MAPE (Monthly) </t>
  </si>
  <si>
    <t>T-stats by Coefficient</t>
  </si>
  <si>
    <t>Constant</t>
  </si>
  <si>
    <t xml:space="preserve">Actual </t>
  </si>
  <si>
    <t xml:space="preserve">Predicted </t>
  </si>
  <si>
    <t>Purchased Energy (GWh)</t>
  </si>
  <si>
    <t>Forecast number of Customers/Connections</t>
  </si>
  <si>
    <t xml:space="preserve">Annual kWh Usage Per Customer/Connection </t>
  </si>
  <si>
    <t xml:space="preserve"> Growth Rate in Usage Per Customer/Connection</t>
  </si>
  <si>
    <t>Forecast Annual kWh Usage per Customers/Connection</t>
  </si>
  <si>
    <t>NON-normalized Weather Billed Energy Forecast (GWh)</t>
  </si>
  <si>
    <t>Weather Sensitivity</t>
  </si>
  <si>
    <t>Non-normalized Weather Billed Energy Forecast (GWh)</t>
  </si>
  <si>
    <t>Adjustment for Weather (GWh)</t>
  </si>
  <si>
    <t>Adjustment for CDM (GWh)</t>
  </si>
  <si>
    <t>Weather Normalized Billed Energy Forecast (GWh)</t>
  </si>
  <si>
    <t>Billed Annual kW</t>
  </si>
  <si>
    <t>Ratio of kW to kWh</t>
  </si>
  <si>
    <t>Predicted Billed kW</t>
  </si>
  <si>
    <t>Predicted kWh Purchases before CDM adjustment</t>
  </si>
  <si>
    <t>% Difference between actual and predicted purchases</t>
  </si>
  <si>
    <t>Total Billed Before Adjustments</t>
  </si>
  <si>
    <t>Total Billed After Adjustments</t>
  </si>
  <si>
    <t xml:space="preserve">  Variance Analysis Compare to Board Approved</t>
  </si>
  <si>
    <t>Customer/Connections</t>
  </si>
  <si>
    <t xml:space="preserve">kW </t>
  </si>
  <si>
    <t>Billing Determinants</t>
  </si>
  <si>
    <t>Volumeteric Difference</t>
  </si>
  <si>
    <t xml:space="preserve">Total </t>
  </si>
  <si>
    <t>Table 1: R Square and Adjusted R Square Values</t>
  </si>
  <si>
    <t>Class</t>
  </si>
  <si>
    <t>Power Purchased</t>
  </si>
  <si>
    <t>2013 Board Approved</t>
  </si>
  <si>
    <t xml:space="preserve">2015 Actual </t>
  </si>
  <si>
    <t>2017 Test - Normalized</t>
  </si>
  <si>
    <t xml:space="preserve">Table 3: Billed Energy by Rate Class </t>
  </si>
  <si>
    <t xml:space="preserve">Sentinel Lighting </t>
  </si>
  <si>
    <t>Table 4:  Number of Customers / Connections by Rate Class</t>
  </si>
  <si>
    <t xml:space="preserve">Table 5: Annual Usage per Customer/Connection by Rate Class </t>
  </si>
  <si>
    <t>Table 6: Statistcial Results</t>
  </si>
  <si>
    <t>Table 7: Total System Purchases</t>
  </si>
  <si>
    <t>2017 Test - Normalized - 20 Year Trend</t>
  </si>
  <si>
    <t>Table 8: Conversion of Total System Purchases to Total Billed</t>
  </si>
  <si>
    <t>Billed</t>
  </si>
  <si>
    <t>Table11: Customer/Connection Forecast</t>
  </si>
  <si>
    <t>Table 12: Historical Annual Usage per Customer Before Allocation of Hydro One Load Transfers</t>
  </si>
  <si>
    <t>Table 13: Growth Rate in Usage Per Customer/Connection</t>
  </si>
  <si>
    <t>Table 14: Forecast Annual kWh Usage per Customer/Connection</t>
  </si>
  <si>
    <t>Table 15: Non-normalized Weather Billed Energy Forecast</t>
  </si>
  <si>
    <t>Table 16: Weather Sensitivity by Rate Class</t>
  </si>
  <si>
    <t>Table 17: Hydro One Load Transfers</t>
  </si>
  <si>
    <t>Hydro One Load Transfers (GWh)</t>
  </si>
  <si>
    <t>2007 - Actual</t>
  </si>
  <si>
    <t>2008 - Actual</t>
  </si>
  <si>
    <t>2009 - Actual</t>
  </si>
  <si>
    <t>2010 - Actual</t>
  </si>
  <si>
    <t>2011 - Actual</t>
  </si>
  <si>
    <t>2012 - Actual</t>
  </si>
  <si>
    <t>2013 - Actual</t>
  </si>
  <si>
    <t>2014 - Actual</t>
  </si>
  <si>
    <t>2015 - Actual</t>
  </si>
  <si>
    <t>2017 - Test Year Forecast</t>
  </si>
  <si>
    <t>Table 18: Difference Between Normalized and Non-normalized Bill Forecast</t>
  </si>
  <si>
    <t>Table 3-8 
(A)</t>
  </si>
  <si>
    <t>Table 3-15
(B)</t>
  </si>
  <si>
    <t>Table 3-17
 (C)</t>
  </si>
  <si>
    <t>Difference
= (A) - (B)
 - (C)</t>
  </si>
  <si>
    <t>Total Including Persistence</t>
  </si>
  <si>
    <t>Table 24: Expected CDM Savings by Rate Class for LRAM Variance Account</t>
  </si>
  <si>
    <t>2017 LRAMVA kWh</t>
  </si>
  <si>
    <t>2017 LRAMVA kW - Annual</t>
  </si>
  <si>
    <t>2017 LRAMVA kW - Monthly</t>
  </si>
  <si>
    <t>Table 25: Alignment of Non-normal to Weather Normal Forecast and Other Adjustments</t>
  </si>
  <si>
    <t>Adjustment for Hydro One Load Transfer (GWh)</t>
  </si>
  <si>
    <t>Table 26: Historical Annual kW per Applicable Rate Class</t>
  </si>
  <si>
    <t>Table 27: Historical kW/KWh Ratio per Applicable Rate Class</t>
  </si>
  <si>
    <t>Table 28: kW Forecast by Applicable Rate Class</t>
  </si>
  <si>
    <t>Table 29: Summary of Total Forecast</t>
  </si>
  <si>
    <t>Table 30: Summary of Billing Determinants and Variances of Actual and Forecast Data</t>
  </si>
  <si>
    <t>Table 32 Billing Determinants - 2013 Actual vs 2013 Board Approved</t>
  </si>
  <si>
    <t xml:space="preserve">2013 Board Approved </t>
  </si>
  <si>
    <t>Table 34 Billing Determinants - 2014 Actual vs 2013 Actual</t>
  </si>
  <si>
    <t>Table 36 Billing Determinants - 2015 Actual vs 2014 Actual</t>
  </si>
  <si>
    <t>2017 Test</t>
  </si>
  <si>
    <t>Calculation Of SME Charges</t>
  </si>
  <si>
    <t>customers</t>
  </si>
  <si>
    <t>InnPower Forecast for 2017 EB-2016-0086  Rate Application</t>
  </si>
  <si>
    <t xml:space="preserve"> Variance Analysis Compare to Board Approved</t>
  </si>
  <si>
    <t>Actual</t>
  </si>
  <si>
    <t>Predicted</t>
  </si>
  <si>
    <t>Weather Noraml Factor</t>
  </si>
  <si>
    <t>2016 Actual</t>
  </si>
  <si>
    <t xml:space="preserve">2016 Actual </t>
  </si>
  <si>
    <t>% Variance (Abs)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</si>
  <si>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</si>
  <si>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</si>
  <si>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</si>
  <si>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</si>
  <si>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</si>
  <si>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</si>
  <si>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</si>
  <si>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</si>
  <si>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</si>
  <si>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</si>
  <si>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2017(Not Normalized)</t>
  </si>
  <si>
    <t>2016 - Actual</t>
  </si>
  <si>
    <t>2016-2017 Expected kWh Savings</t>
  </si>
  <si>
    <t>2016-2017 Expected Residential kW kWh Savings</t>
  </si>
  <si>
    <t>2016-2017 Expected General Service &lt; 50 kW kWh Savings</t>
  </si>
  <si>
    <t>2016-2017 Expected General Service  50 to 4,999 kW kWh Savings</t>
  </si>
  <si>
    <t>Average 2007 to 2016</t>
  </si>
  <si>
    <t>Table 40 Billing Determinants - 2017 Test vs 2016 Actual</t>
  </si>
  <si>
    <t>Table 38 Billing Determinants - 2016 Actual vs 2015 Actual</t>
  </si>
  <si>
    <t>GS &lt; 50 kW</t>
  </si>
  <si>
    <t># of cust</t>
  </si>
  <si>
    <t>R</t>
  </si>
  <si>
    <t>G</t>
  </si>
  <si>
    <t>E</t>
  </si>
  <si>
    <t>SL</t>
  </si>
  <si>
    <t>S</t>
  </si>
  <si>
    <t>Resident</t>
  </si>
  <si>
    <t>Sent Lights</t>
  </si>
  <si>
    <t>Str Lights</t>
  </si>
  <si>
    <t>Jan</t>
  </si>
  <si>
    <t>Monthly Increase</t>
  </si>
  <si>
    <t>Feb</t>
  </si>
  <si>
    <t>Mar</t>
  </si>
  <si>
    <t>Apr</t>
  </si>
  <si>
    <t>Jun</t>
  </si>
  <si>
    <t>Jul</t>
  </si>
  <si>
    <t>Aug</t>
  </si>
  <si>
    <t>Sep</t>
  </si>
  <si>
    <t>Avg</t>
  </si>
  <si>
    <t>Oct</t>
  </si>
  <si>
    <t>Nov</t>
  </si>
  <si>
    <t>Dec</t>
  </si>
  <si>
    <t>YTD</t>
  </si>
  <si>
    <t xml:space="preserve">   </t>
  </si>
  <si>
    <t>Rate Class General Service 50 to 4,999 kW</t>
  </si>
  <si>
    <t>Number of 2017 Average Customers</t>
  </si>
  <si>
    <t>Usage per Customer</t>
  </si>
  <si>
    <t>Comment</t>
  </si>
  <si>
    <t>Non-normalized Weather Billed Energy Forecast</t>
  </si>
  <si>
    <t>As per Table 3-5 for 2016</t>
  </si>
  <si>
    <t>Adjustment for Hydro One Load Transfer</t>
  </si>
  <si>
    <t xml:space="preserve">Adjustment for Weather </t>
  </si>
  <si>
    <t xml:space="preserve">Adjustment for CDM </t>
  </si>
  <si>
    <t>Weather Normalized Billed Energy Forecast</t>
  </si>
  <si>
    <t>As per Table 3-5 for 2017</t>
  </si>
  <si>
    <t>Based on Updated Data in Table 3-25 and Table 3-30 from Updated Load Forecast reflecting the outcome of the Technical Conference</t>
  </si>
  <si>
    <t>Table 9: 2017 Actual Customer/Connection Data by Month</t>
  </si>
  <si>
    <t xml:space="preserve">January </t>
  </si>
  <si>
    <t>Table 10: Monthly Growth  in 2017 Customer/Connections</t>
  </si>
  <si>
    <t>Growth in Customers/Connections (2017)</t>
  </si>
  <si>
    <t>Number of Customers/Connections (2017)</t>
  </si>
  <si>
    <t>January (Actual)</t>
  </si>
  <si>
    <t>February  (Actual)</t>
  </si>
  <si>
    <t>March  (Actual)</t>
  </si>
  <si>
    <t>April  (Actual)</t>
  </si>
  <si>
    <t>May  (Actual)</t>
  </si>
  <si>
    <t>June  (Actual)</t>
  </si>
  <si>
    <t>July  (Actual)</t>
  </si>
  <si>
    <t>August  (Actual)</t>
  </si>
  <si>
    <t>September (Forecast)</t>
  </si>
  <si>
    <t>October (Forecast)</t>
  </si>
  <si>
    <t>November (Forecast)</t>
  </si>
  <si>
    <t>December (Forecast)</t>
  </si>
  <si>
    <t>2017 Monthly Average</t>
  </si>
  <si>
    <t>Geo Mean 2007 to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</si>
</sst>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\(&quot;$&quot;#,##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#,##0;\(#,##0\)"/>
    <numFmt numFmtId="170" formatCode="0.0000"/>
    <numFmt numFmtId="171" formatCode="#,##0.0000"/>
    <numFmt numFmtId="172" formatCode="0.0000%"/>
    <numFmt numFmtId="173" formatCode="_(* #,##0_);_(* \(#,##0\);_(* &quot;-&quot;??_);_(@_)"/>
    <numFmt numFmtId="174" formatCode="#,##0.0000_);\(#,##0.0000\)"/>
    <numFmt numFmtId="175" formatCode="#,##0.00000_);\(#,##0.00000\)"/>
    <numFmt numFmtId="176" formatCode="&quot;$&quot;#,##0.00000_);\(&quot;$&quot;#,##0.00000\)"/>
    <numFmt numFmtId="177" formatCode="&quot;$&quot;#,##0.0000_);\(&quot;$&quot;#,##0.0000\)"/>
    <numFmt numFmtId="178" formatCode="0.0"/>
    <numFmt numFmtId="179" formatCode="#,##0;\(#,###\)"/>
    <numFmt numFmtId="180" formatCode="#,##0.0"/>
    <numFmt numFmtId="181" formatCode="_(&quot;$&quot;* #,##0_);_(&quot;$&quot;* \(#,##0\);_(&quot;$&quot;* &quot;-&quot;??_);_(@_)"/>
    <numFmt numFmtId="182" formatCode="0.000"/>
    <numFmt numFmtId="183" formatCode="#,##0.0;\(#,##0.0\)"/>
    <numFmt numFmtId="184" formatCode="0.0%;\(0.0%\)"/>
    <numFmt numFmtId="185" formatCode="0.0;\(0.0\)"/>
    <numFmt numFmtId="186" formatCode="#,##0_ ;\-#,##0\ "/>
    <numFmt numFmtId="187" formatCode="0.0000%;\(0.0%\)"/>
    <numFmt numFmtId="188" formatCode="0.00%;\(0.00%\)"/>
    <numFmt numFmtId="189" formatCode="0;\(0\)"/>
    <numFmt numFmtId="190" formatCode="#,##0.0000000000"/>
    <numFmt numFmtId="191" formatCode="#,##0.00000"/>
    <numFmt numFmtId="192" formatCode="0.000;\(0.000\)"/>
    <numFmt numFmtId="193" formatCode="#,##0.00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u/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sz val="8"/>
      <color indexed="58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167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4" fillId="0" borderId="0"/>
    <xf numFmtId="9" fontId="2" fillId="0" borderId="0" applyFont="0" applyFill="0" applyBorder="0" applyAlignment="0" applyProtection="0"/>
    <xf numFmtId="0" fontId="15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43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8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7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3" fontId="2" fillId="0" borderId="0" xfId="1" applyNumberFormat="1" applyAlignment="1">
      <alignment horizontal="center"/>
    </xf>
    <xf numFmtId="168" fontId="3" fillId="0" borderId="0" xfId="0" applyNumberFormat="1" applyFont="1" applyAlignment="1">
      <alignment horizontal="center"/>
    </xf>
    <xf numFmtId="0" fontId="3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3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/>
    <xf numFmtId="0" fontId="5" fillId="0" borderId="0" xfId="0" applyFont="1" applyAlignment="1"/>
    <xf numFmtId="3" fontId="0" fillId="2" borderId="0" xfId="0" applyNumberFormat="1" applyFill="1" applyAlignment="1">
      <alignment horizontal="center"/>
    </xf>
    <xf numFmtId="17" fontId="5" fillId="0" borderId="0" xfId="0" applyNumberFormat="1" applyFont="1"/>
    <xf numFmtId="0" fontId="0" fillId="0" borderId="0" xfId="0" applyFill="1" applyAlignment="1">
      <alignment horizontal="center"/>
    </xf>
    <xf numFmtId="171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2" fontId="0" fillId="0" borderId="0" xfId="0" applyNumberFormat="1" applyAlignment="1">
      <alignment horizontal="center"/>
    </xf>
    <xf numFmtId="0" fontId="0" fillId="0" borderId="1" xfId="0" applyBorder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/>
    <xf numFmtId="169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5" fillId="0" borderId="0" xfId="0" applyNumberFormat="1" applyFont="1"/>
    <xf numFmtId="0" fontId="6" fillId="0" borderId="0" xfId="0" applyFont="1"/>
    <xf numFmtId="168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" fontId="4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/>
    <xf numFmtId="170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Continuous"/>
    </xf>
    <xf numFmtId="169" fontId="0" fillId="2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10" fontId="0" fillId="0" borderId="0" xfId="11" applyNumberFormat="1" applyFont="1" applyFill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167" fontId="0" fillId="0" borderId="0" xfId="1" applyFont="1" applyFill="1" applyBorder="1" applyAlignment="1"/>
    <xf numFmtId="167" fontId="0" fillId="0" borderId="2" xfId="1" applyFont="1" applyFill="1" applyBorder="1" applyAlignment="1"/>
    <xf numFmtId="173" fontId="0" fillId="0" borderId="0" xfId="1" applyNumberFormat="1" applyFont="1" applyFill="1" applyBorder="1" applyAlignment="1"/>
    <xf numFmtId="173" fontId="0" fillId="0" borderId="2" xfId="1" applyNumberFormat="1" applyFont="1" applyFill="1" applyBorder="1" applyAlignment="1"/>
    <xf numFmtId="9" fontId="0" fillId="0" borderId="0" xfId="11" applyFont="1" applyFill="1" applyBorder="1" applyAlignment="1"/>
    <xf numFmtId="3" fontId="0" fillId="0" borderId="0" xfId="1" applyNumberFormat="1" applyFont="1" applyAlignment="1">
      <alignment horizontal="center"/>
    </xf>
    <xf numFmtId="167" fontId="2" fillId="0" borderId="0" xfId="4" applyFont="1"/>
    <xf numFmtId="0" fontId="9" fillId="0" borderId="0" xfId="0" applyFont="1"/>
    <xf numFmtId="0" fontId="10" fillId="0" borderId="0" xfId="0" applyFont="1"/>
    <xf numFmtId="167" fontId="11" fillId="0" borderId="0" xfId="4" applyFont="1"/>
    <xf numFmtId="0" fontId="11" fillId="0" borderId="0" xfId="0" applyFont="1"/>
    <xf numFmtId="167" fontId="12" fillId="0" borderId="0" xfId="4" applyFont="1" applyAlignment="1">
      <alignment horizontal="right"/>
    </xf>
    <xf numFmtId="0" fontId="12" fillId="0" borderId="4" xfId="0" applyFont="1" applyBorder="1" applyAlignment="1">
      <alignment horizontal="right"/>
    </xf>
    <xf numFmtId="0" fontId="11" fillId="0" borderId="0" xfId="0" applyFont="1" applyAlignment="1">
      <alignment horizontal="right"/>
    </xf>
    <xf numFmtId="167" fontId="11" fillId="0" borderId="0" xfId="0" applyNumberFormat="1" applyFont="1" applyAlignment="1">
      <alignment horizontal="right"/>
    </xf>
    <xf numFmtId="2" fontId="8" fillId="2" borderId="0" xfId="0" applyNumberFormat="1" applyFont="1" applyFill="1"/>
    <xf numFmtId="4" fontId="8" fillId="2" borderId="0" xfId="0" applyNumberFormat="1" applyFont="1" applyFill="1"/>
    <xf numFmtId="0" fontId="12" fillId="2" borderId="0" xfId="0" applyFont="1" applyFill="1"/>
    <xf numFmtId="2" fontId="0" fillId="0" borderId="0" xfId="0" applyNumberFormat="1"/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37" fontId="3" fillId="2" borderId="0" xfId="0" applyNumberFormat="1" applyFont="1" applyFill="1" applyAlignment="1">
      <alignment horizontal="center"/>
    </xf>
    <xf numFmtId="3" fontId="0" fillId="0" borderId="5" xfId="0" applyNumberFormat="1" applyBorder="1"/>
    <xf numFmtId="0" fontId="5" fillId="0" borderId="1" xfId="0" applyFont="1" applyBorder="1" applyAlignment="1">
      <alignment horizontal="left" indent="1"/>
    </xf>
    <xf numFmtId="0" fontId="5" fillId="0" borderId="1" xfId="0" applyFont="1" applyBorder="1"/>
    <xf numFmtId="3" fontId="0" fillId="0" borderId="10" xfId="0" applyNumberFormat="1" applyBorder="1"/>
    <xf numFmtId="0" fontId="5" fillId="0" borderId="0" xfId="0" applyFont="1" applyBorder="1" applyAlignment="1">
      <alignment horizontal="left" indent="1"/>
    </xf>
    <xf numFmtId="37" fontId="5" fillId="0" borderId="0" xfId="0" applyNumberFormat="1" applyFont="1" applyBorder="1"/>
    <xf numFmtId="0" fontId="5" fillId="0" borderId="0" xfId="0" applyFont="1" applyBorder="1"/>
    <xf numFmtId="175" fontId="0" fillId="0" borderId="0" xfId="0" applyNumberFormat="1" applyBorder="1"/>
    <xf numFmtId="164" fontId="5" fillId="0" borderId="0" xfId="0" applyNumberFormat="1" applyFont="1" applyFill="1" applyBorder="1"/>
    <xf numFmtId="164" fontId="0" fillId="0" borderId="5" xfId="0" applyNumberFormat="1" applyBorder="1"/>
    <xf numFmtId="0" fontId="0" fillId="0" borderId="10" xfId="0" applyBorder="1"/>
    <xf numFmtId="164" fontId="0" fillId="0" borderId="5" xfId="0" applyNumberFormat="1" applyFill="1" applyBorder="1"/>
    <xf numFmtId="37" fontId="5" fillId="0" borderId="1" xfId="0" applyNumberFormat="1" applyFont="1" applyBorder="1"/>
    <xf numFmtId="37" fontId="0" fillId="0" borderId="1" xfId="0" applyNumberFormat="1" applyFill="1" applyBorder="1"/>
    <xf numFmtId="174" fontId="0" fillId="0" borderId="1" xfId="0" applyNumberFormat="1" applyFill="1" applyBorder="1"/>
    <xf numFmtId="37" fontId="0" fillId="0" borderId="1" xfId="0" applyNumberFormat="1" applyBorder="1"/>
    <xf numFmtId="164" fontId="0" fillId="0" borderId="1" xfId="0" applyNumberFormat="1" applyBorder="1"/>
    <xf numFmtId="175" fontId="0" fillId="0" borderId="1" xfId="0" applyNumberFormat="1" applyBorder="1"/>
    <xf numFmtId="174" fontId="0" fillId="0" borderId="1" xfId="0" applyNumberFormat="1" applyBorder="1" applyAlignment="1">
      <alignment horizontal="center"/>
    </xf>
    <xf numFmtId="164" fontId="5" fillId="0" borderId="1" xfId="0" applyNumberFormat="1" applyFont="1" applyBorder="1"/>
    <xf numFmtId="3" fontId="0" fillId="0" borderId="1" xfId="0" applyNumberFormat="1" applyBorder="1"/>
    <xf numFmtId="173" fontId="2" fillId="0" borderId="1" xfId="1" applyNumberFormat="1" applyFill="1" applyBorder="1"/>
    <xf numFmtId="169" fontId="0" fillId="0" borderId="0" xfId="0" applyNumberFormat="1"/>
    <xf numFmtId="178" fontId="0" fillId="0" borderId="0" xfId="0" applyNumberFormat="1" applyFill="1" applyAlignment="1">
      <alignment horizontal="center"/>
    </xf>
    <xf numFmtId="178" fontId="4" fillId="0" borderId="0" xfId="0" applyNumberFormat="1" applyFont="1" applyFill="1" applyAlignment="1">
      <alignment horizontal="center" wrapText="1"/>
    </xf>
    <xf numFmtId="178" fontId="3" fillId="2" borderId="0" xfId="0" applyNumberFormat="1" applyFont="1" applyFill="1" applyAlignment="1">
      <alignment horizontal="center"/>
    </xf>
    <xf numFmtId="178" fontId="0" fillId="2" borderId="0" xfId="0" applyNumberFormat="1" applyFill="1" applyAlignment="1">
      <alignment horizontal="center"/>
    </xf>
    <xf numFmtId="179" fontId="0" fillId="0" borderId="0" xfId="0" applyNumberFormat="1" applyFill="1" applyAlignment="1">
      <alignment horizontal="center"/>
    </xf>
    <xf numFmtId="0" fontId="0" fillId="0" borderId="2" xfId="0" applyFill="1" applyBorder="1" applyAlignment="1">
      <alignment wrapText="1"/>
    </xf>
    <xf numFmtId="179" fontId="0" fillId="0" borderId="0" xfId="0" applyNumberFormat="1"/>
    <xf numFmtId="180" fontId="0" fillId="0" borderId="0" xfId="0" applyNumberFormat="1" applyAlignment="1">
      <alignment horizontal="center"/>
    </xf>
    <xf numFmtId="178" fontId="0" fillId="0" borderId="0" xfId="0" applyNumberFormat="1" applyAlignment="1">
      <alignment horizontal="center"/>
    </xf>
    <xf numFmtId="178" fontId="3" fillId="0" borderId="0" xfId="0" applyNumberFormat="1" applyFont="1" applyFill="1" applyAlignment="1">
      <alignment horizontal="center"/>
    </xf>
    <xf numFmtId="0" fontId="2" fillId="0" borderId="0" xfId="0" applyFont="1"/>
    <xf numFmtId="0" fontId="2" fillId="0" borderId="10" xfId="0" applyFont="1" applyBorder="1"/>
    <xf numFmtId="0" fontId="13" fillId="6" borderId="1" xfId="0" applyFont="1" applyFill="1" applyBorder="1"/>
    <xf numFmtId="0" fontId="5" fillId="6" borderId="7" xfId="0" applyFont="1" applyFill="1" applyBorder="1"/>
    <xf numFmtId="0" fontId="5" fillId="6" borderId="8" xfId="0" applyFont="1" applyFill="1" applyBorder="1"/>
    <xf numFmtId="0" fontId="5" fillId="6" borderId="9" xfId="0" applyFont="1" applyFill="1" applyBorder="1"/>
    <xf numFmtId="0" fontId="5" fillId="6" borderId="1" xfId="0" applyFont="1" applyFill="1" applyBorder="1"/>
    <xf numFmtId="0" fontId="5" fillId="6" borderId="0" xfId="0" applyFont="1" applyFill="1" applyAlignment="1">
      <alignment horizontal="center"/>
    </xf>
    <xf numFmtId="0" fontId="5" fillId="6" borderId="1" xfId="0" applyFont="1" applyFill="1" applyBorder="1" applyAlignment="1">
      <alignment horizontal="left" indent="1"/>
    </xf>
    <xf numFmtId="37" fontId="5" fillId="6" borderId="1" xfId="0" applyNumberFormat="1" applyFont="1" applyFill="1" applyBorder="1"/>
    <xf numFmtId="175" fontId="0" fillId="6" borderId="1" xfId="0" applyNumberFormat="1" applyFill="1" applyBorder="1"/>
    <xf numFmtId="164" fontId="5" fillId="6" borderId="1" xfId="0" applyNumberFormat="1" applyFont="1" applyFill="1" applyBorder="1"/>
    <xf numFmtId="0" fontId="13" fillId="6" borderId="11" xfId="0" applyFont="1" applyFill="1" applyBorder="1"/>
    <xf numFmtId="0" fontId="5" fillId="6" borderId="12" xfId="0" applyFont="1" applyFill="1" applyBorder="1"/>
    <xf numFmtId="0" fontId="5" fillId="6" borderId="13" xfId="0" applyFont="1" applyFill="1" applyBorder="1" applyAlignment="1">
      <alignment horizontal="center"/>
    </xf>
    <xf numFmtId="0" fontId="5" fillId="6" borderId="13" xfId="0" applyFont="1" applyFill="1" applyBorder="1"/>
    <xf numFmtId="0" fontId="5" fillId="6" borderId="14" xfId="0" applyFont="1" applyFill="1" applyBorder="1"/>
    <xf numFmtId="0" fontId="5" fillId="6" borderId="6" xfId="0" applyNumberFormat="1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37" fontId="5" fillId="5" borderId="0" xfId="0" applyNumberFormat="1" applyFont="1" applyFill="1" applyBorder="1"/>
    <xf numFmtId="0" fontId="5" fillId="5" borderId="0" xfId="0" applyFont="1" applyFill="1" applyBorder="1"/>
    <xf numFmtId="175" fontId="0" fillId="5" borderId="0" xfId="0" applyNumberFormat="1" applyFill="1" applyBorder="1"/>
    <xf numFmtId="164" fontId="5" fillId="5" borderId="0" xfId="0" applyNumberFormat="1" applyFont="1" applyFill="1" applyBorder="1"/>
    <xf numFmtId="37" fontId="0" fillId="5" borderId="1" xfId="0" applyNumberFormat="1" applyFill="1" applyBorder="1"/>
    <xf numFmtId="164" fontId="0" fillId="5" borderId="1" xfId="0" applyNumberFormat="1" applyFill="1" applyBorder="1"/>
    <xf numFmtId="174" fontId="2" fillId="0" borderId="1" xfId="0" applyNumberFormat="1" applyFont="1" applyBorder="1" applyAlignment="1">
      <alignment horizontal="center"/>
    </xf>
    <xf numFmtId="164" fontId="0" fillId="5" borderId="5" xfId="0" applyNumberFormat="1" applyFill="1" applyBorder="1"/>
    <xf numFmtId="181" fontId="0" fillId="0" borderId="5" xfId="6" applyNumberFormat="1" applyFont="1" applyBorder="1"/>
    <xf numFmtId="37" fontId="5" fillId="5" borderId="9" xfId="0" applyNumberFormat="1" applyFont="1" applyFill="1" applyBorder="1"/>
    <xf numFmtId="0" fontId="5" fillId="6" borderId="9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9" fontId="2" fillId="4" borderId="1" xfId="11" applyFill="1" applyBorder="1"/>
    <xf numFmtId="174" fontId="0" fillId="4" borderId="1" xfId="0" applyNumberFormat="1" applyFill="1" applyBorder="1"/>
    <xf numFmtId="176" fontId="0" fillId="4" borderId="1" xfId="0" applyNumberFormat="1" applyFill="1" applyBorder="1"/>
    <xf numFmtId="177" fontId="0" fillId="4" borderId="1" xfId="0" applyNumberFormat="1" applyFill="1" applyBorder="1"/>
    <xf numFmtId="0" fontId="2" fillId="0" borderId="0" xfId="0" applyFont="1" applyAlignment="1">
      <alignment horizontal="center"/>
    </xf>
    <xf numFmtId="37" fontId="2" fillId="0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170" fontId="0" fillId="7" borderId="0" xfId="0" applyNumberFormat="1" applyFill="1" applyAlignment="1">
      <alignment horizontal="center"/>
    </xf>
    <xf numFmtId="0" fontId="0" fillId="5" borderId="0" xfId="0" applyNumberFormat="1" applyFill="1" applyAlignment="1">
      <alignment horizontal="right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0" fillId="4" borderId="0" xfId="0" applyNumberFormat="1" applyFill="1" applyAlignment="1">
      <alignment horizontal="center"/>
    </xf>
    <xf numFmtId="3" fontId="0" fillId="0" borderId="0" xfId="0" applyNumberFormat="1"/>
    <xf numFmtId="168" fontId="0" fillId="0" borderId="0" xfId="11" applyNumberFormat="1" applyFont="1" applyAlignment="1">
      <alignment horizontal="center"/>
    </xf>
    <xf numFmtId="10" fontId="0" fillId="0" borderId="0" xfId="1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8" fontId="0" fillId="0" borderId="0" xfId="11" applyNumberFormat="1" applyFont="1"/>
    <xf numFmtId="182" fontId="0" fillId="0" borderId="0" xfId="0" applyNumberFormat="1" applyFill="1" applyAlignment="1">
      <alignment horizontal="center" wrapText="1"/>
    </xf>
    <xf numFmtId="0" fontId="2" fillId="0" borderId="20" xfId="0" applyFont="1" applyBorder="1"/>
    <xf numFmtId="0" fontId="2" fillId="0" borderId="0" xfId="0" applyFont="1" applyBorder="1"/>
    <xf numFmtId="0" fontId="2" fillId="0" borderId="23" xfId="0" applyFont="1" applyBorder="1"/>
    <xf numFmtId="3" fontId="2" fillId="0" borderId="0" xfId="0" applyNumberFormat="1" applyFont="1" applyBorder="1"/>
    <xf numFmtId="0" fontId="2" fillId="0" borderId="21" xfId="0" applyFont="1" applyBorder="1"/>
    <xf numFmtId="0" fontId="2" fillId="0" borderId="2" xfId="0" applyFont="1" applyBorder="1"/>
    <xf numFmtId="0" fontId="2" fillId="0" borderId="24" xfId="0" applyFont="1" applyBorder="1"/>
    <xf numFmtId="164" fontId="2" fillId="5" borderId="23" xfId="0" applyNumberFormat="1" applyFont="1" applyFill="1" applyBorder="1"/>
    <xf numFmtId="4" fontId="0" fillId="0" borderId="0" xfId="0" applyNumberFormat="1" applyAlignment="1">
      <alignment horizontal="center"/>
    </xf>
    <xf numFmtId="0" fontId="0" fillId="5" borderId="0" xfId="0" applyFill="1"/>
    <xf numFmtId="0" fontId="2" fillId="0" borderId="13" xfId="0" applyFont="1" applyBorder="1"/>
    <xf numFmtId="181" fontId="0" fillId="0" borderId="11" xfId="6" applyNumberFormat="1" applyFont="1" applyBorder="1"/>
    <xf numFmtId="0" fontId="5" fillId="6" borderId="6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178" fontId="8" fillId="0" borderId="1" xfId="13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165" fontId="8" fillId="0" borderId="1" xfId="13" applyNumberFormat="1" applyFont="1" applyFill="1" applyBorder="1" applyAlignment="1">
      <alignment vertical="center"/>
    </xf>
    <xf numFmtId="3" fontId="8" fillId="0" borderId="9" xfId="13" applyNumberFormat="1" applyFont="1" applyFill="1" applyBorder="1" applyAlignment="1">
      <alignment horizontal="center" vertical="center"/>
    </xf>
    <xf numFmtId="180" fontId="8" fillId="0" borderId="1" xfId="13" applyNumberFormat="1" applyFont="1" applyFill="1" applyBorder="1" applyAlignment="1">
      <alignment horizontal="center" vertical="center"/>
    </xf>
    <xf numFmtId="183" fontId="8" fillId="0" borderId="1" xfId="0" applyNumberFormat="1" applyFont="1" applyFill="1" applyBorder="1" applyAlignment="1">
      <alignment horizontal="center" vertical="center"/>
    </xf>
    <xf numFmtId="184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185" fontId="8" fillId="0" borderId="1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65" fontId="8" fillId="0" borderId="0" xfId="13" applyNumberFormat="1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178" fontId="8" fillId="0" borderId="9" xfId="13" applyNumberFormat="1" applyFont="1" applyFill="1" applyBorder="1" applyAlignment="1">
      <alignment horizontal="center" vertical="center"/>
    </xf>
    <xf numFmtId="180" fontId="8" fillId="0" borderId="9" xfId="13" applyNumberFormat="1" applyFont="1" applyFill="1" applyBorder="1" applyAlignment="1">
      <alignment horizontal="center" vertical="center"/>
    </xf>
    <xf numFmtId="180" fontId="8" fillId="0" borderId="0" xfId="0" applyNumberFormat="1" applyFont="1" applyFill="1" applyAlignment="1">
      <alignment vertical="center"/>
    </xf>
    <xf numFmtId="178" fontId="8" fillId="0" borderId="0" xfId="0" applyNumberFormat="1" applyFont="1" applyFill="1" applyAlignment="1">
      <alignment vertical="center"/>
    </xf>
    <xf numFmtId="3" fontId="8" fillId="0" borderId="1" xfId="13" applyNumberFormat="1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7" fontId="8" fillId="0" borderId="0" xfId="14" applyNumberFormat="1" applyFont="1" applyFill="1" applyBorder="1" applyAlignment="1">
      <alignment horizontal="center" vertical="center"/>
    </xf>
    <xf numFmtId="184" fontId="8" fillId="0" borderId="1" xfId="0" applyNumberFormat="1" applyFont="1" applyFill="1" applyBorder="1" applyAlignment="1">
      <alignment horizontal="center" vertical="center" wrapText="1"/>
    </xf>
    <xf numFmtId="168" fontId="8" fillId="0" borderId="1" xfId="13" applyNumberFormat="1" applyFont="1" applyFill="1" applyBorder="1" applyAlignment="1">
      <alignment horizontal="center" vertical="center"/>
    </xf>
    <xf numFmtId="185" fontId="8" fillId="0" borderId="1" xfId="13" applyNumberFormat="1" applyFont="1" applyFill="1" applyBorder="1" applyAlignment="1">
      <alignment horizontal="center" vertical="center"/>
    </xf>
    <xf numFmtId="184" fontId="8" fillId="0" borderId="9" xfId="13" applyNumberFormat="1" applyFont="1" applyFill="1" applyBorder="1" applyAlignment="1">
      <alignment horizontal="center" vertical="center"/>
    </xf>
    <xf numFmtId="3" fontId="8" fillId="0" borderId="16" xfId="0" applyNumberFormat="1" applyFont="1" applyFill="1" applyBorder="1" applyAlignment="1">
      <alignment horizontal="center" vertical="center" wrapText="1"/>
    </xf>
    <xf numFmtId="170" fontId="8" fillId="0" borderId="0" xfId="0" applyNumberFormat="1" applyFont="1" applyFill="1" applyAlignment="1">
      <alignment vertical="center"/>
    </xf>
    <xf numFmtId="0" fontId="8" fillId="0" borderId="17" xfId="0" applyFont="1" applyFill="1" applyBorder="1" applyAlignment="1">
      <alignment vertical="center"/>
    </xf>
    <xf numFmtId="0" fontId="8" fillId="0" borderId="15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180" fontId="8" fillId="0" borderId="16" xfId="0" applyNumberFormat="1" applyFont="1" applyFill="1" applyBorder="1" applyAlignment="1">
      <alignment horizontal="center" vertical="center" wrapText="1"/>
    </xf>
    <xf numFmtId="180" fontId="8" fillId="0" borderId="0" xfId="0" applyNumberFormat="1" applyFont="1" applyFill="1" applyBorder="1" applyAlignment="1">
      <alignment horizontal="center" vertical="center" wrapText="1"/>
    </xf>
    <xf numFmtId="9" fontId="8" fillId="0" borderId="16" xfId="0" applyNumberFormat="1" applyFont="1" applyFill="1" applyBorder="1" applyAlignment="1">
      <alignment horizontal="center" vertical="center" wrapText="1"/>
    </xf>
    <xf numFmtId="9" fontId="8" fillId="0" borderId="0" xfId="0" applyNumberFormat="1" applyFont="1" applyFill="1" applyBorder="1" applyAlignment="1">
      <alignment horizontal="center" vertical="center" wrapText="1"/>
    </xf>
    <xf numFmtId="0" fontId="17" fillId="0" borderId="1" xfId="15" applyFont="1" applyFill="1" applyBorder="1" applyAlignment="1">
      <alignment horizontal="left"/>
    </xf>
    <xf numFmtId="0" fontId="17" fillId="0" borderId="0" xfId="15" applyFont="1" applyFill="1" applyBorder="1" applyAlignment="1">
      <alignment horizontal="left"/>
    </xf>
    <xf numFmtId="186" fontId="8" fillId="0" borderId="0" xfId="16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185" fontId="8" fillId="0" borderId="16" xfId="0" applyNumberFormat="1" applyFont="1" applyFill="1" applyBorder="1" applyAlignment="1">
      <alignment horizontal="center" vertical="center" wrapText="1"/>
    </xf>
    <xf numFmtId="183" fontId="8" fillId="0" borderId="16" xfId="0" applyNumberFormat="1" applyFont="1" applyFill="1" applyBorder="1" applyAlignment="1">
      <alignment horizontal="center" vertical="center" wrapText="1"/>
    </xf>
    <xf numFmtId="183" fontId="8" fillId="0" borderId="0" xfId="0" applyNumberFormat="1" applyFont="1" applyFill="1" applyBorder="1" applyAlignment="1">
      <alignment horizontal="center" vertical="center" wrapText="1"/>
    </xf>
    <xf numFmtId="187" fontId="8" fillId="0" borderId="16" xfId="0" applyNumberFormat="1" applyFont="1" applyFill="1" applyBorder="1" applyAlignment="1">
      <alignment horizontal="center" vertical="center" wrapText="1"/>
    </xf>
    <xf numFmtId="187" fontId="8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184" fontId="12" fillId="0" borderId="9" xfId="13" applyNumberFormat="1" applyFont="1" applyFill="1" applyBorder="1" applyAlignment="1">
      <alignment horizontal="center" vertical="center"/>
    </xf>
    <xf numFmtId="170" fontId="8" fillId="0" borderId="1" xfId="0" applyNumberFormat="1" applyFont="1" applyFill="1" applyBorder="1" applyAlignment="1">
      <alignment horizontal="center" vertical="center"/>
    </xf>
    <xf numFmtId="183" fontId="8" fillId="0" borderId="0" xfId="0" applyNumberFormat="1" applyFont="1" applyFill="1" applyAlignment="1">
      <alignment vertical="center"/>
    </xf>
    <xf numFmtId="188" fontId="8" fillId="0" borderId="1" xfId="11" applyNumberFormat="1" applyFont="1" applyFill="1" applyBorder="1" applyAlignment="1">
      <alignment horizontal="center"/>
    </xf>
    <xf numFmtId="3" fontId="8" fillId="0" borderId="7" xfId="0" applyNumberFormat="1" applyFont="1" applyBorder="1" applyAlignment="1">
      <alignment horizontal="left"/>
    </xf>
    <xf numFmtId="3" fontId="8" fillId="0" borderId="8" xfId="0" applyNumberFormat="1" applyFont="1" applyBorder="1" applyAlignment="1">
      <alignment horizontal="left"/>
    </xf>
    <xf numFmtId="3" fontId="8" fillId="0" borderId="9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189" fontId="8" fillId="0" borderId="1" xfId="0" applyNumberFormat="1" applyFont="1" applyBorder="1" applyAlignment="1">
      <alignment horizontal="center"/>
    </xf>
    <xf numFmtId="3" fontId="8" fillId="0" borderId="1" xfId="11" applyNumberFormat="1" applyFont="1" applyBorder="1" applyAlignment="1">
      <alignment horizontal="center"/>
    </xf>
    <xf numFmtId="3" fontId="8" fillId="0" borderId="1" xfId="0" applyNumberFormat="1" applyFont="1" applyBorder="1"/>
    <xf numFmtId="169" fontId="8" fillId="0" borderId="1" xfId="1" applyNumberFormat="1" applyFont="1" applyBorder="1" applyAlignment="1">
      <alignment horizontal="center"/>
    </xf>
    <xf numFmtId="0" fontId="8" fillId="5" borderId="0" xfId="0" applyFont="1" applyFill="1" applyAlignment="1">
      <alignment vertical="center"/>
    </xf>
    <xf numFmtId="0" fontId="0" fillId="0" borderId="0" xfId="11" applyNumberFormat="1" applyFont="1" applyFill="1" applyAlignment="1">
      <alignment horizontal="center" wrapText="1"/>
    </xf>
    <xf numFmtId="0" fontId="0" fillId="0" borderId="0" xfId="1" applyNumberFormat="1" applyFont="1"/>
    <xf numFmtId="168" fontId="0" fillId="0" borderId="0" xfId="0" applyNumberFormat="1"/>
    <xf numFmtId="190" fontId="8" fillId="0" borderId="0" xfId="0" applyNumberFormat="1" applyFont="1" applyFill="1" applyAlignment="1">
      <alignment vertical="center"/>
    </xf>
    <xf numFmtId="184" fontId="8" fillId="0" borderId="16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/>
    </xf>
    <xf numFmtId="0" fontId="18" fillId="0" borderId="0" xfId="0" applyFont="1"/>
    <xf numFmtId="9" fontId="8" fillId="0" borderId="1" xfId="0" applyNumberFormat="1" applyFont="1" applyBorder="1" applyAlignment="1">
      <alignment horizontal="center" vertical="center"/>
    </xf>
    <xf numFmtId="9" fontId="19" fillId="0" borderId="1" xfId="13" applyNumberFormat="1" applyFont="1" applyFill="1" applyBorder="1" applyAlignment="1">
      <alignment horizontal="center" vertical="center" wrapText="1"/>
    </xf>
    <xf numFmtId="180" fontId="8" fillId="0" borderId="0" xfId="13" applyNumberFormat="1" applyFont="1" applyFill="1" applyBorder="1" applyAlignment="1">
      <alignment horizontal="center" vertical="center"/>
    </xf>
    <xf numFmtId="185" fontId="8" fillId="0" borderId="0" xfId="0" applyNumberFormat="1" applyFont="1" applyFill="1" applyBorder="1" applyAlignment="1">
      <alignment horizontal="center" vertical="center"/>
    </xf>
    <xf numFmtId="184" fontId="8" fillId="0" borderId="0" xfId="0" applyNumberFormat="1" applyFont="1" applyFill="1" applyBorder="1" applyAlignment="1">
      <alignment horizontal="center" vertical="center"/>
    </xf>
    <xf numFmtId="191" fontId="8" fillId="0" borderId="0" xfId="0" applyNumberFormat="1" applyFont="1" applyFill="1" applyAlignment="1">
      <alignment vertical="center"/>
    </xf>
    <xf numFmtId="178" fontId="8" fillId="0" borderId="0" xfId="13" applyNumberFormat="1" applyFont="1" applyFill="1" applyBorder="1" applyAlignment="1">
      <alignment horizontal="center" vertical="center"/>
    </xf>
    <xf numFmtId="0" fontId="0" fillId="0" borderId="1" xfId="0" applyBorder="1"/>
    <xf numFmtId="184" fontId="8" fillId="0" borderId="0" xfId="13" applyNumberFormat="1" applyFont="1" applyFill="1" applyBorder="1" applyAlignment="1">
      <alignment horizontal="center" vertical="center"/>
    </xf>
    <xf numFmtId="180" fontId="8" fillId="0" borderId="7" xfId="0" applyNumberFormat="1" applyFont="1" applyFill="1" applyBorder="1" applyAlignment="1">
      <alignment horizontal="center" vertical="center"/>
    </xf>
    <xf numFmtId="171" fontId="8" fillId="0" borderId="1" xfId="13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168" fontId="8" fillId="0" borderId="0" xfId="11" applyNumberFormat="1" applyFont="1" applyFill="1" applyBorder="1" applyAlignment="1">
      <alignment horizontal="center" vertical="center"/>
    </xf>
    <xf numFmtId="192" fontId="8" fillId="0" borderId="16" xfId="0" applyNumberFormat="1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center" vertical="center" wrapText="1"/>
    </xf>
    <xf numFmtId="3" fontId="8" fillId="0" borderId="8" xfId="13" applyNumberFormat="1" applyFont="1" applyFill="1" applyBorder="1" applyAlignment="1">
      <alignment horizontal="center" vertical="center"/>
    </xf>
    <xf numFmtId="188" fontId="8" fillId="0" borderId="8" xfId="11" applyNumberFormat="1" applyFont="1" applyFill="1" applyBorder="1" applyAlignment="1">
      <alignment horizontal="center"/>
    </xf>
    <xf numFmtId="188" fontId="8" fillId="0" borderId="9" xfId="11" applyNumberFormat="1" applyFont="1" applyFill="1" applyBorder="1" applyAlignment="1">
      <alignment horizontal="center"/>
    </xf>
    <xf numFmtId="3" fontId="8" fillId="0" borderId="6" xfId="13" applyNumberFormat="1" applyFont="1" applyFill="1" applyBorder="1" applyAlignment="1">
      <alignment horizontal="center" vertical="center"/>
    </xf>
    <xf numFmtId="3" fontId="0" fillId="5" borderId="0" xfId="0" applyNumberFormat="1" applyFill="1" applyAlignment="1">
      <alignment horizontal="center"/>
    </xf>
    <xf numFmtId="0" fontId="5" fillId="0" borderId="20" xfId="0" applyFont="1" applyBorder="1"/>
    <xf numFmtId="164" fontId="5" fillId="0" borderId="23" xfId="0" applyNumberFormat="1" applyFont="1" applyBorder="1"/>
    <xf numFmtId="0" fontId="5" fillId="0" borderId="0" xfId="0" applyFont="1" applyBorder="1" applyAlignment="1">
      <alignment horizontal="right"/>
    </xf>
    <xf numFmtId="0" fontId="5" fillId="6" borderId="18" xfId="0" applyFont="1" applyFill="1" applyBorder="1"/>
    <xf numFmtId="0" fontId="5" fillId="6" borderId="19" xfId="0" applyFont="1" applyFill="1" applyBorder="1"/>
    <xf numFmtId="0" fontId="5" fillId="6" borderId="22" xfId="0" applyFont="1" applyFill="1" applyBorder="1"/>
    <xf numFmtId="0" fontId="5" fillId="6" borderId="20" xfId="0" applyFont="1" applyFill="1" applyBorder="1"/>
    <xf numFmtId="0" fontId="5" fillId="6" borderId="0" xfId="0" applyFont="1" applyFill="1" applyBorder="1"/>
    <xf numFmtId="0" fontId="5" fillId="6" borderId="23" xfId="0" applyFont="1" applyFill="1" applyBorder="1"/>
    <xf numFmtId="0" fontId="12" fillId="8" borderId="1" xfId="12" applyFont="1" applyFill="1" applyBorder="1" applyAlignment="1">
      <alignment horizontal="center" vertical="center" wrapText="1"/>
    </xf>
    <xf numFmtId="0" fontId="12" fillId="8" borderId="7" xfId="12" applyFont="1" applyFill="1" applyBorder="1" applyAlignment="1">
      <alignment horizontal="left" vertical="center"/>
    </xf>
    <xf numFmtId="0" fontId="12" fillId="8" borderId="8" xfId="12" applyFont="1" applyFill="1" applyBorder="1" applyAlignment="1">
      <alignment horizontal="center" vertical="center"/>
    </xf>
    <xf numFmtId="3" fontId="12" fillId="8" borderId="1" xfId="12" applyNumberFormat="1" applyFont="1" applyFill="1" applyBorder="1" applyAlignment="1">
      <alignment horizontal="center" vertical="center" wrapText="1"/>
    </xf>
    <xf numFmtId="0" fontId="12" fillId="8" borderId="9" xfId="12" applyFont="1" applyFill="1" applyBorder="1" applyAlignment="1">
      <alignment horizontal="center" vertical="center"/>
    </xf>
    <xf numFmtId="0" fontId="12" fillId="8" borderId="9" xfId="12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/>
    </xf>
    <xf numFmtId="0" fontId="12" fillId="8" borderId="9" xfId="0" applyFont="1" applyFill="1" applyBorder="1" applyAlignment="1">
      <alignment horizontal="left" vertical="center"/>
    </xf>
    <xf numFmtId="0" fontId="12" fillId="8" borderId="13" xfId="12" applyFont="1" applyFill="1" applyBorder="1" applyAlignment="1">
      <alignment horizontal="left" vertical="center"/>
    </xf>
    <xf numFmtId="0" fontId="12" fillId="8" borderId="14" xfId="12" applyFont="1" applyFill="1" applyBorder="1" applyAlignment="1">
      <alignment horizontal="center" vertical="center"/>
    </xf>
    <xf numFmtId="0" fontId="12" fillId="8" borderId="11" xfId="12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left" vertical="center"/>
    </xf>
    <xf numFmtId="0" fontId="8" fillId="8" borderId="8" xfId="0" applyFont="1" applyFill="1" applyBorder="1" applyAlignment="1">
      <alignment horizontal="left" vertical="center"/>
    </xf>
    <xf numFmtId="0" fontId="8" fillId="8" borderId="1" xfId="0" applyFont="1" applyFill="1" applyBorder="1"/>
    <xf numFmtId="0" fontId="8" fillId="8" borderId="1" xfId="0" applyFont="1" applyFill="1" applyBorder="1" applyAlignment="1">
      <alignment horizontal="center" wrapText="1"/>
    </xf>
    <xf numFmtId="3" fontId="8" fillId="8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12" fillId="0" borderId="10" xfId="0" applyFont="1" applyBorder="1"/>
    <xf numFmtId="0" fontId="0" fillId="0" borderId="0" xfId="0" applyBorder="1"/>
    <xf numFmtId="0" fontId="0" fillId="0" borderId="17" xfId="0" applyBorder="1"/>
    <xf numFmtId="0" fontId="12" fillId="0" borderId="0" xfId="0" applyFont="1" applyBorder="1"/>
    <xf numFmtId="0" fontId="8" fillId="0" borderId="0" xfId="0" applyFont="1" applyBorder="1"/>
    <xf numFmtId="0" fontId="8" fillId="0" borderId="17" xfId="0" applyFont="1" applyBorder="1"/>
    <xf numFmtId="9" fontId="8" fillId="0" borderId="0" xfId="11" applyFont="1" applyFill="1" applyAlignment="1">
      <alignment vertical="center"/>
    </xf>
    <xf numFmtId="0" fontId="1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center" vertical="center"/>
    </xf>
    <xf numFmtId="0" fontId="16" fillId="8" borderId="1" xfId="15" applyFont="1" applyFill="1" applyBorder="1" applyAlignment="1">
      <alignment horizontal="center"/>
    </xf>
    <xf numFmtId="0" fontId="16" fillId="8" borderId="1" xfId="15" applyFont="1" applyFill="1" applyBorder="1" applyAlignment="1">
      <alignment horizontal="center"/>
    </xf>
    <xf numFmtId="182" fontId="0" fillId="0" borderId="0" xfId="0" applyNumberFormat="1" applyAlignment="1">
      <alignment horizontal="center"/>
    </xf>
    <xf numFmtId="0" fontId="12" fillId="2" borderId="0" xfId="0" applyFont="1" applyFill="1" applyAlignment="1"/>
    <xf numFmtId="3" fontId="2" fillId="0" borderId="0" xfId="0" applyNumberFormat="1" applyFont="1" applyAlignment="1"/>
    <xf numFmtId="188" fontId="8" fillId="0" borderId="9" xfId="0" applyNumberFormat="1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193" fontId="8" fillId="0" borderId="16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/>
    <xf numFmtId="0" fontId="12" fillId="0" borderId="8" xfId="0" applyFont="1" applyBorder="1" applyAlignment="1"/>
    <xf numFmtId="3" fontId="4" fillId="0" borderId="1" xfId="0" applyNumberFormat="1" applyFont="1" applyFill="1" applyBorder="1" applyAlignment="1">
      <alignment horizontal="center"/>
    </xf>
    <xf numFmtId="178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7" fontId="0" fillId="0" borderId="1" xfId="0" applyNumberFormat="1" applyBorder="1"/>
    <xf numFmtId="3" fontId="0" fillId="0" borderId="1" xfId="0" applyNumberFormat="1" applyFill="1" applyBorder="1" applyAlignment="1">
      <alignment horizontal="center"/>
    </xf>
    <xf numFmtId="178" fontId="0" fillId="0" borderId="1" xfId="0" applyNumberFormat="1" applyFill="1" applyBorder="1" applyAlignment="1">
      <alignment horizontal="center"/>
    </xf>
    <xf numFmtId="37" fontId="3" fillId="0" borderId="1" xfId="0" applyNumberFormat="1" applyFont="1" applyBorder="1" applyAlignment="1">
      <alignment horizontal="center"/>
    </xf>
    <xf numFmtId="37" fontId="3" fillId="0" borderId="1" xfId="0" applyNumberFormat="1" applyFont="1" applyFill="1" applyBorder="1" applyAlignment="1">
      <alignment horizontal="center"/>
    </xf>
    <xf numFmtId="37" fontId="0" fillId="0" borderId="1" xfId="0" applyNumberFormat="1" applyBorder="1" applyAlignment="1">
      <alignment horizontal="center"/>
    </xf>
    <xf numFmtId="178" fontId="3" fillId="0" borderId="1" xfId="0" applyNumberFormat="1" applyFont="1" applyFill="1" applyBorder="1" applyAlignment="1">
      <alignment horizontal="center"/>
    </xf>
    <xf numFmtId="37" fontId="2" fillId="0" borderId="1" xfId="0" applyNumberFormat="1" applyFont="1" applyFill="1" applyBorder="1" applyAlignment="1">
      <alignment horizontal="center"/>
    </xf>
    <xf numFmtId="37" fontId="5" fillId="0" borderId="0" xfId="0" applyNumberFormat="1" applyFont="1"/>
    <xf numFmtId="37" fontId="20" fillId="0" borderId="0" xfId="0" applyNumberFormat="1" applyFont="1"/>
    <xf numFmtId="0" fontId="20" fillId="0" borderId="0" xfId="0" applyFont="1"/>
    <xf numFmtId="37" fontId="20" fillId="0" borderId="0" xfId="18" applyNumberFormat="1" applyFont="1"/>
    <xf numFmtId="173" fontId="20" fillId="0" borderId="0" xfId="0" applyNumberFormat="1" applyFont="1"/>
    <xf numFmtId="173" fontId="20" fillId="0" borderId="0" xfId="18" applyNumberFormat="1" applyFont="1"/>
    <xf numFmtId="173" fontId="20" fillId="4" borderId="0" xfId="0" applyNumberFormat="1" applyFont="1" applyFill="1"/>
    <xf numFmtId="0" fontId="20" fillId="0" borderId="0" xfId="0" applyFont="1" applyAlignment="1">
      <alignment horizont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169" fontId="8" fillId="0" borderId="1" xfId="1" applyNumberFormat="1" applyFont="1" applyBorder="1" applyAlignment="1">
      <alignment horizontal="center" vertical="center"/>
    </xf>
    <xf numFmtId="0" fontId="12" fillId="8" borderId="7" xfId="0" applyFont="1" applyFill="1" applyBorder="1" applyAlignment="1">
      <alignment horizontal="left"/>
    </xf>
    <xf numFmtId="0" fontId="12" fillId="8" borderId="8" xfId="0" applyFont="1" applyFill="1" applyBorder="1" applyAlignment="1">
      <alignment horizontal="left"/>
    </xf>
    <xf numFmtId="0" fontId="12" fillId="8" borderId="9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8" borderId="7" xfId="12" applyFont="1" applyFill="1" applyBorder="1" applyAlignment="1">
      <alignment horizontal="left" vertical="center"/>
    </xf>
    <xf numFmtId="0" fontId="12" fillId="8" borderId="8" xfId="12" applyFont="1" applyFill="1" applyBorder="1" applyAlignment="1">
      <alignment horizontal="left" vertical="center"/>
    </xf>
    <xf numFmtId="0" fontId="12" fillId="8" borderId="9" xfId="12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12" fillId="8" borderId="7" xfId="12" applyFont="1" applyFill="1" applyBorder="1" applyAlignment="1">
      <alignment horizontal="center" vertical="center"/>
    </xf>
    <xf numFmtId="0" fontId="12" fillId="8" borderId="8" xfId="12" applyFont="1" applyFill="1" applyBorder="1" applyAlignment="1">
      <alignment horizontal="center" vertical="center"/>
    </xf>
    <xf numFmtId="0" fontId="12" fillId="8" borderId="9" xfId="12" applyFont="1" applyFill="1" applyBorder="1" applyAlignment="1">
      <alignment horizontal="center" vertical="center"/>
    </xf>
    <xf numFmtId="0" fontId="16" fillId="8" borderId="1" xfId="15" applyFont="1" applyFill="1" applyBorder="1" applyAlignment="1">
      <alignment horizontal="center"/>
    </xf>
    <xf numFmtId="0" fontId="16" fillId="8" borderId="7" xfId="15" applyFont="1" applyFill="1" applyBorder="1" applyAlignment="1">
      <alignment horizontal="center"/>
    </xf>
    <xf numFmtId="0" fontId="16" fillId="8" borderId="8" xfId="15" applyFont="1" applyFill="1" applyBorder="1" applyAlignment="1">
      <alignment horizontal="center"/>
    </xf>
    <xf numFmtId="0" fontId="16" fillId="8" borderId="9" xfId="15" applyFont="1" applyFill="1" applyBorder="1" applyAlignment="1">
      <alignment horizontal="center"/>
    </xf>
    <xf numFmtId="0" fontId="16" fillId="8" borderId="7" xfId="15" applyFont="1" applyFill="1" applyBorder="1" applyAlignment="1">
      <alignment horizontal="center" wrapText="1"/>
    </xf>
    <xf numFmtId="0" fontId="16" fillId="8" borderId="8" xfId="15" applyFont="1" applyFill="1" applyBorder="1" applyAlignment="1">
      <alignment horizontal="center" wrapText="1"/>
    </xf>
    <xf numFmtId="0" fontId="16" fillId="8" borderId="9" xfId="15" applyFont="1" applyFill="1" applyBorder="1" applyAlignment="1">
      <alignment horizontal="center" wrapText="1"/>
    </xf>
    <xf numFmtId="188" fontId="8" fillId="0" borderId="7" xfId="0" applyNumberFormat="1" applyFont="1" applyFill="1" applyBorder="1" applyAlignment="1">
      <alignment horizontal="left" vertical="center" wrapText="1"/>
    </xf>
    <xf numFmtId="188" fontId="8" fillId="0" borderId="8" xfId="0" applyNumberFormat="1" applyFont="1" applyFill="1" applyBorder="1" applyAlignment="1">
      <alignment horizontal="left" vertical="center" wrapText="1"/>
    </xf>
    <xf numFmtId="188" fontId="8" fillId="0" borderId="9" xfId="0" applyNumberFormat="1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12" fillId="8" borderId="7" xfId="12" applyFont="1" applyFill="1" applyBorder="1" applyAlignment="1">
      <alignment horizontal="left" vertical="center" wrapText="1"/>
    </xf>
    <xf numFmtId="0" fontId="12" fillId="8" borderId="8" xfId="12" applyFont="1" applyFill="1" applyBorder="1" applyAlignment="1">
      <alignment horizontal="left" vertical="center" wrapText="1"/>
    </xf>
    <xf numFmtId="0" fontId="12" fillId="8" borderId="9" xfId="12" applyFont="1" applyFill="1" applyBorder="1" applyAlignment="1">
      <alignment horizontal="left" vertical="center" wrapText="1"/>
    </xf>
    <xf numFmtId="3" fontId="19" fillId="0" borderId="1" xfId="0" applyNumberFormat="1" applyFont="1" applyBorder="1" applyAlignment="1">
      <alignment horizontal="left" vertical="center" wrapText="1"/>
    </xf>
    <xf numFmtId="1" fontId="8" fillId="0" borderId="7" xfId="0" applyNumberFormat="1" applyFont="1" applyFill="1" applyBorder="1" applyAlignment="1">
      <alignment horizontal="left" vertical="center" wrapText="1" indent="1"/>
    </xf>
    <xf numFmtId="1" fontId="8" fillId="0" borderId="8" xfId="0" applyNumberFormat="1" applyFont="1" applyFill="1" applyBorder="1" applyAlignment="1">
      <alignment horizontal="left" vertical="center" wrapText="1" indent="1"/>
    </xf>
    <xf numFmtId="1" fontId="8" fillId="0" borderId="9" xfId="0" applyNumberFormat="1" applyFont="1" applyFill="1" applyBorder="1" applyAlignment="1">
      <alignment horizontal="left" vertical="center" wrapText="1" indent="1"/>
    </xf>
    <xf numFmtId="1" fontId="8" fillId="0" borderId="7" xfId="0" applyNumberFormat="1" applyFont="1" applyFill="1" applyBorder="1" applyAlignment="1">
      <alignment horizontal="left" vertical="center" indent="1"/>
    </xf>
    <xf numFmtId="1" fontId="8" fillId="0" borderId="8" xfId="0" applyNumberFormat="1" applyFont="1" applyFill="1" applyBorder="1" applyAlignment="1">
      <alignment horizontal="left" vertical="center" indent="1"/>
    </xf>
    <xf numFmtId="1" fontId="8" fillId="0" borderId="9" xfId="0" applyNumberFormat="1" applyFont="1" applyFill="1" applyBorder="1" applyAlignment="1">
      <alignment horizontal="left" vertical="center" indent="1"/>
    </xf>
    <xf numFmtId="0" fontId="12" fillId="0" borderId="16" xfId="0" applyFont="1" applyFill="1" applyBorder="1" applyAlignment="1">
      <alignment horizontal="left" vertical="center"/>
    </xf>
    <xf numFmtId="0" fontId="12" fillId="0" borderId="1" xfId="12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180" fontId="8" fillId="0" borderId="7" xfId="0" applyNumberFormat="1" applyFont="1" applyFill="1" applyBorder="1" applyAlignment="1">
      <alignment horizontal="center" vertical="center" wrapText="1"/>
    </xf>
    <xf numFmtId="180" fontId="8" fillId="0" borderId="9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178" fontId="0" fillId="0" borderId="0" xfId="0" applyNumberFormat="1" applyAlignment="1">
      <alignment horizontal="center" wrapText="1"/>
    </xf>
    <xf numFmtId="0" fontId="20" fillId="0" borderId="0" xfId="0" applyFont="1" applyAlignment="1">
      <alignment horizontal="center"/>
    </xf>
    <xf numFmtId="0" fontId="5" fillId="6" borderId="11" xfId="0" applyFont="1" applyFill="1" applyBorder="1" applyAlignment="1">
      <alignment horizontal="center" wrapText="1"/>
    </xf>
    <xf numFmtId="0" fontId="5" fillId="6" borderId="16" xfId="0" applyFont="1" applyFill="1" applyBorder="1" applyAlignment="1">
      <alignment horizontal="center" wrapText="1"/>
    </xf>
    <xf numFmtId="0" fontId="5" fillId="6" borderId="13" xfId="0" applyNumberFormat="1" applyFont="1" applyFill="1" applyBorder="1" applyAlignment="1">
      <alignment horizontal="center"/>
    </xf>
    <xf numFmtId="0" fontId="5" fillId="6" borderId="14" xfId="0" applyNumberFormat="1" applyFont="1" applyFill="1" applyBorder="1" applyAlignment="1">
      <alignment horizontal="center"/>
    </xf>
    <xf numFmtId="0" fontId="5" fillId="6" borderId="9" xfId="0" applyNumberFormat="1" applyFont="1" applyFill="1" applyBorder="1" applyAlignment="1">
      <alignment horizontal="center"/>
    </xf>
    <xf numFmtId="0" fontId="5" fillId="6" borderId="10" xfId="0" applyNumberFormat="1" applyFont="1" applyFill="1" applyBorder="1" applyAlignment="1">
      <alignment horizontal="center"/>
    </xf>
    <xf numFmtId="0" fontId="5" fillId="6" borderId="4" xfId="0" applyNumberFormat="1" applyFont="1" applyFill="1" applyBorder="1" applyAlignment="1">
      <alignment horizontal="center"/>
    </xf>
    <xf numFmtId="0" fontId="5" fillId="6" borderId="6" xfId="0" applyNumberFormat="1" applyFont="1" applyFill="1" applyBorder="1" applyAlignment="1">
      <alignment horizontal="center"/>
    </xf>
    <xf numFmtId="0" fontId="5" fillId="6" borderId="11" xfId="0" applyNumberFormat="1" applyFont="1" applyFill="1" applyBorder="1" applyAlignment="1">
      <alignment horizontal="center" wrapText="1"/>
    </xf>
    <xf numFmtId="0" fontId="5" fillId="6" borderId="5" xfId="0" applyNumberFormat="1" applyFont="1" applyFill="1" applyBorder="1" applyAlignment="1">
      <alignment horizontal="center" wrapText="1"/>
    </xf>
    <xf numFmtId="0" fontId="5" fillId="6" borderId="15" xfId="0" applyNumberFormat="1" applyFont="1" applyFill="1" applyBorder="1" applyAlignment="1">
      <alignment horizontal="center"/>
    </xf>
    <xf numFmtId="0" fontId="5" fillId="6" borderId="17" xfId="0" applyNumberFormat="1" applyFont="1" applyFill="1" applyBorder="1" applyAlignment="1">
      <alignment horizontal="center"/>
    </xf>
  </cellXfs>
  <cellStyles count="19">
    <cellStyle name="Comma" xfId="1" builtinId="3"/>
    <cellStyle name="Comma 2" xfId="2"/>
    <cellStyle name="Comma 3" xfId="3"/>
    <cellStyle name="Comma 3 2 5" xfId="16"/>
    <cellStyle name="Comma 4" xfId="18"/>
    <cellStyle name="Comma_Horizon 2011 Load Forecast Model  June 25, 2010" xfId="4"/>
    <cellStyle name="Comma_OPDC_RA2009_Rates Design" xfId="14"/>
    <cellStyle name="Comma0" xfId="5"/>
    <cellStyle name="Currency" xfId="6" builtinId="4"/>
    <cellStyle name="Currency0" xfId="7"/>
    <cellStyle name="Date" xfId="8"/>
    <cellStyle name="Fixed" xfId="9"/>
    <cellStyle name="Normal" xfId="0" builtinId="0"/>
    <cellStyle name="Normal 2" xfId="10"/>
    <cellStyle name="Normal 5 2 3" xfId="15"/>
    <cellStyle name="Normal_OEB Trial Balance - Regulatory-July24-07" xfId="13"/>
    <cellStyle name="Normal_Sheet2" xfId="12"/>
    <cellStyle name="Percent" xfId="11" builtinId="5"/>
    <cellStyle name="Percent 3 2 3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'Exhibit 3 Tables'!$J$101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'Exhibit 3 Tables'!$I$102:$I$111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'Exhibit 3 Tables'!$J$102:$J$111</c:f>
              <c:numCache>
                <c:formatCode>0</c:formatCode>
                <c:ptCount val="10"/>
                <c:pt idx="0">
                  <c:v>241.1546361</c:v>
                </c:pt>
                <c:pt idx="1">
                  <c:v>245.62302780000002</c:v>
                </c:pt>
                <c:pt idx="2">
                  <c:v>247.23918920000003</c:v>
                </c:pt>
                <c:pt idx="3">
                  <c:v>250.23937879999997</c:v>
                </c:pt>
                <c:pt idx="4">
                  <c:v>246.75816720000003</c:v>
                </c:pt>
                <c:pt idx="5">
                  <c:v>245.12983840000004</c:v>
                </c:pt>
                <c:pt idx="6">
                  <c:v>251.7580614</c:v>
                </c:pt>
                <c:pt idx="7">
                  <c:v>253.25498630000001</c:v>
                </c:pt>
                <c:pt idx="8">
                  <c:v>255.77498309999999</c:v>
                </c:pt>
                <c:pt idx="9">
                  <c:v>259.38203600000003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FC-4FA7-8C90-DCC7796DB9B9}"/>
            </c:ext>
          </c:extLst>
        </c:ser>
        <c:ser>
          <c:idx val="1"/>
          <c:order val="1"/>
          <c:tx>
            <c:strRef>
              <c:f>'Exhibit 3 Tables'!$K$101</c:f>
              <c:strCache>
                <c:ptCount val="1"/>
                <c:pt idx="0">
                  <c:v>Predicted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'Exhibit 3 Tables'!$I$102:$I$111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'Exhibit 3 Tables'!$K$102:$K$111</c:f>
              <c:numCache>
                <c:formatCode>0</c:formatCode>
                <c:ptCount val="10"/>
                <c:pt idx="0">
                  <c:v>245.10964281529311</c:v>
                </c:pt>
                <c:pt idx="1">
                  <c:v>243.75214778149052</c:v>
                </c:pt>
                <c:pt idx="2">
                  <c:v>243.4334148098296</c:v>
                </c:pt>
                <c:pt idx="3">
                  <c:v>246.67780133027512</c:v>
                </c:pt>
                <c:pt idx="4">
                  <c:v>249.08561488396003</c:v>
                </c:pt>
                <c:pt idx="5">
                  <c:v>246.97503663319921</c:v>
                </c:pt>
                <c:pt idx="6">
                  <c:v>250.05481672654173</c:v>
                </c:pt>
                <c:pt idx="7">
                  <c:v>254.54088988211166</c:v>
                </c:pt>
                <c:pt idx="8">
                  <c:v>255.30925472807687</c:v>
                </c:pt>
                <c:pt idx="9">
                  <c:v>261.37568470922133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FC-4FA7-8C90-DCC7796DB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6615168"/>
        <c:axId val="514986752"/>
      </c:barChart>
      <c:catAx>
        <c:axId val="51661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986752"/>
        <c:crosses val="autoZero"/>
        <c:auto val="1"/>
        <c:lblAlgn val="ctr"/>
        <c:lblOffset val="100"/>
        <c:noMultiLvlLbl val="0"/>
      </c:catAx>
      <c:valAx>
        <c:axId val="51498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61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483870</xdr:colOff>
      <xdr:row>97</xdr:row>
      <xdr:rowOff>148590</xdr:rowOff>
    </xdr:from>
    <xdr:to>
      <xdr:col>15</xdr:col>
      <xdr:colOff>506730</xdr:colOff>
      <xdr:row>112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g/Desktop/Dummy%20F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dap/AppData/Local/Microsoft/Windows/Temporary%20Internet%20Files/Content.Outlook/L7LXSOMP/eng-daily-01012015-1231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Lakeland/2013%20Rate%20Appl/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DC%20FTY%20-%20LF/CostAllocat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il/AppData/Local/Microsoft/Windows/Temporary%20Internet%20Files/Content.Outlook/UASGTAG3/2016%20OEB%20Trial%20Balance%20and%20PBR%20Dat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dap/AppData/Local/Microsoft/Windows/Temporary%20Internet%20Files/Content.Outlook/L7LXSOMP/2002%20to%202011%20Load%20Forecast%20Dat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dap/AppData/Local/Microsoft/Windows/Temporary%20Internet%20Files/Content.Outlook/L7LXSOMP/InnPower%20Power%20Puchased%202002_2015%20Dec%20Updates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Innisfil/2017%20Rate%20Application/Interrogatories/GT%20C3%20March%202017%20%20Financial%20Analysis%20-%20JET%20design%20mod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dap/AppData/Local/Microsoft/Windows/Temporary%20Internet%20Files/Content.Outlook/L7LXSOMP/eng-daily-01012013-1231201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dap/AppData/Local/Microsoft/Windows/Temporary%20Internet%20Files/Content.Outlook/L7LXSOMP/eng-daily-01012014-1231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5-12312015"/>
    </sheetNames>
    <sheetDataSet>
      <sheetData sheetId="0">
        <row r="57">
          <cell r="M57">
            <v>792.39999999999975</v>
          </cell>
          <cell r="O57">
            <v>0</v>
          </cell>
        </row>
        <row r="86">
          <cell r="M86">
            <v>856.8</v>
          </cell>
          <cell r="O86">
            <v>0</v>
          </cell>
        </row>
        <row r="117">
          <cell r="M117">
            <v>615.49999999999989</v>
          </cell>
          <cell r="O117">
            <v>0</v>
          </cell>
        </row>
        <row r="147">
          <cell r="M147">
            <v>313.7</v>
          </cell>
          <cell r="O147">
            <v>0</v>
          </cell>
        </row>
        <row r="178">
          <cell r="M178">
            <v>89.3</v>
          </cell>
          <cell r="O178">
            <v>34.1</v>
          </cell>
        </row>
        <row r="208">
          <cell r="M208">
            <v>33.800000000000004</v>
          </cell>
          <cell r="O208">
            <v>32.299999999999997</v>
          </cell>
        </row>
        <row r="239">
          <cell r="M239">
            <v>4</v>
          </cell>
          <cell r="O239">
            <v>114.29999999999998</v>
          </cell>
        </row>
        <row r="270">
          <cell r="M270">
            <v>4.4000000000000004</v>
          </cell>
          <cell r="O270">
            <v>88.6</v>
          </cell>
        </row>
        <row r="300">
          <cell r="M300">
            <v>31.099999999999994</v>
          </cell>
          <cell r="O300">
            <v>81.900000000000006</v>
          </cell>
        </row>
        <row r="331">
          <cell r="M331">
            <v>249.8</v>
          </cell>
          <cell r="O331">
            <v>0</v>
          </cell>
        </row>
        <row r="361">
          <cell r="M361">
            <v>345</v>
          </cell>
          <cell r="O361">
            <v>0</v>
          </cell>
        </row>
        <row r="392">
          <cell r="M392">
            <v>429.70000000000005</v>
          </cell>
          <cell r="O39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udited TB"/>
      <sheetName val="2.1.7 OEB TB"/>
      <sheetName val="2.1.7 OEB TB CGAAP IFRS"/>
      <sheetName val="2.1.7 Group 1"/>
      <sheetName val="2.1.7 Sub Accts"/>
      <sheetName val="2.1.13 Summary"/>
      <sheetName val="2.1.13 TB map to audited FS"/>
      <sheetName val="OEB PBR 2.1.5 PBR"/>
      <sheetName val="Retailer 2.1.5"/>
      <sheetName val="OEB 2.1.5.6 ROE Calc"/>
      <sheetName val="OEB 2.1.10 Affliate"/>
      <sheetName val="OEB 2.1.8 AMP"/>
      <sheetName val="Summary Data by year"/>
      <sheetName val="Generation"/>
      <sheetName val="LTLT"/>
      <sheetName val="Wholesale kWh"/>
      <sheetName val="Mthly Retail St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2">
          <cell r="C22">
            <v>784220</v>
          </cell>
          <cell r="D22">
            <v>849293</v>
          </cell>
          <cell r="E22">
            <v>953526</v>
          </cell>
          <cell r="F22">
            <v>873386</v>
          </cell>
          <cell r="G22">
            <v>777643</v>
          </cell>
          <cell r="H22">
            <v>761195</v>
          </cell>
          <cell r="I22">
            <v>811712</v>
          </cell>
          <cell r="J22">
            <v>787771</v>
          </cell>
        </row>
        <row r="23">
          <cell r="C23">
            <v>168467</v>
          </cell>
          <cell r="D23">
            <v>162375</v>
          </cell>
          <cell r="E23">
            <v>200477.98</v>
          </cell>
          <cell r="F23">
            <v>195189</v>
          </cell>
          <cell r="G23">
            <v>203019</v>
          </cell>
          <cell r="H23">
            <v>211433</v>
          </cell>
          <cell r="I23">
            <v>211254</v>
          </cell>
          <cell r="J23">
            <v>162060</v>
          </cell>
        </row>
        <row r="24">
          <cell r="C24">
            <v>4358</v>
          </cell>
          <cell r="D24">
            <v>4358</v>
          </cell>
          <cell r="E24">
            <v>4290</v>
          </cell>
          <cell r="F24">
            <v>3542.4</v>
          </cell>
          <cell r="G24">
            <v>3542.4</v>
          </cell>
          <cell r="H24">
            <v>3542.4</v>
          </cell>
          <cell r="I24">
            <v>3542.4</v>
          </cell>
          <cell r="J24">
            <v>3542.4</v>
          </cell>
        </row>
        <row r="25">
          <cell r="D25">
            <v>5</v>
          </cell>
          <cell r="E25">
            <v>5</v>
          </cell>
          <cell r="F25">
            <v>5</v>
          </cell>
          <cell r="G25">
            <v>2</v>
          </cell>
        </row>
      </sheetData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mption Data "/>
    </sheetNames>
    <sheetDataSet>
      <sheetData sheetId="0">
        <row r="54">
          <cell r="B54">
            <v>23275097</v>
          </cell>
        </row>
        <row r="66">
          <cell r="B66">
            <v>24279309.5</v>
          </cell>
          <cell r="N66">
            <v>9637</v>
          </cell>
          <cell r="AG66">
            <v>13849</v>
          </cell>
        </row>
        <row r="67">
          <cell r="B67">
            <v>23881688.099999998</v>
          </cell>
          <cell r="N67">
            <v>9026</v>
          </cell>
          <cell r="AG67">
            <v>13861</v>
          </cell>
        </row>
        <row r="68">
          <cell r="B68">
            <v>22297189.800000001</v>
          </cell>
          <cell r="N68">
            <v>9028</v>
          </cell>
          <cell r="AG68">
            <v>13865</v>
          </cell>
        </row>
        <row r="69">
          <cell r="B69">
            <v>18569417.100000001</v>
          </cell>
          <cell r="N69">
            <v>9239</v>
          </cell>
          <cell r="AG69">
            <v>13869</v>
          </cell>
        </row>
        <row r="70">
          <cell r="B70">
            <v>16382762.399999999</v>
          </cell>
          <cell r="N70">
            <v>9447</v>
          </cell>
          <cell r="AG70">
            <v>13873</v>
          </cell>
        </row>
        <row r="71">
          <cell r="B71">
            <v>17880105.399999999</v>
          </cell>
          <cell r="F71">
            <v>12991</v>
          </cell>
          <cell r="J71">
            <v>819</v>
          </cell>
          <cell r="N71">
            <v>8939</v>
          </cell>
          <cell r="O71">
            <v>71</v>
          </cell>
          <cell r="T71">
            <v>2489</v>
          </cell>
          <cell r="Y71">
            <v>186</v>
          </cell>
          <cell r="AC71">
            <v>89</v>
          </cell>
          <cell r="AG71">
            <v>13881</v>
          </cell>
        </row>
        <row r="72">
          <cell r="B72">
            <v>18476519.899999999</v>
          </cell>
          <cell r="N72">
            <v>9860</v>
          </cell>
          <cell r="AG72">
            <v>13905</v>
          </cell>
        </row>
        <row r="73">
          <cell r="B73">
            <v>19239333.699999999</v>
          </cell>
          <cell r="N73">
            <v>9614</v>
          </cell>
          <cell r="AG73">
            <v>13925</v>
          </cell>
        </row>
        <row r="74">
          <cell r="B74">
            <v>16489843.199999999</v>
          </cell>
          <cell r="N74">
            <v>9864</v>
          </cell>
          <cell r="AG74">
            <v>13949</v>
          </cell>
        </row>
        <row r="75">
          <cell r="B75">
            <v>17241374.899999999</v>
          </cell>
          <cell r="N75">
            <v>11088</v>
          </cell>
          <cell r="AG75">
            <v>13987</v>
          </cell>
        </row>
        <row r="76">
          <cell r="B76">
            <v>20822608.399999999</v>
          </cell>
          <cell r="N76">
            <v>11005</v>
          </cell>
          <cell r="AG76">
            <v>14001</v>
          </cell>
        </row>
        <row r="77">
          <cell r="B77">
            <v>25594483.699999999</v>
          </cell>
          <cell r="N77">
            <v>10209</v>
          </cell>
          <cell r="AG77">
            <v>14035</v>
          </cell>
        </row>
        <row r="78">
          <cell r="B78">
            <v>25337707.800000001</v>
          </cell>
          <cell r="N78">
            <v>10883.6</v>
          </cell>
          <cell r="AG78">
            <v>14052</v>
          </cell>
        </row>
        <row r="79">
          <cell r="B79">
            <v>23919251.399999999</v>
          </cell>
          <cell r="N79">
            <v>11124.2</v>
          </cell>
          <cell r="AG79">
            <v>14069</v>
          </cell>
        </row>
        <row r="80">
          <cell r="B80">
            <v>23324392.199999999</v>
          </cell>
          <cell r="N80">
            <v>10817.97</v>
          </cell>
          <cell r="AG80">
            <v>14091</v>
          </cell>
        </row>
        <row r="81">
          <cell r="B81">
            <v>17845472.600000001</v>
          </cell>
          <cell r="N81">
            <v>10786.43</v>
          </cell>
          <cell r="AG81">
            <v>14109</v>
          </cell>
        </row>
        <row r="82">
          <cell r="B82">
            <v>17203594.699999999</v>
          </cell>
          <cell r="N82">
            <v>10931.11</v>
          </cell>
          <cell r="AG82">
            <v>14151</v>
          </cell>
        </row>
        <row r="83">
          <cell r="B83">
            <v>17657148.199999999</v>
          </cell>
          <cell r="F83">
            <v>13277</v>
          </cell>
          <cell r="J83">
            <v>836</v>
          </cell>
          <cell r="N83">
            <v>10815.33</v>
          </cell>
          <cell r="O83">
            <v>73</v>
          </cell>
          <cell r="T83">
            <v>2588</v>
          </cell>
          <cell r="Y83">
            <v>186</v>
          </cell>
          <cell r="AC83">
            <v>84</v>
          </cell>
          <cell r="AG83">
            <v>14186</v>
          </cell>
        </row>
        <row r="84">
          <cell r="B84">
            <v>19399005.699999999</v>
          </cell>
          <cell r="N84">
            <v>11417.45</v>
          </cell>
          <cell r="AG84">
            <v>14218</v>
          </cell>
        </row>
        <row r="85">
          <cell r="B85">
            <v>18496934.800000001</v>
          </cell>
          <cell r="N85">
            <v>10696.82</v>
          </cell>
          <cell r="AG85">
            <v>14260</v>
          </cell>
        </row>
        <row r="86">
          <cell r="B86">
            <v>16944225</v>
          </cell>
          <cell r="N86">
            <v>12504.78</v>
          </cell>
          <cell r="AG86">
            <v>14297</v>
          </cell>
        </row>
        <row r="87">
          <cell r="B87">
            <v>18736114.300000001</v>
          </cell>
          <cell r="N87">
            <v>12072.95</v>
          </cell>
          <cell r="AG87">
            <v>14337</v>
          </cell>
        </row>
        <row r="88">
          <cell r="B88">
            <v>20914295.899999999</v>
          </cell>
          <cell r="N88">
            <v>11417.41</v>
          </cell>
          <cell r="AG88">
            <v>14348</v>
          </cell>
        </row>
        <row r="89">
          <cell r="B89">
            <v>25844885.199999999</v>
          </cell>
          <cell r="N89">
            <v>11224.8</v>
          </cell>
          <cell r="AG89">
            <v>14388</v>
          </cell>
        </row>
        <row r="90">
          <cell r="B90">
            <v>27698757.900000002</v>
          </cell>
          <cell r="N90">
            <v>11199.28</v>
          </cell>
          <cell r="AG90">
            <v>14411</v>
          </cell>
        </row>
        <row r="91">
          <cell r="B91">
            <v>22854686.900000002</v>
          </cell>
          <cell r="N91">
            <v>11214.19</v>
          </cell>
          <cell r="AG91">
            <v>14426</v>
          </cell>
        </row>
        <row r="92">
          <cell r="B92">
            <v>22750703.800000001</v>
          </cell>
          <cell r="N92">
            <v>11022.45</v>
          </cell>
          <cell r="AG92">
            <v>14438</v>
          </cell>
        </row>
        <row r="93">
          <cell r="B93">
            <v>18949041.899999999</v>
          </cell>
          <cell r="N93">
            <v>10848.5</v>
          </cell>
          <cell r="AG93">
            <v>14448</v>
          </cell>
        </row>
        <row r="94">
          <cell r="B94">
            <v>17348781.300000001</v>
          </cell>
          <cell r="N94">
            <v>10796.08</v>
          </cell>
          <cell r="AG94">
            <v>14455</v>
          </cell>
        </row>
        <row r="95">
          <cell r="B95">
            <v>17392957.300000001</v>
          </cell>
          <cell r="F95">
            <v>13533</v>
          </cell>
          <cell r="J95">
            <v>855</v>
          </cell>
          <cell r="N95">
            <v>10794.83</v>
          </cell>
          <cell r="O95">
            <v>72</v>
          </cell>
          <cell r="T95">
            <v>2625</v>
          </cell>
          <cell r="Y95">
            <v>193</v>
          </cell>
          <cell r="AC95">
            <v>83</v>
          </cell>
          <cell r="AG95">
            <v>14460</v>
          </cell>
        </row>
        <row r="96">
          <cell r="B96">
            <v>18006297.300000001</v>
          </cell>
          <cell r="N96">
            <v>11558.97</v>
          </cell>
          <cell r="AG96">
            <v>14710</v>
          </cell>
        </row>
        <row r="97">
          <cell r="B97">
            <v>20135392.300000001</v>
          </cell>
          <cell r="N97">
            <v>10696.82</v>
          </cell>
          <cell r="AG97">
            <v>14976</v>
          </cell>
        </row>
        <row r="98">
          <cell r="B98">
            <v>17368091.399999999</v>
          </cell>
          <cell r="N98">
            <v>12014.58</v>
          </cell>
          <cell r="AG98">
            <v>15073</v>
          </cell>
        </row>
        <row r="99">
          <cell r="B99">
            <v>19458169</v>
          </cell>
          <cell r="N99">
            <v>12443.72</v>
          </cell>
          <cell r="AG99">
            <v>15110</v>
          </cell>
        </row>
        <row r="100">
          <cell r="B100">
            <v>19998429.5</v>
          </cell>
          <cell r="N100">
            <v>11954.84</v>
          </cell>
          <cell r="AG100">
            <v>15107</v>
          </cell>
        </row>
        <row r="101">
          <cell r="B101">
            <v>25277880.599999998</v>
          </cell>
          <cell r="N101">
            <v>11578.03</v>
          </cell>
          <cell r="AG101">
            <v>14563</v>
          </cell>
        </row>
        <row r="102">
          <cell r="B102">
            <v>26451955.599999998</v>
          </cell>
          <cell r="N102">
            <v>11900.95</v>
          </cell>
          <cell r="AG102">
            <v>14554</v>
          </cell>
        </row>
        <row r="103">
          <cell r="B103">
            <v>22355017.900000002</v>
          </cell>
          <cell r="N103">
            <v>11242.31</v>
          </cell>
          <cell r="AG103">
            <v>14553</v>
          </cell>
        </row>
        <row r="104">
          <cell r="B104">
            <v>21335193</v>
          </cell>
          <cell r="N104">
            <v>11564.8</v>
          </cell>
          <cell r="AG104">
            <v>14566</v>
          </cell>
        </row>
        <row r="105">
          <cell r="B105">
            <v>17366211</v>
          </cell>
          <cell r="N105">
            <v>11943</v>
          </cell>
          <cell r="AG105">
            <v>14576</v>
          </cell>
        </row>
        <row r="106">
          <cell r="B106">
            <v>18594842.100000001</v>
          </cell>
          <cell r="N106">
            <v>11602.16</v>
          </cell>
          <cell r="AG106">
            <v>14570</v>
          </cell>
        </row>
        <row r="107">
          <cell r="B107">
            <v>18232281.300000001</v>
          </cell>
          <cell r="F107">
            <v>13651</v>
          </cell>
          <cell r="J107">
            <v>865</v>
          </cell>
          <cell r="N107">
            <v>12118.61</v>
          </cell>
          <cell r="O107">
            <v>68</v>
          </cell>
          <cell r="T107">
            <v>2685</v>
          </cell>
          <cell r="Y107">
            <v>201</v>
          </cell>
          <cell r="AC107">
            <v>82</v>
          </cell>
          <cell r="AG107">
            <v>14584</v>
          </cell>
        </row>
        <row r="108">
          <cell r="B108">
            <v>22225961.800000001</v>
          </cell>
          <cell r="N108">
            <v>12362.87</v>
          </cell>
          <cell r="AG108">
            <v>14599</v>
          </cell>
        </row>
        <row r="109">
          <cell r="B109">
            <v>21301864.899999999</v>
          </cell>
          <cell r="N109">
            <v>12588.76</v>
          </cell>
          <cell r="AG109">
            <v>14633</v>
          </cell>
        </row>
        <row r="110">
          <cell r="B110">
            <v>17785837.5</v>
          </cell>
          <cell r="N110">
            <v>12170.46</v>
          </cell>
          <cell r="AG110">
            <v>14646</v>
          </cell>
        </row>
        <row r="111">
          <cell r="B111">
            <v>18734173.199999999</v>
          </cell>
          <cell r="N111">
            <v>12621.87</v>
          </cell>
          <cell r="AG111">
            <v>14664</v>
          </cell>
        </row>
        <row r="112">
          <cell r="B112">
            <v>20451455.399999999</v>
          </cell>
          <cell r="N112">
            <v>12419.76</v>
          </cell>
          <cell r="AG112">
            <v>14688</v>
          </cell>
        </row>
        <row r="113">
          <cell r="B113">
            <v>25404585.100000001</v>
          </cell>
          <cell r="N113">
            <v>11966.66</v>
          </cell>
          <cell r="AG113">
            <v>14707</v>
          </cell>
        </row>
        <row r="114">
          <cell r="B114">
            <v>26274474</v>
          </cell>
          <cell r="N114">
            <v>11373</v>
          </cell>
          <cell r="AG114">
            <v>14713</v>
          </cell>
        </row>
        <row r="115">
          <cell r="B115">
            <v>22971970.300000001</v>
          </cell>
          <cell r="N115">
            <v>7571</v>
          </cell>
          <cell r="AG115">
            <v>14716</v>
          </cell>
        </row>
        <row r="116">
          <cell r="B116">
            <v>22951605.199999999</v>
          </cell>
          <cell r="N116">
            <v>11700</v>
          </cell>
          <cell r="AG116">
            <v>14728</v>
          </cell>
        </row>
        <row r="117">
          <cell r="B117">
            <v>18914566.699999999</v>
          </cell>
          <cell r="N117">
            <v>11197</v>
          </cell>
          <cell r="AG117">
            <v>14729</v>
          </cell>
        </row>
        <row r="118">
          <cell r="B118">
            <v>17615740</v>
          </cell>
          <cell r="N118">
            <v>11307.42</v>
          </cell>
          <cell r="AG118">
            <v>14733</v>
          </cell>
        </row>
        <row r="119">
          <cell r="B119">
            <v>17571916.300000001</v>
          </cell>
          <cell r="F119">
            <v>13779</v>
          </cell>
          <cell r="J119">
            <v>896</v>
          </cell>
          <cell r="N119">
            <v>12414.22</v>
          </cell>
          <cell r="O119">
            <v>67</v>
          </cell>
          <cell r="T119">
            <v>2728</v>
          </cell>
          <cell r="Y119">
            <v>225</v>
          </cell>
          <cell r="AC119">
            <v>81</v>
          </cell>
          <cell r="AG119">
            <v>14742</v>
          </cell>
        </row>
        <row r="120">
          <cell r="B120">
            <v>22292830.300000001</v>
          </cell>
          <cell r="N120">
            <v>12303.65</v>
          </cell>
          <cell r="AG120">
            <v>14759</v>
          </cell>
        </row>
        <row r="121">
          <cell r="B121">
            <v>19354570.300000001</v>
          </cell>
          <cell r="N121">
            <v>12567.55</v>
          </cell>
          <cell r="AG121">
            <v>14772</v>
          </cell>
        </row>
        <row r="122">
          <cell r="B122">
            <v>17323768.100000001</v>
          </cell>
          <cell r="N122">
            <v>12390.52</v>
          </cell>
          <cell r="AG122">
            <v>14772</v>
          </cell>
        </row>
        <row r="123">
          <cell r="B123">
            <v>18576164</v>
          </cell>
          <cell r="N123">
            <v>12603</v>
          </cell>
          <cell r="AG123">
            <v>14794</v>
          </cell>
        </row>
        <row r="124">
          <cell r="B124">
            <v>19598868</v>
          </cell>
          <cell r="N124">
            <v>12239</v>
          </cell>
          <cell r="AG124">
            <v>14809</v>
          </cell>
        </row>
        <row r="125">
          <cell r="B125">
            <v>23311694</v>
          </cell>
          <cell r="N125">
            <v>11759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Purchased"/>
      <sheetName val="Residential"/>
      <sheetName val="GS LT 50"/>
      <sheetName val="GS GT 50"/>
      <sheetName val="KW"/>
      <sheetName val="Customer Numbers"/>
    </sheetNames>
    <sheetDataSet>
      <sheetData sheetId="0" refreshError="1">
        <row r="123">
          <cell r="B123">
            <v>24487281</v>
          </cell>
        </row>
        <row r="124">
          <cell r="B124">
            <v>21711326.899999999</v>
          </cell>
        </row>
        <row r="125">
          <cell r="B125">
            <v>20140443.699999999</v>
          </cell>
        </row>
        <row r="126">
          <cell r="B126">
            <v>18335838.899999999</v>
          </cell>
        </row>
        <row r="127">
          <cell r="B127">
            <v>17673429</v>
          </cell>
        </row>
        <row r="128">
          <cell r="B128">
            <v>19474755.100000001</v>
          </cell>
        </row>
        <row r="129">
          <cell r="B129">
            <v>22780193</v>
          </cell>
        </row>
        <row r="130">
          <cell r="B130">
            <v>20627757.200000003</v>
          </cell>
        </row>
        <row r="131">
          <cell r="B131">
            <v>17795945.799999997</v>
          </cell>
        </row>
        <row r="132">
          <cell r="B132">
            <v>17475406.5</v>
          </cell>
        </row>
        <row r="133">
          <cell r="B133">
            <v>20981769.300000001</v>
          </cell>
        </row>
        <row r="134">
          <cell r="B134">
            <v>23645692</v>
          </cell>
        </row>
      </sheetData>
      <sheetData sheetId="1" refreshError="1"/>
      <sheetData sheetId="2" refreshError="1"/>
      <sheetData sheetId="3" refreshError="1"/>
      <sheetData sheetId="4" refreshError="1">
        <row r="15">
          <cell r="B15">
            <v>141986.79999999999</v>
          </cell>
          <cell r="C15">
            <v>287.601</v>
          </cell>
          <cell r="D15">
            <v>3139.7699999999995</v>
          </cell>
        </row>
        <row r="32">
          <cell r="B32">
            <v>135393.63999999998</v>
          </cell>
          <cell r="C32">
            <v>299.94344444444442</v>
          </cell>
          <cell r="D32">
            <v>4581.3899999999994</v>
          </cell>
        </row>
        <row r="49">
          <cell r="B49">
            <v>130935</v>
          </cell>
          <cell r="C49">
            <v>283</v>
          </cell>
          <cell r="D49">
            <v>4149</v>
          </cell>
        </row>
        <row r="66">
          <cell r="B66">
            <v>144982</v>
          </cell>
          <cell r="C66">
            <v>315</v>
          </cell>
          <cell r="D66">
            <v>4424</v>
          </cell>
        </row>
      </sheetData>
      <sheetData sheetId="5" refreshError="1">
        <row r="6">
          <cell r="C6">
            <v>904</v>
          </cell>
          <cell r="J6">
            <v>14826</v>
          </cell>
        </row>
        <row r="7">
          <cell r="J7">
            <v>14835</v>
          </cell>
        </row>
        <row r="8">
          <cell r="J8">
            <v>14856</v>
          </cell>
        </row>
        <row r="9">
          <cell r="J9">
            <v>14867</v>
          </cell>
        </row>
        <row r="10">
          <cell r="J10">
            <v>14877</v>
          </cell>
        </row>
        <row r="11">
          <cell r="J11">
            <v>14882</v>
          </cell>
        </row>
        <row r="12">
          <cell r="J12">
            <v>14921</v>
          </cell>
        </row>
        <row r="13">
          <cell r="J13">
            <v>14953</v>
          </cell>
        </row>
        <row r="14">
          <cell r="J14">
            <v>14968</v>
          </cell>
        </row>
        <row r="15">
          <cell r="J15">
            <v>15012</v>
          </cell>
        </row>
        <row r="16">
          <cell r="J16">
            <v>15036</v>
          </cell>
        </row>
        <row r="17">
          <cell r="J17">
            <v>15062</v>
          </cell>
        </row>
        <row r="18">
          <cell r="B18">
            <v>13942.916666666666</v>
          </cell>
          <cell r="C18">
            <v>913.75</v>
          </cell>
          <cell r="D18">
            <v>78.666666666666671</v>
          </cell>
          <cell r="E18">
            <v>67.916666666666671</v>
          </cell>
          <cell r="F18">
            <v>172.08333333333334</v>
          </cell>
          <cell r="G18">
            <v>2728</v>
          </cell>
        </row>
        <row r="23">
          <cell r="J23">
            <v>15076</v>
          </cell>
        </row>
        <row r="24">
          <cell r="J24">
            <v>15088</v>
          </cell>
        </row>
        <row r="25">
          <cell r="J25">
            <v>15100</v>
          </cell>
        </row>
        <row r="26">
          <cell r="J26">
            <v>15107</v>
          </cell>
        </row>
        <row r="27">
          <cell r="J27">
            <v>15139</v>
          </cell>
        </row>
        <row r="28">
          <cell r="J28">
            <v>15172</v>
          </cell>
        </row>
        <row r="29">
          <cell r="J29">
            <v>15207</v>
          </cell>
        </row>
        <row r="30">
          <cell r="J30">
            <v>15244</v>
          </cell>
        </row>
        <row r="31">
          <cell r="J31">
            <v>15260</v>
          </cell>
        </row>
        <row r="32">
          <cell r="J32">
            <v>15288</v>
          </cell>
        </row>
        <row r="33">
          <cell r="J33">
            <v>15334</v>
          </cell>
        </row>
        <row r="34">
          <cell r="J34">
            <v>15352</v>
          </cell>
        </row>
        <row r="36">
          <cell r="B36">
            <v>14181</v>
          </cell>
          <cell r="C36">
            <v>949.25</v>
          </cell>
          <cell r="D36">
            <v>77.583333333333329</v>
          </cell>
          <cell r="E36">
            <v>67</v>
          </cell>
          <cell r="F36">
            <v>168</v>
          </cell>
          <cell r="G36">
            <v>2843.3333333333335</v>
          </cell>
        </row>
        <row r="41">
          <cell r="J41">
            <v>15406</v>
          </cell>
        </row>
        <row r="42">
          <cell r="J42">
            <v>15425</v>
          </cell>
        </row>
        <row r="43">
          <cell r="J43">
            <v>15444</v>
          </cell>
        </row>
        <row r="44">
          <cell r="J44">
            <v>15478</v>
          </cell>
        </row>
        <row r="45">
          <cell r="J45">
            <v>15497</v>
          </cell>
        </row>
        <row r="46">
          <cell r="J46">
            <v>15515</v>
          </cell>
        </row>
        <row r="47">
          <cell r="J47">
            <v>15587</v>
          </cell>
        </row>
        <row r="48">
          <cell r="J48">
            <v>15628</v>
          </cell>
        </row>
        <row r="49">
          <cell r="J49">
            <v>15648</v>
          </cell>
        </row>
        <row r="50">
          <cell r="J50">
            <v>15688</v>
          </cell>
        </row>
        <row r="51">
          <cell r="J51">
            <v>15720</v>
          </cell>
        </row>
        <row r="52">
          <cell r="J52">
            <v>15775</v>
          </cell>
        </row>
        <row r="54">
          <cell r="B54">
            <v>14509.166666666666</v>
          </cell>
          <cell r="C54">
            <v>991.25</v>
          </cell>
          <cell r="D54">
            <v>75.583333333333329</v>
          </cell>
          <cell r="E54">
            <v>67.166666666666671</v>
          </cell>
          <cell r="F54">
            <v>169.41666666666666</v>
          </cell>
          <cell r="G54">
            <v>2923.3333333333335</v>
          </cell>
        </row>
        <row r="60">
          <cell r="J60">
            <v>15793</v>
          </cell>
        </row>
        <row r="61">
          <cell r="J61">
            <v>15802</v>
          </cell>
        </row>
        <row r="62">
          <cell r="J62">
            <v>15826</v>
          </cell>
        </row>
        <row r="63">
          <cell r="J63">
            <v>15843</v>
          </cell>
        </row>
        <row r="64">
          <cell r="J64">
            <v>15856</v>
          </cell>
        </row>
        <row r="65">
          <cell r="J65">
            <v>15883</v>
          </cell>
        </row>
        <row r="66">
          <cell r="J66">
            <v>15881</v>
          </cell>
        </row>
        <row r="67">
          <cell r="J67">
            <v>15970</v>
          </cell>
        </row>
        <row r="68">
          <cell r="J68">
            <v>16005</v>
          </cell>
        </row>
        <row r="69">
          <cell r="J69">
            <v>16050</v>
          </cell>
        </row>
        <row r="70">
          <cell r="J70">
            <v>16127</v>
          </cell>
        </row>
        <row r="71">
          <cell r="J71">
            <v>16168</v>
          </cell>
        </row>
        <row r="72">
          <cell r="B72">
            <v>14861.583333333334</v>
          </cell>
          <cell r="C72">
            <v>1000.5833333333334</v>
          </cell>
          <cell r="D72">
            <v>76</v>
          </cell>
          <cell r="E72">
            <v>71.5</v>
          </cell>
          <cell r="F72">
            <v>165.75</v>
          </cell>
          <cell r="G72">
            <v>2897.6666666666665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g Asset Definitions"/>
      <sheetName val="JET Report"/>
      <sheetName val="IPC Summary"/>
      <sheetName val="IPC revenue and costs"/>
      <sheetName val="IPC revenue by customer class"/>
      <sheetName val="IPC Other Income"/>
      <sheetName val="Ratios"/>
      <sheetName val="Distr Revenue by Cust Class"/>
      <sheetName val="Qterly Stats"/>
      <sheetName val="Mthly Stats"/>
      <sheetName val="TOU"/>
      <sheetName val="TOU Chart"/>
      <sheetName val="Load Analysis"/>
      <sheetName val="Wholesale kWh"/>
      <sheetName val="Wholesale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5">
          <cell r="L55">
            <v>15110</v>
          </cell>
          <cell r="M55">
            <v>1013</v>
          </cell>
          <cell r="O55">
            <v>74</v>
          </cell>
        </row>
        <row r="56">
          <cell r="L56">
            <v>15125</v>
          </cell>
          <cell r="M56">
            <v>1013</v>
          </cell>
          <cell r="O56">
            <v>74</v>
          </cell>
        </row>
        <row r="57">
          <cell r="L57">
            <v>15151</v>
          </cell>
          <cell r="M57">
            <v>1018</v>
          </cell>
          <cell r="O57">
            <v>74</v>
          </cell>
        </row>
        <row r="58">
          <cell r="L58">
            <v>15161</v>
          </cell>
          <cell r="M58">
            <v>1014</v>
          </cell>
          <cell r="O58">
            <v>74</v>
          </cell>
        </row>
        <row r="59">
          <cell r="L59">
            <v>15167</v>
          </cell>
          <cell r="M59">
            <v>1020</v>
          </cell>
          <cell r="O59">
            <v>74</v>
          </cell>
        </row>
        <row r="60">
          <cell r="L60">
            <v>15178</v>
          </cell>
          <cell r="M60">
            <v>1017</v>
          </cell>
          <cell r="O60">
            <v>74</v>
          </cell>
        </row>
        <row r="61">
          <cell r="L61">
            <v>15191</v>
          </cell>
          <cell r="M61">
            <v>1016</v>
          </cell>
          <cell r="O61">
            <v>74</v>
          </cell>
        </row>
        <row r="62">
          <cell r="L62">
            <v>15202</v>
          </cell>
          <cell r="M62">
            <v>1013</v>
          </cell>
          <cell r="O62">
            <v>77</v>
          </cell>
        </row>
        <row r="63">
          <cell r="L63">
            <v>15234</v>
          </cell>
          <cell r="M63">
            <v>1011</v>
          </cell>
          <cell r="O63">
            <v>78</v>
          </cell>
        </row>
        <row r="64">
          <cell r="L64">
            <v>15274</v>
          </cell>
          <cell r="M64">
            <v>1018</v>
          </cell>
          <cell r="O64">
            <v>78</v>
          </cell>
        </row>
        <row r="65">
          <cell r="L65">
            <v>15300</v>
          </cell>
          <cell r="M65">
            <v>1021</v>
          </cell>
          <cell r="O65">
            <v>78</v>
          </cell>
        </row>
        <row r="66">
          <cell r="L66">
            <v>15326</v>
          </cell>
          <cell r="M66">
            <v>1021</v>
          </cell>
          <cell r="O66">
            <v>78</v>
          </cell>
        </row>
        <row r="68">
          <cell r="L68">
            <v>15201.583333333334</v>
          </cell>
          <cell r="M68">
            <v>1016.25</v>
          </cell>
          <cell r="N68">
            <v>75.333333333333329</v>
          </cell>
          <cell r="O68">
            <v>75.583333333333329</v>
          </cell>
          <cell r="P68">
            <v>166.08333333333334</v>
          </cell>
          <cell r="Q68">
            <v>2863.1666666666665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3-12312013"/>
    </sheetNames>
    <sheetDataSet>
      <sheetData sheetId="0">
        <row r="57">
          <cell r="M57">
            <v>624.40000000000009</v>
          </cell>
          <cell r="O57">
            <v>0</v>
          </cell>
        </row>
        <row r="86">
          <cell r="M86">
            <v>631.49999999999989</v>
          </cell>
          <cell r="O86">
            <v>0</v>
          </cell>
        </row>
        <row r="117">
          <cell r="M117">
            <v>554.79999999999995</v>
          </cell>
          <cell r="O117">
            <v>0</v>
          </cell>
        </row>
        <row r="147">
          <cell r="M147">
            <v>358.6</v>
          </cell>
          <cell r="O147">
            <v>0</v>
          </cell>
        </row>
        <row r="178">
          <cell r="M178">
            <v>109.10000000000001</v>
          </cell>
          <cell r="O178">
            <v>23.1</v>
          </cell>
        </row>
        <row r="208">
          <cell r="M208">
            <v>32.999999999999993</v>
          </cell>
          <cell r="O208">
            <v>59.6</v>
          </cell>
        </row>
        <row r="239">
          <cell r="M239">
            <v>1.2999999999999998</v>
          </cell>
          <cell r="O239">
            <v>120.80000000000003</v>
          </cell>
        </row>
        <row r="270">
          <cell r="M270">
            <v>4.4000000000000004</v>
          </cell>
          <cell r="O270">
            <v>93.799999999999983</v>
          </cell>
        </row>
        <row r="300">
          <cell r="M300">
            <v>82.999999999999986</v>
          </cell>
          <cell r="O300">
            <v>28.099999999999998</v>
          </cell>
        </row>
        <row r="331">
          <cell r="M331">
            <v>208.5</v>
          </cell>
          <cell r="O331">
            <v>0.4</v>
          </cell>
        </row>
        <row r="361">
          <cell r="M361">
            <v>478.20000000000005</v>
          </cell>
          <cell r="O361">
            <v>0</v>
          </cell>
        </row>
        <row r="392">
          <cell r="M392">
            <v>687.9</v>
          </cell>
          <cell r="O392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4-12312014"/>
    </sheetNames>
    <sheetDataSet>
      <sheetData sheetId="0">
        <row r="57">
          <cell r="M57">
            <v>825.90000000000009</v>
          </cell>
          <cell r="O57">
            <v>0</v>
          </cell>
        </row>
        <row r="86">
          <cell r="M86">
            <v>737.09999999999991</v>
          </cell>
          <cell r="O86">
            <v>0</v>
          </cell>
        </row>
        <row r="117">
          <cell r="M117">
            <v>690.6</v>
          </cell>
          <cell r="O117">
            <v>0</v>
          </cell>
        </row>
        <row r="147">
          <cell r="M147">
            <v>356.90000000000003</v>
          </cell>
          <cell r="O147">
            <v>0</v>
          </cell>
        </row>
        <row r="178">
          <cell r="M178">
            <v>132.10000000000005</v>
          </cell>
          <cell r="O178">
            <v>11.9</v>
          </cell>
        </row>
        <row r="208">
          <cell r="M208">
            <v>14.1</v>
          </cell>
          <cell r="O208">
            <v>68.099999999999994</v>
          </cell>
        </row>
        <row r="239">
          <cell r="M239">
            <v>4</v>
          </cell>
          <cell r="O239">
            <v>71</v>
          </cell>
        </row>
        <row r="270">
          <cell r="M270">
            <v>8.7999999999999989</v>
          </cell>
          <cell r="O270">
            <v>81.799999999999983</v>
          </cell>
        </row>
        <row r="300">
          <cell r="M300">
            <v>69.700000000000017</v>
          </cell>
          <cell r="O300">
            <v>30.099999999999998</v>
          </cell>
        </row>
        <row r="331">
          <cell r="M331">
            <v>224.30000000000004</v>
          </cell>
          <cell r="O331">
            <v>1.3</v>
          </cell>
        </row>
        <row r="361">
          <cell r="M361">
            <v>482.1</v>
          </cell>
          <cell r="O361">
            <v>0</v>
          </cell>
        </row>
        <row r="392">
          <cell r="M392">
            <v>557.29999999999995</v>
          </cell>
          <cell r="O39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437"/>
  <sheetViews>
    <sheetView showGridLines="0" topLeftCell="A417" zoomScaleNormal="100" workbookViewId="0">
      <selection activeCell="B429" sqref="B429:L437"/>
    </sheetView>
  </sheetViews>
  <sheetFormatPr defaultColWidth="12.7109375" defaultRowHeight="12.75" x14ac:dyDescent="0.2"/>
  <cols>
    <col min="1" max="1" width="1.140625" style="182" customWidth="1"/>
    <col min="2" max="3" width="12.7109375" style="183" customWidth="1"/>
    <col min="4" max="4" width="2.7109375" style="183" customWidth="1"/>
    <col min="5" max="5" width="11" style="182" customWidth="1"/>
    <col min="6" max="6" width="11.140625" style="182" customWidth="1"/>
    <col min="7" max="7" width="11" style="182" customWidth="1"/>
    <col min="8" max="8" width="11.140625" style="182" customWidth="1"/>
    <col min="9" max="12" width="10.7109375" style="182" customWidth="1"/>
    <col min="13" max="13" width="11" style="182" customWidth="1"/>
    <col min="14" max="14" width="10.5703125" style="182" customWidth="1"/>
    <col min="15" max="15" width="21.42578125" style="182" bestFit="1" customWidth="1"/>
    <col min="16" max="17" width="12.7109375" style="182"/>
    <col min="23" max="23" width="13.140625" bestFit="1" customWidth="1"/>
    <col min="25" max="16384" width="12.7109375" style="182"/>
  </cols>
  <sheetData>
    <row r="2" spans="1:24" ht="15" customHeight="1" x14ac:dyDescent="0.2">
      <c r="B2" s="180" t="s">
        <v>195</v>
      </c>
      <c r="C2" s="180"/>
      <c r="D2" s="180"/>
      <c r="E2" s="181"/>
      <c r="F2" s="181"/>
    </row>
    <row r="3" spans="1:24" s="261" customFormat="1" ht="22.5" x14ac:dyDescent="0.2">
      <c r="A3" s="397" t="s">
        <v>196</v>
      </c>
      <c r="B3" s="398"/>
      <c r="C3" s="398"/>
      <c r="D3" s="398"/>
      <c r="E3" s="399"/>
      <c r="F3" s="291" t="s">
        <v>21</v>
      </c>
      <c r="G3" s="291" t="s">
        <v>22</v>
      </c>
      <c r="H3"/>
      <c r="R3"/>
      <c r="S3"/>
      <c r="T3"/>
      <c r="U3"/>
      <c r="V3"/>
      <c r="W3"/>
      <c r="X3"/>
    </row>
    <row r="4" spans="1:24" s="261" customFormat="1" ht="14.25" customHeight="1" x14ac:dyDescent="0.2">
      <c r="A4" s="400" t="str">
        <f>E66</f>
        <v>Residential</v>
      </c>
      <c r="B4" s="400"/>
      <c r="C4" s="400"/>
      <c r="D4" s="400"/>
      <c r="E4" s="400"/>
      <c r="F4" s="262">
        <v>0.77653338145393225</v>
      </c>
      <c r="G4" s="263">
        <v>0.77075407235360294</v>
      </c>
      <c r="H4"/>
      <c r="R4"/>
      <c r="S4"/>
      <c r="T4"/>
      <c r="U4"/>
      <c r="V4"/>
      <c r="W4"/>
      <c r="X4"/>
    </row>
    <row r="5" spans="1:24" s="261" customFormat="1" ht="14.25" x14ac:dyDescent="0.2">
      <c r="A5" s="400" t="str">
        <f>F30</f>
        <v>General Service &lt; 50 kW</v>
      </c>
      <c r="B5" s="400"/>
      <c r="C5" s="400"/>
      <c r="D5" s="400"/>
      <c r="E5" s="400"/>
      <c r="F5" s="262">
        <v>0.72154306847647276</v>
      </c>
      <c r="G5" s="263">
        <v>0.714341596109485</v>
      </c>
      <c r="H5"/>
      <c r="R5"/>
      <c r="S5"/>
      <c r="T5"/>
      <c r="U5"/>
      <c r="V5"/>
      <c r="W5"/>
      <c r="X5"/>
    </row>
    <row r="6" spans="1:24" s="261" customFormat="1" ht="14.25" customHeight="1" x14ac:dyDescent="0.2">
      <c r="A6" s="400" t="str">
        <f>G66</f>
        <v>General Service 50 to 4,999 kW</v>
      </c>
      <c r="B6" s="400"/>
      <c r="C6" s="400"/>
      <c r="D6" s="400"/>
      <c r="E6" s="400"/>
      <c r="F6" s="262">
        <v>2.9628671787656102E-2</v>
      </c>
      <c r="G6" s="263">
        <v>4.5328615752678993E-3</v>
      </c>
      <c r="H6"/>
      <c r="R6"/>
      <c r="S6"/>
      <c r="T6"/>
      <c r="U6"/>
      <c r="V6"/>
      <c r="W6"/>
      <c r="X6"/>
    </row>
    <row r="7" spans="1:24" ht="15" customHeight="1" x14ac:dyDescent="0.2">
      <c r="A7" s="400" t="s">
        <v>197</v>
      </c>
      <c r="B7" s="400"/>
      <c r="C7" s="400"/>
      <c r="D7" s="400"/>
      <c r="E7" s="400"/>
      <c r="F7" s="262">
        <f>'Purchased Power Model '!L6</f>
        <v>0.96126220891572767</v>
      </c>
      <c r="G7" s="263">
        <f>'Purchased Power Model '!L7</f>
        <v>0.95956318299097898</v>
      </c>
      <c r="H7"/>
    </row>
    <row r="8" spans="1:24" ht="15" customHeight="1" x14ac:dyDescent="0.2"/>
    <row r="9" spans="1:24" x14ac:dyDescent="0.2">
      <c r="B9" s="180" t="s">
        <v>146</v>
      </c>
      <c r="C9" s="180"/>
      <c r="D9" s="180"/>
      <c r="E9" s="181"/>
      <c r="F9" s="181"/>
      <c r="G9" s="181"/>
      <c r="H9" s="181"/>
      <c r="I9" s="181"/>
      <c r="J9" s="181"/>
    </row>
    <row r="10" spans="1:24" ht="5.25" customHeight="1" x14ac:dyDescent="0.2"/>
    <row r="11" spans="1:24" ht="33.75" x14ac:dyDescent="0.2">
      <c r="B11" s="292" t="s">
        <v>147</v>
      </c>
      <c r="C11" s="293"/>
      <c r="D11" s="293"/>
      <c r="E11" s="291" t="s">
        <v>148</v>
      </c>
      <c r="F11" s="291" t="s">
        <v>149</v>
      </c>
      <c r="G11" s="291" t="s">
        <v>150</v>
      </c>
      <c r="H11" s="291" t="s">
        <v>151</v>
      </c>
      <c r="I11" s="291" t="s">
        <v>152</v>
      </c>
      <c r="J11" s="291" t="s">
        <v>153</v>
      </c>
      <c r="K11"/>
    </row>
    <row r="12" spans="1:24" ht="15" customHeight="1" x14ac:dyDescent="0.2">
      <c r="B12" s="184" t="s">
        <v>154</v>
      </c>
      <c r="C12" s="185"/>
      <c r="D12" s="185"/>
      <c r="E12" s="185"/>
      <c r="F12" s="185"/>
      <c r="G12" s="185"/>
      <c r="H12" s="185"/>
      <c r="I12" s="185"/>
      <c r="J12" s="186"/>
    </row>
    <row r="13" spans="1:24" ht="15" customHeight="1" x14ac:dyDescent="0.2">
      <c r="B13" s="196"/>
      <c r="C13" s="197"/>
      <c r="D13" s="197"/>
      <c r="E13" s="187"/>
      <c r="F13" s="188"/>
      <c r="G13" s="189"/>
      <c r="H13" s="190"/>
      <c r="I13" s="188"/>
      <c r="J13" s="189"/>
    </row>
    <row r="14" spans="1:24" ht="15" customHeight="1" x14ac:dyDescent="0.2">
      <c r="B14" s="196" t="s">
        <v>198</v>
      </c>
      <c r="C14" s="197"/>
      <c r="D14" s="197"/>
      <c r="E14" s="191">
        <f>K33</f>
        <v>233.35565499999998</v>
      </c>
      <c r="F14" s="192"/>
      <c r="G14" s="193"/>
      <c r="H14" s="190">
        <f>K51</f>
        <v>18369</v>
      </c>
      <c r="I14" s="194"/>
      <c r="J14" s="193"/>
    </row>
    <row r="15" spans="1:24" ht="15" customHeight="1" x14ac:dyDescent="0.2">
      <c r="B15" s="196"/>
      <c r="C15" s="197"/>
      <c r="D15" s="197"/>
      <c r="E15" s="191"/>
      <c r="F15" s="192"/>
      <c r="G15" s="193"/>
      <c r="H15" s="190"/>
      <c r="I15" s="188"/>
      <c r="J15" s="193"/>
    </row>
    <row r="16" spans="1:24" ht="15" customHeight="1" x14ac:dyDescent="0.2">
      <c r="B16" s="374" t="s">
        <v>48</v>
      </c>
      <c r="C16" s="375"/>
      <c r="D16" s="376"/>
      <c r="E16" s="191">
        <f>Summary!B10/1000000</f>
        <v>219.64484684999999</v>
      </c>
      <c r="G16" s="193"/>
      <c r="H16" s="194">
        <f>Summary!B46</f>
        <v>16645</v>
      </c>
      <c r="I16" s="194"/>
      <c r="J16" s="193"/>
    </row>
    <row r="17" spans="2:17" ht="15" customHeight="1" x14ac:dyDescent="0.2">
      <c r="B17" s="374" t="s">
        <v>155</v>
      </c>
      <c r="C17" s="375"/>
      <c r="D17" s="376"/>
      <c r="E17" s="191">
        <f>Summary!C10/1000000</f>
        <v>226.84762239000003</v>
      </c>
      <c r="F17" s="195">
        <f t="shared" ref="F17:F26" si="0">E17-E16</f>
        <v>7.2027755400000331</v>
      </c>
      <c r="G17" s="193">
        <f t="shared" ref="G17:G26" si="1">F17/E16</f>
        <v>3.2792827345132107E-2</v>
      </c>
      <c r="H17" s="194">
        <f>Summary!C46</f>
        <v>17044</v>
      </c>
      <c r="I17" s="194">
        <f t="shared" ref="I17" si="2">H17-H16</f>
        <v>399</v>
      </c>
      <c r="J17" s="193">
        <f t="shared" ref="J17" si="3">I17/H16</f>
        <v>2.3971162511264642E-2</v>
      </c>
    </row>
    <row r="18" spans="2:17" ht="15" customHeight="1" x14ac:dyDescent="0.2">
      <c r="B18" s="374" t="s">
        <v>62</v>
      </c>
      <c r="C18" s="375"/>
      <c r="D18" s="376"/>
      <c r="E18" s="191">
        <f>Summary!D10/1000000</f>
        <v>229.10645431</v>
      </c>
      <c r="F18" s="195">
        <f t="shared" si="0"/>
        <v>2.2588319199999773</v>
      </c>
      <c r="G18" s="193">
        <f t="shared" si="1"/>
        <v>9.9574855411821671E-3</v>
      </c>
      <c r="H18" s="194">
        <f>Summary!D46</f>
        <v>17361</v>
      </c>
      <c r="I18" s="194">
        <f t="shared" ref="I18:I26" si="4">H18-H17</f>
        <v>317</v>
      </c>
      <c r="J18" s="193">
        <f t="shared" ref="J18:J26" si="5">I18/H17</f>
        <v>1.8598920441210982E-2</v>
      </c>
      <c r="M18"/>
      <c r="N18"/>
    </row>
    <row r="19" spans="2:17" ht="15" customHeight="1" x14ac:dyDescent="0.2">
      <c r="B19" s="374" t="s">
        <v>68</v>
      </c>
      <c r="C19" s="375"/>
      <c r="D19" s="376"/>
      <c r="E19" s="191">
        <f>Summary!E10/1000000</f>
        <v>231.87495046999996</v>
      </c>
      <c r="F19" s="195">
        <f t="shared" si="0"/>
        <v>2.7684961599999554</v>
      </c>
      <c r="G19" s="193">
        <f t="shared" si="1"/>
        <v>1.2083885494792525E-2</v>
      </c>
      <c r="H19" s="194">
        <f>Summary!E46</f>
        <v>17552</v>
      </c>
      <c r="I19" s="194">
        <f t="shared" si="4"/>
        <v>191</v>
      </c>
      <c r="J19" s="193">
        <f t="shared" si="5"/>
        <v>1.1001670410690629E-2</v>
      </c>
      <c r="M19"/>
      <c r="N19"/>
    </row>
    <row r="20" spans="2:17" ht="15" customHeight="1" x14ac:dyDescent="0.2">
      <c r="B20" s="374" t="s">
        <v>69</v>
      </c>
      <c r="C20" s="375"/>
      <c r="D20" s="376"/>
      <c r="E20" s="191">
        <f>Summary!F10/1000000</f>
        <v>233.60158296999998</v>
      </c>
      <c r="F20" s="195">
        <f t="shared" si="0"/>
        <v>1.7266325000000222</v>
      </c>
      <c r="G20" s="193">
        <f t="shared" si="1"/>
        <v>7.4463951215955702E-3</v>
      </c>
      <c r="H20" s="194">
        <f>Summary!F46</f>
        <v>17776</v>
      </c>
      <c r="I20" s="194">
        <f t="shared" si="4"/>
        <v>224</v>
      </c>
      <c r="J20" s="193">
        <f t="shared" si="5"/>
        <v>1.276207839562443E-2</v>
      </c>
      <c r="M20"/>
      <c r="N20"/>
    </row>
    <row r="21" spans="2:17" ht="15" customHeight="1" x14ac:dyDescent="0.2">
      <c r="B21" s="374" t="s">
        <v>156</v>
      </c>
      <c r="C21" s="375"/>
      <c r="D21" s="376"/>
      <c r="E21" s="191">
        <f>Summary!G10/1000000</f>
        <v>229.95020459647745</v>
      </c>
      <c r="F21" s="195">
        <f t="shared" si="0"/>
        <v>-3.6513783735225331</v>
      </c>
      <c r="G21" s="193">
        <f t="shared" si="1"/>
        <v>-1.5630794650871253E-2</v>
      </c>
      <c r="H21" s="194">
        <f>Summary!G46</f>
        <v>17903.333333333332</v>
      </c>
      <c r="I21" s="194">
        <f t="shared" si="4"/>
        <v>127.33333333333212</v>
      </c>
      <c r="J21" s="193">
        <f t="shared" si="5"/>
        <v>7.1632163216320951E-3</v>
      </c>
      <c r="M21"/>
      <c r="N21"/>
    </row>
    <row r="22" spans="2:17" ht="15" customHeight="1" x14ac:dyDescent="0.2">
      <c r="B22" s="374" t="s">
        <v>157</v>
      </c>
      <c r="C22" s="375"/>
      <c r="D22" s="376"/>
      <c r="E22" s="191">
        <f>Summary!H10/1000000</f>
        <v>232.84591019703763</v>
      </c>
      <c r="F22" s="195">
        <f t="shared" si="0"/>
        <v>2.8957056005601771</v>
      </c>
      <c r="G22" s="193">
        <f t="shared" si="1"/>
        <v>1.2592750702882113E-2</v>
      </c>
      <c r="H22" s="194">
        <f>Summary!H46</f>
        <v>18286.166666666664</v>
      </c>
      <c r="I22" s="194">
        <f t="shared" si="4"/>
        <v>382.83333333333212</v>
      </c>
      <c r="J22" s="193">
        <f t="shared" si="5"/>
        <v>2.138335505492453E-2</v>
      </c>
      <c r="M22"/>
      <c r="N22"/>
    </row>
    <row r="23" spans="2:17" ht="15" customHeight="1" x14ac:dyDescent="0.2">
      <c r="B23" s="374" t="s">
        <v>158</v>
      </c>
      <c r="C23" s="375"/>
      <c r="D23" s="376"/>
      <c r="E23" s="191">
        <f>Summary!I10/1000000</f>
        <v>238.34736448236424</v>
      </c>
      <c r="F23" s="195">
        <f t="shared" si="0"/>
        <v>5.5014542853266164</v>
      </c>
      <c r="G23" s="193">
        <f t="shared" si="1"/>
        <v>2.3627017028863447E-2</v>
      </c>
      <c r="H23" s="194">
        <f>Summary!I46</f>
        <v>18735.916666666664</v>
      </c>
      <c r="I23" s="194">
        <f t="shared" si="4"/>
        <v>449.75</v>
      </c>
      <c r="J23" s="193">
        <f t="shared" si="5"/>
        <v>2.4595094652606255E-2</v>
      </c>
      <c r="K23"/>
      <c r="L23"/>
      <c r="M23"/>
      <c r="N23"/>
    </row>
    <row r="24" spans="2:17" ht="15" customHeight="1" x14ac:dyDescent="0.2">
      <c r="B24" s="374" t="s">
        <v>199</v>
      </c>
      <c r="C24" s="375"/>
      <c r="D24" s="376"/>
      <c r="E24" s="191">
        <f>Summary!J10/1000000</f>
        <v>242.58697699999999</v>
      </c>
      <c r="F24" s="195">
        <f t="shared" si="0"/>
        <v>4.2396125176357486</v>
      </c>
      <c r="G24" s="193">
        <f t="shared" si="1"/>
        <v>1.7787536803032054E-2</v>
      </c>
      <c r="H24" s="194">
        <f>Summary!J46</f>
        <v>19073.083333333336</v>
      </c>
      <c r="I24" s="194">
        <f t="shared" si="4"/>
        <v>337.16666666667152</v>
      </c>
      <c r="J24" s="193">
        <f t="shared" si="5"/>
        <v>1.799573902175438E-2</v>
      </c>
      <c r="K24"/>
      <c r="L24"/>
      <c r="M24"/>
      <c r="N24"/>
    </row>
    <row r="25" spans="2:17" ht="15" customHeight="1" x14ac:dyDescent="0.2">
      <c r="B25" s="374" t="s">
        <v>258</v>
      </c>
      <c r="C25" s="375"/>
      <c r="D25" s="376"/>
      <c r="E25" s="191">
        <f>Summary!K10/1000000</f>
        <v>242.01631790000005</v>
      </c>
      <c r="F25" s="195">
        <f t="shared" si="0"/>
        <v>-0.57065909999994346</v>
      </c>
      <c r="G25" s="193">
        <f t="shared" si="1"/>
        <v>-2.3523896750646408E-3</v>
      </c>
      <c r="H25" s="194">
        <f>Summary!K46</f>
        <v>19398</v>
      </c>
      <c r="I25" s="194">
        <f t="shared" si="4"/>
        <v>324.91666666666424</v>
      </c>
      <c r="J25" s="193">
        <f t="shared" si="5"/>
        <v>1.7035350865311806E-2</v>
      </c>
      <c r="O25"/>
      <c r="P25"/>
      <c r="Q25"/>
    </row>
    <row r="26" spans="2:17" x14ac:dyDescent="0.2">
      <c r="B26" s="374" t="s">
        <v>200</v>
      </c>
      <c r="C26" s="375"/>
      <c r="D26" s="376"/>
      <c r="E26" s="191">
        <f>Summary!L10/1000000</f>
        <v>239.66788445104999</v>
      </c>
      <c r="F26" s="195">
        <f t="shared" si="0"/>
        <v>-2.3484334489500611</v>
      </c>
      <c r="G26" s="193">
        <f t="shared" si="1"/>
        <v>-9.703616141786036E-3</v>
      </c>
      <c r="H26" s="194">
        <f>Summary!L46</f>
        <v>19906</v>
      </c>
      <c r="I26" s="194">
        <f t="shared" si="4"/>
        <v>508</v>
      </c>
      <c r="J26" s="193">
        <f t="shared" si="5"/>
        <v>2.6188266831632126E-2</v>
      </c>
      <c r="M26"/>
      <c r="N26"/>
    </row>
    <row r="27" spans="2:17" x14ac:dyDescent="0.2">
      <c r="B27" s="199"/>
      <c r="C27" s="199"/>
      <c r="D27" s="199"/>
      <c r="E27" s="264"/>
      <c r="F27" s="265"/>
      <c r="G27" s="266"/>
      <c r="H27" s="237"/>
      <c r="I27" s="265"/>
      <c r="J27" s="266"/>
      <c r="M27"/>
      <c r="N27"/>
    </row>
    <row r="28" spans="2:17" ht="15" customHeight="1" x14ac:dyDescent="0.2">
      <c r="B28" s="199"/>
      <c r="C28" s="199"/>
      <c r="D28" s="199"/>
      <c r="E28" s="200"/>
      <c r="F28" s="200"/>
      <c r="G28" s="200"/>
      <c r="H28" s="200"/>
      <c r="I28" s="200"/>
      <c r="J28" s="200"/>
      <c r="M28"/>
      <c r="N28"/>
    </row>
    <row r="29" spans="2:17" ht="15" customHeight="1" x14ac:dyDescent="0.2">
      <c r="B29" s="180" t="s">
        <v>201</v>
      </c>
      <c r="C29" s="180"/>
      <c r="D29" s="180"/>
      <c r="E29" s="181"/>
      <c r="F29" s="181"/>
      <c r="G29" s="181"/>
      <c r="H29" s="181"/>
      <c r="I29" s="181"/>
      <c r="J29" s="181"/>
      <c r="K29" s="181"/>
      <c r="M29"/>
      <c r="N29"/>
    </row>
    <row r="30" spans="2:17" ht="33.75" x14ac:dyDescent="0.2">
      <c r="B30" s="292" t="s">
        <v>147</v>
      </c>
      <c r="C30" s="293"/>
      <c r="D30" s="293"/>
      <c r="E30" s="294" t="s">
        <v>56</v>
      </c>
      <c r="F30" s="294" t="s">
        <v>92</v>
      </c>
      <c r="G30" s="294" t="s">
        <v>159</v>
      </c>
      <c r="H30" s="294" t="s">
        <v>202</v>
      </c>
      <c r="I30" s="294" t="s">
        <v>94</v>
      </c>
      <c r="J30" s="294" t="s">
        <v>96</v>
      </c>
      <c r="K30" s="294" t="s">
        <v>9</v>
      </c>
    </row>
    <row r="31" spans="2:17" ht="15" customHeight="1" x14ac:dyDescent="0.2">
      <c r="B31" s="201" t="s">
        <v>160</v>
      </c>
      <c r="C31" s="202"/>
      <c r="D31" s="202"/>
      <c r="E31" s="202"/>
      <c r="F31" s="202"/>
      <c r="G31" s="202"/>
      <c r="I31" s="202"/>
      <c r="J31" s="202"/>
      <c r="K31" s="203"/>
    </row>
    <row r="32" spans="2:17" ht="15" customHeight="1" x14ac:dyDescent="0.2">
      <c r="B32" s="196"/>
      <c r="C32" s="197"/>
      <c r="D32" s="197"/>
      <c r="E32" s="187"/>
      <c r="F32" s="204"/>
      <c r="G32" s="204"/>
      <c r="H32" s="204"/>
      <c r="I32" s="204"/>
      <c r="J32" s="204"/>
      <c r="K32" s="204"/>
    </row>
    <row r="33" spans="1:25" ht="15" customHeight="1" x14ac:dyDescent="0.2">
      <c r="B33" s="196" t="str">
        <f>B14</f>
        <v>2013 Board Approved</v>
      </c>
      <c r="C33" s="197"/>
      <c r="D33" s="197"/>
      <c r="E33" s="187">
        <f>148.148873</f>
        <v>148.14887300000001</v>
      </c>
      <c r="F33" s="187">
        <f>31.781016</f>
        <v>31.781016000000001</v>
      </c>
      <c r="G33" s="187">
        <v>51.329340999999999</v>
      </c>
      <c r="H33" s="187">
        <v>0.10494199999999999</v>
      </c>
      <c r="I33" s="187">
        <v>1.516831</v>
      </c>
      <c r="J33" s="187">
        <v>0.47465200000000002</v>
      </c>
      <c r="K33" s="205">
        <f>SUM(E33:J33)</f>
        <v>233.35565499999998</v>
      </c>
      <c r="L33" s="258"/>
      <c r="M33" s="267"/>
      <c r="N33" s="267"/>
    </row>
    <row r="34" spans="1:25" ht="15" customHeight="1" x14ac:dyDescent="0.2">
      <c r="B34" s="196"/>
      <c r="C34" s="197"/>
      <c r="D34" s="197"/>
      <c r="E34" s="187"/>
      <c r="F34" s="187"/>
      <c r="G34" s="187"/>
      <c r="H34" s="187"/>
      <c r="I34" s="187"/>
      <c r="J34" s="187"/>
      <c r="K34" s="205"/>
      <c r="L34" s="258"/>
    </row>
    <row r="35" spans="1:25" ht="15" customHeight="1" x14ac:dyDescent="0.2">
      <c r="B35" s="196" t="str">
        <f t="shared" ref="B35:B45" si="6">B16</f>
        <v xml:space="preserve">2007 Actual </v>
      </c>
      <c r="C35" s="197"/>
      <c r="D35" s="197"/>
      <c r="E35" s="187">
        <f>Summary!B15/1000000</f>
        <v>149.54028797127353</v>
      </c>
      <c r="F35" s="187">
        <f>Summary!B19/1000000</f>
        <v>28.638157412327427</v>
      </c>
      <c r="G35" s="187">
        <f>Summary!B23/1000000</f>
        <v>39.320569999999996</v>
      </c>
      <c r="H35" s="187">
        <f>Summary!B28/1000000</f>
        <v>0.12637100000000001</v>
      </c>
      <c r="I35" s="187">
        <f>Summary!B33/1000000</f>
        <v>1.4959469999999999</v>
      </c>
      <c r="J35" s="187">
        <f>Summary!B38/1000000</f>
        <v>0.5235134663990415</v>
      </c>
      <c r="K35" s="205">
        <f>SUM(E35:J35)</f>
        <v>219.64484684999999</v>
      </c>
      <c r="L35" s="258"/>
      <c r="P35" s="49"/>
      <c r="Q35" s="49"/>
      <c r="Y35" s="49"/>
    </row>
    <row r="36" spans="1:25" ht="15" customHeight="1" x14ac:dyDescent="0.2">
      <c r="B36" s="196" t="str">
        <f t="shared" si="6"/>
        <v xml:space="preserve">2008 Actual </v>
      </c>
      <c r="C36" s="197"/>
      <c r="D36" s="197"/>
      <c r="E36" s="187">
        <f>Summary!C15/1000000</f>
        <v>150.82954773240874</v>
      </c>
      <c r="F36" s="187">
        <f>Summary!C19/1000000</f>
        <v>28.578436331503898</v>
      </c>
      <c r="G36" s="187">
        <f>Summary!C23/1000000</f>
        <v>45.269405570000004</v>
      </c>
      <c r="H36" s="187">
        <f>Summary!C28/1000000</f>
        <v>0.12421161999999999</v>
      </c>
      <c r="I36" s="187">
        <f>Summary!C33/1000000</f>
        <v>1.5338988</v>
      </c>
      <c r="J36" s="187">
        <f>Summary!C38/1000000</f>
        <v>0.51212233608737145</v>
      </c>
      <c r="K36" s="205">
        <f t="shared" ref="K36:K45" si="7">SUM(E36:J36)</f>
        <v>226.84762239000003</v>
      </c>
      <c r="L36" s="258"/>
      <c r="M36" s="49"/>
      <c r="N36" s="49"/>
      <c r="O36" s="49"/>
      <c r="P36" s="49"/>
      <c r="Q36" s="49"/>
      <c r="Y36" s="49"/>
    </row>
    <row r="37" spans="1:25" ht="15" customHeight="1" x14ac:dyDescent="0.2">
      <c r="B37" s="196" t="str">
        <f t="shared" si="6"/>
        <v xml:space="preserve">2009 Actual </v>
      </c>
      <c r="C37" s="197"/>
      <c r="D37" s="197"/>
      <c r="E37" s="187">
        <f>Summary!D15/1000000</f>
        <v>151.16154800000001</v>
      </c>
      <c r="F37" s="187">
        <f>Summary!D19/1000000</f>
        <v>28.275493000000001</v>
      </c>
      <c r="G37" s="187">
        <f>Summary!D23/1000000</f>
        <v>47.473258209999997</v>
      </c>
      <c r="H37" s="187">
        <f>Summary!D28/1000000</f>
        <v>0.12202110000000001</v>
      </c>
      <c r="I37" s="187">
        <f>Summary!D33/1000000</f>
        <v>1.5769116000000001</v>
      </c>
      <c r="J37" s="187">
        <f>Summary!D38/1000000</f>
        <v>0.49722240000000001</v>
      </c>
      <c r="K37" s="205">
        <f t="shared" si="7"/>
        <v>229.10645431</v>
      </c>
      <c r="L37" s="258"/>
      <c r="M37" s="49"/>
      <c r="N37" s="49"/>
      <c r="O37" s="49"/>
      <c r="P37" s="49"/>
      <c r="Q37" s="49"/>
      <c r="Y37" s="49"/>
    </row>
    <row r="38" spans="1:25" ht="15" customHeight="1" x14ac:dyDescent="0.2">
      <c r="B38" s="196" t="str">
        <f t="shared" si="6"/>
        <v xml:space="preserve">2010 Actual </v>
      </c>
      <c r="C38" s="197"/>
      <c r="D38" s="197"/>
      <c r="E38" s="187">
        <f>Summary!E15/1000000</f>
        <v>149.15206822999997</v>
      </c>
      <c r="F38" s="187">
        <f>Summary!E19/1000000</f>
        <v>29.400127999999999</v>
      </c>
      <c r="G38" s="187">
        <f>Summary!E23/1000000</f>
        <v>51.128771119999989</v>
      </c>
      <c r="H38" s="187">
        <f>Summary!E28/1000000</f>
        <v>0.11670272</v>
      </c>
      <c r="I38" s="187">
        <f>Summary!E33/1000000</f>
        <v>1.580058</v>
      </c>
      <c r="J38" s="187">
        <f>Summary!E38/1000000</f>
        <v>0.49722240000000001</v>
      </c>
      <c r="K38" s="205">
        <f t="shared" si="7"/>
        <v>231.87495046999996</v>
      </c>
      <c r="L38" s="258"/>
      <c r="M38" s="49"/>
      <c r="N38" s="49"/>
      <c r="O38" s="49"/>
      <c r="P38" s="49"/>
      <c r="Q38" s="49"/>
      <c r="Y38" s="49"/>
    </row>
    <row r="39" spans="1:25" ht="15" customHeight="1" x14ac:dyDescent="0.2">
      <c r="B39" s="196" t="str">
        <f t="shared" si="6"/>
        <v xml:space="preserve">2011 Actual </v>
      </c>
      <c r="C39" s="197"/>
      <c r="D39" s="197"/>
      <c r="E39" s="187">
        <f>Summary!F15/1000000</f>
        <v>150.85930457000001</v>
      </c>
      <c r="F39" s="187">
        <f>Summary!F19/1000000</f>
        <v>30.76012832</v>
      </c>
      <c r="G39" s="187">
        <f>Summary!F23/1000000</f>
        <v>49.921685450000005</v>
      </c>
      <c r="H39" s="187">
        <f>Summary!F28/1000000</f>
        <v>0.11024082</v>
      </c>
      <c r="I39" s="187">
        <f>Summary!F33/1000000</f>
        <v>1.4573694099999999</v>
      </c>
      <c r="J39" s="187">
        <f>Summary!F38/1000000</f>
        <v>0.49285440000000003</v>
      </c>
      <c r="K39" s="205">
        <f t="shared" si="7"/>
        <v>233.60158297000004</v>
      </c>
      <c r="L39" s="258"/>
      <c r="M39" s="49"/>
      <c r="N39" s="49"/>
      <c r="O39" s="49"/>
      <c r="P39" s="49"/>
      <c r="Q39" s="49"/>
      <c r="Y39" s="49"/>
    </row>
    <row r="40" spans="1:25" ht="15" customHeight="1" x14ac:dyDescent="0.2">
      <c r="B40" s="196" t="str">
        <f t="shared" si="6"/>
        <v xml:space="preserve">2012 Actual </v>
      </c>
      <c r="C40" s="197"/>
      <c r="D40" s="197"/>
      <c r="E40" s="187">
        <f>Summary!G15/1000000</f>
        <v>145.72073800000001</v>
      </c>
      <c r="F40" s="187">
        <f>Summary!G19/1000000</f>
        <v>30.926417000000001</v>
      </c>
      <c r="G40" s="187">
        <f>Summary!G23/1000000</f>
        <v>51.138109999999998</v>
      </c>
      <c r="H40" s="187">
        <f>Summary!G28/1000000</f>
        <v>0.11335985597714041</v>
      </c>
      <c r="I40" s="187">
        <f>Summary!G33/1000000</f>
        <v>1.5697088405002926</v>
      </c>
      <c r="J40" s="187">
        <f>Summary!G38/1000000</f>
        <v>0.48187090000000005</v>
      </c>
      <c r="K40" s="205">
        <f t="shared" si="7"/>
        <v>229.95020459647739</v>
      </c>
      <c r="L40" s="258"/>
      <c r="O40" s="49"/>
      <c r="P40" s="49"/>
      <c r="Q40" s="49"/>
      <c r="Y40" s="49"/>
    </row>
    <row r="41" spans="1:25" x14ac:dyDescent="0.2">
      <c r="B41" s="196" t="str">
        <f t="shared" si="6"/>
        <v xml:space="preserve">2013 Actual </v>
      </c>
      <c r="C41" s="197"/>
      <c r="D41" s="197"/>
      <c r="E41" s="187">
        <f>Summary!H15/1000000</f>
        <v>148.837682</v>
      </c>
      <c r="F41" s="187">
        <f>Summary!H19/1000000</f>
        <v>31.038184000000001</v>
      </c>
      <c r="G41" s="187">
        <f>Summary!H23/1000000</f>
        <v>50.921722000000003</v>
      </c>
      <c r="H41" s="187">
        <f>Summary!H28/1000000</f>
        <v>0.10184393410009757</v>
      </c>
      <c r="I41" s="187">
        <f>Summary!H33/1000000</f>
        <v>1.4721342629375482</v>
      </c>
      <c r="J41" s="187">
        <f>Summary!H38/1000000</f>
        <v>0.47434399999999999</v>
      </c>
      <c r="K41" s="205">
        <f t="shared" si="7"/>
        <v>232.84591019703765</v>
      </c>
      <c r="L41" s="258"/>
      <c r="Y41" s="49"/>
    </row>
    <row r="42" spans="1:25" x14ac:dyDescent="0.2">
      <c r="B42" s="196" t="str">
        <f t="shared" si="6"/>
        <v xml:space="preserve">2014 Actual </v>
      </c>
      <c r="C42" s="197"/>
      <c r="D42" s="197"/>
      <c r="E42" s="187">
        <f>Summary!I15/1000000</f>
        <v>153.33148431999999</v>
      </c>
      <c r="F42" s="187">
        <f>Summary!I19/1000000</f>
        <v>32.222518180000002</v>
      </c>
      <c r="G42" s="187">
        <f>Summary!I23/1000000</f>
        <v>50.592266850000001</v>
      </c>
      <c r="H42" s="187">
        <f>Summary!I28/1000000</f>
        <v>0.10798000000000001</v>
      </c>
      <c r="I42" s="187">
        <f>Summary!I33/1000000</f>
        <v>1.6255534323642933</v>
      </c>
      <c r="J42" s="187">
        <f>Summary!I38/1000000</f>
        <v>0.46756170000000002</v>
      </c>
      <c r="K42" s="205">
        <f t="shared" si="7"/>
        <v>238.3473644823643</v>
      </c>
      <c r="L42" s="258"/>
      <c r="M42" s="49"/>
      <c r="N42" s="49"/>
      <c r="O42" s="49"/>
      <c r="P42" s="49"/>
      <c r="Q42" s="49"/>
      <c r="Y42" s="49"/>
    </row>
    <row r="43" spans="1:25" x14ac:dyDescent="0.2">
      <c r="B43" s="196" t="str">
        <f t="shared" si="6"/>
        <v xml:space="preserve">2015 Actual </v>
      </c>
      <c r="C43" s="197"/>
      <c r="D43" s="197"/>
      <c r="E43" s="187">
        <f>Summary!J15/1000000</f>
        <v>151.89221599999999</v>
      </c>
      <c r="F43" s="187">
        <f>Summary!J19/1000000</f>
        <v>34.381050000000002</v>
      </c>
      <c r="G43" s="187">
        <f>Summary!J23/1000000</f>
        <v>54.636276000000002</v>
      </c>
      <c r="H43" s="187">
        <f>Summary!J28/1000000</f>
        <v>0.103536</v>
      </c>
      <c r="I43" s="187">
        <f>Summary!J33/1000000</f>
        <v>1.106444</v>
      </c>
      <c r="J43" s="187">
        <f>Summary!J38/1000000</f>
        <v>0.46745500000000001</v>
      </c>
      <c r="K43" s="205">
        <f t="shared" si="7"/>
        <v>242.58697699999999</v>
      </c>
      <c r="L43" s="258"/>
      <c r="N43"/>
      <c r="O43"/>
      <c r="P43"/>
      <c r="Q43" s="49"/>
      <c r="Y43" s="49"/>
    </row>
    <row r="44" spans="1:25" x14ac:dyDescent="0.2">
      <c r="B44" s="374" t="str">
        <f t="shared" si="6"/>
        <v xml:space="preserve">2016 Actual </v>
      </c>
      <c r="C44" s="375"/>
      <c r="D44" s="376"/>
      <c r="E44" s="187">
        <f>Summary!K15/1000000</f>
        <v>149.50894191</v>
      </c>
      <c r="F44" s="187">
        <f>Summary!K19/1000000</f>
        <v>33.411508120000008</v>
      </c>
      <c r="G44" s="187">
        <f>Summary!K23/1000000</f>
        <v>57.98060744</v>
      </c>
      <c r="H44" s="187">
        <f>Summary!K28/1000000</f>
        <v>0.10630536</v>
      </c>
      <c r="I44" s="187">
        <f>Summary!K33/1000000</f>
        <v>0.53654952</v>
      </c>
      <c r="J44" s="187">
        <f>Summary!K38/1000000</f>
        <v>0.47240555000000001</v>
      </c>
      <c r="K44" s="205">
        <f t="shared" si="7"/>
        <v>242.01631789999999</v>
      </c>
      <c r="Q44" s="49"/>
      <c r="Y44" s="49"/>
    </row>
    <row r="45" spans="1:25" x14ac:dyDescent="0.2">
      <c r="B45" s="374" t="str">
        <f t="shared" si="6"/>
        <v>2017 Test - Normalized</v>
      </c>
      <c r="C45" s="375"/>
      <c r="D45" s="376"/>
      <c r="E45" s="187">
        <f>Summary!L15/1000000</f>
        <v>144.00199004708878</v>
      </c>
      <c r="F45" s="187">
        <f>Summary!L19/1000000</f>
        <v>31.418007178141018</v>
      </c>
      <c r="G45" s="187">
        <f>Summary!L23/1000000</f>
        <v>63.122597065548653</v>
      </c>
      <c r="H45" s="187">
        <f>Summary!L28/1000000</f>
        <v>0.10305165856497742</v>
      </c>
      <c r="I45" s="187">
        <f>Summary!L33/1000000</f>
        <v>0.56122348942778977</v>
      </c>
      <c r="J45" s="187">
        <f>Summary!L38/1000000</f>
        <v>0.46101501227876113</v>
      </c>
      <c r="K45" s="205">
        <f t="shared" si="7"/>
        <v>239.66788445104996</v>
      </c>
      <c r="L45" s="258"/>
      <c r="M45" s="49"/>
      <c r="N45" s="49"/>
      <c r="O45" s="49"/>
      <c r="P45" s="49"/>
      <c r="Q45" s="49"/>
      <c r="Y45" s="49"/>
    </row>
    <row r="46" spans="1:25" x14ac:dyDescent="0.2">
      <c r="B46" s="199"/>
      <c r="C46" s="199"/>
      <c r="D46" s="199"/>
      <c r="E46" s="268"/>
      <c r="F46" s="268"/>
      <c r="G46" s="268"/>
      <c r="H46" s="268"/>
      <c r="I46" s="268"/>
      <c r="J46" s="268"/>
      <c r="K46" s="264"/>
      <c r="L46" s="49"/>
      <c r="M46" s="49"/>
      <c r="N46" s="49"/>
      <c r="O46" s="49"/>
      <c r="P46" s="49"/>
      <c r="Q46" s="49"/>
      <c r="Y46" s="49"/>
    </row>
    <row r="47" spans="1:25" x14ac:dyDescent="0.2">
      <c r="B47" s="180" t="s">
        <v>203</v>
      </c>
      <c r="C47" s="199"/>
      <c r="D47" s="199"/>
      <c r="E47" s="268"/>
      <c r="F47" s="268"/>
      <c r="G47" s="268"/>
      <c r="H47" s="268"/>
      <c r="I47" s="268"/>
      <c r="J47" s="268"/>
      <c r="K47" s="264"/>
      <c r="L47" s="49"/>
      <c r="M47" s="49"/>
      <c r="N47" s="49"/>
      <c r="O47" s="49"/>
      <c r="P47" s="49"/>
      <c r="Q47" s="49"/>
      <c r="Y47" s="49"/>
    </row>
    <row r="48" spans="1:25" ht="33.75" x14ac:dyDescent="0.2">
      <c r="A48" s="207"/>
      <c r="B48" s="292" t="s">
        <v>147</v>
      </c>
      <c r="C48" s="293"/>
      <c r="D48" s="293"/>
      <c r="E48" s="294" t="s">
        <v>56</v>
      </c>
      <c r="F48" s="294" t="s">
        <v>92</v>
      </c>
      <c r="G48" s="294" t="s">
        <v>159</v>
      </c>
      <c r="H48" s="294" t="s">
        <v>202</v>
      </c>
      <c r="I48" s="294" t="s">
        <v>94</v>
      </c>
      <c r="J48" s="294" t="s">
        <v>96</v>
      </c>
      <c r="K48" s="294" t="s">
        <v>9</v>
      </c>
      <c r="L48" s="207"/>
    </row>
    <row r="49" spans="1:15" ht="15" customHeight="1" x14ac:dyDescent="0.2">
      <c r="B49" s="367" t="s">
        <v>161</v>
      </c>
      <c r="C49" s="367"/>
      <c r="D49" s="367"/>
      <c r="E49" s="367"/>
      <c r="F49" s="367"/>
      <c r="G49" s="367"/>
      <c r="H49" s="367"/>
      <c r="I49" s="367"/>
      <c r="J49" s="367"/>
      <c r="K49" s="367"/>
    </row>
    <row r="50" spans="1:15" ht="15" customHeight="1" x14ac:dyDescent="0.2">
      <c r="B50" s="196"/>
      <c r="C50" s="197"/>
      <c r="D50" s="197"/>
      <c r="E50" s="208"/>
      <c r="F50" s="190"/>
      <c r="G50" s="190"/>
      <c r="H50" s="190"/>
      <c r="I50" s="190"/>
      <c r="J50" s="190"/>
      <c r="K50" s="190"/>
    </row>
    <row r="51" spans="1:15" ht="15" customHeight="1" x14ac:dyDescent="0.2">
      <c r="B51" s="196" t="str">
        <f>B33</f>
        <v>2013 Board Approved</v>
      </c>
      <c r="C51" s="197"/>
      <c r="D51" s="197"/>
      <c r="E51" s="208">
        <v>14189</v>
      </c>
      <c r="F51" s="190">
        <v>910</v>
      </c>
      <c r="G51" s="190">
        <v>66</v>
      </c>
      <c r="H51" s="190">
        <v>237</v>
      </c>
      <c r="I51" s="190">
        <v>2889</v>
      </c>
      <c r="J51" s="190">
        <v>78</v>
      </c>
      <c r="K51" s="190">
        <f>SUM(E51:J51)</f>
        <v>18369</v>
      </c>
      <c r="L51"/>
      <c r="M51" s="206"/>
    </row>
    <row r="52" spans="1:15" ht="15" customHeight="1" x14ac:dyDescent="0.2">
      <c r="A52" s="210"/>
      <c r="B52" s="196"/>
      <c r="C52" s="197"/>
      <c r="D52" s="197"/>
      <c r="E52" s="208"/>
      <c r="F52" s="190"/>
      <c r="G52" s="190"/>
      <c r="H52" s="190"/>
      <c r="I52" s="190"/>
      <c r="J52" s="190"/>
      <c r="K52" s="190"/>
      <c r="L52"/>
      <c r="M52" s="206"/>
    </row>
    <row r="53" spans="1:15" ht="15" customHeight="1" x14ac:dyDescent="0.2">
      <c r="A53" s="211"/>
      <c r="B53" s="196" t="str">
        <f t="shared" ref="B53:B63" si="8">B35</f>
        <v xml:space="preserve">2007 Actual </v>
      </c>
      <c r="C53" s="197"/>
      <c r="D53" s="197"/>
      <c r="E53" s="208">
        <f>Summary!B14</f>
        <v>12991</v>
      </c>
      <c r="F53" s="208">
        <f>Summary!B18</f>
        <v>819</v>
      </c>
      <c r="G53" s="208">
        <f>Summary!B22</f>
        <v>71</v>
      </c>
      <c r="H53" s="190">
        <f>Summary!B27</f>
        <v>186</v>
      </c>
      <c r="I53" s="190">
        <f>Summary!B32</f>
        <v>2489</v>
      </c>
      <c r="J53" s="190">
        <f>Summary!B37</f>
        <v>89</v>
      </c>
      <c r="K53" s="190">
        <f>SUM(E53:J53)</f>
        <v>16645</v>
      </c>
      <c r="L53"/>
    </row>
    <row r="54" spans="1:15" ht="15" customHeight="1" x14ac:dyDescent="0.2">
      <c r="A54" s="211"/>
      <c r="B54" s="196" t="str">
        <f t="shared" si="8"/>
        <v xml:space="preserve">2008 Actual </v>
      </c>
      <c r="C54" s="197"/>
      <c r="D54" s="197"/>
      <c r="E54" s="208">
        <f>Summary!C14</f>
        <v>13277</v>
      </c>
      <c r="F54" s="208">
        <f>Summary!C18</f>
        <v>836</v>
      </c>
      <c r="G54" s="208">
        <f>Summary!C22</f>
        <v>73</v>
      </c>
      <c r="H54" s="190">
        <f>Summary!C27</f>
        <v>186</v>
      </c>
      <c r="I54" s="190">
        <f>Summary!C32</f>
        <v>2588</v>
      </c>
      <c r="J54" s="190">
        <f>Summary!C37</f>
        <v>84</v>
      </c>
      <c r="K54" s="190">
        <f t="shared" ref="K54:K63" si="9">SUM(E54:J54)</f>
        <v>17044</v>
      </c>
      <c r="L54"/>
      <c r="M54" s="206"/>
    </row>
    <row r="55" spans="1:15" ht="15" customHeight="1" x14ac:dyDescent="0.2">
      <c r="A55" s="211"/>
      <c r="B55" s="196" t="str">
        <f t="shared" si="8"/>
        <v xml:space="preserve">2009 Actual </v>
      </c>
      <c r="C55" s="197"/>
      <c r="D55" s="197"/>
      <c r="E55" s="208">
        <f>Summary!D14</f>
        <v>13533</v>
      </c>
      <c r="F55" s="208">
        <f>Summary!D18</f>
        <v>855</v>
      </c>
      <c r="G55" s="208">
        <f>Summary!D22</f>
        <v>72</v>
      </c>
      <c r="H55" s="190">
        <f>Summary!D27</f>
        <v>193</v>
      </c>
      <c r="I55" s="190">
        <f>Summary!D32</f>
        <v>2625</v>
      </c>
      <c r="J55" s="190">
        <f>Summary!D37</f>
        <v>83</v>
      </c>
      <c r="K55" s="190">
        <f t="shared" si="9"/>
        <v>17361</v>
      </c>
      <c r="L55"/>
      <c r="M55" s="206"/>
    </row>
    <row r="56" spans="1:15" ht="15" customHeight="1" x14ac:dyDescent="0.2">
      <c r="A56" s="211"/>
      <c r="B56" s="196" t="str">
        <f t="shared" si="8"/>
        <v xml:space="preserve">2010 Actual </v>
      </c>
      <c r="C56" s="197"/>
      <c r="D56" s="197"/>
      <c r="E56" s="208">
        <f>Summary!E14</f>
        <v>13651</v>
      </c>
      <c r="F56" s="208">
        <f>Summary!E18</f>
        <v>865</v>
      </c>
      <c r="G56" s="208">
        <f>Summary!E22</f>
        <v>68</v>
      </c>
      <c r="H56" s="190">
        <f>Summary!E27</f>
        <v>201</v>
      </c>
      <c r="I56" s="190">
        <f>Summary!E32</f>
        <v>2685</v>
      </c>
      <c r="J56" s="190">
        <f>Summary!E37</f>
        <v>82</v>
      </c>
      <c r="K56" s="190">
        <f t="shared" si="9"/>
        <v>17552</v>
      </c>
      <c r="L56"/>
      <c r="M56" s="206"/>
    </row>
    <row r="57" spans="1:15" ht="15" customHeight="1" x14ac:dyDescent="0.2">
      <c r="A57" s="211"/>
      <c r="B57" s="196" t="str">
        <f t="shared" si="8"/>
        <v xml:space="preserve">2011 Actual </v>
      </c>
      <c r="C57" s="197"/>
      <c r="D57" s="197"/>
      <c r="E57" s="208">
        <f>Summary!F14</f>
        <v>13779</v>
      </c>
      <c r="F57" s="208">
        <f>Summary!F18</f>
        <v>896</v>
      </c>
      <c r="G57" s="208">
        <f>Summary!F22</f>
        <v>67</v>
      </c>
      <c r="H57" s="190">
        <f>Summary!F27</f>
        <v>225</v>
      </c>
      <c r="I57" s="190">
        <f>Summary!F32</f>
        <v>2728</v>
      </c>
      <c r="J57" s="190">
        <f>Summary!F37</f>
        <v>81</v>
      </c>
      <c r="K57" s="190">
        <f t="shared" si="9"/>
        <v>17776</v>
      </c>
      <c r="L57"/>
      <c r="M57" s="206"/>
    </row>
    <row r="58" spans="1:15" ht="15" customHeight="1" x14ac:dyDescent="0.2">
      <c r="A58" s="211"/>
      <c r="B58" s="196" t="str">
        <f t="shared" si="8"/>
        <v xml:space="preserve">2012 Actual </v>
      </c>
      <c r="C58" s="197"/>
      <c r="D58" s="197"/>
      <c r="E58" s="208">
        <f>Summary!G14</f>
        <v>13942.916666666666</v>
      </c>
      <c r="F58" s="208">
        <f>Summary!G18</f>
        <v>913.75</v>
      </c>
      <c r="G58" s="208">
        <f>Summary!G22</f>
        <v>67.916666666666671</v>
      </c>
      <c r="H58" s="190">
        <f>Summary!G27</f>
        <v>172.08333333333334</v>
      </c>
      <c r="I58" s="190">
        <f>Summary!G32</f>
        <v>2728</v>
      </c>
      <c r="J58" s="190">
        <f>Summary!G37</f>
        <v>78.666666666666671</v>
      </c>
      <c r="K58" s="190">
        <f t="shared" si="9"/>
        <v>17903.333333333332</v>
      </c>
      <c r="L58"/>
      <c r="M58" s="206"/>
    </row>
    <row r="59" spans="1:15" ht="15" customHeight="1" x14ac:dyDescent="0.2">
      <c r="A59" s="211"/>
      <c r="B59" s="196" t="str">
        <f t="shared" si="8"/>
        <v xml:space="preserve">2013 Actual </v>
      </c>
      <c r="C59" s="197"/>
      <c r="D59" s="197"/>
      <c r="E59" s="208">
        <f>Summary!H14</f>
        <v>14181</v>
      </c>
      <c r="F59" s="208">
        <f>Summary!H18</f>
        <v>949.25</v>
      </c>
      <c r="G59" s="208">
        <f>Summary!H22</f>
        <v>67</v>
      </c>
      <c r="H59" s="190">
        <f>Summary!H27</f>
        <v>168</v>
      </c>
      <c r="I59" s="190">
        <f>Summary!H32</f>
        <v>2843.3333333333335</v>
      </c>
      <c r="J59" s="190">
        <f>Summary!H37</f>
        <v>77.583333333333329</v>
      </c>
      <c r="K59" s="190">
        <f t="shared" si="9"/>
        <v>18286.166666666664</v>
      </c>
      <c r="L59"/>
      <c r="M59" s="206"/>
    </row>
    <row r="60" spans="1:15" ht="15" customHeight="1" x14ac:dyDescent="0.2">
      <c r="A60" s="211"/>
      <c r="B60" s="196" t="str">
        <f t="shared" si="8"/>
        <v xml:space="preserve">2014 Actual </v>
      </c>
      <c r="C60" s="197"/>
      <c r="D60" s="197"/>
      <c r="E60" s="208">
        <f>Summary!I14</f>
        <v>14509.166666666666</v>
      </c>
      <c r="F60" s="208">
        <f>Summary!I18</f>
        <v>991.25</v>
      </c>
      <c r="G60" s="208">
        <f>Summary!I22</f>
        <v>67.166666666666671</v>
      </c>
      <c r="H60" s="190">
        <f>Summary!I27</f>
        <v>169.41666666666666</v>
      </c>
      <c r="I60" s="190">
        <f>Summary!I32</f>
        <v>2923.3333333333335</v>
      </c>
      <c r="J60" s="190">
        <f>Summary!I37</f>
        <v>75.583333333333329</v>
      </c>
      <c r="K60" s="190">
        <f t="shared" si="9"/>
        <v>18735.916666666664</v>
      </c>
      <c r="L60"/>
      <c r="M60" s="206"/>
    </row>
    <row r="61" spans="1:15" ht="15" customHeight="1" x14ac:dyDescent="0.2">
      <c r="A61" s="211"/>
      <c r="B61" s="196" t="str">
        <f t="shared" si="8"/>
        <v xml:space="preserve">2015 Actual </v>
      </c>
      <c r="C61" s="197"/>
      <c r="D61" s="197"/>
      <c r="E61" s="208">
        <f>Summary!J14</f>
        <v>14861.583333333334</v>
      </c>
      <c r="F61" s="208">
        <f>Summary!J18</f>
        <v>1000.5833333333334</v>
      </c>
      <c r="G61" s="208">
        <f>Summary!J22</f>
        <v>71.5</v>
      </c>
      <c r="H61" s="190">
        <f>Summary!J27</f>
        <v>165.75</v>
      </c>
      <c r="I61" s="190">
        <f>Summary!J32</f>
        <v>2897.6666666666665</v>
      </c>
      <c r="J61" s="190">
        <f>Summary!J37</f>
        <v>76</v>
      </c>
      <c r="K61" s="190">
        <f t="shared" si="9"/>
        <v>19073.083333333336</v>
      </c>
      <c r="L61"/>
      <c r="M61" s="206"/>
    </row>
    <row r="62" spans="1:15" ht="15" customHeight="1" x14ac:dyDescent="0.2">
      <c r="A62" s="211"/>
      <c r="B62" s="196" t="str">
        <f t="shared" si="8"/>
        <v xml:space="preserve">2016 Actual </v>
      </c>
      <c r="C62" s="197"/>
      <c r="D62" s="197"/>
      <c r="E62" s="208">
        <f>Summary!K14</f>
        <v>15201.583333333334</v>
      </c>
      <c r="F62" s="208">
        <f>Summary!K18</f>
        <v>1016.25</v>
      </c>
      <c r="G62" s="208">
        <f>Summary!K22</f>
        <v>75.583333333333329</v>
      </c>
      <c r="H62" s="190">
        <f>Summary!K27</f>
        <v>166.08333333333334</v>
      </c>
      <c r="I62" s="190">
        <f>Summary!K32</f>
        <v>2863.1666666666665</v>
      </c>
      <c r="J62" s="190">
        <f>Summary!K37</f>
        <v>75.333333333333329</v>
      </c>
      <c r="K62" s="190">
        <f t="shared" si="9"/>
        <v>19398</v>
      </c>
      <c r="L62"/>
      <c r="M62"/>
      <c r="N62"/>
      <c r="O62"/>
    </row>
    <row r="63" spans="1:15" ht="15" customHeight="1" x14ac:dyDescent="0.2">
      <c r="A63" s="211"/>
      <c r="B63" s="196" t="str">
        <f t="shared" si="8"/>
        <v>2017 Test - Normalized</v>
      </c>
      <c r="C63" s="197"/>
      <c r="D63" s="197"/>
      <c r="E63" s="208">
        <f>Summary!L14</f>
        <v>15554.75</v>
      </c>
      <c r="F63" s="208">
        <f>Summary!L18</f>
        <v>1034.4166666666667</v>
      </c>
      <c r="G63" s="208">
        <f>Summary!L22</f>
        <v>87.5</v>
      </c>
      <c r="H63" s="190">
        <f>Summary!L27</f>
        <v>161</v>
      </c>
      <c r="I63" s="190">
        <f>Summary!L32</f>
        <v>2994.8333333333335</v>
      </c>
      <c r="J63" s="190">
        <f>Summary!L37</f>
        <v>73.5</v>
      </c>
      <c r="K63" s="190">
        <f t="shared" si="9"/>
        <v>19906</v>
      </c>
      <c r="L63"/>
      <c r="M63"/>
      <c r="N63"/>
      <c r="O63"/>
    </row>
    <row r="64" spans="1:15" ht="15" customHeight="1" x14ac:dyDescent="0.2">
      <c r="B64" s="182"/>
      <c r="C64" s="182"/>
      <c r="D64" s="182"/>
    </row>
    <row r="65" spans="2:14" ht="15" customHeight="1" x14ac:dyDescent="0.2">
      <c r="B65" s="180" t="s">
        <v>204</v>
      </c>
      <c r="C65" s="180"/>
      <c r="D65" s="180"/>
      <c r="E65" s="181"/>
      <c r="F65" s="181"/>
      <c r="G65" s="181"/>
      <c r="H65" s="181"/>
      <c r="I65" s="181"/>
      <c r="J65" s="181"/>
      <c r="K65" s="181"/>
    </row>
    <row r="66" spans="2:14" ht="33.75" x14ac:dyDescent="0.2">
      <c r="B66" s="292" t="s">
        <v>147</v>
      </c>
      <c r="C66" s="293"/>
      <c r="D66" s="295"/>
      <c r="E66" s="296" t="str">
        <f t="shared" ref="E66:J66" si="10">E30</f>
        <v>Residential</v>
      </c>
      <c r="F66" s="291" t="str">
        <f t="shared" si="10"/>
        <v>General Service &lt; 50 kW</v>
      </c>
      <c r="G66" s="291" t="str">
        <f t="shared" si="10"/>
        <v>General Service 50 to 4,999 kW</v>
      </c>
      <c r="H66" s="291" t="str">
        <f t="shared" si="10"/>
        <v xml:space="preserve">Sentinel Lighting </v>
      </c>
      <c r="I66" s="291" t="str">
        <f t="shared" si="10"/>
        <v>Street Lighting</v>
      </c>
      <c r="J66" s="291" t="str">
        <f t="shared" si="10"/>
        <v>Unmetered Scattered Load</v>
      </c>
    </row>
    <row r="67" spans="2:14" ht="15" customHeight="1" x14ac:dyDescent="0.2">
      <c r="B67" s="407" t="s">
        <v>162</v>
      </c>
      <c r="C67" s="407"/>
      <c r="D67" s="407"/>
      <c r="E67" s="367"/>
      <c r="F67" s="367"/>
      <c r="G67" s="367"/>
      <c r="H67" s="367"/>
      <c r="I67" s="367"/>
      <c r="J67" s="367"/>
    </row>
    <row r="68" spans="2:14" ht="15" customHeight="1" x14ac:dyDescent="0.2">
      <c r="B68" s="219"/>
      <c r="C68" s="221"/>
      <c r="D68" s="221"/>
      <c r="E68" s="216"/>
      <c r="F68" s="216"/>
      <c r="G68" s="216"/>
      <c r="H68" s="216"/>
      <c r="I68" s="216"/>
      <c r="J68" s="269"/>
    </row>
    <row r="69" spans="2:14" ht="15" customHeight="1" x14ac:dyDescent="0.2">
      <c r="B69" s="196" t="str">
        <f>B33</f>
        <v>2013 Board Approved</v>
      </c>
      <c r="C69" s="197"/>
      <c r="D69" s="197"/>
      <c r="E69" s="188">
        <f t="shared" ref="E69:J69" si="11">E33*1000000/E51</f>
        <v>10441.107407146381</v>
      </c>
      <c r="F69" s="188">
        <f t="shared" si="11"/>
        <v>34924.193406593404</v>
      </c>
      <c r="G69" s="188">
        <f t="shared" si="11"/>
        <v>777717.28787878784</v>
      </c>
      <c r="H69" s="188">
        <f t="shared" si="11"/>
        <v>442.7932489451477</v>
      </c>
      <c r="I69" s="188">
        <f t="shared" si="11"/>
        <v>525.03669089650396</v>
      </c>
      <c r="J69" s="188">
        <f t="shared" si="11"/>
        <v>6085.2820512820517</v>
      </c>
      <c r="K69"/>
    </row>
    <row r="70" spans="2:14" ht="15" customHeight="1" x14ac:dyDescent="0.2">
      <c r="B70" s="196"/>
      <c r="C70" s="197"/>
      <c r="D70" s="197"/>
      <c r="E70" s="188"/>
      <c r="F70" s="188"/>
      <c r="G70" s="188"/>
      <c r="H70" s="188"/>
      <c r="I70" s="188"/>
      <c r="J70" s="269"/>
    </row>
    <row r="71" spans="2:14" ht="15" customHeight="1" x14ac:dyDescent="0.2">
      <c r="B71" s="196" t="str">
        <f t="shared" ref="B71:B81" si="12">B35</f>
        <v xml:space="preserve">2007 Actual </v>
      </c>
      <c r="C71" s="197"/>
      <c r="D71" s="197"/>
      <c r="E71" s="188">
        <f t="shared" ref="E71:J81" si="13">E35*1000000/E53</f>
        <v>11511.068275827383</v>
      </c>
      <c r="F71" s="188">
        <f t="shared" si="13"/>
        <v>34967.225167676959</v>
      </c>
      <c r="G71" s="188">
        <f t="shared" si="13"/>
        <v>553810.84507042251</v>
      </c>
      <c r="H71" s="188">
        <f t="shared" si="13"/>
        <v>679.41397849462373</v>
      </c>
      <c r="I71" s="188">
        <f t="shared" si="13"/>
        <v>601.02330253113701</v>
      </c>
      <c r="J71" s="188">
        <f t="shared" si="13"/>
        <v>5882.1737797645119</v>
      </c>
      <c r="L71" s="209"/>
      <c r="M71" s="209"/>
      <c r="N71" s="209"/>
    </row>
    <row r="72" spans="2:14" ht="15" customHeight="1" x14ac:dyDescent="0.2">
      <c r="B72" s="196" t="str">
        <f t="shared" si="12"/>
        <v xml:space="preserve">2008 Actual </v>
      </c>
      <c r="C72" s="197"/>
      <c r="D72" s="197"/>
      <c r="E72" s="188">
        <f t="shared" si="13"/>
        <v>11360.212979770184</v>
      </c>
      <c r="F72" s="188">
        <f t="shared" si="13"/>
        <v>34184.732453952034</v>
      </c>
      <c r="G72" s="188">
        <f t="shared" si="13"/>
        <v>620128.84342465759</v>
      </c>
      <c r="H72" s="188">
        <f t="shared" si="13"/>
        <v>667.80440860215049</v>
      </c>
      <c r="I72" s="188">
        <f t="shared" si="13"/>
        <v>592.69659969088104</v>
      </c>
      <c r="J72" s="188">
        <f t="shared" si="13"/>
        <v>6096.6944772306124</v>
      </c>
      <c r="L72" s="209"/>
      <c r="M72" s="209"/>
      <c r="N72" s="209"/>
    </row>
    <row r="73" spans="2:14" ht="15" customHeight="1" x14ac:dyDescent="0.2">
      <c r="B73" s="196" t="str">
        <f t="shared" si="12"/>
        <v xml:space="preserve">2009 Actual </v>
      </c>
      <c r="C73" s="197"/>
      <c r="D73" s="197"/>
      <c r="E73" s="188">
        <f t="shared" si="13"/>
        <v>11169.847631715067</v>
      </c>
      <c r="F73" s="188">
        <f t="shared" si="13"/>
        <v>33070.752046783629</v>
      </c>
      <c r="G73" s="188">
        <f t="shared" si="13"/>
        <v>659350.80847222218</v>
      </c>
      <c r="H73" s="188">
        <f t="shared" si="13"/>
        <v>632.23367875647671</v>
      </c>
      <c r="I73" s="188">
        <f t="shared" si="13"/>
        <v>600.72822857142864</v>
      </c>
      <c r="J73" s="188">
        <f t="shared" si="13"/>
        <v>5990.6313253012049</v>
      </c>
      <c r="L73" s="209"/>
      <c r="M73" s="209"/>
      <c r="N73" s="209"/>
    </row>
    <row r="74" spans="2:14" ht="15" customHeight="1" x14ac:dyDescent="0.2">
      <c r="B74" s="196" t="str">
        <f t="shared" si="12"/>
        <v xml:space="preserve">2010 Actual </v>
      </c>
      <c r="C74" s="197"/>
      <c r="D74" s="197"/>
      <c r="E74" s="188">
        <f t="shared" si="13"/>
        <v>10926.090999194195</v>
      </c>
      <c r="F74" s="188">
        <f t="shared" si="13"/>
        <v>33988.587283236993</v>
      </c>
      <c r="G74" s="188">
        <f t="shared" si="13"/>
        <v>751893.69294117636</v>
      </c>
      <c r="H74" s="188">
        <f t="shared" si="13"/>
        <v>580.61054726368161</v>
      </c>
      <c r="I74" s="188">
        <f t="shared" si="13"/>
        <v>588.47597765363128</v>
      </c>
      <c r="J74" s="188">
        <f t="shared" si="13"/>
        <v>6063.6878048780491</v>
      </c>
      <c r="L74" s="209"/>
      <c r="M74" s="209"/>
      <c r="N74" s="209"/>
    </row>
    <row r="75" spans="2:14" ht="15" customHeight="1" x14ac:dyDescent="0.2">
      <c r="B75" s="196" t="str">
        <f t="shared" si="12"/>
        <v xml:space="preserve">2011 Actual </v>
      </c>
      <c r="C75" s="197"/>
      <c r="D75" s="197"/>
      <c r="E75" s="188">
        <f t="shared" si="13"/>
        <v>10948.494416866246</v>
      </c>
      <c r="F75" s="188">
        <f t="shared" si="13"/>
        <v>34330.500357142861</v>
      </c>
      <c r="G75" s="188">
        <f t="shared" si="13"/>
        <v>745099.78283582092</v>
      </c>
      <c r="H75" s="188">
        <f t="shared" si="13"/>
        <v>489.95920000000001</v>
      </c>
      <c r="I75" s="188">
        <f t="shared" si="13"/>
        <v>534.22632331378293</v>
      </c>
      <c r="J75" s="188">
        <f t="shared" si="13"/>
        <v>6084.6222222222223</v>
      </c>
      <c r="L75" s="209"/>
      <c r="M75" s="209"/>
      <c r="N75" s="209"/>
    </row>
    <row r="76" spans="2:14" ht="15" customHeight="1" x14ac:dyDescent="0.2">
      <c r="B76" s="196" t="str">
        <f t="shared" si="12"/>
        <v xml:space="preserve">2012 Actual </v>
      </c>
      <c r="C76" s="197"/>
      <c r="D76" s="197"/>
      <c r="E76" s="188">
        <f t="shared" si="13"/>
        <v>10451.23782087679</v>
      </c>
      <c r="F76" s="188">
        <f t="shared" si="13"/>
        <v>33845.599999999999</v>
      </c>
      <c r="G76" s="188">
        <f t="shared" si="13"/>
        <v>752953.7668711656</v>
      </c>
      <c r="H76" s="188">
        <f t="shared" si="13"/>
        <v>658.7497683901621</v>
      </c>
      <c r="I76" s="188">
        <f t="shared" si="13"/>
        <v>575.40646645905156</v>
      </c>
      <c r="J76" s="188">
        <f t="shared" si="13"/>
        <v>6125.4775423728815</v>
      </c>
      <c r="L76" s="209"/>
      <c r="M76" s="209"/>
      <c r="N76" s="209"/>
    </row>
    <row r="77" spans="2:14" ht="15" customHeight="1" x14ac:dyDescent="0.2">
      <c r="B77" s="196" t="str">
        <f t="shared" si="12"/>
        <v xml:space="preserve">2013 Actual </v>
      </c>
      <c r="C77" s="197"/>
      <c r="D77" s="197"/>
      <c r="E77" s="188">
        <f t="shared" si="13"/>
        <v>10495.570270079685</v>
      </c>
      <c r="F77" s="188">
        <f t="shared" si="13"/>
        <v>32697.586515670268</v>
      </c>
      <c r="G77" s="188">
        <f t="shared" si="13"/>
        <v>760025.70149253728</v>
      </c>
      <c r="H77" s="188">
        <f t="shared" si="13"/>
        <v>606.21389345296177</v>
      </c>
      <c r="I77" s="188">
        <f t="shared" si="13"/>
        <v>517.74944769198646</v>
      </c>
      <c r="J77" s="188">
        <f t="shared" si="13"/>
        <v>6113.9935553168643</v>
      </c>
      <c r="L77" s="209"/>
      <c r="M77" s="209"/>
      <c r="N77" s="209"/>
    </row>
    <row r="78" spans="2:14" ht="15" customHeight="1" x14ac:dyDescent="0.2">
      <c r="B78" s="196" t="str">
        <f t="shared" si="12"/>
        <v xml:space="preserve">2014 Actual </v>
      </c>
      <c r="C78" s="197"/>
      <c r="D78" s="197"/>
      <c r="E78" s="188">
        <f t="shared" si="13"/>
        <v>10567.904266498192</v>
      </c>
      <c r="F78" s="188">
        <f t="shared" si="13"/>
        <v>32506.954027742748</v>
      </c>
      <c r="G78" s="188">
        <f t="shared" si="13"/>
        <v>753234.74218362279</v>
      </c>
      <c r="H78" s="188">
        <f t="shared" si="13"/>
        <v>637.36350221347766</v>
      </c>
      <c r="I78" s="188">
        <f t="shared" si="13"/>
        <v>556.06160742222119</v>
      </c>
      <c r="J78" s="188">
        <f t="shared" si="13"/>
        <v>6186.042337375965</v>
      </c>
      <c r="L78" s="209"/>
      <c r="M78" s="209"/>
      <c r="N78" s="209"/>
    </row>
    <row r="79" spans="2:14" ht="15" customHeight="1" x14ac:dyDescent="0.2">
      <c r="B79" s="196" t="str">
        <f t="shared" si="12"/>
        <v xml:space="preserve">2015 Actual </v>
      </c>
      <c r="C79" s="197"/>
      <c r="D79" s="197"/>
      <c r="E79" s="188">
        <f t="shared" si="13"/>
        <v>10220.459865761275</v>
      </c>
      <c r="F79" s="188">
        <f t="shared" si="13"/>
        <v>34361.006079786792</v>
      </c>
      <c r="G79" s="188">
        <f t="shared" si="13"/>
        <v>764143.72027972026</v>
      </c>
      <c r="H79" s="188">
        <f t="shared" si="13"/>
        <v>624.65158371040729</v>
      </c>
      <c r="I79" s="188">
        <f t="shared" si="13"/>
        <v>381.83964109053261</v>
      </c>
      <c r="J79" s="188">
        <f t="shared" si="13"/>
        <v>6150.7236842105267</v>
      </c>
      <c r="L79" s="209"/>
      <c r="M79" s="209"/>
      <c r="N79" s="209"/>
    </row>
    <row r="80" spans="2:14" ht="15" customHeight="1" x14ac:dyDescent="0.2">
      <c r="B80" s="196" t="str">
        <f t="shared" si="12"/>
        <v xml:space="preserve">2016 Actual </v>
      </c>
      <c r="C80" s="197"/>
      <c r="D80" s="197"/>
      <c r="E80" s="188">
        <f t="shared" si="13"/>
        <v>9835.0901107888967</v>
      </c>
      <c r="F80" s="188">
        <f t="shared" si="13"/>
        <v>32877.252762607633</v>
      </c>
      <c r="G80" s="188">
        <f t="shared" si="13"/>
        <v>767108.36745314219</v>
      </c>
      <c r="H80" s="188">
        <f t="shared" si="13"/>
        <v>640.07241344706472</v>
      </c>
      <c r="I80" s="188">
        <f t="shared" si="13"/>
        <v>187.39723616042843</v>
      </c>
      <c r="J80" s="188">
        <f t="shared" si="13"/>
        <v>6270.8701327433628</v>
      </c>
      <c r="L80" s="209"/>
      <c r="M80" s="209"/>
      <c r="N80" s="209"/>
    </row>
    <row r="81" spans="2:14" ht="15" customHeight="1" x14ac:dyDescent="0.2">
      <c r="B81" s="196" t="str">
        <f t="shared" si="12"/>
        <v>2017 Test - Normalized</v>
      </c>
      <c r="C81" s="197"/>
      <c r="D81" s="197"/>
      <c r="E81" s="188">
        <f t="shared" si="13"/>
        <v>9257.7502079486185</v>
      </c>
      <c r="F81" s="188">
        <f t="shared" si="13"/>
        <v>30372.680749028612</v>
      </c>
      <c r="G81" s="188">
        <f t="shared" si="13"/>
        <v>721401.10932055605</v>
      </c>
      <c r="H81" s="188">
        <f t="shared" si="13"/>
        <v>640.07241344706472</v>
      </c>
      <c r="I81" s="188">
        <f t="shared" si="13"/>
        <v>187.39723616042843</v>
      </c>
      <c r="J81" s="188">
        <f t="shared" si="13"/>
        <v>6272.3130922280425</v>
      </c>
      <c r="L81" s="209"/>
      <c r="M81" s="209"/>
      <c r="N81" s="209"/>
    </row>
    <row r="82" spans="2:14" ht="15" customHeight="1" x14ac:dyDescent="0.2">
      <c r="B82" s="182"/>
      <c r="C82" s="182"/>
      <c r="D82" s="182"/>
    </row>
    <row r="83" spans="2:14" ht="16.5" customHeight="1" x14ac:dyDescent="0.2">
      <c r="B83" s="182"/>
      <c r="C83" s="182"/>
      <c r="D83" s="182"/>
    </row>
    <row r="84" spans="2:14" ht="15" customHeight="1" x14ac:dyDescent="0.2">
      <c r="B84" s="180" t="s">
        <v>205</v>
      </c>
      <c r="C84" s="180"/>
      <c r="D84" s="180"/>
      <c r="E84" s="181"/>
      <c r="F84" s="181"/>
      <c r="G84" s="181"/>
    </row>
    <row r="85" spans="2:14" x14ac:dyDescent="0.2">
      <c r="B85" s="292" t="s">
        <v>163</v>
      </c>
      <c r="C85" s="293"/>
      <c r="D85" s="293"/>
      <c r="E85" s="291" t="s">
        <v>164</v>
      </c>
      <c r="F85" s="49"/>
      <c r="G85" s="49"/>
    </row>
    <row r="86" spans="2:14" ht="15" customHeight="1" x14ac:dyDescent="0.2">
      <c r="B86" s="196" t="s">
        <v>21</v>
      </c>
      <c r="C86" s="197"/>
      <c r="D86" s="197"/>
      <c r="E86" s="213">
        <f>'Purchased Power Model '!L6</f>
        <v>0.96126220891572767</v>
      </c>
      <c r="F86" s="49"/>
      <c r="G86" s="49"/>
    </row>
    <row r="87" spans="2:14" ht="15" customHeight="1" x14ac:dyDescent="0.2">
      <c r="B87" s="196" t="s">
        <v>22</v>
      </c>
      <c r="C87" s="197"/>
      <c r="D87" s="197"/>
      <c r="E87" s="213">
        <f>'Purchased Power Model '!L7</f>
        <v>0.95956318299097898</v>
      </c>
      <c r="F87" s="49"/>
      <c r="G87" s="49"/>
    </row>
    <row r="88" spans="2:14" ht="15" customHeight="1" x14ac:dyDescent="0.2">
      <c r="B88" s="196" t="s">
        <v>165</v>
      </c>
      <c r="C88" s="197"/>
      <c r="D88" s="197"/>
      <c r="E88" s="187">
        <f>'Purchased Power Model '!O13</f>
        <v>565.77253761319662</v>
      </c>
      <c r="F88" s="49"/>
      <c r="G88" s="49"/>
    </row>
    <row r="89" spans="2:14" ht="15" customHeight="1" x14ac:dyDescent="0.2">
      <c r="B89" s="196" t="s">
        <v>166</v>
      </c>
      <c r="C89" s="197"/>
      <c r="D89" s="197"/>
      <c r="E89" s="213">
        <f>'Purchased Power Model '!J124</f>
        <v>2.1339846645501145E-2</v>
      </c>
      <c r="F89" s="49"/>
      <c r="G89" s="49"/>
    </row>
    <row r="90" spans="2:14" ht="15" customHeight="1" x14ac:dyDescent="0.2">
      <c r="B90" s="196" t="s">
        <v>167</v>
      </c>
      <c r="C90" s="197"/>
      <c r="D90" s="197"/>
      <c r="E90" s="187"/>
      <c r="F90" s="49"/>
      <c r="G90" s="49"/>
    </row>
    <row r="91" spans="2:14" ht="15" customHeight="1" x14ac:dyDescent="0.2">
      <c r="B91" s="404" t="str">
        <f>'Purchased Power Model '!K19</f>
        <v>Heating Degree Days</v>
      </c>
      <c r="C91" s="405"/>
      <c r="D91" s="406"/>
      <c r="E91" s="214">
        <f>'Purchased Power Model '!N19</f>
        <v>38.667212914351182</v>
      </c>
      <c r="F91" s="49"/>
      <c r="G91" s="49"/>
    </row>
    <row r="92" spans="2:14" ht="15" customHeight="1" x14ac:dyDescent="0.2">
      <c r="B92" s="404" t="str">
        <f>'Purchased Power Model '!K20</f>
        <v>Cooling Degree Days</v>
      </c>
      <c r="C92" s="405"/>
      <c r="D92" s="406"/>
      <c r="E92" s="214">
        <f>'Purchased Power Model '!N20</f>
        <v>16.749336157092607</v>
      </c>
      <c r="F92" s="49"/>
      <c r="G92" s="49"/>
    </row>
    <row r="93" spans="2:14" ht="15" customHeight="1" x14ac:dyDescent="0.2">
      <c r="B93" s="404" t="str">
        <f>'Purchased Power Model '!K21</f>
        <v>Number of Days in Month</v>
      </c>
      <c r="C93" s="405"/>
      <c r="D93" s="406"/>
      <c r="E93" s="214">
        <f>'Purchased Power Model '!N21</f>
        <v>9.5462741804900819</v>
      </c>
      <c r="F93" s="49"/>
      <c r="G93" s="49"/>
    </row>
    <row r="94" spans="2:14" ht="15" customHeight="1" x14ac:dyDescent="0.2">
      <c r="B94" s="404" t="str">
        <f>'Purchased Power Model '!K22</f>
        <v>Spring Fall Flag</v>
      </c>
      <c r="C94" s="405"/>
      <c r="D94" s="406"/>
      <c r="E94" s="214">
        <f>'Purchased Power Model '!N22</f>
        <v>-6.6614509594189091</v>
      </c>
      <c r="F94" s="49"/>
      <c r="G94" s="49"/>
    </row>
    <row r="95" spans="2:14" ht="24.75" customHeight="1" x14ac:dyDescent="0.2">
      <c r="B95" s="401" t="str">
        <f>'Purchased Power Model '!K23</f>
        <v>Number of Customers - 3 Main Classes</v>
      </c>
      <c r="C95" s="402"/>
      <c r="D95" s="403"/>
      <c r="E95" s="214">
        <f>'Purchased Power Model '!N23</f>
        <v>7.029870117728823</v>
      </c>
      <c r="F95" s="49"/>
      <c r="G95" s="49"/>
    </row>
    <row r="96" spans="2:14" ht="15" customHeight="1" x14ac:dyDescent="0.2">
      <c r="B96" s="404" t="s">
        <v>168</v>
      </c>
      <c r="C96" s="405"/>
      <c r="D96" s="406"/>
      <c r="E96" s="214">
        <f>'Purchased Power Model '!N18</f>
        <v>-4.8233917763902561</v>
      </c>
    </row>
    <row r="97" spans="2:13" ht="15" customHeight="1" x14ac:dyDescent="0.2">
      <c r="B97" s="182"/>
      <c r="C97" s="182"/>
      <c r="D97" s="182"/>
    </row>
    <row r="98" spans="2:13" ht="15" customHeight="1" x14ac:dyDescent="0.2">
      <c r="B98" s="180" t="s">
        <v>206</v>
      </c>
      <c r="C98" s="180"/>
      <c r="D98" s="180"/>
      <c r="E98" s="181"/>
      <c r="F98" s="181"/>
      <c r="G98" s="181"/>
    </row>
    <row r="99" spans="2:13" x14ac:dyDescent="0.2">
      <c r="B99" s="292" t="s">
        <v>147</v>
      </c>
      <c r="C99" s="293"/>
      <c r="D99" s="293"/>
      <c r="E99" s="291" t="s">
        <v>169</v>
      </c>
      <c r="F99" s="291" t="s">
        <v>170</v>
      </c>
      <c r="G99" s="291" t="s">
        <v>8</v>
      </c>
    </row>
    <row r="100" spans="2:13" ht="15" customHeight="1" x14ac:dyDescent="0.2">
      <c r="B100" s="297" t="s">
        <v>171</v>
      </c>
      <c r="C100" s="298"/>
      <c r="D100" s="298"/>
      <c r="E100" s="298"/>
      <c r="F100" s="298"/>
      <c r="G100" s="299"/>
    </row>
    <row r="101" spans="2:13" ht="15" customHeight="1" x14ac:dyDescent="0.2">
      <c r="B101" s="196">
        <v>2007</v>
      </c>
      <c r="C101" s="197"/>
      <c r="D101" s="197"/>
      <c r="E101" s="191">
        <f>'Purchased Power Model '!B141/1000000</f>
        <v>241.1546361</v>
      </c>
      <c r="F101" s="191">
        <f>'Purchased Power Model '!H141/1000000</f>
        <v>245.10964281529311</v>
      </c>
      <c r="G101" s="215">
        <f t="shared" ref="G101:G110" si="14">F101/E101-1</f>
        <v>1.6400293103438823E-2</v>
      </c>
      <c r="I101" s="316" t="s">
        <v>147</v>
      </c>
      <c r="J101" s="181" t="s">
        <v>254</v>
      </c>
      <c r="K101" s="181" t="s">
        <v>255</v>
      </c>
      <c r="L101" s="315"/>
      <c r="M101" s="315"/>
    </row>
    <row r="102" spans="2:13" ht="15" customHeight="1" x14ac:dyDescent="0.2">
      <c r="B102" s="196">
        <v>2008</v>
      </c>
      <c r="C102" s="197"/>
      <c r="D102" s="197"/>
      <c r="E102" s="191">
        <f>'Purchased Power Model '!B142/1000000</f>
        <v>245.62302780000002</v>
      </c>
      <c r="F102" s="191">
        <f>'Purchased Power Model '!H142/1000000</f>
        <v>243.75214778149052</v>
      </c>
      <c r="G102" s="215">
        <f t="shared" si="14"/>
        <v>-7.6168754829977203E-3</v>
      </c>
      <c r="I102" s="317" t="s">
        <v>260</v>
      </c>
      <c r="J102" s="318">
        <f>E101</f>
        <v>241.1546361</v>
      </c>
      <c r="K102" s="318">
        <f>F101</f>
        <v>245.10964281529311</v>
      </c>
      <c r="L102" s="315"/>
      <c r="M102" s="315"/>
    </row>
    <row r="103" spans="2:13" ht="15" customHeight="1" x14ac:dyDescent="0.2">
      <c r="B103" s="196">
        <v>2009</v>
      </c>
      <c r="C103" s="197"/>
      <c r="D103" s="197"/>
      <c r="E103" s="191">
        <f>'Purchased Power Model '!B143/1000000</f>
        <v>247.23918920000003</v>
      </c>
      <c r="F103" s="191">
        <f>'Purchased Power Model '!H143/1000000</f>
        <v>243.4334148098296</v>
      </c>
      <c r="G103" s="215">
        <f t="shared" si="14"/>
        <v>-1.539308716585297E-2</v>
      </c>
      <c r="I103" s="317" t="s">
        <v>261</v>
      </c>
      <c r="J103" s="318">
        <f t="shared" ref="J103:K111" si="15">E102</f>
        <v>245.62302780000002</v>
      </c>
      <c r="K103" s="318">
        <f t="shared" si="15"/>
        <v>243.75214778149052</v>
      </c>
      <c r="L103" s="315"/>
      <c r="M103" s="315"/>
    </row>
    <row r="104" spans="2:13" ht="15" customHeight="1" x14ac:dyDescent="0.2">
      <c r="B104" s="196">
        <v>2010</v>
      </c>
      <c r="C104" s="197"/>
      <c r="D104" s="197"/>
      <c r="E104" s="191">
        <f>'Purchased Power Model '!B144/1000000</f>
        <v>250.23937879999997</v>
      </c>
      <c r="F104" s="191">
        <f>'Purchased Power Model '!H144/1000000</f>
        <v>246.67780133027512</v>
      </c>
      <c r="G104" s="215">
        <f t="shared" si="14"/>
        <v>-1.4232681869672414E-2</v>
      </c>
      <c r="I104" s="317" t="s">
        <v>262</v>
      </c>
      <c r="J104" s="318">
        <f t="shared" si="15"/>
        <v>247.23918920000003</v>
      </c>
      <c r="K104" s="318">
        <f t="shared" si="15"/>
        <v>243.4334148098296</v>
      </c>
      <c r="L104" s="315"/>
      <c r="M104" s="315"/>
    </row>
    <row r="105" spans="2:13" ht="15" customHeight="1" x14ac:dyDescent="0.2">
      <c r="B105" s="196">
        <v>2011</v>
      </c>
      <c r="C105" s="197"/>
      <c r="D105" s="197"/>
      <c r="E105" s="191">
        <f>'Purchased Power Model '!B145/1000000</f>
        <v>246.75816720000003</v>
      </c>
      <c r="F105" s="191">
        <f>'Purchased Power Model '!H145/1000000</f>
        <v>249.08561488396003</v>
      </c>
      <c r="G105" s="215">
        <f t="shared" si="14"/>
        <v>9.432099899143731E-3</v>
      </c>
      <c r="I105" s="317" t="s">
        <v>263</v>
      </c>
      <c r="J105" s="318">
        <f t="shared" si="15"/>
        <v>250.23937879999997</v>
      </c>
      <c r="K105" s="318">
        <f t="shared" si="15"/>
        <v>246.67780133027512</v>
      </c>
      <c r="L105" s="315"/>
      <c r="M105" s="315"/>
    </row>
    <row r="106" spans="2:13" ht="15" customHeight="1" x14ac:dyDescent="0.2">
      <c r="B106" s="196">
        <v>2012</v>
      </c>
      <c r="C106" s="197"/>
      <c r="D106" s="197"/>
      <c r="E106" s="191">
        <f>'Purchased Power Model '!B146/1000000</f>
        <v>245.12983840000004</v>
      </c>
      <c r="F106" s="191">
        <f>'Purchased Power Model '!H146/1000000</f>
        <v>246.97503663319921</v>
      </c>
      <c r="G106" s="215">
        <f t="shared" si="14"/>
        <v>7.5274321773435293E-3</v>
      </c>
      <c r="I106" s="317" t="s">
        <v>264</v>
      </c>
      <c r="J106" s="318">
        <f t="shared" si="15"/>
        <v>246.75816720000003</v>
      </c>
      <c r="K106" s="318">
        <f t="shared" si="15"/>
        <v>249.08561488396003</v>
      </c>
      <c r="L106" s="315"/>
      <c r="M106" s="315"/>
    </row>
    <row r="107" spans="2:13" ht="15" customHeight="1" x14ac:dyDescent="0.2">
      <c r="B107" s="196">
        <v>2013</v>
      </c>
      <c r="C107" s="197"/>
      <c r="D107" s="197"/>
      <c r="E107" s="191">
        <f>'Purchased Power Model '!B147/1000000</f>
        <v>251.7580614</v>
      </c>
      <c r="F107" s="191">
        <f>'Purchased Power Model '!H147/1000000</f>
        <v>250.05481672654173</v>
      </c>
      <c r="G107" s="215">
        <f t="shared" si="14"/>
        <v>-6.76540272032089E-3</v>
      </c>
      <c r="I107" s="317" t="s">
        <v>265</v>
      </c>
      <c r="J107" s="318">
        <f t="shared" si="15"/>
        <v>245.12983840000004</v>
      </c>
      <c r="K107" s="318">
        <f t="shared" si="15"/>
        <v>246.97503663319921</v>
      </c>
      <c r="L107" s="315"/>
      <c r="M107" s="315"/>
    </row>
    <row r="108" spans="2:13" ht="15" customHeight="1" x14ac:dyDescent="0.2">
      <c r="B108" s="196">
        <v>2014</v>
      </c>
      <c r="C108" s="197"/>
      <c r="D108" s="197"/>
      <c r="E108" s="191">
        <f>'Purchased Power Model '!B148/1000000</f>
        <v>253.25498630000001</v>
      </c>
      <c r="F108" s="191">
        <f>'Purchased Power Model '!H148/1000000</f>
        <v>254.54088988211166</v>
      </c>
      <c r="G108" s="215">
        <f t="shared" si="14"/>
        <v>5.0775054852756352E-3</v>
      </c>
      <c r="I108" s="317" t="s">
        <v>266</v>
      </c>
      <c r="J108" s="318">
        <f t="shared" si="15"/>
        <v>251.7580614</v>
      </c>
      <c r="K108" s="318">
        <f t="shared" si="15"/>
        <v>250.05481672654173</v>
      </c>
      <c r="L108" s="315"/>
      <c r="M108" s="315"/>
    </row>
    <row r="109" spans="2:13" ht="15" customHeight="1" x14ac:dyDescent="0.2">
      <c r="B109" s="196">
        <v>2015</v>
      </c>
      <c r="C109" s="197"/>
      <c r="D109" s="197"/>
      <c r="E109" s="191">
        <f>'Purchased Power Model '!B149/1000000</f>
        <v>255.77498309999999</v>
      </c>
      <c r="F109" s="191">
        <f>'Purchased Power Model '!H149/1000000</f>
        <v>255.30925472807687</v>
      </c>
      <c r="G109" s="215">
        <f t="shared" si="14"/>
        <v>-1.8208519311719851E-3</v>
      </c>
      <c r="I109" s="317" t="s">
        <v>267</v>
      </c>
      <c r="J109" s="318">
        <f t="shared" si="15"/>
        <v>253.25498630000001</v>
      </c>
      <c r="K109" s="318">
        <f t="shared" si="15"/>
        <v>254.54088988211166</v>
      </c>
      <c r="L109" s="315"/>
      <c r="M109" s="315"/>
    </row>
    <row r="110" spans="2:13" ht="15" customHeight="1" x14ac:dyDescent="0.2">
      <c r="B110" s="326">
        <v>2016</v>
      </c>
      <c r="C110" s="230"/>
      <c r="D110" s="230"/>
      <c r="E110" s="191">
        <f>'Purchased Power Model '!B150/1000000</f>
        <v>259.38203600000003</v>
      </c>
      <c r="F110" s="191">
        <f>'Purchased Power Model '!H150/1000000</f>
        <v>261.37568470922133</v>
      </c>
      <c r="G110" s="215">
        <f t="shared" si="14"/>
        <v>7.6861479690957246E-3</v>
      </c>
      <c r="I110" s="317" t="s">
        <v>268</v>
      </c>
      <c r="J110" s="318">
        <f t="shared" si="15"/>
        <v>255.77498309999999</v>
      </c>
      <c r="K110" s="318">
        <f t="shared" si="15"/>
        <v>255.30925472807687</v>
      </c>
    </row>
    <row r="111" spans="2:13" ht="15" customHeight="1" x14ac:dyDescent="0.2">
      <c r="B111" s="374" t="str">
        <f>B81</f>
        <v>2017 Test - Normalized</v>
      </c>
      <c r="C111" s="375"/>
      <c r="D111" s="375"/>
      <c r="E111" s="376"/>
      <c r="F111" s="191">
        <f>'Purchased Power Model '!H151/1000000</f>
        <v>259.70103762542908</v>
      </c>
      <c r="G111" s="215"/>
      <c r="I111" s="317" t="s">
        <v>269</v>
      </c>
      <c r="J111" s="318">
        <f t="shared" si="15"/>
        <v>259.38203600000003</v>
      </c>
      <c r="K111" s="318">
        <f t="shared" si="15"/>
        <v>261.37568470922133</v>
      </c>
    </row>
    <row r="112" spans="2:13" ht="15" customHeight="1" x14ac:dyDescent="0.2">
      <c r="B112" s="374" t="s">
        <v>207</v>
      </c>
      <c r="C112" s="375"/>
      <c r="D112" s="375"/>
      <c r="E112" s="376"/>
      <c r="F112" s="191">
        <f>'Purchased Power Model '!I171/1000000</f>
        <v>260.60682798405207</v>
      </c>
      <c r="G112" s="215"/>
    </row>
    <row r="113" spans="2:13" ht="15" customHeight="1" x14ac:dyDescent="0.2">
      <c r="B113" s="199"/>
      <c r="C113" s="199"/>
      <c r="D113" s="199"/>
      <c r="E113" s="199"/>
      <c r="F113" s="264"/>
      <c r="G113" s="270"/>
    </row>
    <row r="114" spans="2:13" ht="15" customHeight="1" x14ac:dyDescent="0.2">
      <c r="B114" s="180" t="s">
        <v>208</v>
      </c>
      <c r="C114" s="199"/>
      <c r="D114" s="199"/>
      <c r="E114" s="199"/>
      <c r="F114" s="264"/>
      <c r="G114" s="270"/>
    </row>
    <row r="115" spans="2:13" ht="22.5" x14ac:dyDescent="0.2">
      <c r="B115" s="292" t="s">
        <v>147</v>
      </c>
      <c r="C115" s="293"/>
      <c r="D115" s="293"/>
      <c r="E115" s="291" t="s">
        <v>197</v>
      </c>
      <c r="F115" s="291" t="s">
        <v>1</v>
      </c>
      <c r="G115" s="291" t="s">
        <v>209</v>
      </c>
    </row>
    <row r="116" spans="2:13" ht="15" customHeight="1" x14ac:dyDescent="0.2">
      <c r="B116" s="196" t="str">
        <f>B111</f>
        <v>2017 Test - Normalized</v>
      </c>
      <c r="C116" s="197"/>
      <c r="D116" s="197"/>
      <c r="E116" s="271">
        <f>F111</f>
        <v>259.70103762542908</v>
      </c>
      <c r="F116" s="272">
        <f>'Rate Class Energy Model'!F21</f>
        <v>1.0731260816888806</v>
      </c>
      <c r="G116" s="260">
        <f>E116/F116</f>
        <v>242.00421745104998</v>
      </c>
      <c r="H116"/>
      <c r="J116"/>
      <c r="K116"/>
    </row>
    <row r="117" spans="2:13" ht="15" customHeight="1" x14ac:dyDescent="0.2">
      <c r="B117" s="182"/>
      <c r="C117" s="182"/>
      <c r="D117" s="182"/>
    </row>
    <row r="118" spans="2:13" ht="15" customHeight="1" x14ac:dyDescent="0.2">
      <c r="B118" s="180" t="s">
        <v>316</v>
      </c>
      <c r="C118" s="180"/>
      <c r="D118" s="180"/>
      <c r="E118" s="181"/>
      <c r="F118" s="181"/>
      <c r="G118" s="181"/>
      <c r="H118" s="181"/>
      <c r="I118" s="181"/>
      <c r="J118" s="181"/>
    </row>
    <row r="119" spans="2:13" ht="33.75" x14ac:dyDescent="0.2">
      <c r="B119" s="368" t="s">
        <v>73</v>
      </c>
      <c r="C119" s="369"/>
      <c r="D119" s="370"/>
      <c r="E119" s="291" t="str">
        <f t="shared" ref="E119:J119" si="16">E66</f>
        <v>Residential</v>
      </c>
      <c r="F119" s="291" t="str">
        <f t="shared" si="16"/>
        <v>General Service &lt; 50 kW</v>
      </c>
      <c r="G119" s="291" t="str">
        <f t="shared" si="16"/>
        <v>General Service 50 to 4,999 kW</v>
      </c>
      <c r="H119" s="291" t="str">
        <f t="shared" si="16"/>
        <v xml:space="preserve">Sentinel Lighting </v>
      </c>
      <c r="I119" s="291" t="str">
        <f t="shared" si="16"/>
        <v>Street Lighting</v>
      </c>
      <c r="J119" s="291" t="str">
        <f t="shared" si="16"/>
        <v>Unmetered Scattered Load</v>
      </c>
      <c r="K119" s="291" t="s">
        <v>9</v>
      </c>
    </row>
    <row r="120" spans="2:13" ht="15" customHeight="1" x14ac:dyDescent="0.2">
      <c r="B120" s="367" t="s">
        <v>320</v>
      </c>
      <c r="C120" s="367"/>
      <c r="D120" s="367"/>
      <c r="E120" s="367"/>
      <c r="F120" s="367"/>
      <c r="G120" s="367"/>
      <c r="H120" s="367"/>
      <c r="I120" s="367"/>
      <c r="J120" s="367"/>
      <c r="K120" s="367"/>
    </row>
    <row r="121" spans="2:13" ht="15" customHeight="1" x14ac:dyDescent="0.2">
      <c r="B121" s="196" t="s">
        <v>317</v>
      </c>
      <c r="C121" s="197"/>
      <c r="D121" s="197"/>
      <c r="E121" s="216">
        <f>'Rate Class Customer Model'!B19</f>
        <v>15377</v>
      </c>
      <c r="F121" s="216">
        <f>'Rate Class Customer Model'!C19</f>
        <v>1023</v>
      </c>
      <c r="G121" s="216">
        <f>'Rate Class Customer Model'!E19</f>
        <v>78</v>
      </c>
      <c r="H121" s="216">
        <f>'Rate Class Customer Model'!F19</f>
        <v>165</v>
      </c>
      <c r="I121" s="216">
        <f>'Rate Class Customer Model'!G19</f>
        <v>2884</v>
      </c>
      <c r="J121" s="216">
        <f>'Rate Class Customer Model'!D19</f>
        <v>75</v>
      </c>
      <c r="K121" s="194">
        <f>SUM(E121:J121)</f>
        <v>19602</v>
      </c>
      <c r="L121" s="209"/>
      <c r="M121" s="209"/>
    </row>
    <row r="122" spans="2:13" ht="15" customHeight="1" x14ac:dyDescent="0.2">
      <c r="B122" s="356" t="s">
        <v>75</v>
      </c>
      <c r="C122" s="197"/>
      <c r="D122" s="197"/>
      <c r="E122" s="216">
        <f>'Rate Class Customer Model'!B20</f>
        <v>15382</v>
      </c>
      <c r="F122" s="216">
        <f>'Rate Class Customer Model'!C20</f>
        <v>1022</v>
      </c>
      <c r="G122" s="216">
        <f>'Rate Class Customer Model'!E20</f>
        <v>78</v>
      </c>
      <c r="H122" s="216">
        <f>'Rate Class Customer Model'!F20</f>
        <v>165</v>
      </c>
      <c r="I122" s="216">
        <f>'Rate Class Customer Model'!G20</f>
        <v>2909</v>
      </c>
      <c r="J122" s="216">
        <f>'Rate Class Customer Model'!D20</f>
        <v>75</v>
      </c>
      <c r="K122" s="194">
        <f t="shared" ref="K122:K128" si="17">SUM(E122:J122)</f>
        <v>19631</v>
      </c>
      <c r="L122" s="209"/>
      <c r="M122" s="209"/>
    </row>
    <row r="123" spans="2:13" ht="15" customHeight="1" x14ac:dyDescent="0.2">
      <c r="B123" s="356" t="s">
        <v>76</v>
      </c>
      <c r="C123" s="197"/>
      <c r="D123" s="197"/>
      <c r="E123" s="216">
        <f>'Rate Class Customer Model'!B21</f>
        <v>15396</v>
      </c>
      <c r="F123" s="216">
        <f>'Rate Class Customer Model'!C21</f>
        <v>1015</v>
      </c>
      <c r="G123" s="216">
        <f>'Rate Class Customer Model'!E21</f>
        <v>85</v>
      </c>
      <c r="H123" s="216">
        <f>'Rate Class Customer Model'!F21</f>
        <v>162</v>
      </c>
      <c r="I123" s="216">
        <f>'Rate Class Customer Model'!G21</f>
        <v>2909</v>
      </c>
      <c r="J123" s="216">
        <f>'Rate Class Customer Model'!D21</f>
        <v>74</v>
      </c>
      <c r="K123" s="194">
        <f t="shared" si="17"/>
        <v>19641</v>
      </c>
      <c r="L123" s="209"/>
      <c r="M123" s="209"/>
    </row>
    <row r="124" spans="2:13" ht="15" customHeight="1" x14ac:dyDescent="0.2">
      <c r="B124" s="356" t="s">
        <v>77</v>
      </c>
      <c r="C124" s="197"/>
      <c r="D124" s="197"/>
      <c r="E124" s="216">
        <f>'Rate Class Customer Model'!B22</f>
        <v>15409</v>
      </c>
      <c r="F124" s="216">
        <f>'Rate Class Customer Model'!C22</f>
        <v>1015</v>
      </c>
      <c r="G124" s="216">
        <f>'Rate Class Customer Model'!E22</f>
        <v>85</v>
      </c>
      <c r="H124" s="216">
        <f>'Rate Class Customer Model'!F22</f>
        <v>162</v>
      </c>
      <c r="I124" s="216">
        <f>'Rate Class Customer Model'!G22</f>
        <v>2916</v>
      </c>
      <c r="J124" s="216">
        <f>'Rate Class Customer Model'!D22</f>
        <v>74</v>
      </c>
      <c r="K124" s="194">
        <f t="shared" si="17"/>
        <v>19661</v>
      </c>
      <c r="L124" s="209"/>
      <c r="M124" s="209"/>
    </row>
    <row r="125" spans="2:13" ht="15" customHeight="1" x14ac:dyDescent="0.2">
      <c r="B125" s="356" t="s">
        <v>78</v>
      </c>
      <c r="C125" s="197"/>
      <c r="D125" s="197"/>
      <c r="E125" s="216">
        <f>'Rate Class Customer Model'!B23</f>
        <v>15441</v>
      </c>
      <c r="F125" s="216">
        <f>'Rate Class Customer Model'!C23</f>
        <v>1023</v>
      </c>
      <c r="G125" s="216">
        <f>'Rate Class Customer Model'!E23</f>
        <v>85</v>
      </c>
      <c r="H125" s="216">
        <f>'Rate Class Customer Model'!F23</f>
        <v>161</v>
      </c>
      <c r="I125" s="216">
        <f>'Rate Class Customer Model'!G23</f>
        <v>2985</v>
      </c>
      <c r="J125" s="216">
        <f>'Rate Class Customer Model'!D23</f>
        <v>73</v>
      </c>
      <c r="K125" s="194">
        <f t="shared" si="17"/>
        <v>19768</v>
      </c>
      <c r="L125" s="209"/>
      <c r="M125" s="209"/>
    </row>
    <row r="126" spans="2:13" ht="15" customHeight="1" x14ac:dyDescent="0.2">
      <c r="B126" s="356" t="s">
        <v>79</v>
      </c>
      <c r="C126" s="197"/>
      <c r="D126" s="197"/>
      <c r="E126" s="216">
        <f>'Rate Class Customer Model'!B24</f>
        <v>15475</v>
      </c>
      <c r="F126" s="216">
        <f>'Rate Class Customer Model'!C24</f>
        <v>1028</v>
      </c>
      <c r="G126" s="216">
        <f>'Rate Class Customer Model'!E24</f>
        <v>85</v>
      </c>
      <c r="H126" s="216">
        <f>'Rate Class Customer Model'!F24</f>
        <v>161</v>
      </c>
      <c r="I126" s="216">
        <f>'Rate Class Customer Model'!G24</f>
        <v>2985</v>
      </c>
      <c r="J126" s="216">
        <f>'Rate Class Customer Model'!D24</f>
        <v>73</v>
      </c>
      <c r="K126" s="194">
        <f t="shared" si="17"/>
        <v>19807</v>
      </c>
      <c r="L126" s="209"/>
      <c r="M126" s="209"/>
    </row>
    <row r="127" spans="2:13" ht="15" customHeight="1" x14ac:dyDescent="0.2">
      <c r="B127" s="356" t="s">
        <v>80</v>
      </c>
      <c r="C127" s="197"/>
      <c r="D127" s="197"/>
      <c r="E127" s="216">
        <f>'Rate Class Customer Model'!B25</f>
        <v>15592</v>
      </c>
      <c r="F127" s="216">
        <f>'Rate Class Customer Model'!C25</f>
        <v>1037</v>
      </c>
      <c r="G127" s="216">
        <f>'Rate Class Customer Model'!E25</f>
        <v>89</v>
      </c>
      <c r="H127" s="216">
        <f>'Rate Class Customer Model'!F25</f>
        <v>161</v>
      </c>
      <c r="I127" s="216">
        <f>'Rate Class Customer Model'!G25</f>
        <v>3025</v>
      </c>
      <c r="J127" s="216">
        <f>'Rate Class Customer Model'!D25</f>
        <v>73</v>
      </c>
      <c r="K127" s="194">
        <f t="shared" si="17"/>
        <v>19977</v>
      </c>
      <c r="L127" s="209"/>
      <c r="M127" s="209"/>
    </row>
    <row r="128" spans="2:13" ht="15" customHeight="1" x14ac:dyDescent="0.2">
      <c r="B128" s="356" t="s">
        <v>81</v>
      </c>
      <c r="C128" s="197"/>
      <c r="D128" s="197"/>
      <c r="E128" s="216">
        <f>'Rate Class Customer Model'!B26</f>
        <v>15641</v>
      </c>
      <c r="F128" s="216">
        <f>'Rate Class Customer Model'!C26</f>
        <v>1044</v>
      </c>
      <c r="G128" s="216">
        <f>'Rate Class Customer Model'!E26</f>
        <v>89</v>
      </c>
      <c r="H128" s="216">
        <f>'Rate Class Customer Model'!F26</f>
        <v>161</v>
      </c>
      <c r="I128" s="216">
        <f>'Rate Class Customer Model'!G26</f>
        <v>3025</v>
      </c>
      <c r="J128" s="216">
        <f>'Rate Class Customer Model'!D26</f>
        <v>73</v>
      </c>
      <c r="K128" s="194">
        <f t="shared" si="17"/>
        <v>20033</v>
      </c>
      <c r="L128" s="209"/>
      <c r="M128" s="209"/>
    </row>
    <row r="129" spans="2:13" ht="15" customHeight="1" x14ac:dyDescent="0.2">
      <c r="B129" s="199"/>
      <c r="C129" s="199"/>
      <c r="D129" s="199"/>
      <c r="E129" s="220"/>
      <c r="F129" s="220"/>
      <c r="G129" s="220"/>
      <c r="H129" s="220"/>
      <c r="I129" s="220"/>
      <c r="J129" s="220"/>
      <c r="K129" s="237"/>
      <c r="L129" s="209"/>
      <c r="M129" s="209"/>
    </row>
    <row r="130" spans="2:13" ht="15" customHeight="1" x14ac:dyDescent="0.2">
      <c r="B130" s="180" t="s">
        <v>318</v>
      </c>
      <c r="C130" s="180"/>
      <c r="D130" s="180"/>
      <c r="E130" s="181"/>
      <c r="F130" s="181"/>
      <c r="G130" s="181"/>
      <c r="H130" s="181"/>
      <c r="I130" s="181"/>
      <c r="J130" s="181"/>
    </row>
    <row r="131" spans="2:13" ht="33.75" x14ac:dyDescent="0.2">
      <c r="B131" s="368" t="s">
        <v>73</v>
      </c>
      <c r="C131" s="369"/>
      <c r="D131" s="370"/>
      <c r="E131" s="291" t="str">
        <f t="shared" ref="E131:J131" si="18">E119</f>
        <v>Residential</v>
      </c>
      <c r="F131" s="291" t="str">
        <f t="shared" si="18"/>
        <v>General Service &lt; 50 kW</v>
      </c>
      <c r="G131" s="291" t="str">
        <f t="shared" si="18"/>
        <v>General Service 50 to 4,999 kW</v>
      </c>
      <c r="H131" s="291" t="str">
        <f t="shared" si="18"/>
        <v xml:space="preserve">Sentinel Lighting </v>
      </c>
      <c r="I131" s="291" t="str">
        <f t="shared" si="18"/>
        <v>Street Lighting</v>
      </c>
      <c r="J131" s="291" t="str">
        <f t="shared" si="18"/>
        <v>Unmetered Scattered Load</v>
      </c>
      <c r="K131"/>
    </row>
    <row r="132" spans="2:13" ht="15" customHeight="1" x14ac:dyDescent="0.2">
      <c r="B132" s="367" t="s">
        <v>319</v>
      </c>
      <c r="C132" s="367"/>
      <c r="D132" s="367"/>
      <c r="E132" s="367"/>
      <c r="F132" s="367"/>
      <c r="G132" s="367"/>
      <c r="H132" s="367"/>
      <c r="I132" s="367"/>
      <c r="J132" s="367"/>
    </row>
    <row r="133" spans="2:13" ht="15" customHeight="1" x14ac:dyDescent="0.2">
      <c r="B133" s="219" t="str">
        <f t="shared" ref="B133:B140" si="19">B121</f>
        <v xml:space="preserve">January </v>
      </c>
      <c r="C133" s="221"/>
      <c r="D133" s="221"/>
      <c r="E133" s="259"/>
      <c r="F133" s="259"/>
      <c r="G133" s="259"/>
      <c r="H133" s="259"/>
      <c r="I133" s="259"/>
      <c r="J133" s="238"/>
    </row>
    <row r="134" spans="2:13" ht="15" customHeight="1" x14ac:dyDescent="0.2">
      <c r="B134" s="196" t="str">
        <f t="shared" si="19"/>
        <v>February</v>
      </c>
      <c r="C134" s="197"/>
      <c r="D134" s="197"/>
      <c r="E134" s="216">
        <f>E122-E121</f>
        <v>5</v>
      </c>
      <c r="F134" s="216">
        <f t="shared" ref="F134:J134" si="20">F122-F121</f>
        <v>-1</v>
      </c>
      <c r="G134" s="216">
        <f t="shared" si="20"/>
        <v>0</v>
      </c>
      <c r="H134" s="216">
        <f t="shared" si="20"/>
        <v>0</v>
      </c>
      <c r="I134" s="216">
        <f t="shared" si="20"/>
        <v>25</v>
      </c>
      <c r="J134" s="216">
        <f t="shared" si="20"/>
        <v>0</v>
      </c>
    </row>
    <row r="135" spans="2:13" ht="15" customHeight="1" x14ac:dyDescent="0.2">
      <c r="B135" s="196" t="str">
        <f t="shared" si="19"/>
        <v>March</v>
      </c>
      <c r="C135" s="197"/>
      <c r="D135" s="197"/>
      <c r="E135" s="216">
        <f t="shared" ref="E135:J140" si="21">E123-E122</f>
        <v>14</v>
      </c>
      <c r="F135" s="216">
        <f t="shared" si="21"/>
        <v>-7</v>
      </c>
      <c r="G135" s="216">
        <f t="shared" si="21"/>
        <v>7</v>
      </c>
      <c r="H135" s="216">
        <f t="shared" si="21"/>
        <v>-3</v>
      </c>
      <c r="I135" s="216">
        <f t="shared" si="21"/>
        <v>0</v>
      </c>
      <c r="J135" s="216">
        <f t="shared" si="21"/>
        <v>-1</v>
      </c>
    </row>
    <row r="136" spans="2:13" ht="15" customHeight="1" x14ac:dyDescent="0.2">
      <c r="B136" s="196" t="str">
        <f t="shared" si="19"/>
        <v>April</v>
      </c>
      <c r="C136" s="197"/>
      <c r="D136" s="197"/>
      <c r="E136" s="216">
        <f t="shared" si="21"/>
        <v>13</v>
      </c>
      <c r="F136" s="216">
        <f t="shared" si="21"/>
        <v>0</v>
      </c>
      <c r="G136" s="216">
        <f t="shared" si="21"/>
        <v>0</v>
      </c>
      <c r="H136" s="216">
        <f t="shared" si="21"/>
        <v>0</v>
      </c>
      <c r="I136" s="216">
        <f t="shared" si="21"/>
        <v>7</v>
      </c>
      <c r="J136" s="216">
        <f t="shared" si="21"/>
        <v>0</v>
      </c>
    </row>
    <row r="137" spans="2:13" ht="15" customHeight="1" x14ac:dyDescent="0.2">
      <c r="B137" s="196" t="str">
        <f t="shared" si="19"/>
        <v>May</v>
      </c>
      <c r="C137" s="197"/>
      <c r="D137" s="197"/>
      <c r="E137" s="216">
        <f t="shared" si="21"/>
        <v>32</v>
      </c>
      <c r="F137" s="216">
        <f t="shared" si="21"/>
        <v>8</v>
      </c>
      <c r="G137" s="216">
        <f t="shared" si="21"/>
        <v>0</v>
      </c>
      <c r="H137" s="216">
        <f t="shared" si="21"/>
        <v>-1</v>
      </c>
      <c r="I137" s="216">
        <f t="shared" si="21"/>
        <v>69</v>
      </c>
      <c r="J137" s="216">
        <f t="shared" si="21"/>
        <v>-1</v>
      </c>
    </row>
    <row r="138" spans="2:13" ht="15" customHeight="1" x14ac:dyDescent="0.2">
      <c r="B138" s="196" t="str">
        <f t="shared" si="19"/>
        <v>June</v>
      </c>
      <c r="C138" s="197"/>
      <c r="D138" s="197"/>
      <c r="E138" s="216">
        <f t="shared" si="21"/>
        <v>34</v>
      </c>
      <c r="F138" s="216">
        <f t="shared" si="21"/>
        <v>5</v>
      </c>
      <c r="G138" s="216">
        <f t="shared" si="21"/>
        <v>0</v>
      </c>
      <c r="H138" s="216">
        <f t="shared" si="21"/>
        <v>0</v>
      </c>
      <c r="I138" s="216">
        <f t="shared" si="21"/>
        <v>0</v>
      </c>
      <c r="J138" s="216">
        <f t="shared" si="21"/>
        <v>0</v>
      </c>
    </row>
    <row r="139" spans="2:13" ht="15" customHeight="1" x14ac:dyDescent="0.2">
      <c r="B139" s="196" t="str">
        <f t="shared" si="19"/>
        <v>July</v>
      </c>
      <c r="C139" s="197"/>
      <c r="D139" s="197"/>
      <c r="E139" s="216">
        <f t="shared" si="21"/>
        <v>117</v>
      </c>
      <c r="F139" s="216">
        <f t="shared" si="21"/>
        <v>9</v>
      </c>
      <c r="G139" s="216">
        <f t="shared" si="21"/>
        <v>4</v>
      </c>
      <c r="H139" s="216">
        <f t="shared" si="21"/>
        <v>0</v>
      </c>
      <c r="I139" s="216">
        <f t="shared" si="21"/>
        <v>40</v>
      </c>
      <c r="J139" s="216">
        <f t="shared" si="21"/>
        <v>0</v>
      </c>
    </row>
    <row r="140" spans="2:13" ht="15" customHeight="1" x14ac:dyDescent="0.2">
      <c r="B140" s="196" t="str">
        <f t="shared" si="19"/>
        <v>August</v>
      </c>
      <c r="C140" s="197"/>
      <c r="D140" s="197"/>
      <c r="E140" s="216">
        <f t="shared" si="21"/>
        <v>49</v>
      </c>
      <c r="F140" s="216">
        <f t="shared" si="21"/>
        <v>7</v>
      </c>
      <c r="G140" s="216">
        <f t="shared" si="21"/>
        <v>0</v>
      </c>
      <c r="H140" s="216">
        <f t="shared" si="21"/>
        <v>0</v>
      </c>
      <c r="I140" s="216">
        <f t="shared" si="21"/>
        <v>0</v>
      </c>
      <c r="J140" s="216">
        <f t="shared" si="21"/>
        <v>0</v>
      </c>
    </row>
    <row r="141" spans="2:13" ht="15" customHeight="1" x14ac:dyDescent="0.2">
      <c r="B141" s="196" t="s">
        <v>13</v>
      </c>
      <c r="C141" s="197"/>
      <c r="D141" s="197"/>
      <c r="E141" s="216">
        <f>ROUND(AVERAGE(E134:E140),0)</f>
        <v>38</v>
      </c>
      <c r="F141" s="216">
        <f t="shared" ref="F141:J141" si="22">ROUND(AVERAGE(F134:F140),0)</f>
        <v>3</v>
      </c>
      <c r="G141" s="216">
        <f t="shared" si="22"/>
        <v>2</v>
      </c>
      <c r="H141" s="216">
        <f t="shared" si="22"/>
        <v>-1</v>
      </c>
      <c r="I141" s="216">
        <f t="shared" si="22"/>
        <v>20</v>
      </c>
      <c r="J141" s="216">
        <f t="shared" si="22"/>
        <v>0</v>
      </c>
    </row>
    <row r="142" spans="2:13" ht="15" customHeight="1" x14ac:dyDescent="0.2">
      <c r="B142" s="182"/>
      <c r="C142" s="182"/>
      <c r="D142" s="182"/>
      <c r="E142" s="217"/>
      <c r="F142" s="217"/>
      <c r="G142" s="217"/>
      <c r="H142" s="217"/>
      <c r="I142" s="217"/>
      <c r="J142" s="217"/>
      <c r="K142" s="217"/>
    </row>
    <row r="143" spans="2:13" ht="15" customHeight="1" x14ac:dyDescent="0.2">
      <c r="B143" s="180" t="s">
        <v>210</v>
      </c>
      <c r="C143" s="180"/>
      <c r="D143" s="180"/>
      <c r="E143" s="181"/>
      <c r="F143" s="181"/>
      <c r="G143" s="181"/>
      <c r="H143" s="181"/>
      <c r="I143" s="181"/>
    </row>
    <row r="144" spans="2:13" ht="33.75" x14ac:dyDescent="0.2">
      <c r="B144" s="368" t="s">
        <v>73</v>
      </c>
      <c r="C144" s="369"/>
      <c r="D144" s="370"/>
      <c r="E144" s="291" t="str">
        <f t="shared" ref="E144:J144" si="23">E131</f>
        <v>Residential</v>
      </c>
      <c r="F144" s="291" t="str">
        <f t="shared" si="23"/>
        <v>General Service &lt; 50 kW</v>
      </c>
      <c r="G144" s="291" t="str">
        <f t="shared" si="23"/>
        <v>General Service 50 to 4,999 kW</v>
      </c>
      <c r="H144" s="291" t="str">
        <f t="shared" si="23"/>
        <v xml:space="preserve">Sentinel Lighting </v>
      </c>
      <c r="I144" s="291" t="str">
        <f t="shared" si="23"/>
        <v>Street Lighting</v>
      </c>
      <c r="J144" s="291" t="str">
        <f t="shared" si="23"/>
        <v>Unmetered Scattered Load</v>
      </c>
      <c r="K144" s="291" t="s">
        <v>9</v>
      </c>
    </row>
    <row r="145" spans="2:12" x14ac:dyDescent="0.2">
      <c r="B145" s="367" t="s">
        <v>320</v>
      </c>
      <c r="C145" s="367"/>
      <c r="D145" s="367"/>
      <c r="E145" s="367"/>
      <c r="F145" s="367"/>
      <c r="G145" s="367"/>
      <c r="H145" s="367"/>
      <c r="I145" s="367"/>
      <c r="J145" s="367"/>
      <c r="K145" s="367"/>
    </row>
    <row r="146" spans="2:12" x14ac:dyDescent="0.2">
      <c r="B146" s="356" t="s">
        <v>321</v>
      </c>
      <c r="C146" s="357"/>
      <c r="D146" s="357"/>
      <c r="E146" s="216">
        <f>E121</f>
        <v>15377</v>
      </c>
      <c r="F146" s="216">
        <f t="shared" ref="F146:J146" si="24">F121</f>
        <v>1023</v>
      </c>
      <c r="G146" s="216">
        <f t="shared" si="24"/>
        <v>78</v>
      </c>
      <c r="H146" s="216">
        <f t="shared" si="24"/>
        <v>165</v>
      </c>
      <c r="I146" s="216">
        <f t="shared" si="24"/>
        <v>2884</v>
      </c>
      <c r="J146" s="216">
        <f t="shared" si="24"/>
        <v>75</v>
      </c>
      <c r="K146" s="194">
        <f>SUM(E146:J146)</f>
        <v>19602</v>
      </c>
    </row>
    <row r="147" spans="2:12" x14ac:dyDescent="0.2">
      <c r="B147" s="356" t="s">
        <v>322</v>
      </c>
      <c r="C147" s="357"/>
      <c r="D147" s="357"/>
      <c r="E147" s="216">
        <f t="shared" ref="E147:J153" si="25">E122</f>
        <v>15382</v>
      </c>
      <c r="F147" s="216">
        <f t="shared" si="25"/>
        <v>1022</v>
      </c>
      <c r="G147" s="216">
        <f t="shared" si="25"/>
        <v>78</v>
      </c>
      <c r="H147" s="216">
        <f t="shared" si="25"/>
        <v>165</v>
      </c>
      <c r="I147" s="216">
        <f t="shared" si="25"/>
        <v>2909</v>
      </c>
      <c r="J147" s="216">
        <f t="shared" si="25"/>
        <v>75</v>
      </c>
      <c r="K147" s="194">
        <f t="shared" ref="K147:K153" si="26">SUM(E147:J147)</f>
        <v>19631</v>
      </c>
    </row>
    <row r="148" spans="2:12" x14ac:dyDescent="0.2">
      <c r="B148" s="356" t="s">
        <v>323</v>
      </c>
      <c r="C148" s="357"/>
      <c r="D148" s="357"/>
      <c r="E148" s="216">
        <f t="shared" si="25"/>
        <v>15396</v>
      </c>
      <c r="F148" s="216">
        <f t="shared" si="25"/>
        <v>1015</v>
      </c>
      <c r="G148" s="216">
        <f t="shared" si="25"/>
        <v>85</v>
      </c>
      <c r="H148" s="216">
        <f t="shared" si="25"/>
        <v>162</v>
      </c>
      <c r="I148" s="216">
        <f t="shared" si="25"/>
        <v>2909</v>
      </c>
      <c r="J148" s="216">
        <f t="shared" si="25"/>
        <v>74</v>
      </c>
      <c r="K148" s="194">
        <f t="shared" si="26"/>
        <v>19641</v>
      </c>
    </row>
    <row r="149" spans="2:12" x14ac:dyDescent="0.2">
      <c r="B149" s="356" t="s">
        <v>324</v>
      </c>
      <c r="C149" s="357"/>
      <c r="D149" s="357"/>
      <c r="E149" s="216">
        <f t="shared" si="25"/>
        <v>15409</v>
      </c>
      <c r="F149" s="216">
        <f t="shared" si="25"/>
        <v>1015</v>
      </c>
      <c r="G149" s="216">
        <f t="shared" si="25"/>
        <v>85</v>
      </c>
      <c r="H149" s="216">
        <f t="shared" si="25"/>
        <v>162</v>
      </c>
      <c r="I149" s="216">
        <f t="shared" si="25"/>
        <v>2916</v>
      </c>
      <c r="J149" s="216">
        <f t="shared" si="25"/>
        <v>74</v>
      </c>
      <c r="K149" s="194">
        <f t="shared" si="26"/>
        <v>19661</v>
      </c>
    </row>
    <row r="150" spans="2:12" x14ac:dyDescent="0.2">
      <c r="B150" s="356" t="s">
        <v>325</v>
      </c>
      <c r="C150" s="357"/>
      <c r="D150" s="357"/>
      <c r="E150" s="216">
        <f t="shared" si="25"/>
        <v>15441</v>
      </c>
      <c r="F150" s="216">
        <f t="shared" si="25"/>
        <v>1023</v>
      </c>
      <c r="G150" s="216">
        <f t="shared" si="25"/>
        <v>85</v>
      </c>
      <c r="H150" s="216">
        <f t="shared" si="25"/>
        <v>161</v>
      </c>
      <c r="I150" s="216">
        <f t="shared" si="25"/>
        <v>2985</v>
      </c>
      <c r="J150" s="216">
        <f t="shared" si="25"/>
        <v>73</v>
      </c>
      <c r="K150" s="194">
        <f t="shared" si="26"/>
        <v>19768</v>
      </c>
    </row>
    <row r="151" spans="2:12" x14ac:dyDescent="0.2">
      <c r="B151" s="356" t="s">
        <v>326</v>
      </c>
      <c r="C151" s="357"/>
      <c r="D151" s="357"/>
      <c r="E151" s="216">
        <f t="shared" si="25"/>
        <v>15475</v>
      </c>
      <c r="F151" s="216">
        <f t="shared" si="25"/>
        <v>1028</v>
      </c>
      <c r="G151" s="216">
        <f t="shared" si="25"/>
        <v>85</v>
      </c>
      <c r="H151" s="216">
        <f t="shared" si="25"/>
        <v>161</v>
      </c>
      <c r="I151" s="216">
        <f t="shared" si="25"/>
        <v>2985</v>
      </c>
      <c r="J151" s="216">
        <f t="shared" si="25"/>
        <v>73</v>
      </c>
      <c r="K151" s="194">
        <f t="shared" si="26"/>
        <v>19807</v>
      </c>
    </row>
    <row r="152" spans="2:12" x14ac:dyDescent="0.2">
      <c r="B152" s="356" t="s">
        <v>327</v>
      </c>
      <c r="C152" s="357"/>
      <c r="D152" s="357"/>
      <c r="E152" s="216">
        <f t="shared" si="25"/>
        <v>15592</v>
      </c>
      <c r="F152" s="216">
        <f t="shared" si="25"/>
        <v>1037</v>
      </c>
      <c r="G152" s="216">
        <f t="shared" si="25"/>
        <v>89</v>
      </c>
      <c r="H152" s="216">
        <f t="shared" si="25"/>
        <v>161</v>
      </c>
      <c r="I152" s="216">
        <f t="shared" si="25"/>
        <v>3025</v>
      </c>
      <c r="J152" s="216">
        <f t="shared" si="25"/>
        <v>73</v>
      </c>
      <c r="K152" s="194">
        <f t="shared" si="26"/>
        <v>19977</v>
      </c>
    </row>
    <row r="153" spans="2:12" x14ac:dyDescent="0.2">
      <c r="B153" s="356" t="s">
        <v>328</v>
      </c>
      <c r="C153" s="357"/>
      <c r="D153" s="357"/>
      <c r="E153" s="216">
        <f t="shared" si="25"/>
        <v>15641</v>
      </c>
      <c r="F153" s="216">
        <f t="shared" si="25"/>
        <v>1044</v>
      </c>
      <c r="G153" s="216">
        <f t="shared" si="25"/>
        <v>89</v>
      </c>
      <c r="H153" s="216">
        <f t="shared" si="25"/>
        <v>161</v>
      </c>
      <c r="I153" s="216">
        <f t="shared" si="25"/>
        <v>3025</v>
      </c>
      <c r="J153" s="216">
        <f t="shared" si="25"/>
        <v>73</v>
      </c>
      <c r="K153" s="194">
        <f t="shared" si="26"/>
        <v>20033</v>
      </c>
    </row>
    <row r="154" spans="2:12" x14ac:dyDescent="0.2">
      <c r="B154" s="356" t="s">
        <v>329</v>
      </c>
      <c r="C154" s="357"/>
      <c r="D154" s="357"/>
      <c r="E154" s="216">
        <f>E153+E141</f>
        <v>15679</v>
      </c>
      <c r="F154" s="216">
        <f t="shared" ref="F154:J154" si="27">F153+F141</f>
        <v>1047</v>
      </c>
      <c r="G154" s="216">
        <f t="shared" si="27"/>
        <v>91</v>
      </c>
      <c r="H154" s="216">
        <f t="shared" si="27"/>
        <v>160</v>
      </c>
      <c r="I154" s="216">
        <f t="shared" si="27"/>
        <v>3045</v>
      </c>
      <c r="J154" s="216">
        <f t="shared" si="27"/>
        <v>73</v>
      </c>
      <c r="K154" s="194">
        <f>SUM(E154:J154)</f>
        <v>20095</v>
      </c>
    </row>
    <row r="155" spans="2:12" x14ac:dyDescent="0.2">
      <c r="B155" s="356" t="s">
        <v>330</v>
      </c>
      <c r="C155" s="357"/>
      <c r="D155" s="357"/>
      <c r="E155" s="216">
        <f>E154+E141</f>
        <v>15717</v>
      </c>
      <c r="F155" s="216">
        <f t="shared" ref="F155:J155" si="28">F154+F141</f>
        <v>1050</v>
      </c>
      <c r="G155" s="216">
        <f t="shared" si="28"/>
        <v>93</v>
      </c>
      <c r="H155" s="216">
        <f t="shared" si="28"/>
        <v>159</v>
      </c>
      <c r="I155" s="216">
        <f t="shared" si="28"/>
        <v>3065</v>
      </c>
      <c r="J155" s="216">
        <f t="shared" si="28"/>
        <v>73</v>
      </c>
      <c r="K155" s="194">
        <f t="shared" ref="K155:K157" si="29">SUM(E155:J155)</f>
        <v>20157</v>
      </c>
    </row>
    <row r="156" spans="2:12" x14ac:dyDescent="0.2">
      <c r="B156" s="356" t="s">
        <v>331</v>
      </c>
      <c r="C156" s="357"/>
      <c r="D156" s="357"/>
      <c r="E156" s="216">
        <f>E155+E141</f>
        <v>15755</v>
      </c>
      <c r="F156" s="216">
        <f t="shared" ref="F156:J156" si="30">F155+F141</f>
        <v>1053</v>
      </c>
      <c r="G156" s="216">
        <f t="shared" si="30"/>
        <v>95</v>
      </c>
      <c r="H156" s="216">
        <f t="shared" si="30"/>
        <v>158</v>
      </c>
      <c r="I156" s="216">
        <f t="shared" si="30"/>
        <v>3085</v>
      </c>
      <c r="J156" s="216">
        <f t="shared" si="30"/>
        <v>73</v>
      </c>
      <c r="K156" s="194">
        <f t="shared" si="29"/>
        <v>20219</v>
      </c>
    </row>
    <row r="157" spans="2:12" x14ac:dyDescent="0.2">
      <c r="B157" s="356" t="s">
        <v>332</v>
      </c>
      <c r="C157" s="357"/>
      <c r="D157" s="357"/>
      <c r="E157" s="216">
        <f>E156+E141</f>
        <v>15793</v>
      </c>
      <c r="F157" s="216">
        <f t="shared" ref="F157:J157" si="31">F156+F141</f>
        <v>1056</v>
      </c>
      <c r="G157" s="216">
        <f t="shared" si="31"/>
        <v>97</v>
      </c>
      <c r="H157" s="216">
        <f t="shared" si="31"/>
        <v>157</v>
      </c>
      <c r="I157" s="216">
        <f t="shared" si="31"/>
        <v>3105</v>
      </c>
      <c r="J157" s="216">
        <f t="shared" si="31"/>
        <v>73</v>
      </c>
      <c r="K157" s="194">
        <f t="shared" si="29"/>
        <v>20281</v>
      </c>
    </row>
    <row r="158" spans="2:12" x14ac:dyDescent="0.2">
      <c r="B158" s="184" t="s">
        <v>172</v>
      </c>
      <c r="C158" s="184"/>
      <c r="D158" s="185"/>
      <c r="E158" s="185"/>
      <c r="F158" s="185"/>
      <c r="G158" s="185"/>
      <c r="H158" s="185"/>
      <c r="I158" s="185"/>
      <c r="K158" s="218"/>
    </row>
    <row r="159" spans="2:12" x14ac:dyDescent="0.2">
      <c r="B159" s="371" t="s">
        <v>333</v>
      </c>
      <c r="C159" s="372"/>
      <c r="D159" s="373"/>
      <c r="E159" s="188">
        <f>'Rate Class Customer Model'!B13</f>
        <v>15554.75</v>
      </c>
      <c r="F159" s="188">
        <f>'Rate Class Customer Model'!C13</f>
        <v>1034.4166666666667</v>
      </c>
      <c r="G159" s="188">
        <f>'Rate Class Customer Model'!D13</f>
        <v>87.5</v>
      </c>
      <c r="H159" s="188">
        <f>'Rate Class Customer Model'!E13</f>
        <v>161</v>
      </c>
      <c r="I159" s="188">
        <f>'Rate Class Customer Model'!F13</f>
        <v>2994.8333333333335</v>
      </c>
      <c r="J159" s="188">
        <f>'Rate Class Customer Model'!G13</f>
        <v>73.5</v>
      </c>
      <c r="K159" s="194">
        <f>SUM(E159:J159)</f>
        <v>19906</v>
      </c>
      <c r="L159"/>
    </row>
    <row r="160" spans="2:12" x14ac:dyDescent="0.2">
      <c r="B160" s="273"/>
      <c r="C160" s="273"/>
      <c r="D160" s="273"/>
      <c r="E160" s="220"/>
      <c r="F160" s="220"/>
      <c r="G160" s="220"/>
      <c r="H160" s="220"/>
      <c r="I160" s="220"/>
      <c r="J160" s="237"/>
      <c r="K160" s="209"/>
      <c r="L160" s="209"/>
    </row>
    <row r="161" spans="2:10" ht="15" customHeight="1" x14ac:dyDescent="0.2">
      <c r="B161" s="180" t="s">
        <v>211</v>
      </c>
      <c r="C161" s="180"/>
      <c r="D161" s="180"/>
      <c r="E161" s="181"/>
      <c r="F161" s="181"/>
      <c r="G161" s="181"/>
      <c r="H161" s="181"/>
      <c r="I161" s="181"/>
      <c r="J161" s="181"/>
    </row>
    <row r="162" spans="2:10" ht="33.75" x14ac:dyDescent="0.2">
      <c r="B162" s="292" t="s">
        <v>147</v>
      </c>
      <c r="C162" s="293"/>
      <c r="D162" s="293"/>
      <c r="E162" s="291" t="str">
        <f t="shared" ref="E162:J162" si="32">E144</f>
        <v>Residential</v>
      </c>
      <c r="F162" s="291" t="str">
        <f t="shared" si="32"/>
        <v>General Service &lt; 50 kW</v>
      </c>
      <c r="G162" s="291" t="str">
        <f t="shared" si="32"/>
        <v>General Service 50 to 4,999 kW</v>
      </c>
      <c r="H162" s="291" t="str">
        <f t="shared" si="32"/>
        <v xml:space="preserve">Sentinel Lighting </v>
      </c>
      <c r="I162" s="291" t="str">
        <f t="shared" si="32"/>
        <v>Street Lighting</v>
      </c>
      <c r="J162" s="291" t="str">
        <f t="shared" si="32"/>
        <v>Unmetered Scattered Load</v>
      </c>
    </row>
    <row r="163" spans="2:10" ht="12.75" customHeight="1" x14ac:dyDescent="0.2">
      <c r="B163" s="367" t="s">
        <v>173</v>
      </c>
      <c r="C163" s="367"/>
      <c r="D163" s="367"/>
      <c r="E163" s="367"/>
      <c r="F163" s="367"/>
      <c r="G163" s="367"/>
      <c r="H163" s="367"/>
      <c r="I163" s="367"/>
      <c r="J163" s="367"/>
    </row>
    <row r="164" spans="2:10" ht="15" customHeight="1" x14ac:dyDescent="0.2">
      <c r="B164" s="196">
        <f>B101</f>
        <v>2007</v>
      </c>
      <c r="C164" s="197"/>
      <c r="D164" s="197"/>
      <c r="E164" s="216">
        <f>'Rate Class Energy Model'!H26</f>
        <v>11445.685628512047</v>
      </c>
      <c r="F164" s="216">
        <f>'Rate Class Energy Model'!I26</f>
        <v>34753.873015873018</v>
      </c>
      <c r="G164" s="216">
        <f>'Rate Class Energy Model'!J26</f>
        <v>553810.84507042251</v>
      </c>
      <c r="H164" s="216">
        <f>'Rate Class Energy Model'!K26</f>
        <v>679.41397849462362</v>
      </c>
      <c r="I164" s="216">
        <f>'Rate Class Energy Model'!L26</f>
        <v>601.02330253113701</v>
      </c>
      <c r="J164" s="216">
        <f>'Rate Class Energy Model'!M26</f>
        <v>5839.2584269662921</v>
      </c>
    </row>
    <row r="165" spans="2:10" ht="15" customHeight="1" x14ac:dyDescent="0.2">
      <c r="B165" s="356">
        <f t="shared" ref="B165:B173" si="33">B102</f>
        <v>2008</v>
      </c>
      <c r="C165" s="197"/>
      <c r="D165" s="197"/>
      <c r="E165" s="216">
        <f>'Rate Class Energy Model'!H27</f>
        <v>11294.766965428937</v>
      </c>
      <c r="F165" s="216">
        <f>'Rate Class Energy Model'!I27</f>
        <v>33970.910287081337</v>
      </c>
      <c r="G165" s="216">
        <f>'Rate Class Energy Model'!J27</f>
        <v>620128.84342465759</v>
      </c>
      <c r="H165" s="216">
        <f>'Rate Class Energy Model'!K27</f>
        <v>667.80440860215049</v>
      </c>
      <c r="I165" s="216">
        <f>'Rate Class Energy Model'!L27</f>
        <v>592.69659969088104</v>
      </c>
      <c r="J165" s="216">
        <f>'Rate Class Energy Model'!M27</f>
        <v>6050.1785714285716</v>
      </c>
    </row>
    <row r="166" spans="2:10" ht="15" customHeight="1" x14ac:dyDescent="0.2">
      <c r="B166" s="356">
        <f t="shared" si="33"/>
        <v>2009</v>
      </c>
      <c r="C166" s="197"/>
      <c r="D166" s="197"/>
      <c r="E166" s="216">
        <f>'Rate Class Energy Model'!H28</f>
        <v>11111.63651814084</v>
      </c>
      <c r="F166" s="216">
        <f>'Rate Class Energy Model'!I28</f>
        <v>32881.2081871345</v>
      </c>
      <c r="G166" s="216">
        <f>'Rate Class Energy Model'!J28</f>
        <v>659350.80847222218</v>
      </c>
      <c r="H166" s="216">
        <f>'Rate Class Energy Model'!K28</f>
        <v>632.23367875647671</v>
      </c>
      <c r="I166" s="216">
        <f>'Rate Class Energy Model'!L28</f>
        <v>600.72822857142864</v>
      </c>
      <c r="J166" s="216">
        <f>'Rate Class Energy Model'!M28</f>
        <v>5947.9518072289156</v>
      </c>
    </row>
    <row r="167" spans="2:10" ht="15" customHeight="1" x14ac:dyDescent="0.2">
      <c r="B167" s="356">
        <f t="shared" si="33"/>
        <v>2010</v>
      </c>
      <c r="C167" s="197"/>
      <c r="D167" s="197"/>
      <c r="E167" s="216">
        <f>'Rate Class Energy Model'!H29</f>
        <v>10866.629274778401</v>
      </c>
      <c r="F167" s="216">
        <f>'Rate Class Energy Model'!I29</f>
        <v>33744.363005780346</v>
      </c>
      <c r="G167" s="216">
        <f>'Rate Class Energy Model'!J29</f>
        <v>751893.69294117636</v>
      </c>
      <c r="H167" s="216">
        <f>'Rate Class Energy Model'!K29</f>
        <v>580.61054726368161</v>
      </c>
      <c r="I167" s="216">
        <f>'Rate Class Energy Model'!L29</f>
        <v>588.47597765363128</v>
      </c>
      <c r="J167" s="216">
        <f>'Rate Class Energy Model'!M29</f>
        <v>6020.4878048780483</v>
      </c>
    </row>
    <row r="168" spans="2:10" ht="15" customHeight="1" x14ac:dyDescent="0.2">
      <c r="B168" s="356">
        <f t="shared" si="33"/>
        <v>2011</v>
      </c>
      <c r="C168" s="197"/>
      <c r="D168" s="197"/>
      <c r="E168" s="216">
        <f>'Rate Class Energy Model'!H30</f>
        <v>10893.251293272371</v>
      </c>
      <c r="F168" s="216">
        <f>'Rate Class Energy Model'!I30</f>
        <v>34094.526026785716</v>
      </c>
      <c r="G168" s="216">
        <f>'Rate Class Energy Model'!J30</f>
        <v>745099.78283582092</v>
      </c>
      <c r="H168" s="216">
        <f>'Rate Class Energy Model'!K30</f>
        <v>489.95920000000001</v>
      </c>
      <c r="I168" s="216">
        <f>'Rate Class Energy Model'!L30</f>
        <v>534.22632331378293</v>
      </c>
      <c r="J168" s="216">
        <f>'Rate Class Energy Model'!M30</f>
        <v>6040.8888888888887</v>
      </c>
    </row>
    <row r="169" spans="2:10" ht="15" customHeight="1" x14ac:dyDescent="0.2">
      <c r="B169" s="356">
        <f t="shared" si="33"/>
        <v>2012</v>
      </c>
      <c r="C169" s="197"/>
      <c r="D169" s="197"/>
      <c r="E169" s="216">
        <f>'Rate Class Energy Model'!H31</f>
        <v>10395.464483160506</v>
      </c>
      <c r="F169" s="216">
        <f>'Rate Class Energy Model'!I31</f>
        <v>33623.417783857731</v>
      </c>
      <c r="G169" s="216">
        <f>'Rate Class Energy Model'!J31</f>
        <v>752953.7668711656</v>
      </c>
      <c r="H169" s="216">
        <f>'Rate Class Energy Model'!K31</f>
        <v>658.7497683901621</v>
      </c>
      <c r="I169" s="216">
        <f>'Rate Class Energy Model'!L31</f>
        <v>575.40646645905156</v>
      </c>
      <c r="J169" s="216">
        <f>'Rate Class Energy Model'!M31</f>
        <v>6080.421610169491</v>
      </c>
    </row>
    <row r="170" spans="2:10" ht="15" customHeight="1" x14ac:dyDescent="0.2">
      <c r="B170" s="356">
        <f t="shared" si="33"/>
        <v>2013</v>
      </c>
      <c r="C170" s="197"/>
      <c r="D170" s="197"/>
      <c r="E170" s="216">
        <f>'Rate Class Energy Model'!H32</f>
        <v>10433.981806642691</v>
      </c>
      <c r="F170" s="216">
        <f>'Rate Class Energy Model'!I32</f>
        <v>32491.962075322623</v>
      </c>
      <c r="G170" s="216">
        <f>'Rate Class Energy Model'!J32</f>
        <v>760025.70149253728</v>
      </c>
      <c r="H170" s="216">
        <f>'Rate Class Energy Model'!K32</f>
        <v>606.21389345296177</v>
      </c>
      <c r="I170" s="216">
        <f>'Rate Class Energy Model'!L32</f>
        <v>517.74944769198646</v>
      </c>
      <c r="J170" s="216">
        <f>'Rate Class Energy Model'!M32</f>
        <v>6068.2698174006446</v>
      </c>
    </row>
    <row r="171" spans="2:10" ht="15" customHeight="1" x14ac:dyDescent="0.2">
      <c r="B171" s="356">
        <f t="shared" si="33"/>
        <v>2014</v>
      </c>
      <c r="C171" s="197"/>
      <c r="D171" s="197"/>
      <c r="E171" s="216">
        <f>'Rate Class Energy Model'!H33</f>
        <v>10502.185399115502</v>
      </c>
      <c r="F171" s="216">
        <f>'Rate Class Energy Model'!I33</f>
        <v>32304.706380832286</v>
      </c>
      <c r="G171" s="216">
        <f>'Rate Class Energy Model'!J33</f>
        <v>753234.74218362279</v>
      </c>
      <c r="H171" s="216">
        <f>'Rate Class Energy Model'!K33</f>
        <v>637.36350221347766</v>
      </c>
      <c r="I171" s="216">
        <f>'Rate Class Energy Model'!L33</f>
        <v>556.06160742222119</v>
      </c>
      <c r="J171" s="216">
        <f>'Rate Class Energy Model'!M33</f>
        <v>6129.2176405733189</v>
      </c>
    </row>
    <row r="172" spans="2:10" ht="15" customHeight="1" x14ac:dyDescent="0.2">
      <c r="B172" s="356">
        <f t="shared" si="33"/>
        <v>2015</v>
      </c>
      <c r="C172" s="197"/>
      <c r="D172" s="197"/>
      <c r="E172" s="216">
        <f>'Rate Class Energy Model'!H34</f>
        <v>10163.312993792721</v>
      </c>
      <c r="F172" s="216">
        <f>'Rate Class Energy Model'!I34</f>
        <v>34198.725743316398</v>
      </c>
      <c r="G172" s="216">
        <f>'Rate Class Energy Model'!J34</f>
        <v>764143.72027972026</v>
      </c>
      <c r="H172" s="216">
        <f>'Rate Class Energy Model'!K34</f>
        <v>624.65158371040729</v>
      </c>
      <c r="I172" s="216">
        <f>'Rate Class Energy Model'!L34</f>
        <v>381.83964109053261</v>
      </c>
      <c r="J172" s="216">
        <f>'Rate Class Energy Model'!M34</f>
        <v>6093.3157894736842</v>
      </c>
    </row>
    <row r="173" spans="2:10" ht="15" customHeight="1" x14ac:dyDescent="0.2">
      <c r="B173" s="356">
        <f t="shared" si="33"/>
        <v>2016</v>
      </c>
      <c r="C173" s="327"/>
      <c r="D173" s="327"/>
      <c r="E173" s="216">
        <f>'Rate Class Energy Model'!H35</f>
        <v>9783.5020634911925</v>
      </c>
      <c r="F173" s="216">
        <f>'Rate Class Energy Model'!I35</f>
        <v>32711.479576875772</v>
      </c>
      <c r="G173" s="216">
        <f>'Rate Class Energy Model'!J35</f>
        <v>767108.36745314219</v>
      </c>
      <c r="H173" s="216">
        <f>'Rate Class Energy Model'!K35</f>
        <v>640.07241344706472</v>
      </c>
      <c r="I173" s="216">
        <f>'Rate Class Energy Model'!L35</f>
        <v>187.39723616042843</v>
      </c>
      <c r="J173" s="216">
        <f>'Rate Class Energy Model'!M35</f>
        <v>6213.0205752212396</v>
      </c>
    </row>
    <row r="174" spans="2:10" ht="15" customHeight="1" x14ac:dyDescent="0.2">
      <c r="B174" s="182"/>
      <c r="C174" s="182"/>
      <c r="D174" s="182"/>
    </row>
    <row r="175" spans="2:10" ht="15" customHeight="1" x14ac:dyDescent="0.2">
      <c r="B175" s="180" t="s">
        <v>212</v>
      </c>
      <c r="C175" s="180"/>
      <c r="D175" s="180"/>
      <c r="E175" s="181"/>
      <c r="F175" s="181"/>
      <c r="G175" s="181"/>
      <c r="H175" s="181"/>
      <c r="I175" s="181"/>
    </row>
    <row r="176" spans="2:10" ht="33.75" x14ac:dyDescent="0.2">
      <c r="B176" s="292" t="s">
        <v>147</v>
      </c>
      <c r="C176" s="293"/>
      <c r="D176" s="293"/>
      <c r="E176" s="291" t="str">
        <f t="shared" ref="E176:J176" si="34">E162</f>
        <v>Residential</v>
      </c>
      <c r="F176" s="291" t="str">
        <f t="shared" si="34"/>
        <v>General Service &lt; 50 kW</v>
      </c>
      <c r="G176" s="291" t="str">
        <f t="shared" si="34"/>
        <v>General Service 50 to 4,999 kW</v>
      </c>
      <c r="H176" s="291" t="str">
        <f t="shared" si="34"/>
        <v xml:space="preserve">Sentinel Lighting </v>
      </c>
      <c r="I176" s="291" t="str">
        <f t="shared" si="34"/>
        <v>Street Lighting</v>
      </c>
      <c r="J176" s="291" t="str">
        <f t="shared" si="34"/>
        <v>Unmetered Scattered Load</v>
      </c>
    </row>
    <row r="177" spans="2:10" ht="15" customHeight="1" x14ac:dyDescent="0.2">
      <c r="B177" s="367" t="s">
        <v>174</v>
      </c>
      <c r="C177" s="367"/>
      <c r="D177" s="367"/>
      <c r="E177" s="367"/>
      <c r="F177" s="367"/>
      <c r="G177" s="367"/>
      <c r="H177" s="367"/>
      <c r="I177" s="367"/>
      <c r="J177" s="367"/>
    </row>
    <row r="178" spans="2:10" ht="15" customHeight="1" x14ac:dyDescent="0.2">
      <c r="B178" s="196">
        <f>B164</f>
        <v>2007</v>
      </c>
      <c r="C178" s="197"/>
      <c r="D178" s="197"/>
      <c r="E178" s="212"/>
      <c r="F178" s="212"/>
      <c r="G178" s="212"/>
      <c r="H178" s="212"/>
      <c r="I178" s="212"/>
      <c r="J178" s="212"/>
    </row>
    <row r="179" spans="2:10" ht="15" customHeight="1" x14ac:dyDescent="0.2">
      <c r="B179" s="326">
        <f t="shared" ref="B179:B187" si="35">B165</f>
        <v>2008</v>
      </c>
      <c r="C179" s="327"/>
      <c r="D179" s="327"/>
      <c r="E179" s="212">
        <f t="shared" ref="E179:J187" si="36">E165/E164-1</f>
        <v>-1.3185637626387359E-2</v>
      </c>
      <c r="F179" s="212">
        <f t="shared" si="36"/>
        <v>-2.2528790631020645E-2</v>
      </c>
      <c r="G179" s="212">
        <f t="shared" si="36"/>
        <v>0.11974846456067878</v>
      </c>
      <c r="H179" s="212">
        <f t="shared" si="36"/>
        <v>-1.7087622951468262E-2</v>
      </c>
      <c r="I179" s="212">
        <f t="shared" si="36"/>
        <v>-1.3854209654083349E-2</v>
      </c>
      <c r="J179" s="212">
        <f t="shared" si="36"/>
        <v>3.612104980458275E-2</v>
      </c>
    </row>
    <row r="180" spans="2:10" ht="15" customHeight="1" x14ac:dyDescent="0.2">
      <c r="B180" s="326">
        <f t="shared" si="35"/>
        <v>2009</v>
      </c>
      <c r="C180" s="327"/>
      <c r="D180" s="327"/>
      <c r="E180" s="212">
        <f t="shared" si="36"/>
        <v>-1.6213742864161995E-2</v>
      </c>
      <c r="F180" s="212">
        <f t="shared" si="36"/>
        <v>-3.2077506629583419E-2</v>
      </c>
      <c r="G180" s="212">
        <f t="shared" si="36"/>
        <v>6.3248090237121524E-2</v>
      </c>
      <c r="H180" s="212">
        <f t="shared" si="36"/>
        <v>-5.326519170505406E-2</v>
      </c>
      <c r="I180" s="212">
        <f t="shared" si="36"/>
        <v>1.3550995373917241E-2</v>
      </c>
      <c r="J180" s="212">
        <f t="shared" si="36"/>
        <v>-1.6896487102448954E-2</v>
      </c>
    </row>
    <row r="181" spans="2:10" ht="15" customHeight="1" x14ac:dyDescent="0.2">
      <c r="B181" s="326">
        <f t="shared" si="35"/>
        <v>2010</v>
      </c>
      <c r="C181" s="327"/>
      <c r="D181" s="327"/>
      <c r="E181" s="212">
        <f t="shared" si="36"/>
        <v>-2.2049609250846203E-2</v>
      </c>
      <c r="F181" s="212">
        <f t="shared" si="36"/>
        <v>2.6250702642476975E-2</v>
      </c>
      <c r="G181" s="212">
        <f t="shared" si="36"/>
        <v>0.14035454765481337</v>
      </c>
      <c r="H181" s="212">
        <f t="shared" si="36"/>
        <v>-8.1651979683099452E-2</v>
      </c>
      <c r="I181" s="212">
        <f t="shared" si="36"/>
        <v>-2.039566368794421E-2</v>
      </c>
      <c r="J181" s="212">
        <f t="shared" si="36"/>
        <v>1.2195121951219523E-2</v>
      </c>
    </row>
    <row r="182" spans="2:10" ht="15" customHeight="1" x14ac:dyDescent="0.2">
      <c r="B182" s="326">
        <f t="shared" si="35"/>
        <v>2011</v>
      </c>
      <c r="C182" s="327"/>
      <c r="D182" s="327"/>
      <c r="E182" s="212">
        <f t="shared" si="36"/>
        <v>2.4498874325049602E-3</v>
      </c>
      <c r="F182" s="212">
        <f t="shared" si="36"/>
        <v>1.0376933799147059E-2</v>
      </c>
      <c r="G182" s="212">
        <f t="shared" si="36"/>
        <v>-9.0357322705817422E-3</v>
      </c>
      <c r="H182" s="212">
        <f t="shared" si="36"/>
        <v>-0.15613107218066558</v>
      </c>
      <c r="I182" s="212">
        <f t="shared" si="36"/>
        <v>-9.2186693084996163E-2</v>
      </c>
      <c r="J182" s="212">
        <f t="shared" si="36"/>
        <v>3.388609805722087E-3</v>
      </c>
    </row>
    <row r="183" spans="2:10" ht="15" customHeight="1" x14ac:dyDescent="0.2">
      <c r="B183" s="326">
        <f t="shared" si="35"/>
        <v>2012</v>
      </c>
      <c r="C183" s="327"/>
      <c r="D183" s="327"/>
      <c r="E183" s="212">
        <f t="shared" si="36"/>
        <v>-4.5696807749151747E-2</v>
      </c>
      <c r="F183" s="212">
        <f t="shared" si="36"/>
        <v>-1.3817709111364929E-2</v>
      </c>
      <c r="G183" s="212">
        <f t="shared" si="36"/>
        <v>1.0540848643724843E-2</v>
      </c>
      <c r="H183" s="212">
        <f t="shared" si="36"/>
        <v>0.34449923256908344</v>
      </c>
      <c r="I183" s="212">
        <f t="shared" si="36"/>
        <v>7.7083702820613498E-2</v>
      </c>
      <c r="J183" s="212">
        <f t="shared" si="36"/>
        <v>6.5441894409472567E-3</v>
      </c>
    </row>
    <row r="184" spans="2:10" ht="15" customHeight="1" x14ac:dyDescent="0.2">
      <c r="B184" s="326">
        <f t="shared" si="35"/>
        <v>2013</v>
      </c>
      <c r="C184" s="327"/>
      <c r="D184" s="327"/>
      <c r="E184" s="212">
        <f t="shared" si="36"/>
        <v>3.7052046634933333E-3</v>
      </c>
      <c r="F184" s="212">
        <f t="shared" si="36"/>
        <v>-3.3650823833807575E-2</v>
      </c>
      <c r="G184" s="212">
        <f t="shared" si="36"/>
        <v>9.3922561152173234E-3</v>
      </c>
      <c r="H184" s="212">
        <f t="shared" si="36"/>
        <v>-7.9750881834214971E-2</v>
      </c>
      <c r="I184" s="212">
        <f t="shared" si="36"/>
        <v>-0.10020224333222405</v>
      </c>
      <c r="J184" s="212">
        <f t="shared" si="36"/>
        <v>-1.9985115421145005E-3</v>
      </c>
    </row>
    <row r="185" spans="2:10" ht="15" customHeight="1" x14ac:dyDescent="0.2">
      <c r="B185" s="326">
        <f t="shared" si="35"/>
        <v>2014</v>
      </c>
      <c r="C185" s="327"/>
      <c r="D185" s="327"/>
      <c r="E185" s="212">
        <f t="shared" si="36"/>
        <v>6.5366792598191559E-3</v>
      </c>
      <c r="F185" s="212">
        <f t="shared" si="36"/>
        <v>-5.7631390205442612E-3</v>
      </c>
      <c r="G185" s="212">
        <f t="shared" si="36"/>
        <v>-8.9351706074918269E-3</v>
      </c>
      <c r="H185" s="212">
        <f t="shared" si="36"/>
        <v>5.1383858233748914E-2</v>
      </c>
      <c r="I185" s="212">
        <f t="shared" si="36"/>
        <v>7.3997490293851387E-2</v>
      </c>
      <c r="J185" s="212">
        <f t="shared" si="36"/>
        <v>1.0043690377429693E-2</v>
      </c>
    </row>
    <row r="186" spans="2:10" ht="15" customHeight="1" x14ac:dyDescent="0.2">
      <c r="B186" s="326">
        <f t="shared" si="35"/>
        <v>2015</v>
      </c>
      <c r="C186" s="327"/>
      <c r="D186" s="327"/>
      <c r="E186" s="212">
        <f t="shared" si="36"/>
        <v>-3.2266846608070887E-2</v>
      </c>
      <c r="F186" s="212">
        <f t="shared" si="36"/>
        <v>5.8629827498073439E-2</v>
      </c>
      <c r="G186" s="212">
        <f t="shared" si="36"/>
        <v>1.4482839791049029E-2</v>
      </c>
      <c r="H186" s="212">
        <f t="shared" si="36"/>
        <v>-1.9944534726139107E-2</v>
      </c>
      <c r="I186" s="212">
        <f t="shared" si="36"/>
        <v>-0.31331414362401877</v>
      </c>
      <c r="J186" s="212">
        <f t="shared" si="36"/>
        <v>-5.857493273199621E-3</v>
      </c>
    </row>
    <row r="187" spans="2:10" ht="15" customHeight="1" x14ac:dyDescent="0.2">
      <c r="B187" s="326">
        <f t="shared" si="35"/>
        <v>2016</v>
      </c>
      <c r="C187" s="327"/>
      <c r="D187" s="327"/>
      <c r="E187" s="212">
        <f t="shared" si="36"/>
        <v>-3.7370779639818164E-2</v>
      </c>
      <c r="F187" s="212">
        <f t="shared" si="36"/>
        <v>-4.3488350343909632E-2</v>
      </c>
      <c r="G187" s="212">
        <f t="shared" si="36"/>
        <v>3.8796984058662165E-3</v>
      </c>
      <c r="H187" s="212">
        <f t="shared" si="36"/>
        <v>2.4687089793414607E-2</v>
      </c>
      <c r="I187" s="212">
        <f t="shared" si="36"/>
        <v>-0.50922529775792102</v>
      </c>
      <c r="J187" s="212">
        <f t="shared" si="36"/>
        <v>1.9645262100866034E-2</v>
      </c>
    </row>
    <row r="188" spans="2:10" ht="15" customHeight="1" x14ac:dyDescent="0.2">
      <c r="B188" s="356" t="s">
        <v>334</v>
      </c>
      <c r="C188" s="197"/>
      <c r="D188" s="197"/>
      <c r="E188" s="212">
        <f>'Rate Class Energy Model'!H50-1</f>
        <v>-1.7283928499539525E-2</v>
      </c>
      <c r="F188" s="212">
        <f>'Rate Class Energy Model'!I50-1</f>
        <v>-6.7068464570458897E-3</v>
      </c>
      <c r="G188" s="212">
        <f>'Rate Class Energy Model'!J50-1</f>
        <v>3.6863761210617962E-2</v>
      </c>
      <c r="H188" s="212">
        <f>'Rate Class Energy Model'!K50-1</f>
        <v>-6.6057868179040247E-3</v>
      </c>
      <c r="I188" s="212">
        <f>'Rate Class Energy Model'!L50-1</f>
        <v>-0.12145595121484531</v>
      </c>
      <c r="J188" s="212">
        <f>'Rate Class Energy Model'!M50-1</f>
        <v>6.9175247064177103E-3</v>
      </c>
    </row>
    <row r="189" spans="2:10" ht="15" customHeight="1" x14ac:dyDescent="0.2">
      <c r="B189" s="182"/>
      <c r="C189" s="182"/>
      <c r="D189" s="182"/>
    </row>
    <row r="190" spans="2:10" ht="15" customHeight="1" x14ac:dyDescent="0.2">
      <c r="B190" s="180" t="s">
        <v>213</v>
      </c>
      <c r="C190" s="180"/>
      <c r="D190" s="180"/>
      <c r="E190" s="181"/>
      <c r="F190" s="181"/>
      <c r="G190" s="181"/>
      <c r="H190" s="181"/>
      <c r="I190" s="181"/>
      <c r="J190" s="181"/>
    </row>
    <row r="191" spans="2:10" ht="33.75" x14ac:dyDescent="0.2">
      <c r="B191" s="300" t="s">
        <v>147</v>
      </c>
      <c r="C191" s="301"/>
      <c r="D191" s="301"/>
      <c r="E191" s="302" t="str">
        <f t="shared" ref="E191:J191" si="37">E176</f>
        <v>Residential</v>
      </c>
      <c r="F191" s="302" t="str">
        <f t="shared" si="37"/>
        <v>General Service &lt; 50 kW</v>
      </c>
      <c r="G191" s="302" t="str">
        <f t="shared" si="37"/>
        <v>General Service 50 to 4,999 kW</v>
      </c>
      <c r="H191" s="302" t="str">
        <f t="shared" si="37"/>
        <v xml:space="preserve">Sentinel Lighting </v>
      </c>
      <c r="I191" s="302" t="str">
        <f t="shared" si="37"/>
        <v>Street Lighting</v>
      </c>
      <c r="J191" s="302" t="str">
        <f t="shared" si="37"/>
        <v>Unmetered Scattered Load</v>
      </c>
    </row>
    <row r="192" spans="2:10" ht="15" customHeight="1" x14ac:dyDescent="0.2">
      <c r="B192" s="367" t="s">
        <v>175</v>
      </c>
      <c r="C192" s="367"/>
      <c r="D192" s="367"/>
      <c r="E192" s="367"/>
      <c r="F192" s="367"/>
      <c r="G192" s="367"/>
      <c r="H192" s="367"/>
      <c r="I192" s="367"/>
      <c r="J192" s="367"/>
    </row>
    <row r="193" spans="2:13" x14ac:dyDescent="0.2">
      <c r="B193" s="394" t="str">
        <f>B159</f>
        <v>2017 Monthly Average</v>
      </c>
      <c r="C193" s="395"/>
      <c r="D193" s="396"/>
      <c r="E193" s="216">
        <f>E173</f>
        <v>9783.5020634911925</v>
      </c>
      <c r="F193" s="216">
        <f t="shared" ref="F193:J193" si="38">F173</f>
        <v>32711.479576875772</v>
      </c>
      <c r="G193" s="216">
        <f t="shared" si="38"/>
        <v>767108.36745314219</v>
      </c>
      <c r="H193" s="216">
        <f t="shared" si="38"/>
        <v>640.07241344706472</v>
      </c>
      <c r="I193" s="216">
        <f t="shared" si="38"/>
        <v>187.39723616042843</v>
      </c>
      <c r="J193" s="216">
        <f t="shared" si="38"/>
        <v>6213.0205752212396</v>
      </c>
    </row>
    <row r="194" spans="2:13" x14ac:dyDescent="0.2">
      <c r="B194" s="273"/>
      <c r="C194" s="273"/>
      <c r="D194" s="273"/>
      <c r="E194" s="220"/>
      <c r="F194" s="220"/>
      <c r="G194" s="220"/>
      <c r="H194" s="220"/>
      <c r="I194" s="220"/>
    </row>
    <row r="195" spans="2:13" ht="15" customHeight="1" x14ac:dyDescent="0.2">
      <c r="B195" s="180" t="s">
        <v>214</v>
      </c>
      <c r="C195" s="180"/>
      <c r="D195" s="180"/>
      <c r="E195" s="181"/>
      <c r="F195" s="181"/>
      <c r="G195" s="181"/>
      <c r="H195" s="181"/>
      <c r="I195" s="181"/>
    </row>
    <row r="196" spans="2:13" ht="33.75" x14ac:dyDescent="0.2">
      <c r="B196" s="292" t="s">
        <v>147</v>
      </c>
      <c r="C196" s="293"/>
      <c r="D196" s="293"/>
      <c r="E196" s="291" t="str">
        <f t="shared" ref="E196:J196" si="39">E191</f>
        <v>Residential</v>
      </c>
      <c r="F196" s="291" t="str">
        <f t="shared" si="39"/>
        <v>General Service &lt; 50 kW</v>
      </c>
      <c r="G196" s="291" t="str">
        <f t="shared" si="39"/>
        <v>General Service 50 to 4,999 kW</v>
      </c>
      <c r="H196" s="291" t="str">
        <f t="shared" si="39"/>
        <v xml:space="preserve">Sentinel Lighting </v>
      </c>
      <c r="I196" s="291" t="str">
        <f t="shared" si="39"/>
        <v>Street Lighting</v>
      </c>
      <c r="J196" s="291" t="str">
        <f t="shared" si="39"/>
        <v>Unmetered Scattered Load</v>
      </c>
      <c r="K196" s="291" t="s">
        <v>97</v>
      </c>
    </row>
    <row r="197" spans="2:13" x14ac:dyDescent="0.2">
      <c r="B197" s="367" t="s">
        <v>176</v>
      </c>
      <c r="C197" s="367"/>
      <c r="D197" s="367"/>
      <c r="E197" s="367"/>
      <c r="F197" s="367"/>
      <c r="G197" s="367"/>
      <c r="H197" s="367"/>
      <c r="I197" s="367"/>
      <c r="J197" s="367"/>
      <c r="K197" s="367"/>
    </row>
    <row r="198" spans="2:13" ht="15" customHeight="1" x14ac:dyDescent="0.2">
      <c r="B198" s="219" t="s">
        <v>270</v>
      </c>
      <c r="C198" s="221"/>
      <c r="D198" s="221"/>
      <c r="E198" s="329">
        <f t="shared" ref="E198:J198" si="40">E193*E159/1000000</f>
        <v>152.17992872208961</v>
      </c>
      <c r="F198" s="329">
        <f t="shared" si="40"/>
        <v>33.837299665646583</v>
      </c>
      <c r="G198" s="329">
        <f t="shared" si="40"/>
        <v>67.12198215214994</v>
      </c>
      <c r="H198" s="329">
        <f t="shared" si="40"/>
        <v>0.10305165856497742</v>
      </c>
      <c r="I198" s="329">
        <f t="shared" si="40"/>
        <v>0.56122348942778977</v>
      </c>
      <c r="J198" s="329">
        <f t="shared" si="40"/>
        <v>0.45665701227876115</v>
      </c>
      <c r="K198" s="222">
        <f>SUM(E198:J198)</f>
        <v>254.26014270015764</v>
      </c>
      <c r="L198"/>
      <c r="M198"/>
    </row>
    <row r="199" spans="2:13" ht="15" customHeight="1" x14ac:dyDescent="0.2">
      <c r="B199" s="199"/>
      <c r="C199" s="199"/>
      <c r="D199" s="199"/>
      <c r="E199" s="223"/>
      <c r="F199" s="223"/>
      <c r="G199" s="223"/>
      <c r="H199" s="223"/>
      <c r="I199" s="223"/>
      <c r="J199" s="223"/>
      <c r="K199" s="223"/>
    </row>
    <row r="200" spans="2:13" ht="15" customHeight="1" x14ac:dyDescent="0.2">
      <c r="B200" s="182"/>
      <c r="C200" s="181"/>
      <c r="D200" s="181"/>
      <c r="E200" s="180" t="s">
        <v>215</v>
      </c>
      <c r="F200" s="181"/>
      <c r="G200" s="181"/>
    </row>
    <row r="201" spans="2:13" ht="33.75" x14ac:dyDescent="0.2">
      <c r="B201" s="182"/>
      <c r="C201" s="182"/>
      <c r="D201" s="182"/>
      <c r="E201" s="291" t="str">
        <f t="shared" ref="E201:J201" si="41">E196</f>
        <v>Residential</v>
      </c>
      <c r="F201" s="291" t="str">
        <f t="shared" si="41"/>
        <v>General Service &lt; 50 kW</v>
      </c>
      <c r="G201" s="291" t="str">
        <f t="shared" si="41"/>
        <v>General Service 50 to 4,999 kW</v>
      </c>
      <c r="H201" s="291" t="str">
        <f t="shared" si="41"/>
        <v xml:space="preserve">Sentinel Lighting </v>
      </c>
      <c r="I201" s="291" t="str">
        <f t="shared" si="41"/>
        <v>Street Lighting</v>
      </c>
      <c r="J201" s="291" t="str">
        <f t="shared" si="41"/>
        <v>Unmetered Scattered Load</v>
      </c>
    </row>
    <row r="202" spans="2:13" ht="15" customHeight="1" x14ac:dyDescent="0.2">
      <c r="B202" s="182"/>
      <c r="C202" s="182"/>
      <c r="D202" s="182"/>
      <c r="E202" s="390" t="s">
        <v>177</v>
      </c>
      <c r="F202" s="391"/>
      <c r="G202" s="391"/>
      <c r="H202" s="391"/>
      <c r="I202" s="391"/>
      <c r="J202" s="392"/>
    </row>
    <row r="203" spans="2:13" ht="15" customHeight="1" x14ac:dyDescent="0.2">
      <c r="B203" s="182"/>
      <c r="C203" s="182"/>
      <c r="D203" s="182"/>
      <c r="E203" s="224">
        <f>'Rate Class Energy Model'!H59</f>
        <v>0.82499999999999996</v>
      </c>
      <c r="F203" s="224">
        <f>'Rate Class Energy Model'!I59</f>
        <v>0.82499999999999996</v>
      </c>
      <c r="G203" s="224">
        <f>'Rate Class Energy Model'!J59</f>
        <v>0.65</v>
      </c>
      <c r="H203" s="224">
        <f>'Rate Class Energy Model'!K59</f>
        <v>0</v>
      </c>
      <c r="I203" s="224">
        <f>'Rate Class Energy Model'!L59</f>
        <v>0</v>
      </c>
      <c r="J203" s="224">
        <f>'Rate Class Energy Model'!M59</f>
        <v>0</v>
      </c>
    </row>
    <row r="204" spans="2:13" ht="15" customHeight="1" x14ac:dyDescent="0.2">
      <c r="B204" s="182"/>
      <c r="C204" s="182"/>
      <c r="D204" s="182"/>
      <c r="E204" s="225"/>
      <c r="F204" s="225"/>
      <c r="G204" s="225"/>
      <c r="H204" s="225"/>
      <c r="I204" s="225"/>
      <c r="J204" s="225"/>
    </row>
    <row r="205" spans="2:13" ht="15" customHeight="1" x14ac:dyDescent="0.2">
      <c r="B205" s="180" t="s">
        <v>216</v>
      </c>
      <c r="C205" s="180"/>
      <c r="D205" s="180"/>
      <c r="E205" s="181"/>
      <c r="F205" s="181"/>
      <c r="G205" s="181"/>
      <c r="H205" s="225"/>
      <c r="I205" s="225"/>
      <c r="J205" s="225"/>
    </row>
    <row r="206" spans="2:13" ht="45" x14ac:dyDescent="0.2">
      <c r="B206" s="292" t="s">
        <v>147</v>
      </c>
      <c r="C206" s="293"/>
      <c r="D206" s="293"/>
      <c r="E206" s="291" t="s">
        <v>217</v>
      </c>
      <c r="F206"/>
      <c r="G206"/>
      <c r="H206" s="225"/>
      <c r="I206" s="225"/>
      <c r="J206" s="225"/>
    </row>
    <row r="207" spans="2:13" ht="15" customHeight="1" x14ac:dyDescent="0.2">
      <c r="B207" s="196" t="s">
        <v>218</v>
      </c>
      <c r="C207" s="197"/>
      <c r="D207" s="197"/>
      <c r="E207" s="191">
        <f>'Rate Class Energy Model'!N8/1000000</f>
        <v>1.02794085</v>
      </c>
      <c r="F207"/>
      <c r="G207"/>
      <c r="H207" s="225"/>
      <c r="I207" s="225"/>
      <c r="J207" s="225"/>
    </row>
    <row r="208" spans="2:13" ht="15" customHeight="1" x14ac:dyDescent="0.2">
      <c r="B208" s="196" t="s">
        <v>219</v>
      </c>
      <c r="C208" s="197"/>
      <c r="D208" s="197"/>
      <c r="E208" s="191">
        <f>'Rate Class Energy Model'!N9/1000000</f>
        <v>1.0515893999999999</v>
      </c>
      <c r="F208"/>
      <c r="G208"/>
      <c r="H208" s="225"/>
      <c r="I208" s="225"/>
      <c r="J208" s="225"/>
    </row>
    <row r="209" spans="2:11" ht="15" customHeight="1" x14ac:dyDescent="0.2">
      <c r="B209" s="196" t="s">
        <v>220</v>
      </c>
      <c r="C209" s="197"/>
      <c r="D209" s="197"/>
      <c r="E209" s="191">
        <f>'Rate Class Energy Model'!N10/1000000</f>
        <v>0.95337340000000004</v>
      </c>
      <c r="F209"/>
      <c r="G209"/>
      <c r="H209" s="225"/>
      <c r="I209" s="225"/>
      <c r="J209" s="225"/>
    </row>
    <row r="210" spans="2:11" ht="15" customHeight="1" x14ac:dyDescent="0.2">
      <c r="B210" s="196" t="s">
        <v>221</v>
      </c>
      <c r="C210" s="197"/>
      <c r="D210" s="197"/>
      <c r="E210" s="191">
        <f>'Rate Class Energy Model'!N11/1000000</f>
        <v>1.0265084</v>
      </c>
      <c r="F210"/>
      <c r="G210"/>
      <c r="H210" s="225"/>
      <c r="I210" s="225"/>
      <c r="J210" s="225"/>
    </row>
    <row r="211" spans="2:11" ht="15" customHeight="1" x14ac:dyDescent="0.2">
      <c r="B211" s="196" t="s">
        <v>222</v>
      </c>
      <c r="C211" s="197"/>
      <c r="D211" s="197"/>
      <c r="E211" s="191">
        <f>'Rate Class Energy Model'!N12/1000000</f>
        <v>0.97617039999999999</v>
      </c>
      <c r="F211"/>
      <c r="G211"/>
      <c r="H211" s="225"/>
      <c r="I211" s="225"/>
      <c r="J211" s="225"/>
    </row>
    <row r="212" spans="2:11" ht="15" customHeight="1" x14ac:dyDescent="0.2">
      <c r="B212" s="196" t="s">
        <v>223</v>
      </c>
      <c r="C212" s="197"/>
      <c r="D212" s="197"/>
      <c r="E212" s="191">
        <f>'Rate Class Energy Model'!N13/1000000</f>
        <v>0.98420640000000004</v>
      </c>
      <c r="F212"/>
      <c r="G212"/>
      <c r="H212" s="225"/>
      <c r="I212" s="225"/>
      <c r="J212" s="225"/>
    </row>
    <row r="213" spans="2:11" ht="15" customHeight="1" x14ac:dyDescent="0.2">
      <c r="B213" s="196" t="s">
        <v>224</v>
      </c>
      <c r="C213" s="197"/>
      <c r="D213" s="197"/>
      <c r="E213" s="191">
        <f>'Rate Class Energy Model'!N14/1000000</f>
        <v>1.0721223999999998</v>
      </c>
      <c r="F213"/>
      <c r="G213"/>
      <c r="H213" s="225"/>
      <c r="I213" s="225"/>
      <c r="J213" s="225"/>
    </row>
    <row r="214" spans="2:11" ht="15" customHeight="1" x14ac:dyDescent="0.2">
      <c r="B214" s="196" t="s">
        <v>225</v>
      </c>
      <c r="C214" s="197"/>
      <c r="D214" s="197"/>
      <c r="E214" s="191">
        <f>'Rate Class Energy Model'!N15/1000000</f>
        <v>1.1582989800000001</v>
      </c>
      <c r="F214"/>
      <c r="G214"/>
      <c r="H214" s="225"/>
      <c r="I214" s="225"/>
      <c r="J214" s="225"/>
    </row>
    <row r="215" spans="2:11" ht="15" customHeight="1" x14ac:dyDescent="0.2">
      <c r="B215" s="196" t="s">
        <v>226</v>
      </c>
      <c r="C215" s="197"/>
      <c r="D215" s="197"/>
      <c r="E215" s="191">
        <f>'Rate Class Energy Model'!N16/1000000</f>
        <v>1.0160309999999999</v>
      </c>
      <c r="F215"/>
      <c r="G215"/>
      <c r="H215" s="225"/>
      <c r="I215" s="225"/>
      <c r="J215" s="225"/>
    </row>
    <row r="216" spans="2:11" ht="15" customHeight="1" x14ac:dyDescent="0.2">
      <c r="B216" s="326" t="s">
        <v>271</v>
      </c>
      <c r="C216" s="230"/>
      <c r="D216" s="230"/>
      <c r="E216" s="191">
        <f>'Rate Class Energy Model'!N17/1000000</f>
        <v>0.95704500000000003</v>
      </c>
      <c r="F216"/>
      <c r="G216"/>
      <c r="H216" s="225"/>
      <c r="I216" s="225"/>
      <c r="J216" s="225"/>
    </row>
    <row r="217" spans="2:11" ht="15" customHeight="1" x14ac:dyDescent="0.2">
      <c r="B217" s="196" t="s">
        <v>227</v>
      </c>
      <c r="C217" s="230"/>
      <c r="D217" s="230"/>
      <c r="E217" s="191">
        <f>'Rate Class Energy Model'!N56/1000000</f>
        <v>0.95704500000000003</v>
      </c>
      <c r="F217"/>
      <c r="G217"/>
      <c r="H217" s="225"/>
      <c r="I217" s="225"/>
      <c r="J217" s="225"/>
    </row>
    <row r="218" spans="2:11" ht="15" customHeight="1" x14ac:dyDescent="0.2">
      <c r="B218" s="199"/>
      <c r="C218" s="210"/>
      <c r="D218" s="210"/>
      <c r="E218" s="264"/>
      <c r="F218"/>
      <c r="G218"/>
      <c r="H218" s="225"/>
      <c r="I218" s="225"/>
      <c r="J218" s="225"/>
    </row>
    <row r="219" spans="2:11" ht="15" customHeight="1" x14ac:dyDescent="0.2">
      <c r="B219" s="180" t="s">
        <v>228</v>
      </c>
      <c r="C219" s="199"/>
      <c r="D219" s="199"/>
      <c r="E219" s="199"/>
      <c r="F219" s="264"/>
      <c r="G219" s="270"/>
      <c r="J219"/>
      <c r="K219"/>
    </row>
    <row r="220" spans="2:11" ht="33.75" x14ac:dyDescent="0.2">
      <c r="B220" s="292" t="s">
        <v>147</v>
      </c>
      <c r="C220" s="293"/>
      <c r="D220" s="293"/>
      <c r="E220" s="291" t="s">
        <v>229</v>
      </c>
      <c r="F220" s="291" t="s">
        <v>230</v>
      </c>
      <c r="G220" s="291" t="s">
        <v>231</v>
      </c>
      <c r="H220" s="291" t="s">
        <v>232</v>
      </c>
      <c r="J220"/>
      <c r="K220"/>
    </row>
    <row r="221" spans="2:11" x14ac:dyDescent="0.2">
      <c r="B221" s="408" t="s">
        <v>160</v>
      </c>
      <c r="C221" s="408"/>
      <c r="D221" s="408"/>
      <c r="E221" s="408"/>
      <c r="F221" s="408"/>
      <c r="G221" s="408"/>
      <c r="H221" s="408"/>
      <c r="J221"/>
      <c r="K221"/>
    </row>
    <row r="222" spans="2:11" ht="15" customHeight="1" x14ac:dyDescent="0.2">
      <c r="B222" s="196" t="str">
        <f>B116</f>
        <v>2017 Test - Normalized</v>
      </c>
      <c r="C222" s="197"/>
      <c r="D222" s="197"/>
      <c r="E222" s="271">
        <f>G116</f>
        <v>242.00421745104998</v>
      </c>
      <c r="F222" s="271">
        <f>K198</f>
        <v>254.26014270015764</v>
      </c>
      <c r="G222" s="260">
        <f>E217</f>
        <v>0.95704500000000003</v>
      </c>
      <c r="H222" s="195">
        <f>E222-F222-G222</f>
        <v>-13.212970249107663</v>
      </c>
      <c r="I222"/>
      <c r="J222"/>
      <c r="K222"/>
    </row>
    <row r="223" spans="2:11" ht="15" customHeight="1" x14ac:dyDescent="0.2">
      <c r="B223" s="199"/>
      <c r="C223" s="210"/>
      <c r="D223" s="210"/>
      <c r="E223" s="264"/>
      <c r="F223"/>
      <c r="G223"/>
      <c r="H223" s="225"/>
      <c r="I223" s="225"/>
      <c r="J223" s="225"/>
    </row>
    <row r="224" spans="2:11" ht="15" customHeight="1" x14ac:dyDescent="0.2">
      <c r="B224"/>
      <c r="C224"/>
      <c r="D224"/>
      <c r="E224"/>
      <c r="F224"/>
      <c r="G224"/>
      <c r="H224" s="225"/>
      <c r="I224" s="225"/>
      <c r="J224" s="225"/>
    </row>
    <row r="225" spans="2:34" ht="15" customHeight="1" x14ac:dyDescent="0.2">
      <c r="B225"/>
      <c r="C225"/>
      <c r="D225"/>
      <c r="E225"/>
      <c r="F225"/>
      <c r="G225"/>
      <c r="H225" s="225"/>
      <c r="I225" s="225"/>
      <c r="J225" s="225"/>
      <c r="O225" s="380" t="s">
        <v>272</v>
      </c>
      <c r="P225" s="380"/>
      <c r="Q225" s="380"/>
    </row>
    <row r="226" spans="2:34" ht="15" customHeight="1" x14ac:dyDescent="0.2">
      <c r="B226"/>
      <c r="C226"/>
      <c r="D226"/>
      <c r="E226"/>
      <c r="F226"/>
      <c r="G226"/>
      <c r="J226" s="225"/>
      <c r="O226" s="319"/>
      <c r="P226" s="319">
        <v>2016</v>
      </c>
      <c r="Q226" s="319">
        <v>2017</v>
      </c>
    </row>
    <row r="227" spans="2:34" ht="15" customHeight="1" x14ac:dyDescent="0.2">
      <c r="B227" s="182"/>
      <c r="C227" s="182"/>
      <c r="D227" s="182"/>
      <c r="J227" s="225"/>
      <c r="O227" s="226" t="str">
        <f>'Rate Class Energy Model'!F73</f>
        <v>2016 Programs</v>
      </c>
      <c r="P227" s="194">
        <f>'Rate Class Energy Model'!G73</f>
        <v>2593587</v>
      </c>
      <c r="Q227" s="194">
        <f>'Rate Class Energy Model'!H73</f>
        <v>2569466</v>
      </c>
    </row>
    <row r="228" spans="2:34" ht="15" customHeight="1" x14ac:dyDescent="0.2">
      <c r="B228" s="182"/>
      <c r="C228" s="182"/>
      <c r="D228" s="182"/>
      <c r="J228" s="225"/>
      <c r="O228" s="226" t="str">
        <f>'Rate Class Energy Model'!F74</f>
        <v>2017 Programs</v>
      </c>
      <c r="P228" s="194"/>
      <c r="Q228" s="194">
        <f>'Rate Class Energy Model'!H74</f>
        <v>2103200</v>
      </c>
    </row>
    <row r="229" spans="2:34" ht="15" customHeight="1" x14ac:dyDescent="0.2">
      <c r="B229" s="182"/>
      <c r="C229" s="182"/>
      <c r="D229" s="182"/>
      <c r="J229" s="225"/>
      <c r="O229" s="226" t="str">
        <f>'Rate Class Energy Model'!F75</f>
        <v>Target Credit</v>
      </c>
      <c r="P229" s="194">
        <f>P227</f>
        <v>2593587</v>
      </c>
      <c r="Q229" s="194">
        <f>Q228</f>
        <v>2103200</v>
      </c>
    </row>
    <row r="230" spans="2:34" ht="15" customHeight="1" x14ac:dyDescent="0.2">
      <c r="B230" s="182"/>
      <c r="C230" s="182"/>
      <c r="D230" s="182"/>
      <c r="J230" s="225"/>
      <c r="O230" s="226" t="s">
        <v>233</v>
      </c>
      <c r="P230" s="194">
        <f>SUM(P227:P228)</f>
        <v>2593587</v>
      </c>
      <c r="Q230" s="194">
        <f>SUM(Q227:Q228)</f>
        <v>4672666</v>
      </c>
    </row>
    <row r="231" spans="2:34" ht="15" customHeight="1" x14ac:dyDescent="0.2">
      <c r="B231" s="182"/>
      <c r="C231" s="182"/>
      <c r="D231" s="182"/>
      <c r="J231" s="225"/>
      <c r="O231"/>
      <c r="P231"/>
      <c r="Q231"/>
    </row>
    <row r="232" spans="2:34" ht="15" customHeight="1" x14ac:dyDescent="0.2">
      <c r="B232" s="182"/>
      <c r="C232" s="182"/>
      <c r="D232" s="182"/>
      <c r="J232" s="225"/>
      <c r="O232" s="227"/>
      <c r="P232" s="274"/>
      <c r="Q232" s="274"/>
    </row>
    <row r="233" spans="2:34" ht="15" customHeight="1" x14ac:dyDescent="0.2">
      <c r="B233" s="182"/>
      <c r="C233" s="182"/>
      <c r="D233" s="182"/>
      <c r="J233" s="225"/>
      <c r="O233" s="381" t="s">
        <v>273</v>
      </c>
      <c r="P233" s="382"/>
      <c r="Q233" s="383"/>
    </row>
    <row r="234" spans="2:34" ht="15" customHeight="1" x14ac:dyDescent="0.2">
      <c r="B234" s="182"/>
      <c r="C234" s="182"/>
      <c r="D234" s="182"/>
      <c r="J234" s="225"/>
      <c r="O234" s="320"/>
      <c r="P234" s="320">
        <v>2016</v>
      </c>
      <c r="Q234" s="320">
        <v>2017</v>
      </c>
    </row>
    <row r="235" spans="2:34" ht="15" customHeight="1" x14ac:dyDescent="0.2">
      <c r="B235" s="182"/>
      <c r="C235" s="182"/>
      <c r="D235" s="182"/>
      <c r="J235" s="225"/>
      <c r="O235" s="226" t="str">
        <f>O227</f>
        <v>2016 Programs</v>
      </c>
      <c r="P235" s="194">
        <f>'Rate Class Energy Model'!G78</f>
        <v>780669.69</v>
      </c>
      <c r="Q235" s="194">
        <f>'Rate Class Energy Model'!H78</f>
        <v>773409.27</v>
      </c>
      <c r="Y235"/>
      <c r="Z235"/>
      <c r="AA235"/>
      <c r="AB235"/>
      <c r="AC235"/>
      <c r="AD235"/>
      <c r="AE235"/>
      <c r="AF235"/>
      <c r="AG235"/>
      <c r="AH235"/>
    </row>
    <row r="236" spans="2:34" ht="15" customHeight="1" x14ac:dyDescent="0.2">
      <c r="B236" s="182"/>
      <c r="C236" s="182"/>
      <c r="D236" s="182"/>
      <c r="J236" s="225"/>
      <c r="O236" s="226" t="str">
        <f>O228</f>
        <v>2017 Programs</v>
      </c>
      <c r="P236" s="194"/>
      <c r="Q236" s="194">
        <f>'Rate Class Energy Model'!H79</f>
        <v>317600</v>
      </c>
      <c r="Y236"/>
      <c r="Z236"/>
      <c r="AA236"/>
      <c r="AB236"/>
      <c r="AC236"/>
      <c r="AD236"/>
      <c r="AE236"/>
      <c r="AF236"/>
      <c r="AG236"/>
      <c r="AH236"/>
    </row>
    <row r="237" spans="2:34" ht="15" customHeight="1" x14ac:dyDescent="0.2">
      <c r="B237" s="182"/>
      <c r="C237" s="182"/>
      <c r="D237" s="182"/>
      <c r="J237" s="225"/>
      <c r="O237" s="226" t="str">
        <f>O229</f>
        <v>Target Credit</v>
      </c>
      <c r="P237" s="194">
        <f>P235</f>
        <v>780669.69</v>
      </c>
      <c r="Q237" s="194">
        <f>Q236</f>
        <v>317600</v>
      </c>
      <c r="Y237"/>
      <c r="Z237"/>
      <c r="AA237"/>
      <c r="AB237"/>
      <c r="AC237"/>
      <c r="AD237"/>
      <c r="AE237"/>
      <c r="AF237"/>
      <c r="AG237"/>
      <c r="AH237"/>
    </row>
    <row r="238" spans="2:34" ht="15" customHeight="1" x14ac:dyDescent="0.2">
      <c r="B238" s="182"/>
      <c r="C238" s="182"/>
      <c r="D238" s="182"/>
      <c r="J238" s="225"/>
      <c r="O238" s="226" t="s">
        <v>233</v>
      </c>
      <c r="P238" s="194">
        <f>SUM(P235:P236)</f>
        <v>780669.69</v>
      </c>
      <c r="Q238" s="194">
        <f>SUM(Q235:Q236)</f>
        <v>1091009.27</v>
      </c>
      <c r="Y238"/>
      <c r="Z238"/>
      <c r="AA238"/>
      <c r="AB238"/>
      <c r="AC238"/>
      <c r="AD238"/>
      <c r="AE238"/>
      <c r="AF238"/>
      <c r="AG238"/>
      <c r="AH238"/>
    </row>
    <row r="239" spans="2:34" ht="15" customHeight="1" x14ac:dyDescent="0.2">
      <c r="B239" s="182"/>
      <c r="C239" s="182"/>
      <c r="D239" s="182"/>
      <c r="J239" s="225"/>
      <c r="O239" s="227"/>
      <c r="P239" s="274"/>
      <c r="Q239" s="274"/>
    </row>
    <row r="240" spans="2:34" ht="15" customHeight="1" x14ac:dyDescent="0.2">
      <c r="B240" s="182"/>
      <c r="C240" s="182"/>
      <c r="D240" s="182"/>
      <c r="J240" s="225"/>
      <c r="O240" s="381" t="s">
        <v>274</v>
      </c>
      <c r="P240" s="382"/>
      <c r="Q240" s="383"/>
    </row>
    <row r="241" spans="1:30" ht="15" customHeight="1" x14ac:dyDescent="0.2">
      <c r="B241" s="182"/>
      <c r="C241" s="182"/>
      <c r="D241" s="182"/>
      <c r="J241" s="225"/>
      <c r="O241" s="320"/>
      <c r="P241" s="320">
        <v>2016</v>
      </c>
      <c r="Q241" s="320">
        <v>2017</v>
      </c>
    </row>
    <row r="242" spans="1:30" ht="15" customHeight="1" x14ac:dyDescent="0.2">
      <c r="B242" s="182"/>
      <c r="C242" s="182"/>
      <c r="D242" s="182"/>
      <c r="J242" s="225"/>
      <c r="O242" s="226" t="str">
        <f>O235</f>
        <v>2016 Programs</v>
      </c>
      <c r="P242" s="194">
        <f>'Rate Class Energy Model'!G83</f>
        <v>725166.93</v>
      </c>
      <c r="Q242" s="194">
        <f>'Rate Class Energy Model'!H83</f>
        <v>718422.69</v>
      </c>
    </row>
    <row r="243" spans="1:30" ht="15" customHeight="1" x14ac:dyDescent="0.2">
      <c r="B243" s="182"/>
      <c r="C243" s="182"/>
      <c r="D243" s="182"/>
      <c r="J243" s="225"/>
      <c r="O243" s="226" t="str">
        <f>O236</f>
        <v>2017 Programs</v>
      </c>
      <c r="P243" s="194"/>
      <c r="Q243" s="194">
        <f>'Rate Class Energy Model'!H84</f>
        <v>714200</v>
      </c>
    </row>
    <row r="244" spans="1:30" ht="15" customHeight="1" x14ac:dyDescent="0.2">
      <c r="B244" s="182"/>
      <c r="C244" s="182"/>
      <c r="D244" s="182"/>
      <c r="J244" s="225"/>
      <c r="O244" s="226" t="str">
        <f>O237</f>
        <v>Target Credit</v>
      </c>
      <c r="P244" s="194">
        <f>P242</f>
        <v>725166.93</v>
      </c>
      <c r="Q244" s="194">
        <f>Q243</f>
        <v>714200</v>
      </c>
    </row>
    <row r="245" spans="1:30" ht="15" customHeight="1" x14ac:dyDescent="0.2">
      <c r="B245" s="182"/>
      <c r="C245" s="182"/>
      <c r="D245" s="182"/>
      <c r="J245" s="225"/>
      <c r="O245" s="226" t="s">
        <v>233</v>
      </c>
      <c r="P245" s="194">
        <f>SUM(P242:P243)</f>
        <v>725166.93</v>
      </c>
      <c r="Q245" s="194">
        <f>SUM(Q242:Q243)</f>
        <v>1432622.69</v>
      </c>
    </row>
    <row r="246" spans="1:30" ht="15" customHeight="1" x14ac:dyDescent="0.2">
      <c r="B246" s="182"/>
      <c r="C246" s="182"/>
      <c r="D246" s="182"/>
      <c r="J246" s="225"/>
      <c r="O246" s="227"/>
      <c r="P246" s="274"/>
      <c r="Q246" s="274"/>
      <c r="Y246"/>
      <c r="Z246"/>
      <c r="AA246"/>
      <c r="AB246"/>
      <c r="AC246"/>
      <c r="AD246" s="209"/>
    </row>
    <row r="247" spans="1:30" ht="22.5" customHeight="1" x14ac:dyDescent="0.2">
      <c r="B247" s="182"/>
      <c r="C247" s="182"/>
      <c r="D247" s="182"/>
      <c r="J247" s="225"/>
      <c r="O247" s="384" t="s">
        <v>275</v>
      </c>
      <c r="P247" s="385"/>
      <c r="Q247" s="386"/>
      <c r="Y247"/>
      <c r="Z247"/>
      <c r="AA247"/>
      <c r="AB247"/>
      <c r="AC247"/>
    </row>
    <row r="248" spans="1:30" ht="15" customHeight="1" x14ac:dyDescent="0.2">
      <c r="B248" s="182"/>
      <c r="C248" s="182"/>
      <c r="D248" s="182"/>
      <c r="J248" s="225"/>
      <c r="O248" s="320"/>
      <c r="P248" s="320">
        <v>2016</v>
      </c>
      <c r="Q248" s="320">
        <v>2017</v>
      </c>
      <c r="Y248"/>
      <c r="Z248"/>
      <c r="AA248"/>
      <c r="AB248"/>
      <c r="AC248"/>
    </row>
    <row r="249" spans="1:30" ht="15" customHeight="1" x14ac:dyDescent="0.2">
      <c r="B249" s="182"/>
      <c r="C249" s="182"/>
      <c r="D249" s="182"/>
      <c r="J249" s="225"/>
      <c r="O249" s="226" t="str">
        <f>O242</f>
        <v>2016 Programs</v>
      </c>
      <c r="P249" s="194">
        <f>'Rate Class Energy Model'!G88</f>
        <v>1087750.3899999999</v>
      </c>
      <c r="Q249" s="194">
        <f>'Rate Class Energy Model'!H88</f>
        <v>1077634.04</v>
      </c>
      <c r="Y249"/>
      <c r="Z249"/>
      <c r="AA249"/>
      <c r="AB249"/>
      <c r="AC249"/>
    </row>
    <row r="250" spans="1:30" ht="15" customHeight="1" x14ac:dyDescent="0.2">
      <c r="B250" s="182"/>
      <c r="C250" s="182"/>
      <c r="D250" s="182"/>
      <c r="J250" s="225"/>
      <c r="O250" s="226" t="str">
        <f>O243</f>
        <v>2017 Programs</v>
      </c>
      <c r="P250" s="194"/>
      <c r="Q250" s="194">
        <f>'Rate Class Energy Model'!H89</f>
        <v>1071400</v>
      </c>
      <c r="Y250"/>
      <c r="Z250"/>
      <c r="AA250"/>
      <c r="AB250"/>
      <c r="AC250"/>
    </row>
    <row r="251" spans="1:30" ht="15" customHeight="1" x14ac:dyDescent="0.2">
      <c r="B251" s="182"/>
      <c r="C251" s="182"/>
      <c r="D251" s="182"/>
      <c r="J251" s="225"/>
      <c r="O251" s="226" t="str">
        <f>O244</f>
        <v>Target Credit</v>
      </c>
      <c r="P251" s="194">
        <f>P249</f>
        <v>1087750.3899999999</v>
      </c>
      <c r="Q251" s="194">
        <f>Q250</f>
        <v>1071400</v>
      </c>
      <c r="Y251"/>
      <c r="Z251"/>
      <c r="AA251"/>
      <c r="AB251"/>
      <c r="AC251"/>
    </row>
    <row r="252" spans="1:30" ht="15" customHeight="1" x14ac:dyDescent="0.2">
      <c r="B252" s="182"/>
      <c r="C252" s="182"/>
      <c r="D252" s="182"/>
      <c r="E252" s="225"/>
      <c r="F252" s="225"/>
      <c r="G252" s="225"/>
      <c r="H252" s="225"/>
      <c r="I252" s="225"/>
      <c r="J252" s="225"/>
      <c r="O252" s="226" t="s">
        <v>233</v>
      </c>
      <c r="P252" s="194">
        <f>SUM(P249:P250)</f>
        <v>1087750.3899999999</v>
      </c>
      <c r="Q252" s="194">
        <f>SUM(Q249:Q250)</f>
        <v>2149034.04</v>
      </c>
      <c r="Y252"/>
      <c r="Z252"/>
      <c r="AA252"/>
      <c r="AB252"/>
      <c r="AC252"/>
    </row>
    <row r="253" spans="1:30" ht="15" customHeight="1" x14ac:dyDescent="0.2">
      <c r="B253" s="182"/>
      <c r="C253" s="182"/>
      <c r="D253" s="182"/>
      <c r="E253" s="225"/>
      <c r="F253" s="225"/>
      <c r="G253" s="225"/>
      <c r="H253" s="225"/>
      <c r="I253" s="225"/>
      <c r="J253" s="225"/>
      <c r="O253" s="227"/>
      <c r="P253" s="228"/>
      <c r="Q253" s="228"/>
      <c r="Y253"/>
      <c r="Z253"/>
      <c r="AA253"/>
      <c r="AB253"/>
      <c r="AC253"/>
    </row>
    <row r="254" spans="1:30" ht="15" customHeight="1" x14ac:dyDescent="0.2">
      <c r="B254" s="182"/>
      <c r="C254" s="182"/>
      <c r="D254" s="182"/>
      <c r="E254" s="225"/>
      <c r="F254" s="225"/>
      <c r="G254" s="225"/>
      <c r="H254" s="225"/>
      <c r="I254" s="225"/>
      <c r="J254" s="225"/>
      <c r="O254" s="227"/>
      <c r="P254" s="228"/>
      <c r="Q254" s="228"/>
      <c r="Y254"/>
      <c r="Z254"/>
      <c r="AA254"/>
      <c r="AB254"/>
      <c r="AC254"/>
    </row>
    <row r="255" spans="1:30" ht="15" customHeight="1" x14ac:dyDescent="0.2">
      <c r="A255" s="180" t="s">
        <v>234</v>
      </c>
      <c r="B255" s="180"/>
      <c r="C255" s="180"/>
      <c r="D255" s="181"/>
      <c r="E255" s="181"/>
      <c r="F255" s="181"/>
      <c r="G255" s="181"/>
      <c r="H255" s="181"/>
      <c r="O255" s="227"/>
      <c r="P255" s="228"/>
      <c r="Q255" s="228"/>
      <c r="Y255"/>
      <c r="Z255"/>
      <c r="AA255"/>
      <c r="AB255"/>
      <c r="AC255"/>
    </row>
    <row r="256" spans="1:30" ht="33.75" x14ac:dyDescent="0.2">
      <c r="A256" s="377" t="s">
        <v>147</v>
      </c>
      <c r="B256" s="378"/>
      <c r="C256" s="378"/>
      <c r="D256" s="379"/>
      <c r="E256" s="291" t="str">
        <f t="shared" ref="E256:J256" si="42">E201</f>
        <v>Residential</v>
      </c>
      <c r="F256" s="291" t="str">
        <f t="shared" si="42"/>
        <v>General Service &lt; 50 kW</v>
      </c>
      <c r="G256" s="291" t="str">
        <f t="shared" si="42"/>
        <v>General Service 50 to 4,999 kW</v>
      </c>
      <c r="H256" s="291" t="str">
        <f t="shared" si="42"/>
        <v xml:space="preserve">Sentinel Lighting </v>
      </c>
      <c r="I256" s="291" t="str">
        <f t="shared" si="42"/>
        <v>Street Lighting</v>
      </c>
      <c r="J256" s="291" t="str">
        <f t="shared" si="42"/>
        <v>Unmetered Scattered Load</v>
      </c>
      <c r="K256" s="291" t="s">
        <v>9</v>
      </c>
      <c r="M256" s="227"/>
      <c r="N256" s="227"/>
      <c r="O256" s="228"/>
      <c r="P256" s="228"/>
      <c r="Q256" s="228"/>
      <c r="Y256"/>
      <c r="Z256"/>
      <c r="AA256"/>
      <c r="AB256"/>
      <c r="AC256"/>
    </row>
    <row r="257" spans="1:29" ht="15" customHeight="1" x14ac:dyDescent="0.2">
      <c r="A257" s="374" t="s">
        <v>235</v>
      </c>
      <c r="B257" s="375"/>
      <c r="C257" s="375"/>
      <c r="D257" s="376"/>
      <c r="E257" s="216">
        <f>Q236</f>
        <v>317600</v>
      </c>
      <c r="F257" s="216">
        <f>Q243</f>
        <v>714200</v>
      </c>
      <c r="G257" s="216">
        <f>Q250</f>
        <v>1071400</v>
      </c>
      <c r="H257" s="216">
        <v>0</v>
      </c>
      <c r="I257" s="216">
        <v>0</v>
      </c>
      <c r="J257" s="216">
        <v>0</v>
      </c>
      <c r="K257" s="216">
        <f>SUM(E257:J257)</f>
        <v>2103200</v>
      </c>
      <c r="L257" s="209"/>
      <c r="M257" s="209"/>
      <c r="N257" s="209"/>
      <c r="O257" s="209"/>
      <c r="Y257"/>
      <c r="Z257"/>
      <c r="AA257"/>
      <c r="AB257"/>
      <c r="AC257"/>
    </row>
    <row r="258" spans="1:29" ht="15" customHeight="1" x14ac:dyDescent="0.2">
      <c r="A258" s="374" t="s">
        <v>236</v>
      </c>
      <c r="B258" s="375"/>
      <c r="C258" s="375"/>
      <c r="D258" s="376"/>
      <c r="E258" s="216">
        <v>0</v>
      </c>
      <c r="F258" s="216">
        <v>0</v>
      </c>
      <c r="G258" s="216">
        <f>G257*'Rate Class Load Model'!D26</f>
        <v>3051.8870738736914</v>
      </c>
      <c r="H258" s="216">
        <v>0</v>
      </c>
      <c r="I258" s="216">
        <v>0</v>
      </c>
      <c r="J258" s="216">
        <v>0</v>
      </c>
      <c r="K258" s="216">
        <f>SUM(E258:J258)</f>
        <v>3051.8870738736914</v>
      </c>
      <c r="Y258"/>
      <c r="Z258"/>
      <c r="AA258"/>
      <c r="AB258"/>
      <c r="AC258"/>
    </row>
    <row r="259" spans="1:29" ht="15" customHeight="1" x14ac:dyDescent="0.2">
      <c r="A259" s="374" t="s">
        <v>237</v>
      </c>
      <c r="B259" s="375"/>
      <c r="C259" s="375"/>
      <c r="D259" s="376"/>
      <c r="E259" s="216">
        <v>0</v>
      </c>
      <c r="F259" s="216">
        <v>0</v>
      </c>
      <c r="G259" s="216">
        <f>G258/12</f>
        <v>254.32392282280762</v>
      </c>
      <c r="H259" s="216">
        <v>0</v>
      </c>
      <c r="I259" s="216">
        <v>0</v>
      </c>
      <c r="J259" s="216">
        <v>0</v>
      </c>
      <c r="K259" s="216">
        <f>SUM(E259:J259)</f>
        <v>254.32392282280762</v>
      </c>
      <c r="Y259"/>
      <c r="Z259"/>
      <c r="AA259"/>
      <c r="AB259"/>
      <c r="AC259"/>
    </row>
    <row r="260" spans="1:29" ht="15" customHeight="1" x14ac:dyDescent="0.2">
      <c r="A260" s="199"/>
      <c r="B260" s="199"/>
      <c r="C260" s="199"/>
      <c r="D260" s="199"/>
      <c r="E260" s="220"/>
      <c r="F260" s="220"/>
      <c r="G260" s="220"/>
      <c r="H260" s="220"/>
      <c r="I260" s="220"/>
      <c r="J260" s="220"/>
      <c r="Y260"/>
      <c r="Z260"/>
      <c r="AA260"/>
      <c r="AB260"/>
      <c r="AC260"/>
    </row>
    <row r="261" spans="1:29" ht="15" customHeight="1" x14ac:dyDescent="0.2">
      <c r="A261" s="199"/>
      <c r="B261" s="199"/>
      <c r="C261" s="199"/>
      <c r="D261" s="199"/>
      <c r="E261" s="220"/>
      <c r="F261" s="220"/>
      <c r="G261" s="220"/>
      <c r="H261" s="220"/>
      <c r="I261" s="220"/>
      <c r="J261" s="220"/>
    </row>
    <row r="262" spans="1:29" ht="15" customHeight="1" x14ac:dyDescent="0.2">
      <c r="B262" s="182"/>
      <c r="C262" s="182"/>
      <c r="D262" s="182"/>
      <c r="E262" s="225"/>
      <c r="F262" s="225"/>
      <c r="G262" s="225"/>
      <c r="H262" s="225"/>
      <c r="I262" s="225"/>
      <c r="J262" s="225"/>
    </row>
    <row r="263" spans="1:29" ht="15" customHeight="1" x14ac:dyDescent="0.2">
      <c r="B263" s="180" t="s">
        <v>238</v>
      </c>
      <c r="C263" s="180"/>
      <c r="D263" s="180"/>
      <c r="E263" s="181"/>
      <c r="F263" s="181"/>
      <c r="G263" s="181"/>
      <c r="H263" s="181"/>
      <c r="I263" s="181"/>
      <c r="J263" s="181"/>
      <c r="M263" s="182" t="s">
        <v>315</v>
      </c>
    </row>
    <row r="264" spans="1:29" ht="33.75" x14ac:dyDescent="0.2">
      <c r="B264" s="292" t="s">
        <v>147</v>
      </c>
      <c r="C264" s="293"/>
      <c r="D264" s="293"/>
      <c r="E264" s="291" t="str">
        <f t="shared" ref="E264:J264" si="43">E201</f>
        <v>Residential</v>
      </c>
      <c r="F264" s="291" t="str">
        <f t="shared" si="43"/>
        <v>General Service &lt; 50 kW</v>
      </c>
      <c r="G264" s="291" t="str">
        <f t="shared" si="43"/>
        <v>General Service 50 to 4,999 kW</v>
      </c>
      <c r="H264" s="291" t="str">
        <f t="shared" si="43"/>
        <v xml:space="preserve">Sentinel Lighting </v>
      </c>
      <c r="I264" s="291" t="str">
        <f t="shared" si="43"/>
        <v>Street Lighting</v>
      </c>
      <c r="J264" s="291" t="str">
        <f t="shared" si="43"/>
        <v>Unmetered Scattered Load</v>
      </c>
      <c r="K264" s="291" t="s">
        <v>9</v>
      </c>
      <c r="M264" s="377" t="s">
        <v>304</v>
      </c>
      <c r="N264" s="378"/>
      <c r="O264" s="379"/>
      <c r="P264" s="291" t="s">
        <v>89</v>
      </c>
      <c r="Q264" s="291" t="s">
        <v>305</v>
      </c>
      <c r="R264" s="291" t="s">
        <v>306</v>
      </c>
      <c r="S264" s="377" t="s">
        <v>307</v>
      </c>
      <c r="T264" s="379"/>
    </row>
    <row r="265" spans="1:29" ht="15" customHeight="1" x14ac:dyDescent="0.2">
      <c r="B265" s="374" t="s">
        <v>178</v>
      </c>
      <c r="C265" s="375"/>
      <c r="D265" s="375"/>
      <c r="E265" s="375"/>
      <c r="F265" s="375"/>
      <c r="G265" s="375"/>
      <c r="H265" s="375"/>
      <c r="I265" s="375"/>
      <c r="J265" s="375"/>
      <c r="K265" s="376"/>
      <c r="M265" s="374" t="s">
        <v>308</v>
      </c>
      <c r="N265" s="375"/>
      <c r="O265" s="375"/>
      <c r="P265" s="352"/>
      <c r="Q265" s="352"/>
      <c r="R265" s="352"/>
      <c r="S265" s="352"/>
      <c r="T265" s="353"/>
    </row>
    <row r="266" spans="1:29" ht="15" customHeight="1" x14ac:dyDescent="0.2">
      <c r="B266" s="219" t="str">
        <f>B198</f>
        <v>2017(Not Normalized)</v>
      </c>
      <c r="C266" s="221"/>
      <c r="D266" s="221"/>
      <c r="E266" s="222">
        <f t="shared" ref="E266:J266" si="44">E198</f>
        <v>152.17992872208961</v>
      </c>
      <c r="F266" s="222">
        <f t="shared" si="44"/>
        <v>33.837299665646583</v>
      </c>
      <c r="G266" s="222">
        <f t="shared" si="44"/>
        <v>67.12198215214994</v>
      </c>
      <c r="H266" s="222">
        <f t="shared" si="44"/>
        <v>0.10305165856497742</v>
      </c>
      <c r="I266" s="222">
        <f t="shared" si="44"/>
        <v>0.56122348942778977</v>
      </c>
      <c r="J266" s="222">
        <f t="shared" si="44"/>
        <v>0.45665701227876115</v>
      </c>
      <c r="K266" s="222">
        <f>SUM(E266:J266)</f>
        <v>254.26014270015764</v>
      </c>
      <c r="L266" s="206"/>
      <c r="M266" s="374" t="s">
        <v>270</v>
      </c>
      <c r="N266" s="375"/>
      <c r="O266" s="375"/>
      <c r="P266" s="358">
        <f>G266*1000000</f>
        <v>67121982.152149945</v>
      </c>
      <c r="Q266" s="222">
        <f>J341</f>
        <v>87.5</v>
      </c>
      <c r="R266" s="216">
        <f>P266/Q266</f>
        <v>767108.36745314219</v>
      </c>
      <c r="S266" s="410" t="s">
        <v>309</v>
      </c>
      <c r="T266" s="411"/>
    </row>
    <row r="267" spans="1:29" ht="15" customHeight="1" x14ac:dyDescent="0.2">
      <c r="B267" s="393" t="s">
        <v>239</v>
      </c>
      <c r="C267" s="393"/>
      <c r="D267" s="393"/>
      <c r="E267" s="393"/>
      <c r="F267" s="393"/>
      <c r="G267" s="393"/>
      <c r="H267" s="393"/>
      <c r="I267" s="393"/>
      <c r="J267" s="393"/>
      <c r="K267" s="393"/>
      <c r="M267" s="374" t="s">
        <v>310</v>
      </c>
      <c r="N267" s="375"/>
      <c r="O267" s="375"/>
      <c r="P267" s="358"/>
      <c r="Q267" s="355"/>
      <c r="R267" s="355"/>
      <c r="S267" s="412"/>
      <c r="T267" s="413"/>
    </row>
    <row r="268" spans="1:29" x14ac:dyDescent="0.2">
      <c r="B268" s="394" t="str">
        <f>B193</f>
        <v>2017 Monthly Average</v>
      </c>
      <c r="C268" s="395"/>
      <c r="D268" s="396"/>
      <c r="E268" s="232">
        <f>Summary!L58/1000000</f>
        <v>0.78422000000000003</v>
      </c>
      <c r="F268" s="232">
        <f>Summary!L59/1000000</f>
        <v>0.16846700000000001</v>
      </c>
      <c r="G268" s="232">
        <v>0</v>
      </c>
      <c r="H268" s="232">
        <v>0</v>
      </c>
      <c r="I268" s="232">
        <v>0</v>
      </c>
      <c r="J268" s="275">
        <f>Summary!L60/1000000</f>
        <v>4.3579999999999999E-3</v>
      </c>
      <c r="K268" s="222">
        <f>SUM(E268:J268)</f>
        <v>0.95704500000000003</v>
      </c>
      <c r="L268" s="206"/>
      <c r="M268" s="374">
        <v>2017</v>
      </c>
      <c r="N268" s="375"/>
      <c r="O268" s="375"/>
      <c r="P268" s="358">
        <f>G268*1000000</f>
        <v>0</v>
      </c>
      <c r="Q268" s="222">
        <f>Q266</f>
        <v>87.5</v>
      </c>
      <c r="R268" s="216">
        <f>P268/Q268</f>
        <v>0</v>
      </c>
      <c r="S268" s="414"/>
      <c r="T268" s="415"/>
    </row>
    <row r="269" spans="1:29" ht="15" customHeight="1" x14ac:dyDescent="0.2">
      <c r="B269" s="409" t="s">
        <v>179</v>
      </c>
      <c r="C269" s="409"/>
      <c r="D269" s="409"/>
      <c r="E269" s="409"/>
      <c r="F269" s="409"/>
      <c r="G269" s="409"/>
      <c r="H269" s="409"/>
      <c r="I269" s="409"/>
      <c r="J269" s="409"/>
      <c r="K269" s="409"/>
      <c r="M269" s="374" t="s">
        <v>311</v>
      </c>
      <c r="N269" s="375"/>
      <c r="O269" s="375"/>
      <c r="P269" s="358"/>
      <c r="Q269" s="354"/>
      <c r="R269" s="354"/>
      <c r="S269" s="414"/>
      <c r="T269" s="415"/>
    </row>
    <row r="270" spans="1:29" ht="15" customHeight="1" x14ac:dyDescent="0.2">
      <c r="B270" s="394" t="str">
        <f>B268</f>
        <v>2017 Monthly Average</v>
      </c>
      <c r="C270" s="395"/>
      <c r="D270" s="396"/>
      <c r="E270" s="232">
        <f>'Rate Class Energy Model'!H63/1000000</f>
        <v>-8.4166540400008589</v>
      </c>
      <c r="F270" s="232">
        <f>'Rate Class Energy Model'!I63/1000000</f>
        <v>-1.871448142505566</v>
      </c>
      <c r="G270" s="232">
        <f>'Rate Class Energy Model'!J63/1000000</f>
        <v>-2.9248680666012921</v>
      </c>
      <c r="H270" s="232">
        <f>'Rate Class Energy Model'!K63/1000000</f>
        <v>0</v>
      </c>
      <c r="I270" s="232">
        <f>'Rate Class Energy Model'!L63/1000000</f>
        <v>0</v>
      </c>
      <c r="J270" s="232">
        <f>'Rate Class Energy Model'!M63/1000000</f>
        <v>0</v>
      </c>
      <c r="K270" s="232">
        <f>SUM(E270:J270)</f>
        <v>-13.212970249107716</v>
      </c>
      <c r="L270" s="207"/>
      <c r="M270" s="374">
        <v>2017</v>
      </c>
      <c r="N270" s="375"/>
      <c r="O270" s="375"/>
      <c r="P270" s="358">
        <f>G270*1000000</f>
        <v>-2924868.0666012922</v>
      </c>
      <c r="Q270" s="232">
        <f>Q268</f>
        <v>87.5</v>
      </c>
      <c r="R270" s="358">
        <f>P270/Q270</f>
        <v>-33427.063618300483</v>
      </c>
      <c r="S270" s="414"/>
      <c r="T270" s="415"/>
    </row>
    <row r="271" spans="1:29" ht="15" customHeight="1" x14ac:dyDescent="0.2">
      <c r="B271" s="393" t="s">
        <v>180</v>
      </c>
      <c r="C271" s="393"/>
      <c r="D271" s="393"/>
      <c r="E271" s="393"/>
      <c r="F271" s="393"/>
      <c r="G271" s="393"/>
      <c r="H271" s="393"/>
      <c r="I271" s="393"/>
      <c r="J271" s="393"/>
      <c r="K271" s="393"/>
      <c r="M271" s="374" t="s">
        <v>312</v>
      </c>
      <c r="N271" s="375"/>
      <c r="O271" s="375"/>
      <c r="P271" s="358"/>
      <c r="Q271" s="355"/>
      <c r="R271" s="355"/>
      <c r="S271" s="414"/>
      <c r="T271" s="415"/>
    </row>
    <row r="272" spans="1:29" x14ac:dyDescent="0.2">
      <c r="B272" s="394" t="str">
        <f>B268</f>
        <v>2017 Monthly Average</v>
      </c>
      <c r="C272" s="395"/>
      <c r="D272" s="396"/>
      <c r="E272" s="233">
        <f>'Rate Class Energy Model'!H67/1000000</f>
        <v>-0.54550463500000002</v>
      </c>
      <c r="F272" s="233">
        <f>'Rate Class Energy Model'!I67/1000000</f>
        <v>-0.71631134499999993</v>
      </c>
      <c r="G272" s="233">
        <f>'Rate Class Energy Model'!J67/1000000</f>
        <v>-1.07451702</v>
      </c>
      <c r="H272" s="233">
        <f>'Rate Class Energy Model'!K67/1000000</f>
        <v>0</v>
      </c>
      <c r="I272" s="233">
        <f>'Rate Class Energy Model'!L67/1000000</f>
        <v>0</v>
      </c>
      <c r="J272" s="233">
        <f>'Rate Class Energy Model'!M67/1000000</f>
        <v>0</v>
      </c>
      <c r="K272" s="232">
        <f>SUM(E272:J272)</f>
        <v>-2.3363329999999998</v>
      </c>
      <c r="M272" s="374">
        <v>2017</v>
      </c>
      <c r="N272" s="375"/>
      <c r="O272" s="375"/>
      <c r="P272" s="358">
        <f>G272*1000000</f>
        <v>-1074517.02</v>
      </c>
      <c r="Q272" s="233">
        <f>Q270</f>
        <v>87.5</v>
      </c>
      <c r="R272" s="358">
        <f>P272/Q272</f>
        <v>-12280.194514285715</v>
      </c>
      <c r="S272" s="414"/>
      <c r="T272" s="415"/>
    </row>
    <row r="273" spans="2:20" ht="15" customHeight="1" x14ac:dyDescent="0.2">
      <c r="B273" s="393" t="s">
        <v>181</v>
      </c>
      <c r="C273" s="393"/>
      <c r="D273" s="393"/>
      <c r="E273" s="393"/>
      <c r="F273" s="393"/>
      <c r="G273" s="393"/>
      <c r="H273" s="393"/>
      <c r="I273" s="393"/>
      <c r="J273" s="393"/>
      <c r="K273" s="393"/>
      <c r="M273" s="374" t="s">
        <v>313</v>
      </c>
      <c r="N273" s="375"/>
      <c r="O273" s="375"/>
      <c r="P273" s="358"/>
      <c r="Q273" s="355"/>
      <c r="R273" s="355"/>
      <c r="S273" s="416"/>
      <c r="T273" s="417"/>
    </row>
    <row r="274" spans="2:20" ht="11.25" customHeight="1" x14ac:dyDescent="0.2">
      <c r="B274" s="371" t="str">
        <f>B222</f>
        <v>2017 Test - Normalized</v>
      </c>
      <c r="C274" s="372"/>
      <c r="D274" s="373"/>
      <c r="E274" s="233">
        <f t="shared" ref="E274:J274" si="45">E266+E268+E270+E272</f>
        <v>144.00199004708878</v>
      </c>
      <c r="F274" s="233">
        <f t="shared" si="45"/>
        <v>31.418007178141018</v>
      </c>
      <c r="G274" s="233">
        <f t="shared" si="45"/>
        <v>63.122597065548646</v>
      </c>
      <c r="H274" s="233">
        <f t="shared" si="45"/>
        <v>0.10305165856497742</v>
      </c>
      <c r="I274" s="233">
        <f t="shared" si="45"/>
        <v>0.56122348942778977</v>
      </c>
      <c r="J274" s="233">
        <f t="shared" si="45"/>
        <v>0.46101501227876113</v>
      </c>
      <c r="K274" s="232">
        <f>SUM(E274:J274)</f>
        <v>239.66788445104993</v>
      </c>
      <c r="L274" s="206"/>
      <c r="M274" s="374" t="s">
        <v>200</v>
      </c>
      <c r="N274" s="375"/>
      <c r="O274" s="375"/>
      <c r="P274" s="358">
        <f t="shared" ref="P274" si="46">P266+P268+P270+P272</f>
        <v>63122597.065548651</v>
      </c>
      <c r="Q274" s="233">
        <f>Q272</f>
        <v>87.5</v>
      </c>
      <c r="R274" s="216">
        <f>P274/Q274</f>
        <v>721401.10932055605</v>
      </c>
      <c r="S274" s="410" t="s">
        <v>314</v>
      </c>
      <c r="T274" s="411"/>
    </row>
    <row r="275" spans="2:20" customFormat="1" ht="11.25" customHeight="1" x14ac:dyDescent="0.2"/>
    <row r="276" spans="2:20" ht="15" customHeight="1" x14ac:dyDescent="0.2">
      <c r="B276" s="199"/>
      <c r="C276" s="199"/>
      <c r="D276" s="199"/>
      <c r="E276" s="234"/>
    </row>
    <row r="277" spans="2:20" ht="15" customHeight="1" x14ac:dyDescent="0.2">
      <c r="B277" s="180" t="s">
        <v>240</v>
      </c>
      <c r="C277" s="180"/>
      <c r="D277" s="180"/>
      <c r="E277" s="181"/>
      <c r="F277" s="181"/>
      <c r="G277" s="181"/>
      <c r="H277" s="181"/>
      <c r="I277" s="181"/>
      <c r="J277" s="181"/>
    </row>
    <row r="278" spans="2:20" ht="33.75" x14ac:dyDescent="0.2">
      <c r="B278" s="300" t="s">
        <v>147</v>
      </c>
      <c r="C278" s="301"/>
      <c r="D278" s="301"/>
      <c r="E278" s="302" t="str">
        <f>G264</f>
        <v>General Service 50 to 4,999 kW</v>
      </c>
      <c r="F278" s="302" t="str">
        <f>H264</f>
        <v xml:space="preserve">Sentinel Lighting </v>
      </c>
      <c r="G278" s="302" t="str">
        <f>I264</f>
        <v>Street Lighting</v>
      </c>
      <c r="H278" s="302" t="s">
        <v>9</v>
      </c>
    </row>
    <row r="279" spans="2:20" ht="15" customHeight="1" x14ac:dyDescent="0.2">
      <c r="B279" s="367" t="s">
        <v>182</v>
      </c>
      <c r="C279" s="367"/>
      <c r="D279" s="367"/>
      <c r="E279" s="367"/>
      <c r="F279" s="367"/>
      <c r="G279" s="367"/>
      <c r="H279" s="367"/>
    </row>
    <row r="280" spans="2:20" ht="15" customHeight="1" x14ac:dyDescent="0.2">
      <c r="B280" s="219">
        <v>2007</v>
      </c>
      <c r="C280" s="197"/>
      <c r="D280" s="197"/>
      <c r="E280" s="216">
        <f>'Rate Class Load Model'!B2</f>
        <v>116956</v>
      </c>
      <c r="F280" s="216">
        <f>'Rate Class Load Model'!C2</f>
        <v>351</v>
      </c>
      <c r="G280" s="216">
        <f>'Rate Class Load Model'!D2</f>
        <v>4153</v>
      </c>
      <c r="H280" s="216">
        <f t="shared" ref="H280:H288" si="47">SUM(E280:G280)</f>
        <v>121460</v>
      </c>
      <c r="I280"/>
      <c r="K280" s="209"/>
    </row>
    <row r="281" spans="2:20" ht="15" customHeight="1" x14ac:dyDescent="0.2">
      <c r="B281" s="219">
        <v>2008</v>
      </c>
      <c r="C281" s="197"/>
      <c r="D281" s="197"/>
      <c r="E281" s="216">
        <f>'Rate Class Load Model'!B3</f>
        <v>134692.85</v>
      </c>
      <c r="F281" s="216">
        <f>'Rate Class Load Model'!C3</f>
        <v>345.03227777777778</v>
      </c>
      <c r="G281" s="216">
        <f>'Rate Class Load Model'!D3</f>
        <v>4260.83</v>
      </c>
      <c r="H281" s="216">
        <f t="shared" si="47"/>
        <v>139298.71227777778</v>
      </c>
      <c r="I281"/>
      <c r="K281" s="209"/>
    </row>
    <row r="282" spans="2:20" ht="15" customHeight="1" x14ac:dyDescent="0.2">
      <c r="B282" s="219">
        <v>2009</v>
      </c>
      <c r="C282" s="221"/>
      <c r="D282" s="221"/>
      <c r="E282" s="216">
        <f>'Rate Class Load Model'!B4</f>
        <v>136122.29</v>
      </c>
      <c r="F282" s="216">
        <f>'Rate Class Load Model'!C4</f>
        <v>338.94749999999999</v>
      </c>
      <c r="G282" s="216">
        <f>'Rate Class Load Model'!D4</f>
        <v>4370.32</v>
      </c>
      <c r="H282" s="216">
        <f t="shared" si="47"/>
        <v>140831.55750000002</v>
      </c>
      <c r="I282"/>
      <c r="K282" s="209"/>
    </row>
    <row r="283" spans="2:20" ht="15" customHeight="1" x14ac:dyDescent="0.2">
      <c r="B283" s="219">
        <v>2010</v>
      </c>
      <c r="C283" s="221"/>
      <c r="D283" s="221"/>
      <c r="E283" s="216">
        <f>'Rate Class Load Model'!B5</f>
        <v>144502.21</v>
      </c>
      <c r="F283" s="216">
        <f>'Rate Class Load Model'!C5</f>
        <v>324.17422222222223</v>
      </c>
      <c r="G283" s="216">
        <f>'Rate Class Load Model'!D5</f>
        <v>4389.05</v>
      </c>
      <c r="H283" s="216">
        <f t="shared" si="47"/>
        <v>149215.43422222219</v>
      </c>
      <c r="I283"/>
      <c r="K283" s="209"/>
    </row>
    <row r="284" spans="2:20" ht="15" customHeight="1" x14ac:dyDescent="0.2">
      <c r="B284" s="219">
        <v>2011</v>
      </c>
      <c r="C284" s="221"/>
      <c r="D284" s="221"/>
      <c r="E284" s="216">
        <f>'Rate Class Load Model'!B6</f>
        <v>139425.35999999999</v>
      </c>
      <c r="F284" s="216">
        <f>'Rate Class Load Model'!C6</f>
        <v>306.31894444444447</v>
      </c>
      <c r="G284" s="216">
        <f>'Rate Class Load Model'!D6</f>
        <v>4416</v>
      </c>
      <c r="H284" s="216">
        <f t="shared" si="47"/>
        <v>144147.67894444443</v>
      </c>
      <c r="I284"/>
      <c r="K284" s="209"/>
    </row>
    <row r="285" spans="2:20" ht="15" customHeight="1" x14ac:dyDescent="0.2">
      <c r="B285" s="219">
        <v>2012</v>
      </c>
      <c r="C285" s="221"/>
      <c r="D285" s="221"/>
      <c r="E285" s="216">
        <f>'Rate Class Load Model'!B7</f>
        <v>144982</v>
      </c>
      <c r="F285" s="216">
        <f>'Rate Class Load Model'!C7</f>
        <v>315</v>
      </c>
      <c r="G285" s="216">
        <f>'Rate Class Load Model'!D7</f>
        <v>4424</v>
      </c>
      <c r="H285" s="216">
        <f t="shared" si="47"/>
        <v>149721</v>
      </c>
      <c r="I285"/>
      <c r="K285" s="209"/>
    </row>
    <row r="286" spans="2:20" ht="15" customHeight="1" x14ac:dyDescent="0.2">
      <c r="B286" s="219">
        <v>2013</v>
      </c>
      <c r="C286" s="221"/>
      <c r="D286" s="221"/>
      <c r="E286" s="216">
        <f>'Rate Class Load Model'!B8</f>
        <v>130935</v>
      </c>
      <c r="F286" s="216">
        <f>'Rate Class Load Model'!C8</f>
        <v>283</v>
      </c>
      <c r="G286" s="216">
        <f>'Rate Class Load Model'!D8</f>
        <v>4149</v>
      </c>
      <c r="H286" s="216">
        <f t="shared" si="47"/>
        <v>135367</v>
      </c>
      <c r="I286"/>
      <c r="K286" s="209"/>
    </row>
    <row r="287" spans="2:20" ht="15" customHeight="1" x14ac:dyDescent="0.2">
      <c r="B287" s="219">
        <v>2014</v>
      </c>
      <c r="C287" s="221"/>
      <c r="D287" s="221"/>
      <c r="E287" s="216">
        <f>'Rate Class Load Model'!B9</f>
        <v>135393.63999999998</v>
      </c>
      <c r="F287" s="216">
        <f>'Rate Class Load Model'!C9</f>
        <v>299.94344444444442</v>
      </c>
      <c r="G287" s="216">
        <f>'Rate Class Load Model'!D9</f>
        <v>4581.3899999999994</v>
      </c>
      <c r="H287" s="216">
        <f t="shared" si="47"/>
        <v>140274.97344444442</v>
      </c>
      <c r="I287"/>
      <c r="K287" s="209"/>
    </row>
    <row r="288" spans="2:20" ht="15" customHeight="1" x14ac:dyDescent="0.2">
      <c r="B288" s="219">
        <v>2015</v>
      </c>
      <c r="C288" s="221"/>
      <c r="D288" s="221"/>
      <c r="E288" s="216">
        <f>'Rate Class Load Model'!B10</f>
        <v>141986.79999999999</v>
      </c>
      <c r="F288" s="216">
        <f>'Rate Class Load Model'!C10</f>
        <v>287.601</v>
      </c>
      <c r="G288" s="216">
        <f>'Rate Class Load Model'!D10</f>
        <v>3139.7699999999995</v>
      </c>
      <c r="H288" s="216">
        <f t="shared" si="47"/>
        <v>145414.17099999997</v>
      </c>
      <c r="I288"/>
      <c r="K288" s="209"/>
    </row>
    <row r="289" spans="2:11" ht="15" customHeight="1" x14ac:dyDescent="0.2">
      <c r="B289" s="219">
        <v>2016</v>
      </c>
      <c r="C289" s="221"/>
      <c r="D289" s="221"/>
      <c r="E289" s="216">
        <f>'Rate Class Load Model'!B11</f>
        <v>150801.71</v>
      </c>
      <c r="F289" s="216">
        <f>'Rate Class Load Model'!C11</f>
        <v>295.29266666666666</v>
      </c>
      <c r="G289" s="216">
        <f>'Rate Class Load Model'!D11</f>
        <v>1641.29</v>
      </c>
      <c r="H289" s="216">
        <f t="shared" ref="H289" si="48">SUM(E289:G289)</f>
        <v>152738.29266666668</v>
      </c>
      <c r="I289"/>
      <c r="K289" s="209"/>
    </row>
    <row r="290" spans="2:11" ht="12" customHeight="1" x14ac:dyDescent="0.2">
      <c r="B290" s="199"/>
      <c r="C290" s="199"/>
      <c r="D290" s="199"/>
      <c r="E290" s="220"/>
      <c r="F290" s="220"/>
      <c r="G290" s="220"/>
      <c r="H290" s="220"/>
      <c r="I290" s="209"/>
    </row>
    <row r="291" spans="2:11" ht="15.75" customHeight="1" x14ac:dyDescent="0.2">
      <c r="B291" s="180" t="s">
        <v>241</v>
      </c>
      <c r="C291" s="180"/>
      <c r="D291" s="180"/>
      <c r="E291" s="181"/>
      <c r="F291" s="181"/>
      <c r="G291" s="181"/>
      <c r="H291" s="181"/>
    </row>
    <row r="292" spans="2:11" ht="33.75" x14ac:dyDescent="0.2">
      <c r="B292" s="292" t="s">
        <v>147</v>
      </c>
      <c r="C292" s="293"/>
      <c r="D292" s="293"/>
      <c r="E292" s="291" t="str">
        <f>E278</f>
        <v>General Service 50 to 4,999 kW</v>
      </c>
      <c r="F292" s="291" t="str">
        <f>F278</f>
        <v xml:space="preserve">Sentinel Lighting </v>
      </c>
      <c r="G292" s="291" t="str">
        <f>G278</f>
        <v>Street Lighting</v>
      </c>
    </row>
    <row r="293" spans="2:11" ht="15" customHeight="1" x14ac:dyDescent="0.2">
      <c r="B293" s="390" t="s">
        <v>183</v>
      </c>
      <c r="C293" s="391"/>
      <c r="D293" s="391"/>
      <c r="E293" s="391"/>
      <c r="F293" s="391"/>
      <c r="G293" s="392"/>
    </row>
    <row r="294" spans="2:11" ht="15" customHeight="1" x14ac:dyDescent="0.2">
      <c r="B294" s="196">
        <f t="shared" ref="B294:B303" si="49">B280</f>
        <v>2007</v>
      </c>
      <c r="C294" s="197"/>
      <c r="D294" s="197"/>
      <c r="E294" s="235">
        <f>'Rate Class Load Model'!B15</f>
        <v>2.9744228021109562E-3</v>
      </c>
      <c r="F294" s="235">
        <f>'Rate Class Load Model'!C15</f>
        <v>2.7775359853130861E-3</v>
      </c>
      <c r="G294" s="235">
        <f>'Rate Class Load Model'!D15</f>
        <v>2.7761678722575066E-3</v>
      </c>
    </row>
    <row r="295" spans="2:11" ht="15" customHeight="1" x14ac:dyDescent="0.2">
      <c r="B295" s="196">
        <f t="shared" si="49"/>
        <v>2008</v>
      </c>
      <c r="C295" s="197"/>
      <c r="D295" s="197"/>
      <c r="E295" s="235">
        <f>'Rate Class Load Model'!B16</f>
        <v>2.9753615781794329E-3</v>
      </c>
      <c r="F295" s="235">
        <f>'Rate Class Load Model'!C16</f>
        <v>2.7777777777777779E-3</v>
      </c>
      <c r="G295" s="235">
        <f>'Rate Class Load Model'!D16</f>
        <v>2.7777777777777775E-3</v>
      </c>
    </row>
    <row r="296" spans="2:11" ht="15" customHeight="1" x14ac:dyDescent="0.2">
      <c r="B296" s="196">
        <f t="shared" si="49"/>
        <v>2009</v>
      </c>
      <c r="C296" s="197"/>
      <c r="D296" s="197"/>
      <c r="E296" s="235">
        <f>'Rate Class Load Model'!B17</f>
        <v>2.8673466943822815E-3</v>
      </c>
      <c r="F296" s="235">
        <f>'Rate Class Load Model'!C17</f>
        <v>2.7777777777777775E-3</v>
      </c>
      <c r="G296" s="235">
        <f>'Rate Class Load Model'!D17</f>
        <v>2.7714426097188959E-3</v>
      </c>
    </row>
    <row r="297" spans="2:11" ht="15" customHeight="1" x14ac:dyDescent="0.2">
      <c r="B297" s="196">
        <f t="shared" si="49"/>
        <v>2010</v>
      </c>
      <c r="C297" s="221"/>
      <c r="D297" s="221"/>
      <c r="E297" s="235">
        <f>'Rate Class Load Model'!B18</f>
        <v>2.8262406241067509E-3</v>
      </c>
      <c r="F297" s="235">
        <f>'Rate Class Load Model'!C18</f>
        <v>2.7777777777777779E-3</v>
      </c>
      <c r="G297" s="235">
        <f>'Rate Class Load Model'!D18</f>
        <v>2.7777777777777779E-3</v>
      </c>
    </row>
    <row r="298" spans="2:11" ht="15" customHeight="1" x14ac:dyDescent="0.2">
      <c r="B298" s="196">
        <f t="shared" si="49"/>
        <v>2011</v>
      </c>
      <c r="C298" s="221"/>
      <c r="D298" s="221"/>
      <c r="E298" s="235">
        <f>'Rate Class Load Model'!B19</f>
        <v>2.7928816654166065E-3</v>
      </c>
      <c r="F298" s="235">
        <f>'Rate Class Load Model'!C19</f>
        <v>2.7786344880638991E-3</v>
      </c>
      <c r="G298" s="235">
        <f>'Rate Class Load Model'!D19</f>
        <v>3.0301171204080647E-3</v>
      </c>
    </row>
    <row r="299" spans="2:11" ht="15" customHeight="1" x14ac:dyDescent="0.2">
      <c r="B299" s="196">
        <f t="shared" si="49"/>
        <v>2012</v>
      </c>
      <c r="C299" s="221"/>
      <c r="D299" s="221"/>
      <c r="E299" s="235">
        <f>'Rate Class Load Model'!B20</f>
        <v>2.8351067335104876E-3</v>
      </c>
      <c r="F299" s="235">
        <f>'Rate Class Load Model'!C20</f>
        <v>2.7787614696998322E-3</v>
      </c>
      <c r="G299" s="235">
        <f>'Rate Class Load Model'!D20</f>
        <v>2.8183570646069605E-3</v>
      </c>
    </row>
    <row r="300" spans="2:11" ht="15" customHeight="1" x14ac:dyDescent="0.2">
      <c r="B300" s="196">
        <f t="shared" si="49"/>
        <v>2013</v>
      </c>
      <c r="C300" s="221"/>
      <c r="D300" s="221"/>
      <c r="E300" s="235">
        <f>'Rate Class Load Model'!B21</f>
        <v>2.5712995330362158E-3</v>
      </c>
      <c r="F300" s="235">
        <f>'Rate Class Load Model'!C21</f>
        <v>2.7787614696998322E-3</v>
      </c>
      <c r="G300" s="235">
        <f>'Rate Class Load Model'!D21</f>
        <v>2.8183570646069605E-3</v>
      </c>
    </row>
    <row r="301" spans="2:11" ht="15" customHeight="1" x14ac:dyDescent="0.2">
      <c r="B301" s="196">
        <f t="shared" si="49"/>
        <v>2014</v>
      </c>
      <c r="C301" s="221"/>
      <c r="D301" s="221"/>
      <c r="E301" s="235">
        <f>'Rate Class Load Model'!B22</f>
        <v>2.6761726332885198E-3</v>
      </c>
      <c r="F301" s="235">
        <f>'Rate Class Load Model'!C22</f>
        <v>2.7777685168035231E-3</v>
      </c>
      <c r="G301" s="235">
        <f>'Rate Class Load Model'!D22</f>
        <v>2.8183570646069605E-3</v>
      </c>
    </row>
    <row r="302" spans="2:11" ht="15" customHeight="1" x14ac:dyDescent="0.2">
      <c r="B302" s="196">
        <f t="shared" si="49"/>
        <v>2015</v>
      </c>
      <c r="C302" s="221"/>
      <c r="D302" s="221"/>
      <c r="E302" s="235">
        <f>'Rate Class Load Model'!B23</f>
        <v>2.598764234956277E-3</v>
      </c>
      <c r="F302" s="235">
        <f>'Rate Class Load Model'!C23</f>
        <v>2.7777874362540566E-3</v>
      </c>
      <c r="G302" s="235">
        <f>'Rate Class Load Model'!D23</f>
        <v>2.8377125277013562E-3</v>
      </c>
    </row>
    <row r="303" spans="2:11" ht="15" customHeight="1" x14ac:dyDescent="0.2">
      <c r="B303" s="326">
        <f t="shared" si="49"/>
        <v>2016</v>
      </c>
      <c r="C303" s="221"/>
      <c r="D303" s="221"/>
      <c r="E303" s="235">
        <f>'Rate Class Load Model'!B24</f>
        <v>2.6008991050335915E-3</v>
      </c>
      <c r="F303" s="235">
        <f>'Rate Class Load Model'!C24</f>
        <v>2.7777777777777779E-3</v>
      </c>
      <c r="G303" s="235">
        <f>'Rate Class Load Model'!D24</f>
        <v>3.0589720777310543E-3</v>
      </c>
    </row>
    <row r="304" spans="2:11" ht="15" customHeight="1" x14ac:dyDescent="0.2">
      <c r="B304" s="196" t="s">
        <v>276</v>
      </c>
      <c r="C304" s="197"/>
      <c r="D304" s="197"/>
      <c r="E304" s="235">
        <f>AVERAGE(E294:E303)</f>
        <v>2.7718495604021121E-3</v>
      </c>
      <c r="F304" s="235">
        <f t="shared" ref="F304:G304" si="50">AVERAGE(F294:F303)</f>
        <v>2.7780360476945343E-3</v>
      </c>
      <c r="G304" s="235">
        <f t="shared" si="50"/>
        <v>2.8485038957193312E-3</v>
      </c>
    </row>
    <row r="305" spans="2:15" ht="15" customHeight="1" x14ac:dyDescent="0.2">
      <c r="B305" s="199"/>
      <c r="C305" s="199"/>
      <c r="D305" s="199"/>
      <c r="E305" s="236"/>
      <c r="F305" s="236"/>
    </row>
    <row r="306" spans="2:15" ht="15" customHeight="1" x14ac:dyDescent="0.2">
      <c r="B306" s="180" t="s">
        <v>242</v>
      </c>
      <c r="C306" s="180"/>
      <c r="D306" s="180"/>
      <c r="E306" s="181"/>
      <c r="F306" s="181"/>
      <c r="G306" s="181"/>
    </row>
    <row r="307" spans="2:15" ht="33.75" x14ac:dyDescent="0.2">
      <c r="B307" s="292" t="s">
        <v>147</v>
      </c>
      <c r="C307" s="293"/>
      <c r="D307" s="293"/>
      <c r="E307" s="291" t="str">
        <f>E292</f>
        <v>General Service 50 to 4,999 kW</v>
      </c>
      <c r="F307" s="291" t="str">
        <f>F292</f>
        <v xml:space="preserve">Sentinel Lighting </v>
      </c>
      <c r="G307" s="291" t="str">
        <f>G292</f>
        <v>Street Lighting</v>
      </c>
      <c r="H307" s="291" t="s">
        <v>9</v>
      </c>
    </row>
    <row r="308" spans="2:15" ht="15" customHeight="1" x14ac:dyDescent="0.2">
      <c r="B308" s="374" t="s">
        <v>184</v>
      </c>
      <c r="C308" s="375"/>
      <c r="D308" s="375"/>
      <c r="E308" s="375"/>
      <c r="F308" s="375"/>
      <c r="G308" s="375"/>
      <c r="H308" s="376"/>
    </row>
    <row r="309" spans="2:15" x14ac:dyDescent="0.2">
      <c r="B309" s="229" t="str">
        <f>B274</f>
        <v>2017 Test - Normalized</v>
      </c>
      <c r="C309" s="197"/>
      <c r="D309" s="198"/>
      <c r="E309" s="276">
        <f>E304*G274*1000000</f>
        <v>174966.34292758067</v>
      </c>
      <c r="F309" s="276">
        <f>F304*H274*1000000</f>
        <v>286.28122226821648</v>
      </c>
      <c r="G309" s="276">
        <f>G304*I274*1000000</f>
        <v>1598.6472960042558</v>
      </c>
      <c r="H309" s="276">
        <f>SUM(E309:G309)</f>
        <v>176851.27144585314</v>
      </c>
      <c r="I309" s="209"/>
      <c r="J309" s="209"/>
      <c r="K309" s="209"/>
      <c r="L309" s="209"/>
    </row>
    <row r="310" spans="2:15" ht="15" customHeight="1" x14ac:dyDescent="0.2">
      <c r="B310" s="199"/>
      <c r="C310" s="199"/>
      <c r="D310" s="199"/>
      <c r="E310" s="220"/>
      <c r="F310" s="220"/>
      <c r="G310" s="237"/>
    </row>
    <row r="311" spans="2:15" ht="15" customHeight="1" x14ac:dyDescent="0.2">
      <c r="B311" s="180" t="s">
        <v>243</v>
      </c>
      <c r="C311" s="180"/>
      <c r="D311" s="180"/>
      <c r="E311" s="181"/>
      <c r="F311" s="181"/>
      <c r="G311" s="181"/>
    </row>
    <row r="312" spans="2:15" ht="33.75" x14ac:dyDescent="0.2">
      <c r="B312" s="377"/>
      <c r="C312" s="378"/>
      <c r="D312" s="378"/>
      <c r="E312" s="379"/>
      <c r="F312" s="294" t="str">
        <f>Summary!H3</f>
        <v>2013 Actual</v>
      </c>
      <c r="G312" s="294" t="str">
        <f>Summary!I3</f>
        <v>2014 Actual</v>
      </c>
      <c r="H312" s="294" t="str">
        <f>Summary!J3</f>
        <v>2015 Actual</v>
      </c>
      <c r="I312" s="294" t="str">
        <f>Summary!K3</f>
        <v>2016 Actual</v>
      </c>
      <c r="J312" s="294" t="str">
        <f>Summary!L3</f>
        <v>2017 Weather Normal</v>
      </c>
      <c r="K312"/>
      <c r="L312"/>
      <c r="M312"/>
      <c r="N312"/>
      <c r="O312"/>
    </row>
    <row r="313" spans="2:15" ht="15" customHeight="1" x14ac:dyDescent="0.2">
      <c r="B313" s="374" t="s">
        <v>51</v>
      </c>
      <c r="C313" s="375"/>
      <c r="D313" s="375"/>
      <c r="E313" s="376"/>
      <c r="F313" s="190">
        <f>Summary!H4</f>
        <v>251758061.40000001</v>
      </c>
      <c r="G313" s="190">
        <f>Summary!I4</f>
        <v>253254986.30000001</v>
      </c>
      <c r="H313" s="190">
        <f>Summary!J4</f>
        <v>255774983.09999999</v>
      </c>
      <c r="I313" s="190">
        <f>Summary!K4</f>
        <v>259382036</v>
      </c>
      <c r="J313" s="190"/>
      <c r="K313"/>
      <c r="L313"/>
      <c r="M313"/>
      <c r="N313"/>
    </row>
    <row r="314" spans="2:15" ht="15" customHeight="1" x14ac:dyDescent="0.2">
      <c r="B314" s="374" t="s">
        <v>185</v>
      </c>
      <c r="C314" s="375"/>
      <c r="D314" s="375"/>
      <c r="E314" s="376"/>
      <c r="F314" s="190">
        <f>Summary!H5</f>
        <v>250054816.72654173</v>
      </c>
      <c r="G314" s="190">
        <f>Summary!I5</f>
        <v>254540889.88211167</v>
      </c>
      <c r="H314" s="190">
        <f>Summary!J5</f>
        <v>255309254.72807688</v>
      </c>
      <c r="I314" s="190">
        <f>Summary!K5</f>
        <v>261375684.70922133</v>
      </c>
      <c r="J314" s="190">
        <f>Summary!L5</f>
        <v>259701037.62542906</v>
      </c>
      <c r="K314"/>
      <c r="L314"/>
      <c r="M314"/>
      <c r="N314"/>
    </row>
    <row r="315" spans="2:15" x14ac:dyDescent="0.2">
      <c r="B315" s="371" t="s">
        <v>186</v>
      </c>
      <c r="C315" s="372"/>
      <c r="D315" s="372"/>
      <c r="E315" s="373"/>
      <c r="F315" s="215">
        <f>F314/F313-1</f>
        <v>-6.76540272032089E-3</v>
      </c>
      <c r="G315" s="215">
        <f>G314/G313-1</f>
        <v>5.0775054852756352E-3</v>
      </c>
      <c r="H315" s="215">
        <f>H314/H313-1</f>
        <v>-1.8208519311719851E-3</v>
      </c>
      <c r="I315" s="215">
        <f>I314/I313-1</f>
        <v>7.6861479690957246E-3</v>
      </c>
      <c r="J315" s="238"/>
      <c r="K315"/>
      <c r="L315"/>
      <c r="M315"/>
      <c r="N315"/>
    </row>
    <row r="316" spans="2:15" x14ac:dyDescent="0.2">
      <c r="B316" s="239"/>
      <c r="C316" s="240"/>
      <c r="D316" s="240"/>
      <c r="E316" s="241"/>
      <c r="F316" s="325"/>
      <c r="G316" s="242"/>
      <c r="H316" s="242"/>
      <c r="I316" s="242"/>
      <c r="J316" s="238"/>
      <c r="K316"/>
      <c r="L316"/>
      <c r="M316"/>
      <c r="N316"/>
    </row>
    <row r="317" spans="2:15" x14ac:dyDescent="0.2">
      <c r="B317" s="239" t="s">
        <v>1</v>
      </c>
      <c r="C317" s="240"/>
      <c r="D317" s="240"/>
      <c r="E317" s="241"/>
      <c r="F317" s="325"/>
      <c r="G317" s="242"/>
      <c r="H317" s="242"/>
      <c r="I317" s="242"/>
      <c r="J317" s="243">
        <f>'Rate Class Energy Model'!F21</f>
        <v>1.0731260816888806</v>
      </c>
      <c r="K317"/>
      <c r="L317"/>
      <c r="M317"/>
      <c r="N317"/>
    </row>
    <row r="318" spans="2:15" x14ac:dyDescent="0.2">
      <c r="B318" s="239"/>
      <c r="C318" s="240"/>
      <c r="D318" s="240"/>
      <c r="E318" s="241"/>
      <c r="F318" s="325"/>
      <c r="G318" s="242"/>
      <c r="H318" s="242"/>
      <c r="I318" s="242"/>
      <c r="J318" s="190"/>
      <c r="K318"/>
      <c r="L318"/>
      <c r="M318"/>
      <c r="N318"/>
    </row>
    <row r="319" spans="2:15" x14ac:dyDescent="0.2">
      <c r="B319" s="387" t="s">
        <v>187</v>
      </c>
      <c r="C319" s="388"/>
      <c r="D319" s="388"/>
      <c r="E319" s="389"/>
      <c r="F319" s="324"/>
      <c r="G319" s="242"/>
      <c r="H319" s="242"/>
      <c r="I319" s="242"/>
      <c r="J319" s="190">
        <f>J314/J317</f>
        <v>242004217.45104995</v>
      </c>
      <c r="K319"/>
      <c r="L319"/>
      <c r="M319"/>
      <c r="N319"/>
    </row>
    <row r="320" spans="2:15" x14ac:dyDescent="0.2">
      <c r="B320" s="371" t="s">
        <v>131</v>
      </c>
      <c r="C320" s="372"/>
      <c r="D320" s="372"/>
      <c r="E320" s="373"/>
      <c r="F320" s="325"/>
      <c r="G320" s="242"/>
      <c r="H320" s="242"/>
      <c r="I320" s="242"/>
      <c r="J320" s="194">
        <f>-'Rate Class Energy Model'!G67</f>
        <v>2336333</v>
      </c>
      <c r="K320"/>
      <c r="L320"/>
      <c r="M320"/>
      <c r="N320"/>
    </row>
    <row r="321" spans="2:14" x14ac:dyDescent="0.2">
      <c r="B321" s="374" t="s">
        <v>188</v>
      </c>
      <c r="C321" s="375"/>
      <c r="D321" s="375"/>
      <c r="E321" s="376"/>
      <c r="F321" s="328"/>
      <c r="G321" s="190"/>
      <c r="H321" s="190"/>
      <c r="I321" s="190"/>
      <c r="J321" s="190">
        <f>J319-J320</f>
        <v>239667884.45104995</v>
      </c>
      <c r="K321"/>
      <c r="L321"/>
      <c r="M321"/>
      <c r="N321"/>
    </row>
    <row r="322" spans="2:14" customFormat="1" ht="15" customHeight="1" x14ac:dyDescent="0.2">
      <c r="N322" s="244"/>
    </row>
    <row r="323" spans="2:14" customFormat="1" ht="15" customHeight="1" x14ac:dyDescent="0.2"/>
    <row r="324" spans="2:14" customFormat="1" ht="15" customHeight="1" x14ac:dyDescent="0.2">
      <c r="B324" s="180" t="s">
        <v>244</v>
      </c>
    </row>
    <row r="325" spans="2:14" ht="33.75" x14ac:dyDescent="0.2">
      <c r="B325" s="303"/>
      <c r="C325" s="304"/>
      <c r="D325" s="304"/>
      <c r="E325" s="294" t="str">
        <f>B14</f>
        <v>2013 Board Approved</v>
      </c>
      <c r="F325" s="294" t="str">
        <f>F312</f>
        <v>2013 Actual</v>
      </c>
      <c r="G325" s="294" t="str">
        <f>G312</f>
        <v>2014 Actual</v>
      </c>
      <c r="H325" s="294" t="str">
        <f>H312</f>
        <v>2015 Actual</v>
      </c>
      <c r="I325" s="294" t="str">
        <f>I312</f>
        <v>2016 Actual</v>
      </c>
      <c r="J325" s="294" t="str">
        <f>J312</f>
        <v>2017 Weather Normal</v>
      </c>
      <c r="K325"/>
      <c r="L325"/>
      <c r="M325"/>
      <c r="N325"/>
    </row>
    <row r="326" spans="2:14" ht="15" customHeight="1" x14ac:dyDescent="0.2">
      <c r="B326" s="309" t="s">
        <v>56</v>
      </c>
      <c r="C326" s="310"/>
      <c r="D326" s="310"/>
      <c r="E326" s="310"/>
      <c r="F326" s="310"/>
      <c r="G326" s="310"/>
      <c r="H326" s="310"/>
      <c r="I326" s="310"/>
      <c r="J326" s="311"/>
      <c r="K326"/>
      <c r="L326"/>
      <c r="M326"/>
      <c r="N326"/>
    </row>
    <row r="327" spans="2:14" ht="15" customHeight="1" x14ac:dyDescent="0.2">
      <c r="B327" s="326" t="s">
        <v>45</v>
      </c>
      <c r="C327" s="327"/>
      <c r="D327" s="327"/>
      <c r="E327" s="208">
        <f>E51</f>
        <v>14189</v>
      </c>
      <c r="F327" s="190">
        <f>Summary!H14</f>
        <v>14181</v>
      </c>
      <c r="G327" s="190">
        <f>Summary!I14</f>
        <v>14509.166666666666</v>
      </c>
      <c r="H327" s="190">
        <f>Summary!J14</f>
        <v>14861.583333333334</v>
      </c>
      <c r="I327" s="190">
        <f>Summary!K14</f>
        <v>15201.583333333334</v>
      </c>
      <c r="J327" s="190">
        <f>Summary!L14</f>
        <v>15554.75</v>
      </c>
      <c r="K327"/>
      <c r="L327"/>
      <c r="M327"/>
      <c r="N327"/>
    </row>
    <row r="328" spans="2:14" ht="15" customHeight="1" x14ac:dyDescent="0.2">
      <c r="B328" s="326" t="s">
        <v>46</v>
      </c>
      <c r="C328" s="327"/>
      <c r="D328" s="327"/>
      <c r="E328" s="208">
        <f>E33*1000000</f>
        <v>148148873</v>
      </c>
      <c r="F328" s="190">
        <f>Summary!H15</f>
        <v>148837682</v>
      </c>
      <c r="G328" s="190">
        <f>Summary!I15</f>
        <v>153331484.31999999</v>
      </c>
      <c r="H328" s="190">
        <f>Summary!J15</f>
        <v>151892216</v>
      </c>
      <c r="I328" s="190">
        <f>Summary!K15</f>
        <v>149508941.91</v>
      </c>
      <c r="J328" s="190">
        <f>Summary!L15</f>
        <v>144001990.04708877</v>
      </c>
      <c r="K328"/>
      <c r="L328"/>
      <c r="M328"/>
      <c r="N328"/>
    </row>
    <row r="329" spans="2:14" ht="15" customHeight="1" x14ac:dyDescent="0.2">
      <c r="B329" s="309" t="s">
        <v>189</v>
      </c>
      <c r="C329" s="312"/>
      <c r="D329" s="312"/>
      <c r="E329" s="312"/>
      <c r="F329" s="312"/>
      <c r="G329" s="312"/>
      <c r="H329" s="310"/>
      <c r="I329" s="310"/>
      <c r="J329" s="311"/>
      <c r="K329"/>
      <c r="L329"/>
      <c r="M329"/>
      <c r="N329"/>
    </row>
    <row r="330" spans="2:14" ht="15" customHeight="1" x14ac:dyDescent="0.2">
      <c r="B330" s="326" t="str">
        <f>B327</f>
        <v xml:space="preserve">  Customers</v>
      </c>
      <c r="C330" s="327"/>
      <c r="D330" s="327"/>
      <c r="E330" s="208"/>
      <c r="F330" s="245">
        <f>IF(ISERROR((F327-$E327)/$E327),0,(F327-$E327)/$E327)</f>
        <v>-5.6381704137007543E-4</v>
      </c>
      <c r="G330" s="245">
        <f>IF(ISERROR((G327-$E327)/$E327),0,(G327-$E327)/$E327)</f>
        <v>2.2564427843164852E-2</v>
      </c>
      <c r="H330" s="245">
        <f t="shared" ref="H330:J331" si="51">IF(ISERROR((H327-$E327)/$E327),0,(H327-$E327)/$E327)</f>
        <v>4.7401743134352949E-2</v>
      </c>
      <c r="I330" s="245">
        <f t="shared" si="51"/>
        <v>7.1363967392581149E-2</v>
      </c>
      <c r="J330" s="245">
        <f t="shared" si="51"/>
        <v>9.6254140531397567E-2</v>
      </c>
      <c r="K330"/>
      <c r="L330"/>
      <c r="M330"/>
      <c r="N330"/>
    </row>
    <row r="331" spans="2:14" ht="15" customHeight="1" x14ac:dyDescent="0.2">
      <c r="B331" s="326" t="str">
        <f>B328</f>
        <v xml:space="preserve">  kWh</v>
      </c>
      <c r="C331" s="327"/>
      <c r="D331" s="327"/>
      <c r="E331" s="208"/>
      <c r="F331" s="245">
        <f>IF(ISERROR((F328-$E328)/$E328),0,(F328-$E328)/$E328)</f>
        <v>4.649438001462218E-3</v>
      </c>
      <c r="G331" s="245">
        <f>IF(ISERROR((G328-$E328)/$E328),0,(G328-$E328)/$E328)</f>
        <v>3.498245524959203E-2</v>
      </c>
      <c r="H331" s="245">
        <f t="shared" si="51"/>
        <v>2.5267441622725002E-2</v>
      </c>
      <c r="I331" s="245">
        <f t="shared" si="51"/>
        <v>9.1804202249989204E-3</v>
      </c>
      <c r="J331" s="245">
        <f t="shared" si="51"/>
        <v>-2.7991322977605291E-2</v>
      </c>
      <c r="K331"/>
      <c r="L331"/>
      <c r="M331"/>
      <c r="N331"/>
    </row>
    <row r="332" spans="2:14" ht="9" customHeight="1" x14ac:dyDescent="0.2">
      <c r="B332" s="326"/>
      <c r="C332" s="327"/>
      <c r="D332" s="327"/>
      <c r="E332" s="277"/>
      <c r="F332" s="278"/>
      <c r="G332" s="278"/>
      <c r="H332" s="278"/>
      <c r="I332" s="278"/>
      <c r="J332" s="279"/>
      <c r="K332"/>
      <c r="L332"/>
      <c r="M332"/>
      <c r="N332"/>
    </row>
    <row r="333" spans="2:14" ht="15" customHeight="1" x14ac:dyDescent="0.2">
      <c r="B333" s="309" t="str">
        <f>F264</f>
        <v>General Service &lt; 50 kW</v>
      </c>
      <c r="C333" s="312"/>
      <c r="D333" s="310"/>
      <c r="E333" s="310"/>
      <c r="F333" s="310"/>
      <c r="G333" s="310"/>
      <c r="H333" s="310"/>
      <c r="I333" s="310"/>
      <c r="J333" s="311"/>
      <c r="K333"/>
      <c r="L333"/>
      <c r="M333"/>
      <c r="N333"/>
    </row>
    <row r="334" spans="2:14" ht="15" customHeight="1" x14ac:dyDescent="0.2">
      <c r="B334" s="326" t="s">
        <v>45</v>
      </c>
      <c r="C334" s="327"/>
      <c r="D334" s="327"/>
      <c r="E334" s="208">
        <f>F51</f>
        <v>910</v>
      </c>
      <c r="F334" s="190">
        <f>Summary!H18</f>
        <v>949.25</v>
      </c>
      <c r="G334" s="190">
        <f>Summary!I18</f>
        <v>991.25</v>
      </c>
      <c r="H334" s="190">
        <f>Summary!J18</f>
        <v>1000.5833333333334</v>
      </c>
      <c r="I334" s="190">
        <f>Summary!K18</f>
        <v>1016.25</v>
      </c>
      <c r="J334" s="190">
        <f>Summary!L18</f>
        <v>1034.4166666666667</v>
      </c>
      <c r="K334"/>
      <c r="L334"/>
      <c r="M334"/>
      <c r="N334"/>
    </row>
    <row r="335" spans="2:14" ht="15" customHeight="1" x14ac:dyDescent="0.2">
      <c r="B335" s="326" t="s">
        <v>46</v>
      </c>
      <c r="C335" s="327"/>
      <c r="D335" s="327"/>
      <c r="E335" s="208">
        <f>F33*1000000</f>
        <v>31781016</v>
      </c>
      <c r="F335" s="190">
        <f>Summary!H19</f>
        <v>31038184</v>
      </c>
      <c r="G335" s="190">
        <f>Summary!I19</f>
        <v>32222518.180000003</v>
      </c>
      <c r="H335" s="190">
        <f>Summary!J19</f>
        <v>34381050</v>
      </c>
      <c r="I335" s="190">
        <f>Summary!K19</f>
        <v>33411508.120000005</v>
      </c>
      <c r="J335" s="190">
        <f>Summary!L19</f>
        <v>31418007.178141017</v>
      </c>
      <c r="K335"/>
      <c r="L335"/>
      <c r="M335"/>
      <c r="N335"/>
    </row>
    <row r="336" spans="2:14" ht="15" customHeight="1" x14ac:dyDescent="0.2">
      <c r="B336" s="309" t="s">
        <v>189</v>
      </c>
      <c r="C336" s="312"/>
      <c r="D336" s="312"/>
      <c r="E336" s="312"/>
      <c r="F336" s="312"/>
      <c r="G336" s="312"/>
      <c r="H336" s="310"/>
      <c r="I336" s="310"/>
      <c r="J336" s="311"/>
      <c r="K336"/>
      <c r="L336"/>
      <c r="M336"/>
      <c r="N336"/>
    </row>
    <row r="337" spans="2:15" ht="15" customHeight="1" x14ac:dyDescent="0.2">
      <c r="B337" s="326" t="str">
        <f>B334</f>
        <v xml:space="preserve">  Customers</v>
      </c>
      <c r="C337" s="327"/>
      <c r="D337" s="327"/>
      <c r="E337" s="208"/>
      <c r="F337" s="245">
        <f>IF(ISERROR((F334-$E334)/$E334),0,(F334-$E334)/$E334)</f>
        <v>4.3131868131868131E-2</v>
      </c>
      <c r="G337" s="245">
        <f>IF(ISERROR((G334-$E334)/$E334),0,(G334-$E334)/$E334)</f>
        <v>8.9285714285714288E-2</v>
      </c>
      <c r="H337" s="245">
        <f t="shared" ref="H337:J338" si="52">IF(ISERROR((H334-$E334)/$E334),0,(H334-$E334)/$E334)</f>
        <v>9.9542124542124577E-2</v>
      </c>
      <c r="I337" s="245">
        <f t="shared" si="52"/>
        <v>0.11675824175824176</v>
      </c>
      <c r="J337" s="245">
        <f t="shared" si="52"/>
        <v>0.13672161172161182</v>
      </c>
      <c r="K337"/>
      <c r="L337"/>
      <c r="M337"/>
      <c r="N337"/>
    </row>
    <row r="338" spans="2:15" ht="15" customHeight="1" x14ac:dyDescent="0.2">
      <c r="B338" s="326" t="str">
        <f>B335</f>
        <v xml:space="preserve">  kWh</v>
      </c>
      <c r="C338" s="327"/>
      <c r="D338" s="327"/>
      <c r="E338" s="208"/>
      <c r="F338" s="245">
        <f>IF(ISERROR((F335-$E335)/$E335),0,(F335-$E335)/$E335)</f>
        <v>-2.3373450364204844E-2</v>
      </c>
      <c r="G338" s="245">
        <f>IF(ISERROR((G335-$E335)/$E335),0,(G335-$E335)/$E335)</f>
        <v>1.3892009619831015E-2</v>
      </c>
      <c r="H338" s="245">
        <f t="shared" si="52"/>
        <v>8.181091504437743E-2</v>
      </c>
      <c r="I338" s="245">
        <f t="shared" si="52"/>
        <v>5.1303964605788711E-2</v>
      </c>
      <c r="J338" s="245">
        <f t="shared" si="52"/>
        <v>-1.1422190588840316E-2</v>
      </c>
      <c r="K338"/>
      <c r="L338"/>
      <c r="M338"/>
      <c r="N338"/>
    </row>
    <row r="339" spans="2:15" ht="9" customHeight="1" x14ac:dyDescent="0.2">
      <c r="B339" s="229"/>
      <c r="C339" s="230"/>
      <c r="D339" s="230"/>
      <c r="E339" s="230"/>
      <c r="F339" s="230"/>
      <c r="G339" s="230"/>
      <c r="H339" s="230"/>
      <c r="I339" s="230"/>
      <c r="J339" s="231"/>
      <c r="K339"/>
      <c r="L339"/>
      <c r="M339"/>
      <c r="N339"/>
    </row>
    <row r="340" spans="2:15" ht="15" customHeight="1" x14ac:dyDescent="0.2">
      <c r="B340" s="309" t="s">
        <v>159</v>
      </c>
      <c r="C340" s="312"/>
      <c r="D340" s="312"/>
      <c r="E340" s="310"/>
      <c r="F340" s="310"/>
      <c r="G340" s="310"/>
      <c r="H340" s="310"/>
      <c r="I340" s="310"/>
      <c r="J340" s="311"/>
      <c r="K340"/>
      <c r="L340"/>
      <c r="M340"/>
      <c r="N340"/>
    </row>
    <row r="341" spans="2:15" ht="15" customHeight="1" x14ac:dyDescent="0.2">
      <c r="B341" s="326" t="s">
        <v>45</v>
      </c>
      <c r="C341" s="327"/>
      <c r="D341" s="327"/>
      <c r="E341" s="208">
        <f>G51</f>
        <v>66</v>
      </c>
      <c r="F341" s="190">
        <f>Summary!H22</f>
        <v>67</v>
      </c>
      <c r="G341" s="190">
        <f>Summary!I22</f>
        <v>67.166666666666671</v>
      </c>
      <c r="H341" s="190">
        <f>Summary!J22</f>
        <v>71.5</v>
      </c>
      <c r="I341" s="190">
        <f>Summary!K22</f>
        <v>75.583333333333329</v>
      </c>
      <c r="J341" s="190">
        <f>Summary!L22</f>
        <v>87.5</v>
      </c>
      <c r="K341"/>
      <c r="L341"/>
      <c r="M341"/>
      <c r="N341"/>
    </row>
    <row r="342" spans="2:15" ht="15" customHeight="1" x14ac:dyDescent="0.2">
      <c r="B342" s="326" t="s">
        <v>46</v>
      </c>
      <c r="C342" s="327"/>
      <c r="D342" s="327"/>
      <c r="E342" s="208">
        <f>G33*1000000</f>
        <v>51329341</v>
      </c>
      <c r="F342" s="280">
        <f>Summary!H23</f>
        <v>50921722</v>
      </c>
      <c r="G342" s="280">
        <f>Summary!I23</f>
        <v>50592266.850000001</v>
      </c>
      <c r="H342" s="280">
        <f>Summary!J23</f>
        <v>54636276</v>
      </c>
      <c r="I342" s="280">
        <f>Summary!K23</f>
        <v>57980607.439999998</v>
      </c>
      <c r="J342" s="280">
        <f>Summary!L23</f>
        <v>63122597.065548651</v>
      </c>
      <c r="K342"/>
      <c r="L342"/>
      <c r="M342"/>
      <c r="N342"/>
    </row>
    <row r="343" spans="2:15" ht="15" customHeight="1" x14ac:dyDescent="0.2">
      <c r="B343" s="326" t="s">
        <v>47</v>
      </c>
      <c r="C343" s="327"/>
      <c r="D343" s="327"/>
      <c r="E343" s="208">
        <v>147666</v>
      </c>
      <c r="F343" s="280">
        <f>Summary!H24</f>
        <v>130935</v>
      </c>
      <c r="G343" s="280">
        <f>Summary!I24</f>
        <v>135393.63999999998</v>
      </c>
      <c r="H343" s="280">
        <f>Summary!J24</f>
        <v>141986.79999999999</v>
      </c>
      <c r="I343" s="280">
        <f>Summary!K24</f>
        <v>150801.71</v>
      </c>
      <c r="J343" s="280">
        <f>Summary!L24</f>
        <v>174966.34292758067</v>
      </c>
      <c r="K343"/>
      <c r="L343"/>
      <c r="M343"/>
      <c r="N343"/>
    </row>
    <row r="344" spans="2:15" ht="15" customHeight="1" x14ac:dyDescent="0.2">
      <c r="B344" s="309" t="s">
        <v>189</v>
      </c>
      <c r="C344" s="312"/>
      <c r="D344" s="312"/>
      <c r="E344" s="312"/>
      <c r="F344" s="310"/>
      <c r="G344" s="310"/>
      <c r="H344" s="310"/>
      <c r="I344" s="310"/>
      <c r="J344" s="311"/>
      <c r="K344"/>
      <c r="L344"/>
      <c r="M344"/>
      <c r="N344"/>
    </row>
    <row r="345" spans="2:15" ht="15" customHeight="1" x14ac:dyDescent="0.2">
      <c r="B345" s="326" t="str">
        <f>B341</f>
        <v xml:space="preserve">  Customers</v>
      </c>
      <c r="C345" s="327"/>
      <c r="D345" s="327"/>
      <c r="E345" s="208"/>
      <c r="F345" s="245">
        <f t="shared" ref="F345:G347" si="53">IF(ISERROR((F341-$E341)/$E341),0,(F341-$E341)/$E341)</f>
        <v>1.5151515151515152E-2</v>
      </c>
      <c r="G345" s="245">
        <f t="shared" si="53"/>
        <v>1.7676767676767749E-2</v>
      </c>
      <c r="H345" s="245">
        <f t="shared" ref="H345:J347" si="54">IF(ISERROR((H341-$E341)/$E341),0,(H341-$E341)/$E341)</f>
        <v>8.3333333333333329E-2</v>
      </c>
      <c r="I345" s="245">
        <f t="shared" si="54"/>
        <v>0.14520202020202014</v>
      </c>
      <c r="J345" s="245">
        <f t="shared" si="54"/>
        <v>0.32575757575757575</v>
      </c>
      <c r="K345"/>
      <c r="L345"/>
      <c r="M345"/>
      <c r="N345"/>
    </row>
    <row r="346" spans="2:15" ht="15" customHeight="1" x14ac:dyDescent="0.2">
      <c r="B346" s="326" t="str">
        <f>B342</f>
        <v xml:space="preserve">  kWh</v>
      </c>
      <c r="C346" s="327"/>
      <c r="D346" s="327"/>
      <c r="E346" s="208"/>
      <c r="F346" s="245">
        <f t="shared" si="53"/>
        <v>-7.9412474826045399E-3</v>
      </c>
      <c r="G346" s="245">
        <f t="shared" si="53"/>
        <v>-1.4359704131015408E-2</v>
      </c>
      <c r="H346" s="245">
        <f t="shared" si="54"/>
        <v>6.4425822260215648E-2</v>
      </c>
      <c r="I346" s="245">
        <f t="shared" si="54"/>
        <v>0.12958020326035352</v>
      </c>
      <c r="J346" s="245">
        <f t="shared" si="54"/>
        <v>0.2297566233228798</v>
      </c>
      <c r="K346"/>
      <c r="L346"/>
      <c r="M346"/>
      <c r="N346"/>
    </row>
    <row r="347" spans="2:15" ht="15" customHeight="1" x14ac:dyDescent="0.2">
      <c r="B347" s="326" t="str">
        <f>B343</f>
        <v xml:space="preserve">  kW</v>
      </c>
      <c r="C347" s="327"/>
      <c r="D347" s="327"/>
      <c r="E347" s="208"/>
      <c r="F347" s="245">
        <f t="shared" si="53"/>
        <v>-0.11330299459591239</v>
      </c>
      <c r="G347" s="245">
        <f t="shared" si="53"/>
        <v>-8.3108907940893748E-2</v>
      </c>
      <c r="H347" s="245">
        <f t="shared" si="54"/>
        <v>-3.8459767312719322E-2</v>
      </c>
      <c r="I347" s="245">
        <f t="shared" si="54"/>
        <v>2.1235152303170614E-2</v>
      </c>
      <c r="J347" s="245">
        <f t="shared" si="54"/>
        <v>0.18487900347798863</v>
      </c>
      <c r="K347"/>
      <c r="L347"/>
      <c r="M347"/>
      <c r="N347"/>
    </row>
    <row r="348" spans="2:15" ht="36.75" customHeight="1" x14ac:dyDescent="0.2">
      <c r="B348" s="303"/>
      <c r="C348" s="304"/>
      <c r="D348" s="304"/>
      <c r="E348" s="294" t="s">
        <v>198</v>
      </c>
      <c r="F348" s="294" t="s">
        <v>123</v>
      </c>
      <c r="G348" s="294" t="s">
        <v>124</v>
      </c>
      <c r="H348" s="294" t="s">
        <v>125</v>
      </c>
      <c r="I348" s="294" t="s">
        <v>257</v>
      </c>
      <c r="J348" s="294" t="s">
        <v>126</v>
      </c>
      <c r="K348"/>
      <c r="L348"/>
      <c r="M348"/>
      <c r="N348"/>
      <c r="O348"/>
    </row>
    <row r="349" spans="2:15" ht="15" customHeight="1" x14ac:dyDescent="0.2">
      <c r="B349" s="309" t="s">
        <v>202</v>
      </c>
      <c r="C349" s="312"/>
      <c r="D349" s="310"/>
      <c r="E349" s="310"/>
      <c r="F349" s="310"/>
      <c r="G349" s="310"/>
      <c r="H349" s="310"/>
      <c r="I349" s="310"/>
      <c r="J349" s="311"/>
      <c r="K349"/>
      <c r="L349"/>
      <c r="M349"/>
      <c r="N349"/>
    </row>
    <row r="350" spans="2:15" ht="15" customHeight="1" x14ac:dyDescent="0.2">
      <c r="B350" s="326" t="s">
        <v>63</v>
      </c>
      <c r="C350" s="327"/>
      <c r="D350" s="327"/>
      <c r="E350" s="208">
        <f>H51</f>
        <v>237</v>
      </c>
      <c r="F350" s="190">
        <f>Summary!H27</f>
        <v>168</v>
      </c>
      <c r="G350" s="190">
        <f>Summary!I27</f>
        <v>169.41666666666666</v>
      </c>
      <c r="H350" s="190">
        <f>Summary!J27</f>
        <v>165.75</v>
      </c>
      <c r="I350" s="190">
        <f>Summary!K27</f>
        <v>166.08333333333334</v>
      </c>
      <c r="J350" s="190">
        <f>Summary!L27</f>
        <v>161</v>
      </c>
      <c r="K350"/>
      <c r="L350"/>
      <c r="M350"/>
      <c r="N350"/>
    </row>
    <row r="351" spans="2:15" ht="15" customHeight="1" x14ac:dyDescent="0.2">
      <c r="B351" s="326" t="s">
        <v>46</v>
      </c>
      <c r="C351" s="327"/>
      <c r="D351" s="327"/>
      <c r="E351" s="208">
        <f>H33*1000000</f>
        <v>104942</v>
      </c>
      <c r="F351" s="190">
        <f>Summary!H28</f>
        <v>101843.93410009757</v>
      </c>
      <c r="G351" s="190">
        <f>Summary!I28</f>
        <v>107980</v>
      </c>
      <c r="H351" s="190">
        <f>Summary!J28</f>
        <v>103536</v>
      </c>
      <c r="I351" s="190">
        <f>Summary!K28</f>
        <v>106305.36</v>
      </c>
      <c r="J351" s="190">
        <f>Summary!L28</f>
        <v>103051.65856497742</v>
      </c>
      <c r="K351"/>
      <c r="L351"/>
      <c r="M351"/>
      <c r="N351"/>
    </row>
    <row r="352" spans="2:15" ht="15" customHeight="1" x14ac:dyDescent="0.2">
      <c r="B352" s="326" t="s">
        <v>47</v>
      </c>
      <c r="C352" s="327"/>
      <c r="D352" s="327"/>
      <c r="E352" s="208">
        <v>292</v>
      </c>
      <c r="F352" s="190">
        <f>Summary!H29</f>
        <v>283</v>
      </c>
      <c r="G352" s="190">
        <f>Summary!I29</f>
        <v>299.94344444444442</v>
      </c>
      <c r="H352" s="190">
        <f>Summary!J29</f>
        <v>287.601</v>
      </c>
      <c r="I352" s="190">
        <f>Summary!K29</f>
        <v>295.29266666666666</v>
      </c>
      <c r="J352" s="190">
        <f>Summary!L29</f>
        <v>286.28122226821648</v>
      </c>
      <c r="K352"/>
      <c r="L352"/>
      <c r="M352"/>
      <c r="N352"/>
    </row>
    <row r="353" spans="2:15" ht="15" customHeight="1" x14ac:dyDescent="0.2">
      <c r="B353" s="309" t="s">
        <v>189</v>
      </c>
      <c r="C353" s="312"/>
      <c r="D353" s="312"/>
      <c r="E353" s="312"/>
      <c r="F353" s="310"/>
      <c r="G353" s="310"/>
      <c r="H353" s="310"/>
      <c r="I353" s="310"/>
      <c r="J353" s="311"/>
      <c r="K353"/>
      <c r="L353"/>
      <c r="M353"/>
      <c r="N353"/>
    </row>
    <row r="354" spans="2:15" ht="15" customHeight="1" x14ac:dyDescent="0.2">
      <c r="B354" s="326" t="str">
        <f>B350</f>
        <v xml:space="preserve">  Connections</v>
      </c>
      <c r="C354" s="327"/>
      <c r="D354" s="327"/>
      <c r="E354" s="208"/>
      <c r="F354" s="245">
        <f t="shared" ref="F354:G356" si="55">IF(ISERROR((F350-$E350)/$E350),0,(F350-$E350)/$E350)</f>
        <v>-0.29113924050632911</v>
      </c>
      <c r="G354" s="245">
        <f t="shared" si="55"/>
        <v>-0.28516174402250355</v>
      </c>
      <c r="H354" s="245">
        <f t="shared" ref="H354:J356" si="56">IF(ISERROR((H350-$E350)/$E350),0,(H350-$E350)/$E350)</f>
        <v>-0.30063291139240506</v>
      </c>
      <c r="I354" s="245">
        <f t="shared" si="56"/>
        <v>-0.29922644163150486</v>
      </c>
      <c r="J354" s="245">
        <f t="shared" si="56"/>
        <v>-0.32067510548523209</v>
      </c>
      <c r="K354"/>
      <c r="L354"/>
      <c r="M354"/>
      <c r="N354"/>
    </row>
    <row r="355" spans="2:15" ht="15" customHeight="1" x14ac:dyDescent="0.2">
      <c r="B355" s="326" t="str">
        <f>B351</f>
        <v xml:space="preserve">  kWh</v>
      </c>
      <c r="C355" s="327"/>
      <c r="D355" s="327"/>
      <c r="E355" s="208"/>
      <c r="F355" s="245">
        <f t="shared" si="55"/>
        <v>-2.9521696745844664E-2</v>
      </c>
      <c r="G355" s="245">
        <f t="shared" si="55"/>
        <v>2.8949324388709955E-2</v>
      </c>
      <c r="H355" s="245">
        <f t="shared" si="56"/>
        <v>-1.3397876922490519E-2</v>
      </c>
      <c r="I355" s="245">
        <f t="shared" si="56"/>
        <v>1.2991557241142732E-2</v>
      </c>
      <c r="J355" s="245">
        <f t="shared" si="56"/>
        <v>-1.8013201911747247E-2</v>
      </c>
      <c r="K355"/>
      <c r="L355"/>
      <c r="M355"/>
      <c r="N355"/>
    </row>
    <row r="356" spans="2:15" ht="15" customHeight="1" x14ac:dyDescent="0.2">
      <c r="B356" s="326" t="str">
        <f>B352</f>
        <v xml:space="preserve">  kW</v>
      </c>
      <c r="C356" s="327"/>
      <c r="D356" s="327"/>
      <c r="E356" s="208"/>
      <c r="F356" s="245">
        <f t="shared" si="55"/>
        <v>-3.0821917808219176E-2</v>
      </c>
      <c r="G356" s="245">
        <f t="shared" si="55"/>
        <v>2.7203576864535697E-2</v>
      </c>
      <c r="H356" s="245">
        <f t="shared" si="56"/>
        <v>-1.5065068493150688E-2</v>
      </c>
      <c r="I356" s="245">
        <f t="shared" si="56"/>
        <v>1.127625570776254E-2</v>
      </c>
      <c r="J356" s="245">
        <f t="shared" si="56"/>
        <v>-1.9584855245833966E-2</v>
      </c>
      <c r="K356"/>
      <c r="L356"/>
      <c r="M356"/>
      <c r="N356"/>
    </row>
    <row r="357" spans="2:15" ht="9" customHeight="1" x14ac:dyDescent="0.2">
      <c r="B357" s="91"/>
      <c r="C357" s="310"/>
      <c r="D357" s="310"/>
      <c r="E357" s="310"/>
      <c r="F357" s="310"/>
      <c r="G357" s="310"/>
      <c r="H357" s="310"/>
      <c r="I357" s="310"/>
      <c r="J357" s="311"/>
      <c r="K357"/>
      <c r="L357"/>
      <c r="M357"/>
      <c r="N357"/>
    </row>
    <row r="358" spans="2:15" ht="15" customHeight="1" x14ac:dyDescent="0.2">
      <c r="B358" s="309" t="s">
        <v>94</v>
      </c>
      <c r="C358" s="310"/>
      <c r="D358" s="310"/>
      <c r="E358" s="310"/>
      <c r="F358" s="310"/>
      <c r="G358" s="310"/>
      <c r="H358" s="310"/>
      <c r="I358" s="310"/>
      <c r="J358" s="311"/>
      <c r="K358"/>
      <c r="L358"/>
      <c r="M358"/>
      <c r="N358"/>
    </row>
    <row r="359" spans="2:15" ht="15" customHeight="1" x14ac:dyDescent="0.2">
      <c r="B359" s="326" t="s">
        <v>63</v>
      </c>
      <c r="C359" s="327"/>
      <c r="D359" s="327"/>
      <c r="E359" s="208">
        <f>I51</f>
        <v>2889</v>
      </c>
      <c r="F359" s="190">
        <f>Summary!H32</f>
        <v>2843.3333333333335</v>
      </c>
      <c r="G359" s="190">
        <f>Summary!I32</f>
        <v>2923.3333333333335</v>
      </c>
      <c r="H359" s="190">
        <f>Summary!J32</f>
        <v>2897.6666666666665</v>
      </c>
      <c r="I359" s="190">
        <f>Summary!K32</f>
        <v>2863.1666666666665</v>
      </c>
      <c r="J359" s="190">
        <f>Summary!L32</f>
        <v>2994.8333333333335</v>
      </c>
      <c r="K359"/>
      <c r="L359"/>
      <c r="M359"/>
      <c r="N359"/>
      <c r="O359"/>
    </row>
    <row r="360" spans="2:15" ht="15" customHeight="1" x14ac:dyDescent="0.2">
      <c r="B360" s="326" t="s">
        <v>46</v>
      </c>
      <c r="C360" s="327"/>
      <c r="D360" s="327"/>
      <c r="E360" s="208">
        <f>I33*1000000</f>
        <v>1516831</v>
      </c>
      <c r="F360" s="280">
        <f>Summary!H33</f>
        <v>1472134.2629375483</v>
      </c>
      <c r="G360" s="280">
        <f>Summary!I33</f>
        <v>1625553.4323642934</v>
      </c>
      <c r="H360" s="280">
        <f>Summary!J33</f>
        <v>1106444</v>
      </c>
      <c r="I360" s="280">
        <f>Summary!K33</f>
        <v>536549.52</v>
      </c>
      <c r="J360" s="280">
        <f>Summary!L33</f>
        <v>561223.48942778981</v>
      </c>
      <c r="K360"/>
      <c r="L360"/>
      <c r="M360"/>
      <c r="N360"/>
      <c r="O360"/>
    </row>
    <row r="361" spans="2:15" ht="15" customHeight="1" x14ac:dyDescent="0.2">
      <c r="B361" s="326" t="s">
        <v>47</v>
      </c>
      <c r="C361" s="327"/>
      <c r="D361" s="327"/>
      <c r="E361" s="208">
        <v>4432</v>
      </c>
      <c r="F361" s="280">
        <f>Summary!H34</f>
        <v>4149</v>
      </c>
      <c r="G361" s="280">
        <f>Summary!I34</f>
        <v>4581.3899999999994</v>
      </c>
      <c r="H361" s="280">
        <f>Summary!J34</f>
        <v>3139.7699999999995</v>
      </c>
      <c r="I361" s="280">
        <f>Summary!K34</f>
        <v>1641.29</v>
      </c>
      <c r="J361" s="280">
        <f>Summary!L34</f>
        <v>1598.6472960042561</v>
      </c>
      <c r="K361"/>
      <c r="L361"/>
      <c r="M361"/>
      <c r="N361"/>
      <c r="O361"/>
    </row>
    <row r="362" spans="2:15" ht="15" customHeight="1" x14ac:dyDescent="0.2">
      <c r="B362" s="309" t="s">
        <v>189</v>
      </c>
      <c r="C362" s="312"/>
      <c r="D362" s="312"/>
      <c r="E362" s="312"/>
      <c r="F362" s="312"/>
      <c r="G362" s="312"/>
      <c r="H362" s="310"/>
      <c r="I362" s="310"/>
      <c r="J362" s="311"/>
      <c r="K362"/>
      <c r="L362"/>
      <c r="M362"/>
      <c r="N362"/>
    </row>
    <row r="363" spans="2:15" ht="15" customHeight="1" x14ac:dyDescent="0.2">
      <c r="B363" s="326" t="str">
        <f>B359</f>
        <v xml:space="preserve">  Connections</v>
      </c>
      <c r="C363" s="327"/>
      <c r="D363" s="327"/>
      <c r="E363" s="208"/>
      <c r="F363" s="245">
        <f>IF(ISERROR((F359-$E359)/$E359),0,(F359-$E359)/$E359)</f>
        <v>-1.5807084342909835E-2</v>
      </c>
      <c r="G363" s="245">
        <f>IF(ISERROR((G359-$E359)/$E359),0,(G359-$E359)/$E359)</f>
        <v>1.1884158301603836E-2</v>
      </c>
      <c r="H363" s="245">
        <f>IF(ISERROR((H359-$E359)/$E359),0,(H359-$E359)/$E359)</f>
        <v>2.9998846198222621E-3</v>
      </c>
      <c r="I363" s="245">
        <f>IF(ISERROR((I359-$E359)/$E359),0,(I359-$E359)/$E359)</f>
        <v>-8.9419637706242595E-3</v>
      </c>
      <c r="J363" s="245">
        <f>IF(ISERROR((J359-$E359)/$E359),0,(J359-$E359)/$E359)</f>
        <v>3.6633206415137932E-2</v>
      </c>
      <c r="K363"/>
      <c r="L363"/>
      <c r="M363"/>
      <c r="N363"/>
    </row>
    <row r="364" spans="2:15" ht="15" customHeight="1" x14ac:dyDescent="0.2">
      <c r="B364" s="326" t="str">
        <f>B360</f>
        <v xml:space="preserve">  kWh</v>
      </c>
      <c r="C364" s="327"/>
      <c r="D364" s="327"/>
      <c r="E364" s="208"/>
      <c r="F364" s="245">
        <f t="shared" ref="F364" si="57">IF(ISERROR((F360-$E360)/$E360),0,(F360-$E360)/$E360)</f>
        <v>-2.9467183267253678E-2</v>
      </c>
      <c r="G364" s="245">
        <f t="shared" ref="G364:J365" si="58">IF(ISERROR((G360-$E360)/$E360),0,(G360-$E360)/$E360)</f>
        <v>7.1677353880750971E-2</v>
      </c>
      <c r="H364" s="245">
        <f t="shared" si="58"/>
        <v>-0.27055552002826949</v>
      </c>
      <c r="I364" s="245">
        <f t="shared" si="58"/>
        <v>-0.6462694130064589</v>
      </c>
      <c r="J364" s="245">
        <f t="shared" si="58"/>
        <v>-0.63000262426876175</v>
      </c>
      <c r="K364"/>
      <c r="L364"/>
      <c r="M364"/>
      <c r="N364"/>
    </row>
    <row r="365" spans="2:15" ht="15" customHeight="1" x14ac:dyDescent="0.2">
      <c r="B365" s="326" t="str">
        <f>B361</f>
        <v xml:space="preserve">  kW</v>
      </c>
      <c r="C365" s="327"/>
      <c r="D365" s="327"/>
      <c r="E365" s="208"/>
      <c r="F365" s="245">
        <f t="shared" ref="F365" si="59">IF(ISERROR((F361-$E361)/$E361),0,(F361-$E361)/$E361)</f>
        <v>-6.3853790613718417E-2</v>
      </c>
      <c r="G365" s="245">
        <f t="shared" si="58"/>
        <v>3.3707129963898783E-2</v>
      </c>
      <c r="H365" s="245">
        <f t="shared" si="58"/>
        <v>-0.29156814079422394</v>
      </c>
      <c r="I365" s="245">
        <f t="shared" si="58"/>
        <v>-0.62967283393501805</v>
      </c>
      <c r="J365" s="245">
        <f t="shared" si="58"/>
        <v>-0.63929438267051986</v>
      </c>
      <c r="K365"/>
      <c r="L365"/>
      <c r="M365"/>
      <c r="N365"/>
    </row>
    <row r="366" spans="2:15" ht="9" customHeight="1" x14ac:dyDescent="0.2">
      <c r="B366" s="91"/>
      <c r="C366" s="310"/>
      <c r="D366" s="310"/>
      <c r="E366" s="310"/>
      <c r="F366" s="310"/>
      <c r="G366" s="310"/>
      <c r="H366" s="310"/>
      <c r="I366" s="310"/>
      <c r="J366" s="311"/>
      <c r="K366"/>
      <c r="L366"/>
      <c r="M366"/>
      <c r="N366"/>
    </row>
    <row r="367" spans="2:15" ht="15" customHeight="1" x14ac:dyDescent="0.2">
      <c r="B367" s="309" t="s">
        <v>96</v>
      </c>
      <c r="C367" s="312"/>
      <c r="D367" s="310"/>
      <c r="E367" s="310"/>
      <c r="F367" s="310"/>
      <c r="G367" s="310"/>
      <c r="H367" s="310"/>
      <c r="I367" s="310"/>
      <c r="J367" s="311"/>
      <c r="K367"/>
      <c r="L367"/>
      <c r="M367"/>
      <c r="N367"/>
    </row>
    <row r="368" spans="2:15" ht="15" customHeight="1" x14ac:dyDescent="0.2">
      <c r="B368" s="326" t="s">
        <v>63</v>
      </c>
      <c r="C368" s="327"/>
      <c r="D368" s="327"/>
      <c r="E368" s="208">
        <f>J51</f>
        <v>78</v>
      </c>
      <c r="F368" s="190">
        <f>Summary!H37</f>
        <v>77.583333333333329</v>
      </c>
      <c r="G368" s="190">
        <f>Summary!I37</f>
        <v>75.583333333333329</v>
      </c>
      <c r="H368" s="190">
        <f>Summary!J37</f>
        <v>76</v>
      </c>
      <c r="I368" s="190">
        <f>Summary!K37</f>
        <v>75.333333333333329</v>
      </c>
      <c r="J368" s="190">
        <f>Summary!L37</f>
        <v>73.5</v>
      </c>
      <c r="K368"/>
      <c r="L368"/>
      <c r="M368"/>
      <c r="N368"/>
    </row>
    <row r="369" spans="2:14" ht="15" customHeight="1" x14ac:dyDescent="0.2">
      <c r="B369" s="326" t="s">
        <v>46</v>
      </c>
      <c r="C369" s="327"/>
      <c r="D369" s="327"/>
      <c r="E369" s="208">
        <f>J33*1000000</f>
        <v>474652</v>
      </c>
      <c r="F369" s="190">
        <f>Summary!H38</f>
        <v>474344</v>
      </c>
      <c r="G369" s="190">
        <f>Summary!I38</f>
        <v>467561.7</v>
      </c>
      <c r="H369" s="190">
        <f>Summary!J38</f>
        <v>467455</v>
      </c>
      <c r="I369" s="190">
        <f>Summary!K38</f>
        <v>472405.55</v>
      </c>
      <c r="J369" s="190">
        <f>Summary!L38</f>
        <v>461015.01227876113</v>
      </c>
      <c r="K369"/>
      <c r="L369"/>
      <c r="M369"/>
      <c r="N369"/>
    </row>
    <row r="370" spans="2:14" ht="15" customHeight="1" x14ac:dyDescent="0.2">
      <c r="B370" s="309" t="s">
        <v>189</v>
      </c>
      <c r="C370" s="312"/>
      <c r="D370" s="312"/>
      <c r="E370" s="312"/>
      <c r="F370" s="313"/>
      <c r="G370" s="313"/>
      <c r="H370" s="313"/>
      <c r="I370" s="313"/>
      <c r="J370" s="314"/>
      <c r="K370" s="308"/>
      <c r="L370" s="308"/>
      <c r="M370" s="308"/>
      <c r="N370" s="308"/>
    </row>
    <row r="371" spans="2:14" ht="15" customHeight="1" x14ac:dyDescent="0.2">
      <c r="B371" s="326" t="str">
        <f>B368</f>
        <v xml:space="preserve">  Connections</v>
      </c>
      <c r="C371" s="327"/>
      <c r="D371" s="327"/>
      <c r="E371" s="208"/>
      <c r="F371" s="245">
        <f t="shared" ref="F371" si="60">IF(ISERROR((F368-$E368)/$E368),0,(F368-$E368)/$E368)</f>
        <v>-5.3418803418804027E-3</v>
      </c>
      <c r="G371" s="245">
        <f t="shared" ref="G371:J372" si="61">IF(ISERROR((G368-$E368)/$E368),0,(G368-$E368)/$E368)</f>
        <v>-3.0982905982906043E-2</v>
      </c>
      <c r="H371" s="245">
        <f t="shared" si="61"/>
        <v>-2.564102564102564E-2</v>
      </c>
      <c r="I371" s="245">
        <f t="shared" si="61"/>
        <v>-3.4188034188034247E-2</v>
      </c>
      <c r="J371" s="245">
        <f t="shared" si="61"/>
        <v>-5.7692307692307696E-2</v>
      </c>
      <c r="K371"/>
      <c r="L371"/>
      <c r="M371"/>
      <c r="N371"/>
    </row>
    <row r="372" spans="2:14" ht="15" customHeight="1" x14ac:dyDescent="0.2">
      <c r="B372" s="326" t="str">
        <f>B369</f>
        <v xml:space="preserve">  kWh</v>
      </c>
      <c r="C372" s="327"/>
      <c r="D372" s="327"/>
      <c r="E372" s="208"/>
      <c r="F372" s="245">
        <f t="shared" ref="F372" si="62">IF(ISERROR((F369-$E369)/$E369),0,(F369-$E369)/$E369)</f>
        <v>-6.4889645466573403E-4</v>
      </c>
      <c r="G372" s="245">
        <f t="shared" si="61"/>
        <v>-1.4937891339339112E-2</v>
      </c>
      <c r="H372" s="245">
        <f t="shared" si="61"/>
        <v>-1.5162687611134052E-2</v>
      </c>
      <c r="I372" s="245">
        <f t="shared" si="61"/>
        <v>-4.7328358460514471E-3</v>
      </c>
      <c r="J372" s="245">
        <f t="shared" si="61"/>
        <v>-2.8730496703350806E-2</v>
      </c>
      <c r="K372"/>
      <c r="L372"/>
      <c r="M372"/>
      <c r="N372"/>
    </row>
    <row r="373" spans="2:14" ht="9" customHeight="1" x14ac:dyDescent="0.2">
      <c r="B373" s="91"/>
      <c r="C373" s="310"/>
      <c r="D373" s="310"/>
      <c r="E373" s="310"/>
      <c r="F373" s="310"/>
      <c r="G373" s="310"/>
      <c r="H373" s="310"/>
      <c r="I373" s="310"/>
      <c r="J373" s="311"/>
      <c r="K373"/>
      <c r="L373"/>
      <c r="M373"/>
      <c r="N373"/>
    </row>
    <row r="374" spans="2:14" ht="15" customHeight="1" x14ac:dyDescent="0.2">
      <c r="B374" s="309" t="s">
        <v>9</v>
      </c>
      <c r="C374" s="310"/>
      <c r="D374" s="310"/>
      <c r="E374" s="310"/>
      <c r="F374" s="310"/>
      <c r="G374" s="310"/>
      <c r="H374" s="310"/>
      <c r="I374" s="310"/>
      <c r="J374" s="311"/>
      <c r="K374"/>
      <c r="L374"/>
      <c r="M374"/>
      <c r="N374"/>
    </row>
    <row r="375" spans="2:14" ht="15" customHeight="1" x14ac:dyDescent="0.2">
      <c r="B375" s="326" t="s">
        <v>50</v>
      </c>
      <c r="C375" s="327"/>
      <c r="D375" s="327"/>
      <c r="E375" s="208">
        <f t="shared" ref="E375:J375" si="63">E327+E334+E341+E359+E368+E350</f>
        <v>18369</v>
      </c>
      <c r="F375" s="208">
        <f t="shared" ref="F375" si="64">F327+F334+F341+F359+F368+F350</f>
        <v>18286.166666666664</v>
      </c>
      <c r="G375" s="208">
        <f t="shared" si="63"/>
        <v>18735.916666666664</v>
      </c>
      <c r="H375" s="208">
        <f t="shared" si="63"/>
        <v>19073.083333333336</v>
      </c>
      <c r="I375" s="208">
        <f t="shared" si="63"/>
        <v>19398</v>
      </c>
      <c r="J375" s="208">
        <f t="shared" si="63"/>
        <v>19906</v>
      </c>
      <c r="K375"/>
      <c r="L375"/>
      <c r="M375"/>
      <c r="N375"/>
    </row>
    <row r="376" spans="2:14" ht="15" customHeight="1" x14ac:dyDescent="0.2">
      <c r="B376" s="326" t="s">
        <v>46</v>
      </c>
      <c r="C376" s="327"/>
      <c r="D376" s="327"/>
      <c r="E376" s="208">
        <f t="shared" ref="E376:J377" si="65">E328+E335+E342+E360+E369+E351</f>
        <v>233355655</v>
      </c>
      <c r="F376" s="208">
        <f t="shared" ref="F376" si="66">F328+F335+F342+F360+F369+F351</f>
        <v>232845910.19703764</v>
      </c>
      <c r="G376" s="208">
        <f t="shared" si="65"/>
        <v>238347364.48236427</v>
      </c>
      <c r="H376" s="208">
        <f t="shared" si="65"/>
        <v>242586977</v>
      </c>
      <c r="I376" s="208">
        <f t="shared" si="65"/>
        <v>242016317.90000004</v>
      </c>
      <c r="J376" s="208">
        <f t="shared" si="65"/>
        <v>239667884.45104998</v>
      </c>
      <c r="K376"/>
      <c r="L376"/>
      <c r="M376"/>
      <c r="N376"/>
    </row>
    <row r="377" spans="2:14" ht="15" customHeight="1" x14ac:dyDescent="0.2">
      <c r="B377" s="326" t="s">
        <v>49</v>
      </c>
      <c r="C377" s="327"/>
      <c r="D377" s="327"/>
      <c r="E377" s="208">
        <f t="shared" si="65"/>
        <v>152390</v>
      </c>
      <c r="F377" s="208">
        <f t="shared" ref="F377" si="67">F329+F336+F343+F361+F370+F352</f>
        <v>135367</v>
      </c>
      <c r="G377" s="208">
        <f t="shared" si="65"/>
        <v>140274.97344444442</v>
      </c>
      <c r="H377" s="208">
        <f t="shared" si="65"/>
        <v>145414.17099999997</v>
      </c>
      <c r="I377" s="208">
        <f t="shared" si="65"/>
        <v>152738.29266666668</v>
      </c>
      <c r="J377" s="208">
        <f t="shared" si="65"/>
        <v>176851.27144585314</v>
      </c>
      <c r="K377"/>
      <c r="L377"/>
      <c r="M377"/>
      <c r="N377"/>
    </row>
    <row r="378" spans="2:14" ht="15" customHeight="1" x14ac:dyDescent="0.2">
      <c r="B378" s="330" t="s">
        <v>253</v>
      </c>
      <c r="C378" s="331"/>
      <c r="D378" s="331"/>
      <c r="E378" s="331"/>
      <c r="F378" s="331"/>
      <c r="G378" s="331"/>
      <c r="H378" s="310"/>
      <c r="I378" s="310"/>
      <c r="J378" s="311"/>
      <c r="K378"/>
      <c r="L378"/>
      <c r="M378"/>
      <c r="N378"/>
    </row>
    <row r="379" spans="2:14" ht="15" customHeight="1" x14ac:dyDescent="0.2">
      <c r="B379" s="326" t="str">
        <f>B375</f>
        <v xml:space="preserve">  Customer/Connections</v>
      </c>
      <c r="C379" s="327"/>
      <c r="D379" s="327"/>
      <c r="E379" s="208"/>
      <c r="F379" s="245">
        <f>IF(ISERROR((F375-$E375)/$E375),0,(F375-$E375)/$E375)</f>
        <v>-4.5094089680078261E-3</v>
      </c>
      <c r="G379" s="245">
        <f>IF(ISERROR((G375-$E375)/$E375),0,(G375-$E375)/$E375)</f>
        <v>1.9974776344202964E-2</v>
      </c>
      <c r="H379" s="245">
        <f>IF(ISERROR((H375-$E375)/$E375),0,(H375-$E375)/$E375)</f>
        <v>3.8329976228065533E-2</v>
      </c>
      <c r="I379" s="245">
        <f>IF(ISERROR((I375-$E375)/$E375),0,(I375-$E375)/$E375)</f>
        <v>5.6018291687081494E-2</v>
      </c>
      <c r="J379" s="245">
        <f>IF(ISERROR((J375-$E375)/$E375),0,(J375-$E375)/$E375)</f>
        <v>8.3673580488867111E-2</v>
      </c>
      <c r="K379"/>
      <c r="L379"/>
      <c r="M379"/>
      <c r="N379"/>
    </row>
    <row r="380" spans="2:14" ht="15" customHeight="1" x14ac:dyDescent="0.2">
      <c r="B380" s="326" t="str">
        <f>B376</f>
        <v xml:space="preserve">  kWh</v>
      </c>
      <c r="C380" s="327"/>
      <c r="D380" s="327"/>
      <c r="E380" s="208"/>
      <c r="F380" s="245">
        <f t="shared" ref="F380" si="68">IF(ISERROR((F376-$E376)/$E376),0,(F376-$E376)/$E376)</f>
        <v>-2.1844116139476577E-3</v>
      </c>
      <c r="G380" s="245">
        <f t="shared" ref="G380:J381" si="69">IF(ISERROR((G376-$E376)/$E376),0,(G376-$E376)/$E376)</f>
        <v>2.1390994284515054E-2</v>
      </c>
      <c r="H380" s="245">
        <f t="shared" si="69"/>
        <v>3.9559024185636296E-2</v>
      </c>
      <c r="I380" s="245">
        <f t="shared" si="69"/>
        <v>3.7113576270521642E-2</v>
      </c>
      <c r="J380" s="245">
        <f t="shared" si="69"/>
        <v>2.7049824230957607E-2</v>
      </c>
      <c r="K380"/>
      <c r="L380"/>
      <c r="M380"/>
      <c r="N380"/>
    </row>
    <row r="381" spans="2:14" ht="15" customHeight="1" x14ac:dyDescent="0.2">
      <c r="B381" s="326" t="str">
        <f>B377</f>
        <v xml:space="preserve">  kW from applicable classes</v>
      </c>
      <c r="C381" s="327"/>
      <c r="D381" s="327"/>
      <c r="E381" s="208"/>
      <c r="F381" s="245">
        <f t="shared" ref="F381" si="70">IF(ISERROR((F377-$E377)/$E377),0,(F377-$E377)/$E377)</f>
        <v>-0.11170680490845857</v>
      </c>
      <c r="G381" s="245">
        <f t="shared" si="69"/>
        <v>-7.9500141449934919E-2</v>
      </c>
      <c r="H381" s="245">
        <f t="shared" si="69"/>
        <v>-4.5776159853008903E-2</v>
      </c>
      <c r="I381" s="245">
        <f t="shared" si="69"/>
        <v>2.285534921364101E-3</v>
      </c>
      <c r="J381" s="245">
        <f t="shared" si="69"/>
        <v>0.1605175631331002</v>
      </c>
      <c r="K381"/>
      <c r="L381"/>
      <c r="M381"/>
      <c r="N381"/>
    </row>
    <row r="382" spans="2:14" ht="15" customHeight="1" x14ac:dyDescent="0.2">
      <c r="E382" s="209"/>
      <c r="F382" s="209"/>
      <c r="G382" s="209"/>
      <c r="H382" s="209"/>
      <c r="I382" s="209"/>
      <c r="J382" s="209"/>
      <c r="K382" s="209"/>
    </row>
    <row r="383" spans="2:14" ht="15" customHeight="1" x14ac:dyDescent="0.2">
      <c r="B383" s="362" t="s">
        <v>245</v>
      </c>
      <c r="C383" s="362"/>
      <c r="D383" s="362"/>
      <c r="E383" s="362"/>
      <c r="F383" s="362"/>
      <c r="G383" s="362"/>
      <c r="H383" s="362"/>
      <c r="I383" s="362"/>
      <c r="J383" s="362"/>
      <c r="K383" s="362"/>
      <c r="L383" s="362"/>
    </row>
    <row r="384" spans="2:14" ht="15" customHeight="1" x14ac:dyDescent="0.2">
      <c r="B384" s="363"/>
      <c r="C384" s="364"/>
      <c r="D384" s="365"/>
      <c r="E384" s="363" t="s">
        <v>190</v>
      </c>
      <c r="F384" s="364"/>
      <c r="G384" s="365"/>
      <c r="H384" s="366" t="s">
        <v>89</v>
      </c>
      <c r="I384" s="366"/>
      <c r="J384" s="366" t="s">
        <v>191</v>
      </c>
      <c r="K384" s="366"/>
      <c r="L384" s="305"/>
    </row>
    <row r="385" spans="2:14" ht="22.5" x14ac:dyDescent="0.2">
      <c r="B385" s="359" t="s">
        <v>192</v>
      </c>
      <c r="C385" s="360"/>
      <c r="D385" s="361"/>
      <c r="E385" s="306" t="s">
        <v>246</v>
      </c>
      <c r="F385" s="307" t="s">
        <v>157</v>
      </c>
      <c r="G385" s="307" t="s">
        <v>39</v>
      </c>
      <c r="H385" s="306" t="str">
        <f>E385</f>
        <v xml:space="preserve">2013 Board Approved </v>
      </c>
      <c r="I385" s="307" t="str">
        <f>F385</f>
        <v xml:space="preserve">2013 Actual </v>
      </c>
      <c r="J385" s="306" t="str">
        <f>E385</f>
        <v xml:space="preserve">2013 Board Approved </v>
      </c>
      <c r="K385" s="307" t="str">
        <f>F385</f>
        <v xml:space="preserve">2013 Actual </v>
      </c>
      <c r="L385" s="306" t="s">
        <v>193</v>
      </c>
    </row>
    <row r="386" spans="2:14" ht="15" customHeight="1" x14ac:dyDescent="0.2">
      <c r="B386" s="246" t="s">
        <v>56</v>
      </c>
      <c r="C386" s="247"/>
      <c r="D386" s="248"/>
      <c r="E386" s="249">
        <f>E327</f>
        <v>14189</v>
      </c>
      <c r="F386" s="249">
        <f>$F$327</f>
        <v>14181</v>
      </c>
      <c r="G386" s="250">
        <f t="shared" ref="G386:G391" si="71">F386-E386</f>
        <v>-8</v>
      </c>
      <c r="H386" s="251">
        <f>E328</f>
        <v>148148873</v>
      </c>
      <c r="I386" s="251">
        <f>$F$328</f>
        <v>148837682</v>
      </c>
      <c r="J386" s="249"/>
      <c r="K386" s="252"/>
      <c r="L386" s="253">
        <f>I386-H386</f>
        <v>688809</v>
      </c>
      <c r="N386"/>
    </row>
    <row r="387" spans="2:14" ht="15" customHeight="1" x14ac:dyDescent="0.2">
      <c r="B387" s="246" t="s">
        <v>92</v>
      </c>
      <c r="C387" s="247"/>
      <c r="D387" s="248"/>
      <c r="E387" s="249">
        <f>E334</f>
        <v>910</v>
      </c>
      <c r="F387" s="249">
        <f>$F$334</f>
        <v>949.25</v>
      </c>
      <c r="G387" s="250">
        <f t="shared" si="71"/>
        <v>39.25</v>
      </c>
      <c r="H387" s="251">
        <f>E335</f>
        <v>31781016</v>
      </c>
      <c r="I387" s="251">
        <f>$F$335</f>
        <v>31038184</v>
      </c>
      <c r="J387" s="249"/>
      <c r="K387" s="252"/>
      <c r="L387" s="253">
        <f>I387-H387</f>
        <v>-742832</v>
      </c>
    </row>
    <row r="388" spans="2:14" ht="15" customHeight="1" x14ac:dyDescent="0.2">
      <c r="B388" s="246" t="s">
        <v>159</v>
      </c>
      <c r="C388" s="247"/>
      <c r="D388" s="248"/>
      <c r="E388" s="249">
        <f>E341</f>
        <v>66</v>
      </c>
      <c r="F388" s="249">
        <f>$F$341</f>
        <v>67</v>
      </c>
      <c r="G388" s="250">
        <f t="shared" si="71"/>
        <v>1</v>
      </c>
      <c r="H388" s="251">
        <f>E342</f>
        <v>51329341</v>
      </c>
      <c r="I388" s="251">
        <f>$F$342</f>
        <v>50921722</v>
      </c>
      <c r="J388" s="249">
        <f>E343</f>
        <v>147666</v>
      </c>
      <c r="K388" s="249">
        <f>$F$343</f>
        <v>130935</v>
      </c>
      <c r="L388" s="253">
        <f>K388-J388</f>
        <v>-16731</v>
      </c>
    </row>
    <row r="389" spans="2:14" ht="15" customHeight="1" x14ac:dyDescent="0.2">
      <c r="B389" s="246" t="s">
        <v>95</v>
      </c>
      <c r="C389" s="247"/>
      <c r="D389" s="248"/>
      <c r="E389" s="249">
        <f>E350</f>
        <v>237</v>
      </c>
      <c r="F389" s="249">
        <f>$F$350</f>
        <v>168</v>
      </c>
      <c r="G389" s="250">
        <f t="shared" si="71"/>
        <v>-69</v>
      </c>
      <c r="H389" s="251">
        <f>E351</f>
        <v>104942</v>
      </c>
      <c r="I389" s="251">
        <f>$F$351</f>
        <v>101843.93410009757</v>
      </c>
      <c r="J389" s="249">
        <f>E352</f>
        <v>292</v>
      </c>
      <c r="K389" s="249">
        <f>$F$352</f>
        <v>283</v>
      </c>
      <c r="L389" s="253">
        <f>K389-J389</f>
        <v>-9</v>
      </c>
    </row>
    <row r="390" spans="2:14" ht="15" customHeight="1" x14ac:dyDescent="0.2">
      <c r="B390" s="246" t="s">
        <v>94</v>
      </c>
      <c r="C390" s="247"/>
      <c r="D390" s="248"/>
      <c r="E390" s="249">
        <f>E359</f>
        <v>2889</v>
      </c>
      <c r="F390" s="249">
        <f>$F$359</f>
        <v>2843.3333333333335</v>
      </c>
      <c r="G390" s="250">
        <f t="shared" si="71"/>
        <v>-45.666666666666515</v>
      </c>
      <c r="H390" s="251">
        <f>E360</f>
        <v>1516831</v>
      </c>
      <c r="I390" s="251">
        <f>$F$360</f>
        <v>1472134.2629375483</v>
      </c>
      <c r="J390" s="249">
        <f>E361</f>
        <v>4432</v>
      </c>
      <c r="K390" s="249">
        <f>$F$361</f>
        <v>4149</v>
      </c>
      <c r="L390" s="253">
        <f>K390-J390</f>
        <v>-283</v>
      </c>
    </row>
    <row r="391" spans="2:14" ht="15" customHeight="1" x14ac:dyDescent="0.2">
      <c r="B391" s="246" t="s">
        <v>96</v>
      </c>
      <c r="C391" s="247"/>
      <c r="D391" s="248"/>
      <c r="E391" s="249">
        <f>E368</f>
        <v>78</v>
      </c>
      <c r="F391" s="249">
        <f>$F$368</f>
        <v>77.583333333333329</v>
      </c>
      <c r="G391" s="250">
        <f t="shared" si="71"/>
        <v>-0.4166666666666714</v>
      </c>
      <c r="H391" s="251">
        <f>E369</f>
        <v>474652</v>
      </c>
      <c r="I391" s="251">
        <f>$F$369</f>
        <v>474344</v>
      </c>
      <c r="J391" s="249"/>
      <c r="K391" s="249"/>
      <c r="L391" s="253">
        <f>I391-H391</f>
        <v>-308</v>
      </c>
    </row>
    <row r="392" spans="2:14" ht="15" customHeight="1" x14ac:dyDescent="0.2">
      <c r="B392" s="246" t="s">
        <v>194</v>
      </c>
      <c r="C392" s="247"/>
      <c r="D392" s="248"/>
      <c r="E392" s="249">
        <f t="shared" ref="E392:K392" si="72">SUM(E386:E391)</f>
        <v>18369</v>
      </c>
      <c r="F392" s="249">
        <f t="shared" si="72"/>
        <v>18286.166666666664</v>
      </c>
      <c r="G392" s="249">
        <f t="shared" si="72"/>
        <v>-82.833333333333186</v>
      </c>
      <c r="H392" s="249">
        <f t="shared" si="72"/>
        <v>233355655</v>
      </c>
      <c r="I392" s="249">
        <f t="shared" si="72"/>
        <v>232845910.19703764</v>
      </c>
      <c r="J392" s="249">
        <f t="shared" si="72"/>
        <v>152390</v>
      </c>
      <c r="K392" s="249">
        <f t="shared" si="72"/>
        <v>135367</v>
      </c>
      <c r="L392" s="249"/>
    </row>
    <row r="394" spans="2:14" ht="15" customHeight="1" x14ac:dyDescent="0.2">
      <c r="B394" s="362" t="s">
        <v>247</v>
      </c>
      <c r="C394" s="362"/>
      <c r="D394" s="362"/>
      <c r="E394" s="362"/>
      <c r="F394" s="362"/>
      <c r="G394" s="362"/>
      <c r="H394" s="362"/>
      <c r="I394" s="362"/>
      <c r="J394" s="362"/>
      <c r="K394" s="362"/>
      <c r="L394" s="362"/>
    </row>
    <row r="395" spans="2:14" ht="15" customHeight="1" x14ac:dyDescent="0.2">
      <c r="B395" s="363"/>
      <c r="C395" s="364"/>
      <c r="D395" s="365"/>
      <c r="E395" s="363" t="s">
        <v>190</v>
      </c>
      <c r="F395" s="364"/>
      <c r="G395" s="365"/>
      <c r="H395" s="366" t="s">
        <v>89</v>
      </c>
      <c r="I395" s="366"/>
      <c r="J395" s="366" t="s">
        <v>191</v>
      </c>
      <c r="K395" s="366"/>
      <c r="L395" s="305"/>
    </row>
    <row r="396" spans="2:14" ht="22.5" x14ac:dyDescent="0.2">
      <c r="B396" s="359" t="s">
        <v>192</v>
      </c>
      <c r="C396" s="360"/>
      <c r="D396" s="361"/>
      <c r="E396" s="307" t="str">
        <f>F385</f>
        <v xml:space="preserve">2013 Actual </v>
      </c>
      <c r="F396" s="307" t="s">
        <v>158</v>
      </c>
      <c r="G396" s="307" t="s">
        <v>39</v>
      </c>
      <c r="H396" s="306" t="str">
        <f>E396</f>
        <v xml:space="preserve">2013 Actual </v>
      </c>
      <c r="I396" s="307" t="str">
        <f>F396</f>
        <v xml:space="preserve">2014 Actual </v>
      </c>
      <c r="J396" s="306" t="str">
        <f>E396</f>
        <v xml:space="preserve">2013 Actual </v>
      </c>
      <c r="K396" s="307" t="str">
        <f>F396</f>
        <v xml:space="preserve">2014 Actual </v>
      </c>
      <c r="L396" s="306" t="s">
        <v>193</v>
      </c>
    </row>
    <row r="397" spans="2:14" ht="15" customHeight="1" x14ac:dyDescent="0.2">
      <c r="B397" s="246" t="str">
        <f t="shared" ref="B397:B402" si="73">B386</f>
        <v>Residential</v>
      </c>
      <c r="C397" s="247"/>
      <c r="D397" s="248"/>
      <c r="E397" s="249">
        <f>F386</f>
        <v>14181</v>
      </c>
      <c r="F397" s="249">
        <f>$G$327</f>
        <v>14509.166666666666</v>
      </c>
      <c r="G397" s="250">
        <f t="shared" ref="G397:G402" si="74">F397-E397</f>
        <v>328.16666666666606</v>
      </c>
      <c r="H397" s="251">
        <f>I386</f>
        <v>148837682</v>
      </c>
      <c r="I397" s="251">
        <f>$G$328</f>
        <v>153331484.31999999</v>
      </c>
      <c r="J397" s="249"/>
      <c r="K397" s="252"/>
      <c r="L397" s="253">
        <f>I397-H397</f>
        <v>4493802.3199999928</v>
      </c>
    </row>
    <row r="398" spans="2:14" ht="15" customHeight="1" x14ac:dyDescent="0.2">
      <c r="B398" s="246" t="str">
        <f t="shared" si="73"/>
        <v>General Service &lt; 50 kW</v>
      </c>
      <c r="C398" s="247"/>
      <c r="D398" s="248"/>
      <c r="E398" s="249">
        <f t="shared" ref="E398:E402" si="75">F387</f>
        <v>949.25</v>
      </c>
      <c r="F398" s="249">
        <f>$G$334</f>
        <v>991.25</v>
      </c>
      <c r="G398" s="250">
        <f t="shared" si="74"/>
        <v>42</v>
      </c>
      <c r="H398" s="251">
        <f t="shared" ref="H398:H402" si="76">I387</f>
        <v>31038184</v>
      </c>
      <c r="I398" s="251">
        <f>$G$335</f>
        <v>32222518.180000003</v>
      </c>
      <c r="J398" s="249"/>
      <c r="K398" s="252"/>
      <c r="L398" s="253">
        <f>I398-H398</f>
        <v>1184334.1800000034</v>
      </c>
    </row>
    <row r="399" spans="2:14" ht="15" customHeight="1" x14ac:dyDescent="0.2">
      <c r="B399" s="246" t="str">
        <f t="shared" si="73"/>
        <v>General Service 50 to 4,999 kW</v>
      </c>
      <c r="C399" s="247"/>
      <c r="D399" s="248"/>
      <c r="E399" s="249">
        <f t="shared" si="75"/>
        <v>67</v>
      </c>
      <c r="F399" s="249">
        <f>$G$341</f>
        <v>67.166666666666671</v>
      </c>
      <c r="G399" s="250">
        <f t="shared" si="74"/>
        <v>0.1666666666666714</v>
      </c>
      <c r="H399" s="251">
        <f t="shared" si="76"/>
        <v>50921722</v>
      </c>
      <c r="I399" s="251">
        <f>$G$342</f>
        <v>50592266.850000001</v>
      </c>
      <c r="J399" s="249">
        <f>K388</f>
        <v>130935</v>
      </c>
      <c r="K399" s="249">
        <f>$G$343</f>
        <v>135393.63999999998</v>
      </c>
      <c r="L399" s="253">
        <f>K399-J399</f>
        <v>4458.6399999999849</v>
      </c>
    </row>
    <row r="400" spans="2:14" ht="15" customHeight="1" x14ac:dyDescent="0.2">
      <c r="B400" s="246" t="str">
        <f t="shared" si="73"/>
        <v>Sentinel Lighting</v>
      </c>
      <c r="C400" s="247"/>
      <c r="D400" s="248"/>
      <c r="E400" s="249">
        <f t="shared" si="75"/>
        <v>168</v>
      </c>
      <c r="F400" s="249">
        <f>$G$350</f>
        <v>169.41666666666666</v>
      </c>
      <c r="G400" s="250">
        <f t="shared" si="74"/>
        <v>1.4166666666666572</v>
      </c>
      <c r="H400" s="251">
        <f t="shared" si="76"/>
        <v>101843.93410009757</v>
      </c>
      <c r="I400" s="251">
        <f>$G$351</f>
        <v>107980</v>
      </c>
      <c r="J400" s="249">
        <f t="shared" ref="J400:J401" si="77">K389</f>
        <v>283</v>
      </c>
      <c r="K400" s="249">
        <f>$G$352</f>
        <v>299.94344444444442</v>
      </c>
      <c r="L400" s="253">
        <f>K400-J400</f>
        <v>16.943444444444424</v>
      </c>
    </row>
    <row r="401" spans="2:12" ht="15" customHeight="1" x14ac:dyDescent="0.2">
      <c r="B401" s="246" t="str">
        <f t="shared" si="73"/>
        <v>Street Lighting</v>
      </c>
      <c r="C401" s="247"/>
      <c r="D401" s="248"/>
      <c r="E401" s="249">
        <f t="shared" si="75"/>
        <v>2843.3333333333335</v>
      </c>
      <c r="F401" s="249">
        <f>$G$359</f>
        <v>2923.3333333333335</v>
      </c>
      <c r="G401" s="250">
        <f t="shared" si="74"/>
        <v>80</v>
      </c>
      <c r="H401" s="251">
        <f t="shared" si="76"/>
        <v>1472134.2629375483</v>
      </c>
      <c r="I401" s="251">
        <f>$G$360</f>
        <v>1625553.4323642934</v>
      </c>
      <c r="J401" s="249">
        <f t="shared" si="77"/>
        <v>4149</v>
      </c>
      <c r="K401" s="249">
        <f>$G$361</f>
        <v>4581.3899999999994</v>
      </c>
      <c r="L401" s="253">
        <f>K401-J401</f>
        <v>432.38999999999942</v>
      </c>
    </row>
    <row r="402" spans="2:12" ht="15" customHeight="1" x14ac:dyDescent="0.2">
      <c r="B402" s="246" t="str">
        <f t="shared" si="73"/>
        <v>Unmetered Scattered Load</v>
      </c>
      <c r="C402" s="247"/>
      <c r="D402" s="248"/>
      <c r="E402" s="249">
        <f t="shared" si="75"/>
        <v>77.583333333333329</v>
      </c>
      <c r="F402" s="249">
        <f>$G$368</f>
        <v>75.583333333333329</v>
      </c>
      <c r="G402" s="250">
        <f t="shared" si="74"/>
        <v>-2</v>
      </c>
      <c r="H402" s="251">
        <f t="shared" si="76"/>
        <v>474344</v>
      </c>
      <c r="I402" s="251">
        <f>$G$369</f>
        <v>467561.7</v>
      </c>
      <c r="J402" s="249"/>
      <c r="K402" s="249"/>
      <c r="L402" s="253">
        <f>I402-H402</f>
        <v>-6782.2999999999884</v>
      </c>
    </row>
    <row r="403" spans="2:12" ht="15" customHeight="1" x14ac:dyDescent="0.2">
      <c r="B403" s="246" t="s">
        <v>194</v>
      </c>
      <c r="C403" s="247"/>
      <c r="D403" s="248"/>
      <c r="E403" s="249">
        <f>SUM(E397:E402)</f>
        <v>18286.166666666664</v>
      </c>
      <c r="F403" s="249">
        <f t="shared" ref="F403:K403" si="78">SUM(F397:F402)</f>
        <v>18735.916666666664</v>
      </c>
      <c r="G403" s="249">
        <f t="shared" si="78"/>
        <v>449.74999999999943</v>
      </c>
      <c r="H403" s="249">
        <f t="shared" si="78"/>
        <v>232845910.19703764</v>
      </c>
      <c r="I403" s="249">
        <f t="shared" si="78"/>
        <v>238347364.48236427</v>
      </c>
      <c r="J403" s="249">
        <f t="shared" si="78"/>
        <v>135367</v>
      </c>
      <c r="K403" s="249">
        <f t="shared" si="78"/>
        <v>140274.97344444442</v>
      </c>
      <c r="L403" s="249"/>
    </row>
    <row r="405" spans="2:12" ht="15" customHeight="1" x14ac:dyDescent="0.2">
      <c r="B405" s="362" t="s">
        <v>248</v>
      </c>
      <c r="C405" s="362"/>
      <c r="D405" s="362"/>
      <c r="E405" s="362"/>
      <c r="F405" s="362"/>
      <c r="G405" s="362"/>
      <c r="H405" s="362"/>
      <c r="I405" s="362"/>
      <c r="J405" s="362"/>
      <c r="K405" s="362"/>
      <c r="L405" s="362"/>
    </row>
    <row r="406" spans="2:12" ht="15" customHeight="1" x14ac:dyDescent="0.2">
      <c r="B406" s="363"/>
      <c r="C406" s="364"/>
      <c r="D406" s="365"/>
      <c r="E406" s="363" t="s">
        <v>190</v>
      </c>
      <c r="F406" s="364"/>
      <c r="G406" s="365"/>
      <c r="H406" s="366" t="s">
        <v>89</v>
      </c>
      <c r="I406" s="366"/>
      <c r="J406" s="366" t="s">
        <v>191</v>
      </c>
      <c r="K406" s="366"/>
      <c r="L406" s="305"/>
    </row>
    <row r="407" spans="2:12" ht="22.5" x14ac:dyDescent="0.2">
      <c r="B407" s="359" t="s">
        <v>192</v>
      </c>
      <c r="C407" s="360"/>
      <c r="D407" s="361"/>
      <c r="E407" s="307" t="str">
        <f>F396</f>
        <v xml:space="preserve">2014 Actual </v>
      </c>
      <c r="F407" s="307" t="s">
        <v>125</v>
      </c>
      <c r="G407" s="307" t="s">
        <v>39</v>
      </c>
      <c r="H407" s="306" t="str">
        <f>E407</f>
        <v xml:space="preserve">2014 Actual </v>
      </c>
      <c r="I407" s="307" t="str">
        <f>F407</f>
        <v>2015 Actual</v>
      </c>
      <c r="J407" s="306" t="str">
        <f>E407</f>
        <v xml:space="preserve">2014 Actual </v>
      </c>
      <c r="K407" s="307" t="str">
        <f>F407</f>
        <v>2015 Actual</v>
      </c>
      <c r="L407" s="306" t="s">
        <v>193</v>
      </c>
    </row>
    <row r="408" spans="2:12" ht="15" customHeight="1" x14ac:dyDescent="0.2">
      <c r="B408" s="246" t="str">
        <f t="shared" ref="B408:B413" si="79">B397</f>
        <v>Residential</v>
      </c>
      <c r="C408" s="247"/>
      <c r="D408" s="248"/>
      <c r="E408" s="249">
        <f>F397</f>
        <v>14509.166666666666</v>
      </c>
      <c r="F408" s="249">
        <f>$H$327</f>
        <v>14861.583333333334</v>
      </c>
      <c r="G408" s="250">
        <f t="shared" ref="G408:G413" si="80">F408-E408</f>
        <v>352.41666666666788</v>
      </c>
      <c r="H408" s="251">
        <f>I397</f>
        <v>153331484.31999999</v>
      </c>
      <c r="I408" s="251">
        <f>$H$328</f>
        <v>151892216</v>
      </c>
      <c r="J408" s="249"/>
      <c r="K408" s="252"/>
      <c r="L408" s="253">
        <f>I408-H408</f>
        <v>-1439268.3199999928</v>
      </c>
    </row>
    <row r="409" spans="2:12" ht="15" customHeight="1" x14ac:dyDescent="0.2">
      <c r="B409" s="246" t="str">
        <f t="shared" si="79"/>
        <v>General Service &lt; 50 kW</v>
      </c>
      <c r="C409" s="247"/>
      <c r="D409" s="248"/>
      <c r="E409" s="249">
        <f t="shared" ref="E409:E413" si="81">F398</f>
        <v>991.25</v>
      </c>
      <c r="F409" s="249">
        <f>$H$334</f>
        <v>1000.5833333333334</v>
      </c>
      <c r="G409" s="250">
        <f t="shared" si="80"/>
        <v>9.3333333333333712</v>
      </c>
      <c r="H409" s="251">
        <f t="shared" ref="H409:H413" si="82">I398</f>
        <v>32222518.180000003</v>
      </c>
      <c r="I409" s="251">
        <f>$H$335</f>
        <v>34381050</v>
      </c>
      <c r="J409" s="249"/>
      <c r="K409" s="252"/>
      <c r="L409" s="253">
        <f>I409-H409</f>
        <v>2158531.8199999966</v>
      </c>
    </row>
    <row r="410" spans="2:12" ht="15" customHeight="1" x14ac:dyDescent="0.2">
      <c r="B410" s="246" t="str">
        <f t="shared" si="79"/>
        <v>General Service 50 to 4,999 kW</v>
      </c>
      <c r="C410" s="247"/>
      <c r="D410" s="248"/>
      <c r="E410" s="249">
        <f t="shared" si="81"/>
        <v>67.166666666666671</v>
      </c>
      <c r="F410" s="249">
        <f>$H$341</f>
        <v>71.5</v>
      </c>
      <c r="G410" s="250">
        <f t="shared" si="80"/>
        <v>4.3333333333333286</v>
      </c>
      <c r="H410" s="251">
        <f t="shared" si="82"/>
        <v>50592266.850000001</v>
      </c>
      <c r="I410" s="251">
        <f>$H$342</f>
        <v>54636276</v>
      </c>
      <c r="J410" s="249">
        <f>K399</f>
        <v>135393.63999999998</v>
      </c>
      <c r="K410" s="249">
        <f>$H$343</f>
        <v>141986.79999999999</v>
      </c>
      <c r="L410" s="253">
        <f>K410-J410</f>
        <v>6593.1600000000035</v>
      </c>
    </row>
    <row r="411" spans="2:12" ht="15" customHeight="1" x14ac:dyDescent="0.2">
      <c r="B411" s="246" t="str">
        <f t="shared" si="79"/>
        <v>Sentinel Lighting</v>
      </c>
      <c r="C411" s="247"/>
      <c r="D411" s="248"/>
      <c r="E411" s="249">
        <f t="shared" si="81"/>
        <v>169.41666666666666</v>
      </c>
      <c r="F411" s="249">
        <f>$H$350</f>
        <v>165.75</v>
      </c>
      <c r="G411" s="250">
        <f t="shared" si="80"/>
        <v>-3.6666666666666572</v>
      </c>
      <c r="H411" s="251">
        <f t="shared" si="82"/>
        <v>107980</v>
      </c>
      <c r="I411" s="251">
        <f>$H$351</f>
        <v>103536</v>
      </c>
      <c r="J411" s="249">
        <f t="shared" ref="J411:J412" si="83">K400</f>
        <v>299.94344444444442</v>
      </c>
      <c r="K411" s="249">
        <f>$H$352</f>
        <v>287.601</v>
      </c>
      <c r="L411" s="253">
        <f>K411-J411</f>
        <v>-12.342444444444425</v>
      </c>
    </row>
    <row r="412" spans="2:12" ht="15" customHeight="1" x14ac:dyDescent="0.2">
      <c r="B412" s="246" t="str">
        <f t="shared" si="79"/>
        <v>Street Lighting</v>
      </c>
      <c r="C412" s="247"/>
      <c r="D412" s="248"/>
      <c r="E412" s="249">
        <f t="shared" si="81"/>
        <v>2923.3333333333335</v>
      </c>
      <c r="F412" s="249">
        <f>$H$359</f>
        <v>2897.6666666666665</v>
      </c>
      <c r="G412" s="250">
        <f t="shared" si="80"/>
        <v>-25.66666666666697</v>
      </c>
      <c r="H412" s="251">
        <f t="shared" si="82"/>
        <v>1625553.4323642934</v>
      </c>
      <c r="I412" s="251">
        <f>$H$360</f>
        <v>1106444</v>
      </c>
      <c r="J412" s="249">
        <f t="shared" si="83"/>
        <v>4581.3899999999994</v>
      </c>
      <c r="K412" s="249">
        <f>$H$361</f>
        <v>3139.7699999999995</v>
      </c>
      <c r="L412" s="253">
        <f>K412-J412</f>
        <v>-1441.62</v>
      </c>
    </row>
    <row r="413" spans="2:12" ht="15" customHeight="1" x14ac:dyDescent="0.2">
      <c r="B413" s="246" t="str">
        <f t="shared" si="79"/>
        <v>Unmetered Scattered Load</v>
      </c>
      <c r="C413" s="247"/>
      <c r="D413" s="248"/>
      <c r="E413" s="249">
        <f t="shared" si="81"/>
        <v>75.583333333333329</v>
      </c>
      <c r="F413" s="249">
        <f>$H$368</f>
        <v>76</v>
      </c>
      <c r="G413" s="250">
        <f t="shared" si="80"/>
        <v>0.4166666666666714</v>
      </c>
      <c r="H413" s="251">
        <f t="shared" si="82"/>
        <v>467561.7</v>
      </c>
      <c r="I413" s="251">
        <f>$H$369</f>
        <v>467455</v>
      </c>
      <c r="J413" s="249"/>
      <c r="K413" s="249"/>
      <c r="L413" s="253">
        <f>I413-H413</f>
        <v>-106.70000000001164</v>
      </c>
    </row>
    <row r="414" spans="2:12" ht="15" customHeight="1" x14ac:dyDescent="0.2">
      <c r="B414" s="246" t="s">
        <v>194</v>
      </c>
      <c r="C414" s="247"/>
      <c r="D414" s="248"/>
      <c r="E414" s="249">
        <f>SUM(E408:E413)</f>
        <v>18735.916666666664</v>
      </c>
      <c r="F414" s="249">
        <f t="shared" ref="F414:K414" si="84">SUM(F408:F413)</f>
        <v>19073.083333333336</v>
      </c>
      <c r="G414" s="249">
        <f t="shared" si="84"/>
        <v>337.1666666666676</v>
      </c>
      <c r="H414" s="249">
        <f t="shared" si="84"/>
        <v>238347364.48236427</v>
      </c>
      <c r="I414" s="249">
        <f t="shared" si="84"/>
        <v>242586977</v>
      </c>
      <c r="J414" s="249">
        <f t="shared" si="84"/>
        <v>140274.97344444442</v>
      </c>
      <c r="K414" s="249">
        <f t="shared" si="84"/>
        <v>145414.17099999997</v>
      </c>
      <c r="L414" s="249"/>
    </row>
    <row r="417" spans="2:24" ht="15" customHeight="1" x14ac:dyDescent="0.2">
      <c r="B417" s="362" t="s">
        <v>278</v>
      </c>
      <c r="C417" s="362"/>
      <c r="D417" s="362"/>
      <c r="E417" s="362"/>
      <c r="F417" s="362"/>
      <c r="G417" s="362"/>
      <c r="H417" s="362"/>
      <c r="I417" s="362"/>
      <c r="J417" s="362"/>
      <c r="K417" s="362"/>
      <c r="L417" s="362"/>
    </row>
    <row r="418" spans="2:24" ht="15" customHeight="1" x14ac:dyDescent="0.2">
      <c r="B418" s="363"/>
      <c r="C418" s="364"/>
      <c r="D418" s="365"/>
      <c r="E418" s="363" t="s">
        <v>190</v>
      </c>
      <c r="F418" s="364"/>
      <c r="G418" s="365"/>
      <c r="H418" s="366" t="s">
        <v>89</v>
      </c>
      <c r="I418" s="366"/>
      <c r="J418" s="366" t="s">
        <v>191</v>
      </c>
      <c r="K418" s="366"/>
      <c r="L418" s="305"/>
    </row>
    <row r="419" spans="2:24" ht="22.5" x14ac:dyDescent="0.2">
      <c r="B419" s="359" t="s">
        <v>192</v>
      </c>
      <c r="C419" s="360"/>
      <c r="D419" s="361"/>
      <c r="E419" s="307" t="str">
        <f>F407</f>
        <v>2015 Actual</v>
      </c>
      <c r="F419" s="307" t="s">
        <v>257</v>
      </c>
      <c r="G419" s="307" t="s">
        <v>39</v>
      </c>
      <c r="H419" s="306" t="str">
        <f>E419</f>
        <v>2015 Actual</v>
      </c>
      <c r="I419" s="307" t="str">
        <f>F419</f>
        <v>2016 Actual</v>
      </c>
      <c r="J419" s="306" t="str">
        <f>E419</f>
        <v>2015 Actual</v>
      </c>
      <c r="K419" s="307" t="str">
        <f>F419</f>
        <v>2016 Actual</v>
      </c>
      <c r="L419" s="306" t="s">
        <v>193</v>
      </c>
    </row>
    <row r="420" spans="2:24" ht="15" customHeight="1" x14ac:dyDescent="0.2">
      <c r="B420" s="246" t="str">
        <f t="shared" ref="B420:B425" si="85">B408</f>
        <v>Residential</v>
      </c>
      <c r="C420" s="247"/>
      <c r="D420" s="248"/>
      <c r="E420" s="249">
        <f>F408</f>
        <v>14861.583333333334</v>
      </c>
      <c r="F420" s="249">
        <f>$I$327</f>
        <v>15201.583333333334</v>
      </c>
      <c r="G420" s="250">
        <f t="shared" ref="G420:G425" si="86">F420-E420</f>
        <v>340</v>
      </c>
      <c r="H420" s="251">
        <f t="shared" ref="H420:H425" si="87">I408</f>
        <v>151892216</v>
      </c>
      <c r="I420" s="251">
        <f>$I$328</f>
        <v>149508941.91</v>
      </c>
      <c r="J420" s="249"/>
      <c r="K420" s="252"/>
      <c r="L420" s="253">
        <f>I420-H420</f>
        <v>-2383274.0900000036</v>
      </c>
    </row>
    <row r="421" spans="2:24" ht="15" customHeight="1" x14ac:dyDescent="0.2">
      <c r="B421" s="246" t="str">
        <f t="shared" si="85"/>
        <v>General Service &lt; 50 kW</v>
      </c>
      <c r="C421" s="247"/>
      <c r="D421" s="248"/>
      <c r="E421" s="249">
        <f>F409</f>
        <v>1000.5833333333334</v>
      </c>
      <c r="F421" s="249">
        <f>$I$334</f>
        <v>1016.25</v>
      </c>
      <c r="G421" s="250">
        <f t="shared" si="86"/>
        <v>15.666666666666629</v>
      </c>
      <c r="H421" s="251">
        <f t="shared" si="87"/>
        <v>34381050</v>
      </c>
      <c r="I421" s="251">
        <f>$I$335</f>
        <v>33411508.120000005</v>
      </c>
      <c r="J421" s="249"/>
      <c r="K421" s="252"/>
      <c r="L421" s="253">
        <f>I421-H421</f>
        <v>-969541.87999999523</v>
      </c>
    </row>
    <row r="422" spans="2:24" ht="15" customHeight="1" x14ac:dyDescent="0.2">
      <c r="B422" s="246" t="str">
        <f t="shared" si="85"/>
        <v>General Service 50 to 4,999 kW</v>
      </c>
      <c r="C422" s="247"/>
      <c r="D422" s="248"/>
      <c r="E422" s="249">
        <f>F410</f>
        <v>71.5</v>
      </c>
      <c r="F422" s="249">
        <f>$I$341</f>
        <v>75.583333333333329</v>
      </c>
      <c r="G422" s="250">
        <f t="shared" si="86"/>
        <v>4.0833333333333286</v>
      </c>
      <c r="H422" s="251">
        <f t="shared" si="87"/>
        <v>54636276</v>
      </c>
      <c r="I422" s="251">
        <f>$I$342</f>
        <v>57980607.439999998</v>
      </c>
      <c r="J422" s="249">
        <f>K410</f>
        <v>141986.79999999999</v>
      </c>
      <c r="K422" s="249">
        <f>$I$343</f>
        <v>150801.71</v>
      </c>
      <c r="L422" s="253">
        <f>K422-J422</f>
        <v>8814.9100000000035</v>
      </c>
    </row>
    <row r="423" spans="2:24" ht="15" customHeight="1" x14ac:dyDescent="0.2">
      <c r="B423" s="246" t="str">
        <f t="shared" si="85"/>
        <v>Sentinel Lighting</v>
      </c>
      <c r="C423" s="247"/>
      <c r="D423" s="248"/>
      <c r="E423" s="249">
        <f>I350</f>
        <v>166.08333333333334</v>
      </c>
      <c r="F423" s="249">
        <f>$I$350</f>
        <v>166.08333333333334</v>
      </c>
      <c r="G423" s="250">
        <f t="shared" si="86"/>
        <v>0</v>
      </c>
      <c r="H423" s="251">
        <f t="shared" si="87"/>
        <v>103536</v>
      </c>
      <c r="I423" s="251">
        <f>$I$351</f>
        <v>106305.36</v>
      </c>
      <c r="J423" s="249">
        <f>I352</f>
        <v>295.29266666666666</v>
      </c>
      <c r="K423" s="249">
        <f>$I$352</f>
        <v>295.29266666666666</v>
      </c>
      <c r="L423" s="253">
        <f>K423-J423</f>
        <v>0</v>
      </c>
    </row>
    <row r="424" spans="2:24" ht="15" customHeight="1" x14ac:dyDescent="0.2">
      <c r="B424" s="246" t="str">
        <f t="shared" si="85"/>
        <v>Street Lighting</v>
      </c>
      <c r="C424" s="247"/>
      <c r="D424" s="248"/>
      <c r="E424" s="249">
        <f>F412</f>
        <v>2897.6666666666665</v>
      </c>
      <c r="F424" s="249">
        <f>$I$359</f>
        <v>2863.1666666666665</v>
      </c>
      <c r="G424" s="250">
        <f t="shared" si="86"/>
        <v>-34.5</v>
      </c>
      <c r="H424" s="251">
        <f t="shared" si="87"/>
        <v>1106444</v>
      </c>
      <c r="I424" s="251">
        <f>$I$360</f>
        <v>536549.52</v>
      </c>
      <c r="J424" s="249">
        <f>K412</f>
        <v>3139.7699999999995</v>
      </c>
      <c r="K424" s="249">
        <f>$I$361</f>
        <v>1641.29</v>
      </c>
      <c r="L424" s="253">
        <f>K424-J424</f>
        <v>-1498.4799999999996</v>
      </c>
    </row>
    <row r="425" spans="2:24" ht="15" customHeight="1" x14ac:dyDescent="0.2">
      <c r="B425" s="246" t="str">
        <f t="shared" si="85"/>
        <v>Unmetered Scattered Load</v>
      </c>
      <c r="C425" s="247"/>
      <c r="D425" s="248"/>
      <c r="E425" s="249">
        <f>F413</f>
        <v>76</v>
      </c>
      <c r="F425" s="249">
        <f>$I$368</f>
        <v>75.333333333333329</v>
      </c>
      <c r="G425" s="250">
        <f t="shared" si="86"/>
        <v>-0.6666666666666714</v>
      </c>
      <c r="H425" s="251">
        <f t="shared" si="87"/>
        <v>467455</v>
      </c>
      <c r="I425" s="251">
        <f>$I$369</f>
        <v>472405.55</v>
      </c>
      <c r="J425" s="249"/>
      <c r="K425" s="249"/>
      <c r="L425" s="253">
        <f>I425-H425</f>
        <v>4950.5499999999884</v>
      </c>
    </row>
    <row r="426" spans="2:24" ht="15" customHeight="1" x14ac:dyDescent="0.2">
      <c r="B426" s="246" t="s">
        <v>194</v>
      </c>
      <c r="C426" s="247"/>
      <c r="D426" s="248"/>
      <c r="E426" s="249">
        <f>SUM(E420:E425)</f>
        <v>19073.416666666668</v>
      </c>
      <c r="F426" s="249">
        <f t="shared" ref="F426:K426" si="88">SUM(F420:F425)</f>
        <v>19398</v>
      </c>
      <c r="G426" s="249">
        <f t="shared" si="88"/>
        <v>324.58333333333326</v>
      </c>
      <c r="H426" s="249">
        <f t="shared" si="88"/>
        <v>242586977</v>
      </c>
      <c r="I426" s="249">
        <f t="shared" si="88"/>
        <v>242016317.90000004</v>
      </c>
      <c r="J426" s="249">
        <f t="shared" si="88"/>
        <v>145421.86266666665</v>
      </c>
      <c r="K426" s="249">
        <f t="shared" si="88"/>
        <v>152738.29266666668</v>
      </c>
      <c r="L426" s="249"/>
    </row>
    <row r="428" spans="2:24" ht="15" customHeight="1" x14ac:dyDescent="0.2">
      <c r="B428" s="362" t="s">
        <v>277</v>
      </c>
      <c r="C428" s="362"/>
      <c r="D428" s="362"/>
      <c r="E428" s="362"/>
      <c r="F428" s="362"/>
      <c r="G428" s="362"/>
      <c r="H428" s="362"/>
      <c r="I428" s="362"/>
      <c r="J428" s="362"/>
      <c r="K428" s="362"/>
      <c r="L428" s="362"/>
    </row>
    <row r="429" spans="2:24" s="254" customFormat="1" ht="15" customHeight="1" x14ac:dyDescent="0.2">
      <c r="B429" s="363"/>
      <c r="C429" s="364"/>
      <c r="D429" s="365"/>
      <c r="E429" s="363" t="s">
        <v>190</v>
      </c>
      <c r="F429" s="364"/>
      <c r="G429" s="365"/>
      <c r="H429" s="366" t="s">
        <v>89</v>
      </c>
      <c r="I429" s="366"/>
      <c r="J429" s="366" t="s">
        <v>191</v>
      </c>
      <c r="K429" s="366"/>
      <c r="L429" s="305"/>
      <c r="R429"/>
      <c r="S429"/>
      <c r="T429"/>
      <c r="U429"/>
      <c r="V429"/>
      <c r="W429"/>
      <c r="X429"/>
    </row>
    <row r="430" spans="2:24" ht="22.5" x14ac:dyDescent="0.2">
      <c r="B430" s="359" t="s">
        <v>192</v>
      </c>
      <c r="C430" s="360"/>
      <c r="D430" s="361"/>
      <c r="E430" s="307" t="str">
        <f>F419</f>
        <v>2016 Actual</v>
      </c>
      <c r="F430" s="307" t="s">
        <v>249</v>
      </c>
      <c r="G430" s="307" t="s">
        <v>39</v>
      </c>
      <c r="H430" s="306" t="str">
        <f>E430</f>
        <v>2016 Actual</v>
      </c>
      <c r="I430" s="307" t="str">
        <f>F430</f>
        <v>2017 Test</v>
      </c>
      <c r="J430" s="306" t="str">
        <f>E430</f>
        <v>2016 Actual</v>
      </c>
      <c r="K430" s="307" t="str">
        <f>F430</f>
        <v>2017 Test</v>
      </c>
      <c r="L430" s="306" t="s">
        <v>193</v>
      </c>
    </row>
    <row r="431" spans="2:24" ht="15" customHeight="1" x14ac:dyDescent="0.2">
      <c r="B431" s="246" t="str">
        <f t="shared" ref="B431:B436" si="89">B420</f>
        <v>Residential</v>
      </c>
      <c r="C431" s="247"/>
      <c r="D431" s="248"/>
      <c r="E431" s="249">
        <f>F420</f>
        <v>15201.583333333334</v>
      </c>
      <c r="F431" s="249">
        <f>$J$327</f>
        <v>15554.75</v>
      </c>
      <c r="G431" s="250">
        <f t="shared" ref="G431:G436" si="90">F431-E431</f>
        <v>353.16666666666606</v>
      </c>
      <c r="H431" s="249">
        <f>I420</f>
        <v>149508941.91</v>
      </c>
      <c r="I431" s="251">
        <f>$J$328</f>
        <v>144001990.04708877</v>
      </c>
      <c r="J431" s="249"/>
      <c r="K431" s="252"/>
      <c r="L431" s="253">
        <f>I431-H431</f>
        <v>-5506951.8629112244</v>
      </c>
    </row>
    <row r="432" spans="2:24" ht="15" customHeight="1" x14ac:dyDescent="0.2">
      <c r="B432" s="246" t="str">
        <f t="shared" si="89"/>
        <v>General Service &lt; 50 kW</v>
      </c>
      <c r="C432" s="247"/>
      <c r="D432" s="248"/>
      <c r="E432" s="249">
        <f t="shared" ref="E432:E436" si="91">F421</f>
        <v>1016.25</v>
      </c>
      <c r="F432" s="249">
        <f>$J$334</f>
        <v>1034.4166666666667</v>
      </c>
      <c r="G432" s="250">
        <f t="shared" si="90"/>
        <v>18.166666666666742</v>
      </c>
      <c r="H432" s="249">
        <f t="shared" ref="H432:J436" si="92">I421</f>
        <v>33411508.120000005</v>
      </c>
      <c r="I432" s="251">
        <f>$J$335</f>
        <v>31418007.178141017</v>
      </c>
      <c r="J432" s="249"/>
      <c r="K432" s="252"/>
      <c r="L432" s="253">
        <f>I432-H432</f>
        <v>-1993500.9418589883</v>
      </c>
    </row>
    <row r="433" spans="2:12" ht="15" customHeight="1" x14ac:dyDescent="0.2">
      <c r="B433" s="246" t="str">
        <f t="shared" si="89"/>
        <v>General Service 50 to 4,999 kW</v>
      </c>
      <c r="C433" s="247"/>
      <c r="D433" s="248"/>
      <c r="E433" s="249">
        <f t="shared" si="91"/>
        <v>75.583333333333329</v>
      </c>
      <c r="F433" s="249">
        <f>$J$341</f>
        <v>87.5</v>
      </c>
      <c r="G433" s="250">
        <f t="shared" si="90"/>
        <v>11.916666666666671</v>
      </c>
      <c r="H433" s="249">
        <f t="shared" si="92"/>
        <v>57980607.439999998</v>
      </c>
      <c r="I433" s="251">
        <f>$J$342</f>
        <v>63122597.065548651</v>
      </c>
      <c r="J433" s="249">
        <f t="shared" si="92"/>
        <v>150801.71</v>
      </c>
      <c r="K433" s="249">
        <f>$J$343</f>
        <v>174966.34292758067</v>
      </c>
      <c r="L433" s="253">
        <f>K433-J433</f>
        <v>24164.632927580678</v>
      </c>
    </row>
    <row r="434" spans="2:12" ht="15" customHeight="1" x14ac:dyDescent="0.2">
      <c r="B434" s="246" t="str">
        <f t="shared" si="89"/>
        <v>Sentinel Lighting</v>
      </c>
      <c r="C434" s="247"/>
      <c r="D434" s="248"/>
      <c r="E434" s="249">
        <f t="shared" si="91"/>
        <v>166.08333333333334</v>
      </c>
      <c r="F434" s="249">
        <f>$J$350</f>
        <v>161</v>
      </c>
      <c r="G434" s="250">
        <f t="shared" si="90"/>
        <v>-5.0833333333333428</v>
      </c>
      <c r="H434" s="249">
        <f t="shared" si="92"/>
        <v>106305.36</v>
      </c>
      <c r="I434" s="251">
        <f>$J$351</f>
        <v>103051.65856497742</v>
      </c>
      <c r="J434" s="249">
        <f t="shared" si="92"/>
        <v>295.29266666666666</v>
      </c>
      <c r="K434" s="249">
        <f>$J$352</f>
        <v>286.28122226821648</v>
      </c>
      <c r="L434" s="253">
        <f>K434-J434</f>
        <v>-9.0114443984501804</v>
      </c>
    </row>
    <row r="435" spans="2:12" ht="15" customHeight="1" x14ac:dyDescent="0.2">
      <c r="B435" s="246" t="str">
        <f t="shared" si="89"/>
        <v>Street Lighting</v>
      </c>
      <c r="C435" s="247"/>
      <c r="D435" s="248"/>
      <c r="E435" s="249">
        <f t="shared" si="91"/>
        <v>2863.1666666666665</v>
      </c>
      <c r="F435" s="249">
        <f>$J$359</f>
        <v>2994.8333333333335</v>
      </c>
      <c r="G435" s="250">
        <f t="shared" si="90"/>
        <v>131.66666666666697</v>
      </c>
      <c r="H435" s="249">
        <f t="shared" si="92"/>
        <v>536549.52</v>
      </c>
      <c r="I435" s="251">
        <f>$J$360</f>
        <v>561223.48942778981</v>
      </c>
      <c r="J435" s="249">
        <f t="shared" si="92"/>
        <v>1641.29</v>
      </c>
      <c r="K435" s="249">
        <f>$J$361</f>
        <v>1598.6472960042561</v>
      </c>
      <c r="L435" s="253">
        <f>K435-J435</f>
        <v>-42.642703995743886</v>
      </c>
    </row>
    <row r="436" spans="2:12" ht="15" customHeight="1" x14ac:dyDescent="0.2">
      <c r="B436" s="246" t="str">
        <f t="shared" si="89"/>
        <v>Unmetered Scattered Load</v>
      </c>
      <c r="C436" s="247"/>
      <c r="D436" s="248"/>
      <c r="E436" s="249">
        <f t="shared" si="91"/>
        <v>75.333333333333329</v>
      </c>
      <c r="F436" s="249">
        <f>$J$368</f>
        <v>73.5</v>
      </c>
      <c r="G436" s="250">
        <f t="shared" si="90"/>
        <v>-1.8333333333333286</v>
      </c>
      <c r="H436" s="249">
        <f t="shared" si="92"/>
        <v>472405.55</v>
      </c>
      <c r="I436" s="251">
        <f>$J$369</f>
        <v>461015.01227876113</v>
      </c>
      <c r="J436" s="249"/>
      <c r="K436" s="249"/>
      <c r="L436" s="253">
        <f>I436-H436</f>
        <v>-11390.537721238856</v>
      </c>
    </row>
    <row r="437" spans="2:12" ht="15" customHeight="1" x14ac:dyDescent="0.2">
      <c r="B437" s="246" t="s">
        <v>194</v>
      </c>
      <c r="C437" s="247"/>
      <c r="D437" s="248"/>
      <c r="E437" s="249">
        <f>SUM(E431:E436)</f>
        <v>19398</v>
      </c>
      <c r="F437" s="249">
        <f t="shared" ref="F437:K437" si="93">SUM(F431:F436)</f>
        <v>19906</v>
      </c>
      <c r="G437" s="249">
        <f t="shared" si="93"/>
        <v>507.99999999999983</v>
      </c>
      <c r="H437" s="249">
        <f t="shared" si="93"/>
        <v>242016317.90000004</v>
      </c>
      <c r="I437" s="249">
        <f t="shared" si="93"/>
        <v>239667884.45104998</v>
      </c>
      <c r="J437" s="249">
        <f t="shared" si="93"/>
        <v>152738.29266666668</v>
      </c>
      <c r="K437" s="249">
        <f t="shared" si="93"/>
        <v>176851.27144585314</v>
      </c>
      <c r="L437" s="249"/>
    </row>
  </sheetData>
  <mergeCells count="114">
    <mergeCell ref="S274:T274"/>
    <mergeCell ref="S264:T264"/>
    <mergeCell ref="M265:O265"/>
    <mergeCell ref="M266:O266"/>
    <mergeCell ref="S266:T266"/>
    <mergeCell ref="M267:O267"/>
    <mergeCell ref="S267:T273"/>
    <mergeCell ref="M268:O268"/>
    <mergeCell ref="M269:O269"/>
    <mergeCell ref="M270:O270"/>
    <mergeCell ref="M271:O271"/>
    <mergeCell ref="M272:O272"/>
    <mergeCell ref="M273:O273"/>
    <mergeCell ref="B221:H221"/>
    <mergeCell ref="A257:D257"/>
    <mergeCell ref="B269:K269"/>
    <mergeCell ref="B270:D270"/>
    <mergeCell ref="B271:K271"/>
    <mergeCell ref="A256:D256"/>
    <mergeCell ref="B268:D268"/>
    <mergeCell ref="B265:K265"/>
    <mergeCell ref="B267:K267"/>
    <mergeCell ref="A258:D258"/>
    <mergeCell ref="A259:D259"/>
    <mergeCell ref="B197:K197"/>
    <mergeCell ref="E202:J202"/>
    <mergeCell ref="B49:K49"/>
    <mergeCell ref="B44:D44"/>
    <mergeCell ref="B45:D45"/>
    <mergeCell ref="B18:D18"/>
    <mergeCell ref="B19:D19"/>
    <mergeCell ref="B20:D20"/>
    <mergeCell ref="B21:D21"/>
    <mergeCell ref="B22:D22"/>
    <mergeCell ref="B23:D23"/>
    <mergeCell ref="B24:D24"/>
    <mergeCell ref="B25:D25"/>
    <mergeCell ref="B177:J177"/>
    <mergeCell ref="B192:J192"/>
    <mergeCell ref="B193:D193"/>
    <mergeCell ref="B120:K120"/>
    <mergeCell ref="B132:J132"/>
    <mergeCell ref="B144:D144"/>
    <mergeCell ref="B159:D159"/>
    <mergeCell ref="B163:J163"/>
    <mergeCell ref="A3:E3"/>
    <mergeCell ref="A4:E4"/>
    <mergeCell ref="A5:E5"/>
    <mergeCell ref="A6:E6"/>
    <mergeCell ref="A7:E7"/>
    <mergeCell ref="B112:E112"/>
    <mergeCell ref="B95:D95"/>
    <mergeCell ref="B96:D96"/>
    <mergeCell ref="B111:E111"/>
    <mergeCell ref="B67:J67"/>
    <mergeCell ref="B91:D91"/>
    <mergeCell ref="B92:D92"/>
    <mergeCell ref="B93:D93"/>
    <mergeCell ref="B94:D94"/>
    <mergeCell ref="B26:D26"/>
    <mergeCell ref="B16:D16"/>
    <mergeCell ref="B17:D17"/>
    <mergeCell ref="B320:E320"/>
    <mergeCell ref="B321:E321"/>
    <mergeCell ref="B308:H308"/>
    <mergeCell ref="B312:E312"/>
    <mergeCell ref="B313:E313"/>
    <mergeCell ref="B314:E314"/>
    <mergeCell ref="B315:E315"/>
    <mergeCell ref="O225:Q225"/>
    <mergeCell ref="O233:Q233"/>
    <mergeCell ref="O240:Q240"/>
    <mergeCell ref="O247:Q247"/>
    <mergeCell ref="B319:E319"/>
    <mergeCell ref="B279:H279"/>
    <mergeCell ref="B293:G293"/>
    <mergeCell ref="B273:K273"/>
    <mergeCell ref="B274:D274"/>
    <mergeCell ref="B272:D272"/>
    <mergeCell ref="M264:O264"/>
    <mergeCell ref="M274:O274"/>
    <mergeCell ref="E395:G395"/>
    <mergeCell ref="H395:I395"/>
    <mergeCell ref="J395:K395"/>
    <mergeCell ref="B396:D396"/>
    <mergeCell ref="B405:L405"/>
    <mergeCell ref="B406:D406"/>
    <mergeCell ref="E406:G406"/>
    <mergeCell ref="H406:I406"/>
    <mergeCell ref="J406:K406"/>
    <mergeCell ref="B430:D430"/>
    <mergeCell ref="B419:D419"/>
    <mergeCell ref="B428:L428"/>
    <mergeCell ref="B429:D429"/>
    <mergeCell ref="E429:G429"/>
    <mergeCell ref="H429:I429"/>
    <mergeCell ref="J429:K429"/>
    <mergeCell ref="B145:K145"/>
    <mergeCell ref="B119:D119"/>
    <mergeCell ref="B131:D131"/>
    <mergeCell ref="B383:L383"/>
    <mergeCell ref="B384:D384"/>
    <mergeCell ref="E384:G384"/>
    <mergeCell ref="H384:I384"/>
    <mergeCell ref="J384:K384"/>
    <mergeCell ref="B407:D407"/>
    <mergeCell ref="B417:L417"/>
    <mergeCell ref="B418:D418"/>
    <mergeCell ref="E418:G418"/>
    <mergeCell ref="H418:I418"/>
    <mergeCell ref="J418:K418"/>
    <mergeCell ref="B385:D385"/>
    <mergeCell ref="B394:L394"/>
    <mergeCell ref="B395:D395"/>
  </mergeCells>
  <pageMargins left="0.7" right="0.7" top="0.75" bottom="0.75" header="0.3" footer="0.3"/>
  <pageSetup orientation="portrait" r:id="rId1"/>
  <ignoredErrors>
    <ignoredError sqref="E186:J186" evalError="1"/>
    <ignoredError sqref="I102:I111" numberStoredAsText="1"/>
    <ignoredError sqref="I399:I401 I410:I412 E423 I422 I424 J423 I433:I43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0"/>
  <sheetViews>
    <sheetView topLeftCell="B25" zoomScaleNormal="100" workbookViewId="0">
      <selection activeCell="E62" sqref="E62"/>
    </sheetView>
  </sheetViews>
  <sheetFormatPr defaultRowHeight="12.75" x14ac:dyDescent="0.2"/>
  <cols>
    <col min="1" max="1" width="38" customWidth="1"/>
    <col min="2" max="2" width="13" style="1" customWidth="1"/>
    <col min="3" max="3" width="13.42578125" style="1" bestFit="1" customWidth="1"/>
    <col min="4" max="10" width="12.85546875" style="1" customWidth="1"/>
    <col min="11" max="11" width="13.140625" style="24" customWidth="1"/>
    <col min="12" max="12" width="13.140625" style="1" customWidth="1"/>
    <col min="13" max="16" width="13.140625" customWidth="1"/>
    <col min="18" max="18" width="14.85546875" customWidth="1"/>
    <col min="19" max="19" width="11.28515625" bestFit="1" customWidth="1"/>
    <col min="20" max="20" width="21.28515625" customWidth="1"/>
    <col min="21" max="34" width="15.7109375" customWidth="1"/>
  </cols>
  <sheetData>
    <row r="1" spans="1:27" ht="15.75" x14ac:dyDescent="0.25">
      <c r="A1" s="418" t="s">
        <v>252</v>
      </c>
      <c r="B1" s="418"/>
    </row>
    <row r="3" spans="1:27" ht="38.25" x14ac:dyDescent="0.2">
      <c r="B3" s="42" t="s">
        <v>48</v>
      </c>
      <c r="C3" s="42" t="s">
        <v>55</v>
      </c>
      <c r="D3" s="42" t="s">
        <v>62</v>
      </c>
      <c r="E3" s="42" t="s">
        <v>68</v>
      </c>
      <c r="F3" s="42" t="s">
        <v>69</v>
      </c>
      <c r="G3" s="42" t="s">
        <v>122</v>
      </c>
      <c r="H3" s="42" t="s">
        <v>123</v>
      </c>
      <c r="I3" s="42" t="s">
        <v>124</v>
      </c>
      <c r="J3" s="42" t="s">
        <v>125</v>
      </c>
      <c r="K3" s="42" t="s">
        <v>257</v>
      </c>
      <c r="L3" s="42" t="s">
        <v>126</v>
      </c>
      <c r="M3" s="56"/>
      <c r="N3" s="42"/>
      <c r="O3" s="56"/>
      <c r="P3" s="42"/>
      <c r="R3" s="42"/>
    </row>
    <row r="4" spans="1:27" x14ac:dyDescent="0.2">
      <c r="A4" s="20" t="s">
        <v>51</v>
      </c>
      <c r="B4" s="158">
        <f>'Purchased Power Model '!B141</f>
        <v>241154636.09999999</v>
      </c>
      <c r="C4" s="158">
        <f>'Purchased Power Model '!B142</f>
        <v>245623027.80000001</v>
      </c>
      <c r="D4" s="158">
        <f>'Purchased Power Model '!B143</f>
        <v>247239189.20000002</v>
      </c>
      <c r="E4" s="158">
        <f>'Purchased Power Model '!B144</f>
        <v>250239378.79999998</v>
      </c>
      <c r="F4" s="158">
        <f>'Purchased Power Model '!B145</f>
        <v>246758167.20000002</v>
      </c>
      <c r="G4" s="158">
        <f>'Purchased Power Model '!B146</f>
        <v>245129838.40000004</v>
      </c>
      <c r="H4" s="158">
        <f>'Purchased Power Model '!B147</f>
        <v>251758061.40000001</v>
      </c>
      <c r="I4" s="158">
        <f>'Purchased Power Model '!B148</f>
        <v>253254986.30000001</v>
      </c>
      <c r="J4" s="158">
        <f>'Purchased Power Model '!B149</f>
        <v>255774983.09999999</v>
      </c>
      <c r="K4" s="158">
        <f>'Purchased Power Model '!B150</f>
        <v>259382036</v>
      </c>
    </row>
    <row r="5" spans="1:27" x14ac:dyDescent="0.2">
      <c r="A5" s="20" t="s">
        <v>140</v>
      </c>
      <c r="B5" s="158">
        <f>'Purchased Power Model '!H141</f>
        <v>245109642.8152931</v>
      </c>
      <c r="C5" s="158">
        <f>'Purchased Power Model '!H142</f>
        <v>243752147.78149053</v>
      </c>
      <c r="D5" s="158">
        <f>'Purchased Power Model '!H143</f>
        <v>243433414.80982959</v>
      </c>
      <c r="E5" s="158">
        <f>'Purchased Power Model '!H144</f>
        <v>246677801.33027512</v>
      </c>
      <c r="F5" s="158">
        <f>'Purchased Power Model '!H145</f>
        <v>249085614.88396004</v>
      </c>
      <c r="G5" s="158">
        <f>'Purchased Power Model '!H146</f>
        <v>246975036.63319921</v>
      </c>
      <c r="H5" s="158">
        <f>'Purchased Power Model '!H147</f>
        <v>250054816.72654173</v>
      </c>
      <c r="I5" s="158">
        <f>'Purchased Power Model '!H148</f>
        <v>254540889.88211167</v>
      </c>
      <c r="J5" s="158">
        <f>'Purchased Power Model '!H149</f>
        <v>255309254.72807688</v>
      </c>
      <c r="K5" s="158">
        <f>'Purchased Power Model '!H150</f>
        <v>261375684.70922133</v>
      </c>
      <c r="L5" s="158">
        <f>'Purchased Power Model '!H151</f>
        <v>259701037.62542906</v>
      </c>
      <c r="M5" s="179"/>
      <c r="N5" s="179"/>
      <c r="O5" s="179"/>
      <c r="P5" s="179"/>
    </row>
    <row r="6" spans="1:27" x14ac:dyDescent="0.2">
      <c r="A6" s="20" t="s">
        <v>8</v>
      </c>
      <c r="B6" s="41">
        <f t="shared" ref="B6:K6" si="0">(B5-B4)/B4</f>
        <v>1.6400293103438743E-2</v>
      </c>
      <c r="C6" s="41">
        <f t="shared" si="0"/>
        <v>-7.6168754829976787E-3</v>
      </c>
      <c r="D6" s="41">
        <f t="shared" si="0"/>
        <v>-1.5393087165853013E-2</v>
      </c>
      <c r="E6" s="41">
        <f t="shared" si="0"/>
        <v>-1.423268186967248E-2</v>
      </c>
      <c r="F6" s="41">
        <f t="shared" si="0"/>
        <v>9.4320998991437657E-3</v>
      </c>
      <c r="G6" s="41">
        <f t="shared" si="0"/>
        <v>7.5274321773435267E-3</v>
      </c>
      <c r="H6" s="41">
        <f t="shared" si="0"/>
        <v>-6.7654027203209082E-3</v>
      </c>
      <c r="I6" s="41">
        <f t="shared" si="0"/>
        <v>5.0775054852756386E-3</v>
      </c>
      <c r="J6" s="41">
        <f t="shared" si="0"/>
        <v>-1.8208519311719929E-3</v>
      </c>
      <c r="K6" s="41">
        <f t="shared" si="0"/>
        <v>7.6861479690957983E-3</v>
      </c>
      <c r="L6" s="57"/>
      <c r="M6" s="57"/>
      <c r="N6" s="57"/>
      <c r="O6" s="57"/>
      <c r="P6" s="57"/>
      <c r="Q6" s="255"/>
      <c r="Z6" s="256"/>
      <c r="AA6" s="256"/>
    </row>
    <row r="7" spans="1:27" x14ac:dyDescent="0.2">
      <c r="A7" s="20" t="s">
        <v>142</v>
      </c>
      <c r="B7" s="41"/>
      <c r="C7" s="41"/>
      <c r="D7" s="41"/>
      <c r="E7" s="41"/>
      <c r="F7" s="41"/>
      <c r="G7" s="41"/>
      <c r="H7" s="41"/>
      <c r="I7" s="41"/>
      <c r="J7" s="41"/>
      <c r="K7" s="108"/>
      <c r="L7" s="108">
        <f>'Rate Class Energy Model'!G67*'Rate Class Energy Model'!F21</f>
        <v>-2507179.8778104275</v>
      </c>
      <c r="M7" s="108"/>
      <c r="N7" s="108"/>
      <c r="O7" s="108"/>
      <c r="P7" s="108"/>
      <c r="Z7" s="256"/>
      <c r="AA7" s="256"/>
    </row>
    <row r="8" spans="1:27" x14ac:dyDescent="0.2">
      <c r="A8" s="20" t="s">
        <v>141</v>
      </c>
      <c r="B8" s="41"/>
      <c r="C8" s="41"/>
      <c r="D8" s="41"/>
      <c r="E8" s="41"/>
      <c r="F8" s="41"/>
      <c r="G8" s="41"/>
      <c r="H8" s="41"/>
      <c r="I8" s="41"/>
      <c r="J8" s="41"/>
      <c r="K8" s="27"/>
      <c r="L8" s="27">
        <f>L5+L7</f>
        <v>257193857.74761865</v>
      </c>
      <c r="M8" s="27"/>
      <c r="N8" s="27"/>
      <c r="O8" s="27"/>
      <c r="P8" s="27"/>
      <c r="Z8" s="256"/>
      <c r="AA8" s="256"/>
    </row>
    <row r="9" spans="1:27" x14ac:dyDescent="0.2">
      <c r="A9" s="20"/>
      <c r="B9" s="38"/>
      <c r="C9" s="38"/>
      <c r="D9" s="38"/>
      <c r="E9" s="38"/>
      <c r="F9" s="38"/>
      <c r="G9" s="38"/>
      <c r="H9" s="38"/>
      <c r="I9" s="38"/>
      <c r="J9" s="38"/>
      <c r="K9" s="165"/>
      <c r="L9" s="165"/>
      <c r="M9" s="165"/>
      <c r="N9" s="165"/>
      <c r="O9" s="165"/>
      <c r="P9" s="165"/>
      <c r="Z9" s="256"/>
      <c r="AA9" s="256"/>
    </row>
    <row r="10" spans="1:27" x14ac:dyDescent="0.2">
      <c r="A10" s="20" t="s">
        <v>53</v>
      </c>
      <c r="B10" s="158">
        <f>'Rate Class Energy Model'!G8</f>
        <v>219644846.84999999</v>
      </c>
      <c r="C10" s="158">
        <f>'Rate Class Energy Model'!G9</f>
        <v>226847622.39000002</v>
      </c>
      <c r="D10" s="158">
        <f>'Rate Class Energy Model'!G10</f>
        <v>229106454.31</v>
      </c>
      <c r="E10" s="158">
        <f>'Rate Class Energy Model'!G11</f>
        <v>231874950.46999997</v>
      </c>
      <c r="F10" s="158">
        <f>'Rate Class Energy Model'!G12</f>
        <v>233601582.96999997</v>
      </c>
      <c r="G10" s="158">
        <f>'Rate Class Energy Model'!G13</f>
        <v>229950204.59647745</v>
      </c>
      <c r="H10" s="158">
        <f>'Rate Class Energy Model'!G14</f>
        <v>232845910.19703764</v>
      </c>
      <c r="I10" s="158">
        <f>'Rate Class Energy Model'!G15</f>
        <v>238347364.48236424</v>
      </c>
      <c r="J10" s="158">
        <f>'Rate Class Energy Model'!G16</f>
        <v>242586977</v>
      </c>
      <c r="K10" s="158">
        <f>'Rate Class Energy Model'!G17</f>
        <v>242016317.90000004</v>
      </c>
      <c r="L10" s="158">
        <f>L8/'Rate Class Energy Model'!F21</f>
        <v>239667884.45104998</v>
      </c>
      <c r="M10" s="158"/>
      <c r="N10" s="158"/>
      <c r="O10" s="158"/>
      <c r="P10" s="158"/>
    </row>
    <row r="11" spans="1:27" x14ac:dyDescent="0.2">
      <c r="A11" s="20"/>
      <c r="B11" s="38"/>
      <c r="D11" s="24"/>
      <c r="E11" s="24"/>
      <c r="F11" s="24"/>
      <c r="G11" s="24"/>
      <c r="H11" s="24"/>
      <c r="I11" s="24"/>
      <c r="L11" s="24"/>
      <c r="M11" s="24"/>
      <c r="N11" s="24"/>
      <c r="O11" s="24"/>
      <c r="P11" s="24"/>
    </row>
    <row r="12" spans="1:27" ht="15.75" x14ac:dyDescent="0.25">
      <c r="A12" s="40" t="s">
        <v>52</v>
      </c>
    </row>
    <row r="13" spans="1:27" x14ac:dyDescent="0.2">
      <c r="A13" s="39" t="str">
        <f>'Rate Class Energy Model'!H3</f>
        <v>Residential</v>
      </c>
    </row>
    <row r="14" spans="1:27" x14ac:dyDescent="0.2">
      <c r="A14" t="s">
        <v>45</v>
      </c>
      <c r="B14" s="179">
        <f>'Rate Class Customer Model'!B3</f>
        <v>12991</v>
      </c>
      <c r="C14" s="179">
        <f>'Rate Class Customer Model'!B4</f>
        <v>13277</v>
      </c>
      <c r="D14" s="179">
        <f>'Rate Class Customer Model'!B5</f>
        <v>13533</v>
      </c>
      <c r="E14" s="179">
        <f>'Rate Class Customer Model'!B6</f>
        <v>13651</v>
      </c>
      <c r="F14" s="179">
        <f>'Rate Class Customer Model'!B7</f>
        <v>13779</v>
      </c>
      <c r="G14" s="179">
        <f>'Rate Class Customer Model'!B8</f>
        <v>13942.916666666666</v>
      </c>
      <c r="H14" s="179">
        <f>'Rate Class Customer Model'!B9</f>
        <v>14181</v>
      </c>
      <c r="I14" s="179">
        <f>'Rate Class Customer Model'!B10</f>
        <v>14509.166666666666</v>
      </c>
      <c r="J14" s="179">
        <f>'Rate Class Customer Model'!B11</f>
        <v>14861.583333333334</v>
      </c>
      <c r="K14" s="27">
        <f>'Rate Class Customer Model'!B12</f>
        <v>15201.583333333334</v>
      </c>
      <c r="L14" s="179">
        <f>'Rate Class Customer Model'!B13</f>
        <v>15554.75</v>
      </c>
      <c r="M14" s="179"/>
      <c r="N14" s="179"/>
      <c r="O14" s="179"/>
      <c r="P14" s="179"/>
    </row>
    <row r="15" spans="1:27" x14ac:dyDescent="0.2">
      <c r="A15" t="s">
        <v>46</v>
      </c>
      <c r="B15" s="179">
        <f>'Rate Class Energy Model'!H8+B58</f>
        <v>149540287.97127354</v>
      </c>
      <c r="C15" s="179">
        <f>'Rate Class Energy Model'!H9+C58</f>
        <v>150829547.73240873</v>
      </c>
      <c r="D15" s="179">
        <f>'Rate Class Energy Model'!H10+D58</f>
        <v>151161548</v>
      </c>
      <c r="E15" s="179">
        <f>'Rate Class Energy Model'!H11+E58</f>
        <v>149152068.22999996</v>
      </c>
      <c r="F15" s="179">
        <f>'Rate Class Energy Model'!H12+F58</f>
        <v>150859304.56999999</v>
      </c>
      <c r="G15" s="179">
        <f>'Rate Class Energy Model'!H13+G58</f>
        <v>145720738</v>
      </c>
      <c r="H15" s="179">
        <f>'Rate Class Energy Model'!H14+H58</f>
        <v>148837682</v>
      </c>
      <c r="I15" s="179">
        <f>'Rate Class Energy Model'!H15+I58</f>
        <v>153331484.31999999</v>
      </c>
      <c r="J15" s="179">
        <f>'Rate Class Energy Model'!H16+J58</f>
        <v>151892216</v>
      </c>
      <c r="K15" s="179">
        <f>'Rate Class Energy Model'!H17+K58</f>
        <v>149508941.91</v>
      </c>
      <c r="L15" s="27">
        <f>'Rate Class Energy Model'!H56+L58</f>
        <v>144001990.04708877</v>
      </c>
      <c r="M15" s="27"/>
      <c r="N15" s="27"/>
      <c r="O15" s="27"/>
      <c r="P15" s="27"/>
      <c r="S15" s="256"/>
      <c r="U15" s="256"/>
      <c r="V15" s="256"/>
      <c r="W15" s="256"/>
    </row>
    <row r="16" spans="1:27" x14ac:dyDescent="0.2">
      <c r="C16" s="48"/>
      <c r="D16" s="24"/>
      <c r="E16" s="24"/>
      <c r="F16" s="24"/>
      <c r="G16" s="24"/>
      <c r="H16" s="24"/>
      <c r="I16" s="24"/>
      <c r="S16" s="256"/>
      <c r="U16" s="256"/>
      <c r="V16" s="256"/>
      <c r="W16" s="256"/>
    </row>
    <row r="17" spans="1:23" x14ac:dyDescent="0.2">
      <c r="A17" s="39" t="str">
        <f>'Rate Class Energy Model'!I3</f>
        <v>GS&lt;50</v>
      </c>
      <c r="S17" s="256"/>
      <c r="U17" s="256"/>
      <c r="V17" s="256"/>
      <c r="W17" s="256"/>
    </row>
    <row r="18" spans="1:23" x14ac:dyDescent="0.2">
      <c r="A18" t="s">
        <v>45</v>
      </c>
      <c r="B18" s="179">
        <f>'Rate Class Customer Model'!C3</f>
        <v>819</v>
      </c>
      <c r="C18" s="179">
        <f>'Rate Class Customer Model'!C4</f>
        <v>836</v>
      </c>
      <c r="D18" s="179">
        <f>'Rate Class Customer Model'!C5</f>
        <v>855</v>
      </c>
      <c r="E18" s="179">
        <f>'Rate Class Customer Model'!C6</f>
        <v>865</v>
      </c>
      <c r="F18" s="179">
        <f>'Rate Class Customer Model'!C7</f>
        <v>896</v>
      </c>
      <c r="G18" s="179">
        <f>'Rate Class Customer Model'!C8</f>
        <v>913.75</v>
      </c>
      <c r="H18" s="179">
        <f>'Rate Class Customer Model'!C9</f>
        <v>949.25</v>
      </c>
      <c r="I18" s="179">
        <f>'Rate Class Customer Model'!C10</f>
        <v>991.25</v>
      </c>
      <c r="J18" s="179">
        <f>'Rate Class Customer Model'!C11</f>
        <v>1000.5833333333334</v>
      </c>
      <c r="K18" s="179">
        <f>'Rate Class Customer Model'!C12</f>
        <v>1016.25</v>
      </c>
      <c r="L18" s="179">
        <f>'Rate Class Customer Model'!C13</f>
        <v>1034.4166666666667</v>
      </c>
      <c r="M18" s="179"/>
      <c r="N18" s="179"/>
      <c r="O18" s="179"/>
      <c r="P18" s="179"/>
      <c r="S18" s="256"/>
      <c r="U18" s="256"/>
      <c r="V18" s="256"/>
      <c r="W18" s="256"/>
    </row>
    <row r="19" spans="1:23" x14ac:dyDescent="0.2">
      <c r="A19" t="s">
        <v>46</v>
      </c>
      <c r="B19" s="179">
        <f>'Rate Class Energy Model'!I8+B59</f>
        <v>28638157.412327427</v>
      </c>
      <c r="C19" s="179">
        <f>'Rate Class Energy Model'!I9+C59</f>
        <v>28578436.331503898</v>
      </c>
      <c r="D19" s="179">
        <f>'Rate Class Energy Model'!I10+D59</f>
        <v>28275493</v>
      </c>
      <c r="E19" s="179">
        <f>'Rate Class Energy Model'!I11++E59</f>
        <v>29400128</v>
      </c>
      <c r="F19" s="179">
        <f>'Rate Class Energy Model'!I12+F59</f>
        <v>30760128.32</v>
      </c>
      <c r="G19" s="179">
        <f>'Rate Class Energy Model'!I13+G59</f>
        <v>30926417</v>
      </c>
      <c r="H19" s="179">
        <f>'Rate Class Energy Model'!I14+H59</f>
        <v>31038184</v>
      </c>
      <c r="I19" s="179">
        <f>'Rate Class Energy Model'!I15+I59</f>
        <v>32222518.180000003</v>
      </c>
      <c r="J19" s="179">
        <f>'Rate Class Energy Model'!I16+J59</f>
        <v>34381050</v>
      </c>
      <c r="K19" s="179">
        <f>'Rate Class Energy Model'!I17+K59</f>
        <v>33411508.120000005</v>
      </c>
      <c r="L19" s="179">
        <f>'Rate Class Energy Model'!I56+L59</f>
        <v>31418007.178141017</v>
      </c>
      <c r="M19" s="179"/>
      <c r="N19" s="179"/>
      <c r="O19" s="179"/>
      <c r="P19" s="179"/>
      <c r="S19" s="256"/>
      <c r="U19" s="256"/>
      <c r="V19" s="256"/>
      <c r="W19" s="256"/>
    </row>
    <row r="20" spans="1:23" x14ac:dyDescent="0.2">
      <c r="C20" s="48"/>
      <c r="D20" s="24"/>
      <c r="E20" s="24"/>
      <c r="F20" s="24"/>
      <c r="G20" s="24"/>
      <c r="H20" s="24"/>
      <c r="I20" s="24"/>
      <c r="O20" s="1"/>
      <c r="S20" s="256"/>
      <c r="U20" s="256"/>
      <c r="V20" s="256"/>
      <c r="W20" s="256"/>
    </row>
    <row r="21" spans="1:23" x14ac:dyDescent="0.2">
      <c r="A21" s="39" t="str">
        <f>'Rate Class Energy Model'!J3</f>
        <v>GS&gt;50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160"/>
      <c r="N21" s="160"/>
      <c r="O21" s="160"/>
      <c r="P21" s="160"/>
      <c r="S21" s="256"/>
      <c r="U21" s="256"/>
      <c r="V21" s="256"/>
      <c r="W21" s="256"/>
    </row>
    <row r="22" spans="1:23" x14ac:dyDescent="0.2">
      <c r="A22" t="s">
        <v>45</v>
      </c>
      <c r="B22" s="179">
        <f>'Rate Class Customer Model'!D3</f>
        <v>71</v>
      </c>
      <c r="C22" s="179">
        <f>'Rate Class Customer Model'!D4</f>
        <v>73</v>
      </c>
      <c r="D22" s="179">
        <f>'Rate Class Customer Model'!D5</f>
        <v>72</v>
      </c>
      <c r="E22" s="179">
        <f>'Rate Class Customer Model'!D6</f>
        <v>68</v>
      </c>
      <c r="F22" s="27">
        <f>'Rate Class Customer Model'!D7</f>
        <v>67</v>
      </c>
      <c r="G22" s="27">
        <f>'Rate Class Customer Model'!D8</f>
        <v>67.916666666666671</v>
      </c>
      <c r="H22" s="27">
        <f>'Rate Class Customer Model'!D9</f>
        <v>67</v>
      </c>
      <c r="I22" s="27">
        <f>'Rate Class Customer Model'!D10</f>
        <v>67.166666666666671</v>
      </c>
      <c r="J22" s="27">
        <f>'Rate Class Customer Model'!D11</f>
        <v>71.5</v>
      </c>
      <c r="K22" s="179">
        <f>'Rate Class Customer Model'!D12</f>
        <v>75.583333333333329</v>
      </c>
      <c r="L22" s="179">
        <f>'Rate Class Customer Model'!D13</f>
        <v>87.5</v>
      </c>
      <c r="M22" s="179"/>
      <c r="N22" s="179"/>
      <c r="O22" s="179"/>
      <c r="P22" s="179"/>
      <c r="S22" s="256"/>
      <c r="U22" s="256"/>
      <c r="V22" s="256"/>
      <c r="W22" s="256"/>
    </row>
    <row r="23" spans="1:23" x14ac:dyDescent="0.2">
      <c r="A23" t="s">
        <v>46</v>
      </c>
      <c r="B23" s="179">
        <f>'Rate Class Energy Model'!J8</f>
        <v>39320570</v>
      </c>
      <c r="C23" s="179">
        <f>'Rate Class Energy Model'!J9</f>
        <v>45269405.57</v>
      </c>
      <c r="D23" s="179">
        <f>'Rate Class Energy Model'!J10</f>
        <v>47473258.210000001</v>
      </c>
      <c r="E23" s="179">
        <f>'Rate Class Energy Model'!J11</f>
        <v>51128771.11999999</v>
      </c>
      <c r="F23" s="179">
        <f>'Rate Class Energy Model'!J12</f>
        <v>49921685.450000003</v>
      </c>
      <c r="G23" s="179">
        <f>'Rate Class Energy Model'!J13</f>
        <v>51138110</v>
      </c>
      <c r="H23" s="179">
        <f>'Rate Class Energy Model'!J14</f>
        <v>50921722</v>
      </c>
      <c r="I23" s="179">
        <f>'Rate Class Energy Model'!J15</f>
        <v>50592266.850000001</v>
      </c>
      <c r="J23" s="179">
        <f>'Rate Class Energy Model'!J16</f>
        <v>54636276</v>
      </c>
      <c r="K23" s="179">
        <f>'Rate Class Energy Model'!J17</f>
        <v>57980607.439999998</v>
      </c>
      <c r="L23" s="179">
        <f>'Rate Class Energy Model'!J56</f>
        <v>63122597.065548651</v>
      </c>
      <c r="M23" s="179"/>
      <c r="N23" s="179"/>
      <c r="O23" s="179"/>
      <c r="P23" s="179"/>
      <c r="S23" s="256"/>
      <c r="U23" s="256"/>
      <c r="V23" s="256"/>
      <c r="W23" s="256"/>
    </row>
    <row r="24" spans="1:23" x14ac:dyDescent="0.2">
      <c r="A24" t="s">
        <v>47</v>
      </c>
      <c r="B24" s="179">
        <f>'Rate Class Load Model'!B2</f>
        <v>116956</v>
      </c>
      <c r="C24" s="179">
        <f>'Rate Class Load Model'!B3</f>
        <v>134692.85</v>
      </c>
      <c r="D24" s="179">
        <f>'Rate Class Load Model'!B4</f>
        <v>136122.29</v>
      </c>
      <c r="E24" s="27">
        <f>'Rate Class Load Model'!B5</f>
        <v>144502.21</v>
      </c>
      <c r="F24" s="27">
        <f>'Rate Class Load Model'!B6</f>
        <v>139425.35999999999</v>
      </c>
      <c r="G24" s="27">
        <f>'Rate Class Load Model'!B7</f>
        <v>144982</v>
      </c>
      <c r="H24" s="27">
        <f>'Rate Class Load Model'!B8</f>
        <v>130935</v>
      </c>
      <c r="I24" s="27">
        <f>'Rate Class Load Model'!B9</f>
        <v>135393.63999999998</v>
      </c>
      <c r="J24" s="27">
        <f>'Rate Class Load Model'!B10</f>
        <v>141986.79999999999</v>
      </c>
      <c r="K24" s="179">
        <f>'Rate Class Load Model'!B11</f>
        <v>150801.71</v>
      </c>
      <c r="L24" s="179">
        <f>'Rate Class Load Model'!B12</f>
        <v>174966.34292758067</v>
      </c>
      <c r="M24" s="179"/>
      <c r="N24" s="179"/>
      <c r="O24" s="179"/>
      <c r="P24" s="179"/>
      <c r="S24" s="256"/>
      <c r="U24" s="256"/>
      <c r="V24" s="256"/>
      <c r="W24" s="256"/>
    </row>
    <row r="25" spans="1:23" x14ac:dyDescent="0.2">
      <c r="C25" s="48"/>
      <c r="D25" s="24"/>
      <c r="E25" s="24"/>
      <c r="F25" s="24"/>
      <c r="G25" s="24"/>
      <c r="H25" s="24"/>
      <c r="I25" s="24"/>
      <c r="J25" s="24"/>
      <c r="S25" s="256"/>
      <c r="U25" s="256"/>
      <c r="V25" s="256"/>
      <c r="W25" s="256"/>
    </row>
    <row r="26" spans="1:23" x14ac:dyDescent="0.2">
      <c r="A26" s="39" t="str">
        <f>'Rate Class Energy Model'!K3</f>
        <v>Sentinels</v>
      </c>
      <c r="L26" s="179"/>
      <c r="S26" s="256"/>
      <c r="U26" s="256"/>
      <c r="V26" s="256"/>
      <c r="W26" s="256"/>
    </row>
    <row r="27" spans="1:23" x14ac:dyDescent="0.2">
      <c r="A27" t="s">
        <v>63</v>
      </c>
      <c r="B27" s="179">
        <f>'Rate Class Customer Model'!E3</f>
        <v>186</v>
      </c>
      <c r="C27" s="179">
        <f>'Rate Class Customer Model'!E4</f>
        <v>186</v>
      </c>
      <c r="D27" s="179">
        <f>'Rate Class Customer Model'!E5</f>
        <v>193</v>
      </c>
      <c r="E27" s="27">
        <f>'Rate Class Customer Model'!E6</f>
        <v>201</v>
      </c>
      <c r="F27" s="27">
        <f>'Rate Class Customer Model'!E7</f>
        <v>225</v>
      </c>
      <c r="G27" s="27">
        <f>'Rate Class Customer Model'!E8</f>
        <v>172.08333333333334</v>
      </c>
      <c r="H27" s="27">
        <f>'Rate Class Customer Model'!E9</f>
        <v>168</v>
      </c>
      <c r="I27" s="27">
        <f>'Rate Class Customer Model'!E10</f>
        <v>169.41666666666666</v>
      </c>
      <c r="J27" s="27">
        <f>'Rate Class Customer Model'!E11</f>
        <v>165.75</v>
      </c>
      <c r="K27" s="179">
        <f>'Rate Class Customer Model'!E12</f>
        <v>166.08333333333334</v>
      </c>
      <c r="L27" s="179">
        <f>'Rate Class Customer Model'!E13</f>
        <v>161</v>
      </c>
      <c r="M27" s="179"/>
      <c r="N27" s="179"/>
      <c r="O27" s="179"/>
      <c r="P27" s="179"/>
      <c r="S27" s="256"/>
      <c r="U27" s="256"/>
      <c r="V27" s="256"/>
      <c r="W27" s="256"/>
    </row>
    <row r="28" spans="1:23" x14ac:dyDescent="0.2">
      <c r="A28" t="s">
        <v>46</v>
      </c>
      <c r="B28" s="179">
        <f>'Rate Class Energy Model'!K8</f>
        <v>126371</v>
      </c>
      <c r="C28" s="179">
        <f>'Rate Class Energy Model'!K9</f>
        <v>124211.62</v>
      </c>
      <c r="D28" s="179">
        <f>'Rate Class Energy Model'!K10</f>
        <v>122021.1</v>
      </c>
      <c r="E28" s="179">
        <f>'Rate Class Energy Model'!K11</f>
        <v>116702.72</v>
      </c>
      <c r="F28" s="179">
        <f>'Rate Class Energy Model'!K12</f>
        <v>110240.82</v>
      </c>
      <c r="G28" s="179">
        <f>'Rate Class Energy Model'!K13</f>
        <v>113359.85597714041</v>
      </c>
      <c r="H28" s="179">
        <f>'Rate Class Energy Model'!K14</f>
        <v>101843.93410009757</v>
      </c>
      <c r="I28" s="179">
        <f>'Rate Class Energy Model'!K15</f>
        <v>107980</v>
      </c>
      <c r="J28" s="179">
        <f>'Rate Class Energy Model'!K16</f>
        <v>103536</v>
      </c>
      <c r="K28" s="179">
        <f>'Rate Class Energy Model'!K17</f>
        <v>106305.36</v>
      </c>
      <c r="L28" s="179">
        <f>'Rate Class Energy Model'!K56</f>
        <v>103051.65856497742</v>
      </c>
      <c r="M28" s="179"/>
      <c r="N28" s="179"/>
      <c r="O28" s="179"/>
      <c r="P28" s="179"/>
      <c r="R28" s="114"/>
      <c r="S28" s="256"/>
      <c r="U28" s="256"/>
      <c r="V28" s="256"/>
      <c r="W28" s="256"/>
    </row>
    <row r="29" spans="1:23" x14ac:dyDescent="0.2">
      <c r="A29" t="s">
        <v>47</v>
      </c>
      <c r="B29" s="179">
        <f>'Rate Class Load Model'!C2</f>
        <v>351</v>
      </c>
      <c r="C29" s="179">
        <f>'Rate Class Load Model'!C3</f>
        <v>345.03227777777778</v>
      </c>
      <c r="D29" s="179">
        <f>'Rate Class Load Model'!C4</f>
        <v>338.94749999999999</v>
      </c>
      <c r="E29" s="27">
        <f>'Rate Class Load Model'!C5</f>
        <v>324.17422222222223</v>
      </c>
      <c r="F29" s="27">
        <f>'Rate Class Load Model'!C6</f>
        <v>306.31894444444447</v>
      </c>
      <c r="G29" s="27">
        <f>'Rate Class Load Model'!C7</f>
        <v>315</v>
      </c>
      <c r="H29" s="27">
        <f>'Rate Class Load Model'!C8</f>
        <v>283</v>
      </c>
      <c r="I29" s="27">
        <f>'Rate Class Load Model'!C9</f>
        <v>299.94344444444442</v>
      </c>
      <c r="J29" s="27">
        <f>'Rate Class Load Model'!C10</f>
        <v>287.601</v>
      </c>
      <c r="K29" s="179">
        <f>'Rate Class Load Model'!C11</f>
        <v>295.29266666666666</v>
      </c>
      <c r="L29" s="179">
        <f>'Rate Class Load Model'!C12</f>
        <v>286.28122226821648</v>
      </c>
      <c r="M29" s="179"/>
      <c r="N29" s="179"/>
      <c r="O29" s="179"/>
      <c r="P29" s="179"/>
      <c r="R29" s="114"/>
      <c r="S29" s="256"/>
      <c r="U29" s="256"/>
      <c r="V29" s="256"/>
      <c r="W29" s="256"/>
    </row>
    <row r="30" spans="1:23" x14ac:dyDescent="0.2">
      <c r="B30" s="179"/>
      <c r="C30" s="179"/>
      <c r="D30" s="179"/>
      <c r="E30" s="179"/>
      <c r="F30" s="179"/>
      <c r="G30" s="179"/>
      <c r="H30" s="179"/>
      <c r="I30" s="179"/>
      <c r="J30" s="179"/>
      <c r="K30" s="27"/>
      <c r="R30" s="114"/>
      <c r="S30" s="256"/>
      <c r="U30" s="256"/>
      <c r="V30" s="256"/>
      <c r="W30" s="256"/>
    </row>
    <row r="31" spans="1:23" x14ac:dyDescent="0.2">
      <c r="A31" s="39" t="str">
        <f>'Rate Class Energy Model'!L3</f>
        <v>Streetlights</v>
      </c>
      <c r="L31" s="179"/>
      <c r="S31" s="256"/>
      <c r="U31" s="256"/>
      <c r="V31" s="256"/>
      <c r="W31" s="256"/>
    </row>
    <row r="32" spans="1:23" x14ac:dyDescent="0.2">
      <c r="A32" t="s">
        <v>63</v>
      </c>
      <c r="B32" s="179">
        <f>'Rate Class Customer Model'!F3</f>
        <v>2489</v>
      </c>
      <c r="C32" s="179">
        <f>'Rate Class Customer Model'!F4</f>
        <v>2588</v>
      </c>
      <c r="D32" s="179">
        <f>'Rate Class Customer Model'!F5</f>
        <v>2625</v>
      </c>
      <c r="E32" s="27">
        <f>'Rate Class Customer Model'!F6</f>
        <v>2685</v>
      </c>
      <c r="F32" s="27">
        <f>'Rate Class Customer Model'!F7</f>
        <v>2728</v>
      </c>
      <c r="G32" s="27">
        <f>'Rate Class Customer Model'!F8</f>
        <v>2728</v>
      </c>
      <c r="H32" s="27">
        <f>'Rate Class Customer Model'!F9</f>
        <v>2843.3333333333335</v>
      </c>
      <c r="I32" s="27">
        <f>'Rate Class Customer Model'!F10</f>
        <v>2923.3333333333335</v>
      </c>
      <c r="J32" s="27">
        <f>'Rate Class Customer Model'!F11</f>
        <v>2897.6666666666665</v>
      </c>
      <c r="K32" s="179">
        <f>'Rate Class Customer Model'!F12</f>
        <v>2863.1666666666665</v>
      </c>
      <c r="L32" s="179">
        <f>'Rate Class Customer Model'!F13</f>
        <v>2994.8333333333335</v>
      </c>
      <c r="M32" s="179"/>
      <c r="N32" s="179"/>
      <c r="O32" s="179"/>
      <c r="P32" s="179"/>
      <c r="S32" s="256"/>
      <c r="U32" s="256"/>
      <c r="V32" s="256"/>
      <c r="W32" s="256"/>
    </row>
    <row r="33" spans="1:23" x14ac:dyDescent="0.2">
      <c r="A33" t="s">
        <v>46</v>
      </c>
      <c r="B33" s="179">
        <f>'Rate Class Energy Model'!L8</f>
        <v>1495947</v>
      </c>
      <c r="C33" s="179">
        <f>'Rate Class Energy Model'!L9</f>
        <v>1533898.8</v>
      </c>
      <c r="D33" s="179">
        <f>'Rate Class Energy Model'!L10</f>
        <v>1576911.6</v>
      </c>
      <c r="E33" s="179">
        <f>'Rate Class Energy Model'!L11</f>
        <v>1580058</v>
      </c>
      <c r="F33" s="179">
        <f>'Rate Class Energy Model'!L12</f>
        <v>1457369.41</v>
      </c>
      <c r="G33" s="179">
        <f>'Rate Class Energy Model'!L13</f>
        <v>1569708.8405002926</v>
      </c>
      <c r="H33" s="179">
        <f>'Rate Class Energy Model'!L14</f>
        <v>1472134.2629375483</v>
      </c>
      <c r="I33" s="179">
        <f>'Rate Class Energy Model'!L15</f>
        <v>1625553.4323642934</v>
      </c>
      <c r="J33" s="179">
        <f>'Rate Class Energy Model'!L16</f>
        <v>1106444</v>
      </c>
      <c r="K33" s="179">
        <f>'Rate Class Energy Model'!L17</f>
        <v>536549.52</v>
      </c>
      <c r="L33" s="64">
        <f>'Rate Class Energy Model'!L56</f>
        <v>561223.48942778981</v>
      </c>
      <c r="M33" s="64"/>
      <c r="N33" s="64"/>
      <c r="O33" s="64"/>
      <c r="P33" s="64"/>
      <c r="S33" s="256"/>
      <c r="U33" s="256"/>
      <c r="V33" s="256"/>
      <c r="W33" s="256"/>
    </row>
    <row r="34" spans="1:23" x14ac:dyDescent="0.2">
      <c r="A34" t="s">
        <v>47</v>
      </c>
      <c r="B34" s="179">
        <f>'Rate Class Load Model'!D2</f>
        <v>4153</v>
      </c>
      <c r="C34" s="179">
        <f>'Rate Class Load Model'!D3</f>
        <v>4260.83</v>
      </c>
      <c r="D34" s="179">
        <f>'Rate Class Load Model'!D4</f>
        <v>4370.32</v>
      </c>
      <c r="E34" s="27">
        <f>'Rate Class Load Model'!D5</f>
        <v>4389.05</v>
      </c>
      <c r="F34" s="27">
        <f>'Rate Class Load Model'!D6</f>
        <v>4416</v>
      </c>
      <c r="G34" s="27">
        <f>'Rate Class Load Model'!D7</f>
        <v>4424</v>
      </c>
      <c r="H34" s="27">
        <f>'Rate Class Load Model'!D8</f>
        <v>4149</v>
      </c>
      <c r="I34" s="27">
        <f>'Rate Class Load Model'!D9</f>
        <v>4581.3899999999994</v>
      </c>
      <c r="J34" s="27">
        <f>'Rate Class Load Model'!D10</f>
        <v>3139.7699999999995</v>
      </c>
      <c r="K34" s="179">
        <f>'Rate Class Load Model'!D11</f>
        <v>1641.29</v>
      </c>
      <c r="L34" s="179">
        <f>'Rate Class Load Model'!D12</f>
        <v>1598.6472960042561</v>
      </c>
      <c r="M34" s="179"/>
      <c r="N34" s="179"/>
      <c r="O34" s="179"/>
      <c r="P34" s="179"/>
      <c r="S34" s="256"/>
      <c r="U34" s="256"/>
      <c r="V34" s="256"/>
      <c r="W34" s="256"/>
    </row>
    <row r="35" spans="1:23" x14ac:dyDescent="0.2">
      <c r="S35" s="256"/>
      <c r="U35" s="256"/>
      <c r="V35" s="256"/>
      <c r="W35" s="256"/>
    </row>
    <row r="36" spans="1:23" x14ac:dyDescent="0.2">
      <c r="A36" s="39" t="str">
        <f>'Rate Class Energy Model'!M3</f>
        <v>USL</v>
      </c>
      <c r="S36" s="256"/>
      <c r="U36" s="256"/>
      <c r="V36" s="256"/>
      <c r="W36" s="256"/>
    </row>
    <row r="37" spans="1:23" x14ac:dyDescent="0.2">
      <c r="A37" t="s">
        <v>63</v>
      </c>
      <c r="B37" s="179">
        <f>'Rate Class Customer Model'!G3</f>
        <v>89</v>
      </c>
      <c r="C37" s="179">
        <f>'Rate Class Customer Model'!G4</f>
        <v>84</v>
      </c>
      <c r="D37" s="179">
        <f>'Rate Class Customer Model'!G5</f>
        <v>83</v>
      </c>
      <c r="E37" s="27">
        <f>'Rate Class Customer Model'!G6</f>
        <v>82</v>
      </c>
      <c r="F37" s="27">
        <f>'Rate Class Customer Model'!G7</f>
        <v>81</v>
      </c>
      <c r="G37" s="27">
        <f>'Rate Class Customer Model'!G8</f>
        <v>78.666666666666671</v>
      </c>
      <c r="H37" s="27">
        <f>'Rate Class Customer Model'!G9</f>
        <v>77.583333333333329</v>
      </c>
      <c r="I37" s="27">
        <f>'Rate Class Customer Model'!G10</f>
        <v>75.583333333333329</v>
      </c>
      <c r="J37" s="27">
        <f>'Rate Class Customer Model'!G11</f>
        <v>76</v>
      </c>
      <c r="K37" s="179">
        <f>'Rate Class Customer Model'!G12</f>
        <v>75.333333333333329</v>
      </c>
      <c r="L37" s="179">
        <f>'Rate Class Customer Model'!G13</f>
        <v>73.5</v>
      </c>
      <c r="M37" s="179"/>
      <c r="N37" s="179"/>
      <c r="O37" s="179"/>
      <c r="P37" s="179"/>
      <c r="S37" s="256"/>
      <c r="U37" s="256"/>
      <c r="V37" s="256"/>
      <c r="W37" s="256"/>
    </row>
    <row r="38" spans="1:23" x14ac:dyDescent="0.2">
      <c r="A38" t="s">
        <v>46</v>
      </c>
      <c r="B38" s="179">
        <f>'Rate Class Energy Model'!M8+B60</f>
        <v>523513.46639904153</v>
      </c>
      <c r="C38" s="179">
        <f>'Rate Class Energy Model'!M9+C60</f>
        <v>512122.33608737146</v>
      </c>
      <c r="D38" s="179">
        <f>'Rate Class Energy Model'!M10+D60</f>
        <v>497222.40000000002</v>
      </c>
      <c r="E38" s="179">
        <f>'Rate Class Energy Model'!M11+E60</f>
        <v>497222.40000000002</v>
      </c>
      <c r="F38" s="179">
        <f>'Rate Class Energy Model'!M12+F60</f>
        <v>492854.4</v>
      </c>
      <c r="G38" s="179">
        <f>'Rate Class Energy Model'!M13+G60</f>
        <v>481870.9</v>
      </c>
      <c r="H38" s="179">
        <f>'Rate Class Energy Model'!M14+H60</f>
        <v>474344</v>
      </c>
      <c r="I38" s="179">
        <f>'Rate Class Energy Model'!M15+I60</f>
        <v>467561.7</v>
      </c>
      <c r="J38" s="179">
        <f>'Rate Class Energy Model'!M16+J60</f>
        <v>467455</v>
      </c>
      <c r="K38" s="179">
        <f>'Rate Class Energy Model'!M17+K60</f>
        <v>472405.55</v>
      </c>
      <c r="L38" s="179">
        <f>'Rate Class Energy Model'!M56+L60</f>
        <v>461015.01227876113</v>
      </c>
      <c r="M38" s="179"/>
      <c r="N38" s="179"/>
      <c r="O38" s="179"/>
      <c r="P38" s="179"/>
      <c r="S38" s="256"/>
      <c r="U38" s="256"/>
      <c r="V38" s="256"/>
      <c r="W38" s="256"/>
    </row>
    <row r="39" spans="1:23" x14ac:dyDescent="0.2">
      <c r="B39" s="179"/>
      <c r="C39" s="179"/>
      <c r="D39" s="179"/>
      <c r="E39" s="179"/>
      <c r="F39" s="179"/>
      <c r="G39" s="179"/>
      <c r="H39" s="179"/>
      <c r="I39" s="179"/>
      <c r="K39" s="179"/>
      <c r="L39" s="179"/>
      <c r="M39" s="160"/>
      <c r="N39" s="160"/>
      <c r="O39" s="160"/>
      <c r="P39" s="160"/>
      <c r="S39" s="256"/>
      <c r="U39" s="256"/>
      <c r="V39" s="256"/>
      <c r="W39" s="256"/>
    </row>
    <row r="40" spans="1:23" x14ac:dyDescent="0.2">
      <c r="A40" s="39" t="s">
        <v>64</v>
      </c>
      <c r="C40" s="179"/>
      <c r="D40" s="179"/>
      <c r="E40" s="179"/>
      <c r="F40" s="179"/>
      <c r="G40" s="179"/>
      <c r="H40" s="179"/>
      <c r="I40" s="179"/>
      <c r="J40" s="179"/>
      <c r="K40" s="179"/>
      <c r="S40" s="256" t="s">
        <v>251</v>
      </c>
      <c r="U40" s="256"/>
      <c r="V40" s="256"/>
      <c r="W40" s="256"/>
    </row>
    <row r="41" spans="1:23" x14ac:dyDescent="0.2">
      <c r="A41" s="175" t="s">
        <v>50</v>
      </c>
      <c r="B41" s="179">
        <f t="shared" ref="B41:L41" si="1">B37+B32+B14+B18+B22+B27</f>
        <v>16645</v>
      </c>
      <c r="C41" s="179">
        <f t="shared" si="1"/>
        <v>17044</v>
      </c>
      <c r="D41" s="179">
        <f t="shared" si="1"/>
        <v>17361</v>
      </c>
      <c r="E41" s="179">
        <f t="shared" si="1"/>
        <v>17552</v>
      </c>
      <c r="F41" s="179">
        <f t="shared" si="1"/>
        <v>17776</v>
      </c>
      <c r="G41" s="179">
        <f t="shared" si="1"/>
        <v>17903.333333333332</v>
      </c>
      <c r="H41" s="179">
        <f t="shared" si="1"/>
        <v>18286.166666666668</v>
      </c>
      <c r="I41" s="179">
        <f t="shared" si="1"/>
        <v>18735.916666666668</v>
      </c>
      <c r="J41" s="179">
        <f t="shared" si="1"/>
        <v>19073.083333333332</v>
      </c>
      <c r="K41" s="179">
        <f t="shared" si="1"/>
        <v>19398</v>
      </c>
      <c r="L41" s="281">
        <f t="shared" si="1"/>
        <v>19906</v>
      </c>
      <c r="M41" s="281"/>
      <c r="N41" s="281"/>
      <c r="O41" s="281"/>
      <c r="P41" s="281"/>
      <c r="S41" t="s">
        <v>89</v>
      </c>
    </row>
    <row r="42" spans="1:23" x14ac:dyDescent="0.2">
      <c r="A42" s="175" t="s">
        <v>46</v>
      </c>
      <c r="B42" s="179">
        <f t="shared" ref="B42:L42" si="2">B15+B19+B23+B28+B33+B38</f>
        <v>219644846.85000002</v>
      </c>
      <c r="C42" s="179">
        <f t="shared" si="2"/>
        <v>226847622.39000002</v>
      </c>
      <c r="D42" s="179">
        <f t="shared" si="2"/>
        <v>229106454.31</v>
      </c>
      <c r="E42" s="179">
        <f t="shared" si="2"/>
        <v>231874950.46999997</v>
      </c>
      <c r="F42" s="179">
        <f t="shared" si="2"/>
        <v>233601582.96999997</v>
      </c>
      <c r="G42" s="179">
        <f t="shared" si="2"/>
        <v>229950204.59647745</v>
      </c>
      <c r="H42" s="179">
        <f t="shared" si="2"/>
        <v>232845910.19703764</v>
      </c>
      <c r="I42" s="179">
        <f t="shared" si="2"/>
        <v>238347364.48236427</v>
      </c>
      <c r="J42" s="179">
        <f t="shared" si="2"/>
        <v>242586977</v>
      </c>
      <c r="K42" s="179">
        <f t="shared" si="2"/>
        <v>242016317.90000004</v>
      </c>
      <c r="L42" s="179">
        <f t="shared" si="2"/>
        <v>239667884.45104998</v>
      </c>
      <c r="M42" s="160"/>
      <c r="N42" s="160"/>
      <c r="O42" s="160"/>
      <c r="P42" s="160"/>
      <c r="S42" t="s">
        <v>89</v>
      </c>
    </row>
    <row r="43" spans="1:23" x14ac:dyDescent="0.2">
      <c r="A43" t="s">
        <v>49</v>
      </c>
      <c r="B43" s="179">
        <f t="shared" ref="B43:L43" si="3">B34+B29+B24</f>
        <v>121460</v>
      </c>
      <c r="C43" s="179">
        <f t="shared" si="3"/>
        <v>139298.71227777778</v>
      </c>
      <c r="D43" s="179">
        <f t="shared" si="3"/>
        <v>140831.5575</v>
      </c>
      <c r="E43" s="179">
        <f t="shared" si="3"/>
        <v>149215.43422222222</v>
      </c>
      <c r="F43" s="179">
        <f t="shared" si="3"/>
        <v>144147.67894444443</v>
      </c>
      <c r="G43" s="179">
        <f t="shared" si="3"/>
        <v>149721</v>
      </c>
      <c r="H43" s="179">
        <f t="shared" si="3"/>
        <v>135367</v>
      </c>
      <c r="I43" s="179">
        <f t="shared" si="3"/>
        <v>140274.97344444442</v>
      </c>
      <c r="J43" s="179">
        <f t="shared" si="3"/>
        <v>145414.171</v>
      </c>
      <c r="K43" s="27">
        <f t="shared" si="3"/>
        <v>152738.29266666665</v>
      </c>
      <c r="L43" s="179">
        <f t="shared" si="3"/>
        <v>176851.27144585314</v>
      </c>
      <c r="M43" s="160"/>
      <c r="N43" s="160"/>
      <c r="O43" s="160"/>
      <c r="P43" s="160"/>
    </row>
    <row r="44" spans="1:23" x14ac:dyDescent="0.2">
      <c r="A44" s="20"/>
    </row>
    <row r="45" spans="1:23" x14ac:dyDescent="0.2">
      <c r="A45" s="160" t="s">
        <v>65</v>
      </c>
      <c r="K45" s="1"/>
      <c r="L45" s="179"/>
      <c r="M45" s="1"/>
      <c r="N45" s="1"/>
      <c r="O45" s="1"/>
      <c r="P45" s="1"/>
    </row>
    <row r="46" spans="1:23" x14ac:dyDescent="0.2">
      <c r="A46" t="s">
        <v>50</v>
      </c>
      <c r="B46" s="179">
        <f>'Rate Class Customer Model'!H3</f>
        <v>16645</v>
      </c>
      <c r="C46" s="179">
        <f>'Rate Class Customer Model'!H4</f>
        <v>17044</v>
      </c>
      <c r="D46" s="179">
        <f>'Rate Class Customer Model'!H5</f>
        <v>17361</v>
      </c>
      <c r="E46" s="179">
        <f>'Rate Class Customer Model'!H6</f>
        <v>17552</v>
      </c>
      <c r="F46" s="179">
        <f>'Rate Class Customer Model'!H7</f>
        <v>17776</v>
      </c>
      <c r="G46" s="179">
        <f>'Rate Class Customer Model'!H8</f>
        <v>17903.333333333332</v>
      </c>
      <c r="H46" s="179">
        <f>'Rate Class Customer Model'!H9</f>
        <v>18286.166666666664</v>
      </c>
      <c r="I46" s="179">
        <f>'Rate Class Customer Model'!H10</f>
        <v>18735.916666666664</v>
      </c>
      <c r="J46" s="179">
        <f>'Rate Class Customer Model'!H11</f>
        <v>19073.083333333336</v>
      </c>
      <c r="K46" s="179">
        <f>'Rate Class Customer Model'!H12</f>
        <v>19398</v>
      </c>
      <c r="L46" s="179">
        <f>'Rate Class Customer Model'!H13</f>
        <v>19906</v>
      </c>
      <c r="M46" s="179"/>
      <c r="N46" s="179"/>
      <c r="O46" s="179"/>
      <c r="P46" s="179"/>
    </row>
    <row r="47" spans="1:23" x14ac:dyDescent="0.2">
      <c r="A47" t="s">
        <v>46</v>
      </c>
      <c r="B47" s="179">
        <f>'Rate Class Energy Model'!G8</f>
        <v>219644846.84999999</v>
      </c>
      <c r="C47" s="179">
        <f>'Rate Class Energy Model'!G9</f>
        <v>226847622.39000002</v>
      </c>
      <c r="D47" s="179">
        <f>'Rate Class Energy Model'!G10</f>
        <v>229106454.31</v>
      </c>
      <c r="E47" s="179">
        <f>'Rate Class Energy Model'!G11</f>
        <v>231874950.46999997</v>
      </c>
      <c r="F47" s="179">
        <f>'Rate Class Energy Model'!G12</f>
        <v>233601582.96999997</v>
      </c>
      <c r="G47" s="179">
        <f>'Rate Class Energy Model'!G13</f>
        <v>229950204.59647745</v>
      </c>
      <c r="H47" s="179">
        <f>'Rate Class Energy Model'!G14</f>
        <v>232845910.19703764</v>
      </c>
      <c r="I47" s="179">
        <f>'Rate Class Energy Model'!G15</f>
        <v>238347364.48236424</v>
      </c>
      <c r="J47" s="179">
        <f>'Rate Class Energy Model'!G16</f>
        <v>242586977</v>
      </c>
      <c r="K47" s="179">
        <f>'Rate Class Energy Model'!G17</f>
        <v>242016317.90000004</v>
      </c>
      <c r="L47" s="179">
        <f>'Rate Class Energy Model'!O56</f>
        <v>239667884.45104998</v>
      </c>
      <c r="M47" s="179"/>
      <c r="N47" s="179"/>
      <c r="O47" s="179"/>
      <c r="P47" s="179"/>
    </row>
    <row r="48" spans="1:23" x14ac:dyDescent="0.2">
      <c r="A48" t="s">
        <v>49</v>
      </c>
      <c r="B48" s="179">
        <f>'Rate Class Load Model'!E2</f>
        <v>121460</v>
      </c>
      <c r="C48" s="179">
        <f>'Rate Class Load Model'!E3</f>
        <v>139298.71227777778</v>
      </c>
      <c r="D48" s="179">
        <f>'Rate Class Load Model'!E4</f>
        <v>140831.55750000002</v>
      </c>
      <c r="E48" s="179">
        <f>'Rate Class Load Model'!E5</f>
        <v>149215.43422222219</v>
      </c>
      <c r="F48" s="179">
        <f>'Rate Class Load Model'!E6</f>
        <v>144147.67894444443</v>
      </c>
      <c r="G48" s="179">
        <f>'Rate Class Load Model'!E7</f>
        <v>149721</v>
      </c>
      <c r="H48" s="179">
        <f>'Rate Class Load Model'!E8</f>
        <v>135367</v>
      </c>
      <c r="I48" s="179">
        <f>'Rate Class Load Model'!E9</f>
        <v>140274.97344444442</v>
      </c>
      <c r="J48" s="179">
        <f>'Rate Class Load Model'!E10</f>
        <v>145414.17099999997</v>
      </c>
      <c r="K48" s="27">
        <f>'Rate Class Load Model'!E11</f>
        <v>152738.29266666668</v>
      </c>
      <c r="L48" s="179">
        <f>'Rate Class Load Model'!E12</f>
        <v>176851.27144585314</v>
      </c>
      <c r="M48" s="160"/>
      <c r="N48" s="160"/>
      <c r="O48" s="160"/>
      <c r="P48" s="160"/>
    </row>
    <row r="49" spans="1:16" x14ac:dyDescent="0.2">
      <c r="A49" s="20"/>
    </row>
    <row r="50" spans="1:16" x14ac:dyDescent="0.2">
      <c r="A50" s="160" t="s">
        <v>66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"/>
      <c r="N50" s="1"/>
      <c r="O50" s="1"/>
      <c r="P50" s="1"/>
    </row>
    <row r="51" spans="1:16" x14ac:dyDescent="0.2">
      <c r="A51" t="s">
        <v>50</v>
      </c>
      <c r="B51" s="179">
        <f t="shared" ref="B51:L51" si="4">B41-B46</f>
        <v>0</v>
      </c>
      <c r="C51" s="179">
        <f t="shared" si="4"/>
        <v>0</v>
      </c>
      <c r="D51" s="179">
        <f t="shared" si="4"/>
        <v>0</v>
      </c>
      <c r="E51" s="179">
        <f t="shared" si="4"/>
        <v>0</v>
      </c>
      <c r="F51" s="179">
        <f t="shared" si="4"/>
        <v>0</v>
      </c>
      <c r="G51" s="179">
        <f t="shared" si="4"/>
        <v>0</v>
      </c>
      <c r="H51" s="179">
        <f t="shared" si="4"/>
        <v>0</v>
      </c>
      <c r="I51" s="179">
        <f t="shared" si="4"/>
        <v>0</v>
      </c>
      <c r="J51" s="179">
        <f t="shared" si="4"/>
        <v>0</v>
      </c>
      <c r="K51" s="179">
        <f t="shared" si="4"/>
        <v>0</v>
      </c>
      <c r="L51" s="179">
        <f t="shared" si="4"/>
        <v>0</v>
      </c>
      <c r="M51" s="179"/>
      <c r="N51" s="179"/>
      <c r="O51" s="179"/>
      <c r="P51" s="179"/>
    </row>
    <row r="52" spans="1:16" x14ac:dyDescent="0.2">
      <c r="A52" t="s">
        <v>46</v>
      </c>
      <c r="B52" s="179">
        <f t="shared" ref="B52:L52" si="5">B42-B47</f>
        <v>0</v>
      </c>
      <c r="C52" s="179">
        <f t="shared" si="5"/>
        <v>0</v>
      </c>
      <c r="D52" s="179">
        <f t="shared" si="5"/>
        <v>0</v>
      </c>
      <c r="E52" s="27">
        <f t="shared" si="5"/>
        <v>0</v>
      </c>
      <c r="F52" s="27">
        <f t="shared" si="5"/>
        <v>0</v>
      </c>
      <c r="G52" s="27">
        <f t="shared" si="5"/>
        <v>0</v>
      </c>
      <c r="H52" s="27">
        <f t="shared" si="5"/>
        <v>0</v>
      </c>
      <c r="I52" s="27">
        <f t="shared" si="5"/>
        <v>0</v>
      </c>
      <c r="J52" s="27">
        <f t="shared" si="5"/>
        <v>0</v>
      </c>
      <c r="K52" s="27">
        <f t="shared" si="5"/>
        <v>0</v>
      </c>
      <c r="L52" s="27">
        <f t="shared" si="5"/>
        <v>0</v>
      </c>
      <c r="M52" s="179"/>
      <c r="N52" s="179"/>
      <c r="O52" s="179"/>
      <c r="P52" s="179"/>
    </row>
    <row r="53" spans="1:16" x14ac:dyDescent="0.2">
      <c r="A53" t="s">
        <v>49</v>
      </c>
      <c r="B53" s="179">
        <f t="shared" ref="B53:L53" si="6">B43-B48</f>
        <v>0</v>
      </c>
      <c r="C53" s="179">
        <f t="shared" si="6"/>
        <v>0</v>
      </c>
      <c r="D53" s="179">
        <f t="shared" si="6"/>
        <v>0</v>
      </c>
      <c r="E53" s="179">
        <f t="shared" si="6"/>
        <v>0</v>
      </c>
      <c r="F53" s="179">
        <f t="shared" si="6"/>
        <v>0</v>
      </c>
      <c r="G53" s="179">
        <f t="shared" si="6"/>
        <v>0</v>
      </c>
      <c r="H53" s="179">
        <f t="shared" si="6"/>
        <v>0</v>
      </c>
      <c r="I53" s="179">
        <f t="shared" si="6"/>
        <v>0</v>
      </c>
      <c r="J53" s="179">
        <f t="shared" si="6"/>
        <v>0</v>
      </c>
      <c r="K53" s="179">
        <f t="shared" si="6"/>
        <v>0</v>
      </c>
      <c r="L53" s="179">
        <f t="shared" si="6"/>
        <v>0</v>
      </c>
      <c r="M53" s="160"/>
      <c r="N53" s="160"/>
      <c r="O53" s="160"/>
      <c r="P53" s="160"/>
    </row>
    <row r="54" spans="1:16" x14ac:dyDescent="0.2">
      <c r="A54" s="20"/>
      <c r="K54" s="1"/>
    </row>
    <row r="55" spans="1:16" x14ac:dyDescent="0.2">
      <c r="A55" s="160" t="str">
        <f>'Rate Class Energy Model'!N3</f>
        <v>Hydro One Load Transfers</v>
      </c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"/>
      <c r="N55" s="1"/>
      <c r="O55" s="1"/>
      <c r="P55" s="1"/>
    </row>
    <row r="56" spans="1:16" x14ac:dyDescent="0.2">
      <c r="A56" t="s">
        <v>46</v>
      </c>
      <c r="B56" s="179">
        <f>'Rate Class Energy Model'!N8</f>
        <v>1027940.85</v>
      </c>
      <c r="C56" s="179">
        <f>'Rate Class Energy Model'!N9</f>
        <v>1051589.3999999999</v>
      </c>
      <c r="D56" s="179">
        <f>'Rate Class Energy Model'!N10</f>
        <v>953373.4</v>
      </c>
      <c r="E56" s="179">
        <f>'Rate Class Energy Model'!N11</f>
        <v>1026508.4</v>
      </c>
      <c r="F56" s="179">
        <f>'Rate Class Energy Model'!N12</f>
        <v>976170.4</v>
      </c>
      <c r="G56" s="179">
        <f>'Rate Class Energy Model'!N13</f>
        <v>984206.4</v>
      </c>
      <c r="H56" s="179">
        <f>'Rate Class Energy Model'!N14</f>
        <v>1072122.3999999999</v>
      </c>
      <c r="I56" s="179">
        <f>'Rate Class Energy Model'!N15</f>
        <v>1158298.98</v>
      </c>
      <c r="J56" s="179">
        <f>'Rate Class Energy Model'!N16</f>
        <v>1016031</v>
      </c>
      <c r="K56" s="179">
        <f>'Rate Class Energy Model'!N17</f>
        <v>957045</v>
      </c>
      <c r="L56" s="179">
        <f>'Rate Class Energy Model'!N56</f>
        <v>957045</v>
      </c>
      <c r="M56" s="179"/>
      <c r="N56" s="179"/>
      <c r="O56" s="179"/>
      <c r="P56" s="179"/>
    </row>
    <row r="57" spans="1:16" x14ac:dyDescent="0.2">
      <c r="K57" s="1"/>
      <c r="M57" s="1"/>
      <c r="N57" s="1"/>
      <c r="O57" s="1"/>
      <c r="P57" s="1"/>
    </row>
    <row r="58" spans="1:16" x14ac:dyDescent="0.2">
      <c r="A58" t="s">
        <v>91</v>
      </c>
      <c r="B58" s="179">
        <f>D58/$D$61*$B$61</f>
        <v>849385.97127353249</v>
      </c>
      <c r="C58" s="179">
        <f>D58/$D$61*$C$61</f>
        <v>868926.7324087288</v>
      </c>
      <c r="D58" s="179">
        <f>[4]LTLT!$J$22</f>
        <v>787771</v>
      </c>
      <c r="E58" s="179">
        <f>[4]LTLT!$I$22</f>
        <v>811712</v>
      </c>
      <c r="F58" s="179">
        <f>[4]LTLT!$H$22</f>
        <v>761195</v>
      </c>
      <c r="G58" s="179">
        <f>[4]LTLT!$G$22</f>
        <v>777643</v>
      </c>
      <c r="H58" s="179">
        <f>[4]LTLT!$F$22</f>
        <v>873386</v>
      </c>
      <c r="I58" s="179">
        <f>[4]LTLT!$E$22</f>
        <v>953526</v>
      </c>
      <c r="J58" s="179">
        <f>[4]LTLT!$D$22</f>
        <v>849293</v>
      </c>
      <c r="K58" s="179">
        <f>[4]LTLT!$C$22</f>
        <v>784220</v>
      </c>
      <c r="L58" s="179">
        <f t="shared" ref="L58" si="7">K58</f>
        <v>784220</v>
      </c>
      <c r="M58" s="257"/>
      <c r="N58" s="257"/>
      <c r="O58" s="257"/>
      <c r="P58" s="257"/>
    </row>
    <row r="59" spans="1:16" x14ac:dyDescent="0.2">
      <c r="A59" t="s">
        <v>279</v>
      </c>
      <c r="B59" s="179">
        <f t="shared" ref="B59:B60" si="8">D59/$D$61*$B$61</f>
        <v>174735.41232742596</v>
      </c>
      <c r="C59" s="179">
        <f t="shared" ref="C59:C60" si="9">D59/$D$61*$C$61</f>
        <v>178755.33150389971</v>
      </c>
      <c r="D59" s="179">
        <f>[4]LTLT!$J$23</f>
        <v>162060</v>
      </c>
      <c r="E59" s="179">
        <f>[4]LTLT!$I$23</f>
        <v>211254</v>
      </c>
      <c r="F59" s="179">
        <f>[4]LTLT!$H$23</f>
        <v>211433</v>
      </c>
      <c r="G59" s="179">
        <f>[4]LTLT!$G$23</f>
        <v>203019</v>
      </c>
      <c r="H59" s="179">
        <f>[4]LTLT!$F$23</f>
        <v>195189</v>
      </c>
      <c r="I59" s="179">
        <f>[4]LTLT!$E$23</f>
        <v>200477.98</v>
      </c>
      <c r="J59" s="179">
        <f>[4]LTLT!$D$23</f>
        <v>162375</v>
      </c>
      <c r="K59" s="179">
        <f>[4]LTLT!$C$23</f>
        <v>168467</v>
      </c>
      <c r="L59" s="179">
        <f t="shared" ref="L59:L60" si="10">K59</f>
        <v>168467</v>
      </c>
      <c r="M59" s="257"/>
      <c r="N59" s="257"/>
      <c r="O59" s="257"/>
      <c r="P59" s="257"/>
    </row>
    <row r="60" spans="1:16" x14ac:dyDescent="0.2">
      <c r="A60" t="s">
        <v>59</v>
      </c>
      <c r="B60" s="179">
        <f t="shared" si="8"/>
        <v>3819.4663990415506</v>
      </c>
      <c r="C60" s="179">
        <f t="shared" si="9"/>
        <v>3907.3360873714328</v>
      </c>
      <c r="D60" s="179">
        <f>[4]LTLT!$J$24</f>
        <v>3542.4</v>
      </c>
      <c r="E60" s="179">
        <f>[4]LTLT!$I$24</f>
        <v>3542.4</v>
      </c>
      <c r="F60" s="179">
        <f>[4]LTLT!$H$24</f>
        <v>3542.4</v>
      </c>
      <c r="G60" s="179">
        <f>[4]LTLT!$G$24+[4]LTLT!$G$25</f>
        <v>3544.4</v>
      </c>
      <c r="H60" s="179">
        <f>[4]LTLT!$F$24+[4]LTLT!$F$25</f>
        <v>3547.4</v>
      </c>
      <c r="I60" s="179">
        <f>[4]LTLT!$E$24+[4]LTLT!$E$25</f>
        <v>4295</v>
      </c>
      <c r="J60" s="179">
        <f>[4]LTLT!$D$24+[4]LTLT!$D$25</f>
        <v>4363</v>
      </c>
      <c r="K60" s="179">
        <f>[4]LTLT!$C$24</f>
        <v>4358</v>
      </c>
      <c r="L60" s="179">
        <f t="shared" si="10"/>
        <v>4358</v>
      </c>
      <c r="M60" s="257"/>
      <c r="N60" s="257"/>
      <c r="O60" s="257"/>
      <c r="P60" s="257"/>
    </row>
    <row r="61" spans="1:16" x14ac:dyDescent="0.2">
      <c r="A61" t="s">
        <v>194</v>
      </c>
      <c r="B61" s="179">
        <f>'Rate Class Energy Model'!N8</f>
        <v>1027940.85</v>
      </c>
      <c r="C61" s="179">
        <f>'Rate Class Energy Model'!N9</f>
        <v>1051589.3999999999</v>
      </c>
      <c r="D61" s="179">
        <f t="shared" ref="D61:L61" si="11">SUM(D58:D60)</f>
        <v>953373.4</v>
      </c>
      <c r="E61" s="179">
        <f t="shared" si="11"/>
        <v>1026508.4</v>
      </c>
      <c r="F61" s="179">
        <f t="shared" si="11"/>
        <v>976170.4</v>
      </c>
      <c r="G61" s="179">
        <f t="shared" si="11"/>
        <v>984206.4</v>
      </c>
      <c r="H61" s="179">
        <f t="shared" si="11"/>
        <v>1072122.3999999999</v>
      </c>
      <c r="I61" s="179">
        <f t="shared" si="11"/>
        <v>1158298.98</v>
      </c>
      <c r="J61" s="179">
        <f t="shared" si="11"/>
        <v>1016031</v>
      </c>
      <c r="K61" s="179">
        <f t="shared" si="11"/>
        <v>957045</v>
      </c>
      <c r="L61" s="179">
        <f t="shared" si="11"/>
        <v>957045</v>
      </c>
      <c r="M61" s="257"/>
      <c r="N61" s="257"/>
      <c r="O61" s="257"/>
      <c r="P61" s="257"/>
    </row>
    <row r="62" spans="1:16" x14ac:dyDescent="0.2">
      <c r="B62" s="179">
        <f>B56-B61</f>
        <v>0</v>
      </c>
      <c r="C62" s="179">
        <f t="shared" ref="C62:L62" si="12">C56-C61</f>
        <v>0</v>
      </c>
      <c r="D62" s="179">
        <f t="shared" si="12"/>
        <v>0</v>
      </c>
      <c r="E62" s="179">
        <f t="shared" si="12"/>
        <v>0</v>
      </c>
      <c r="F62" s="179">
        <f t="shared" si="12"/>
        <v>0</v>
      </c>
      <c r="G62" s="179">
        <f t="shared" si="12"/>
        <v>0</v>
      </c>
      <c r="H62" s="179">
        <f t="shared" si="12"/>
        <v>0</v>
      </c>
      <c r="I62" s="179">
        <f t="shared" si="12"/>
        <v>0</v>
      </c>
      <c r="J62" s="179">
        <f t="shared" si="12"/>
        <v>0</v>
      </c>
      <c r="K62" s="179">
        <f t="shared" si="12"/>
        <v>0</v>
      </c>
      <c r="L62" s="179">
        <f t="shared" si="12"/>
        <v>0</v>
      </c>
      <c r="M62" s="179"/>
      <c r="N62" s="179"/>
    </row>
    <row r="63" spans="1:16" x14ac:dyDescent="0.2">
      <c r="B63"/>
      <c r="C63"/>
      <c r="D63"/>
      <c r="E63"/>
      <c r="F63"/>
      <c r="G63"/>
      <c r="H63"/>
      <c r="I63"/>
      <c r="J63"/>
      <c r="K63"/>
      <c r="L63"/>
    </row>
    <row r="64" spans="1:16" x14ac:dyDescent="0.2">
      <c r="B64"/>
      <c r="C64"/>
      <c r="D64"/>
      <c r="E64"/>
      <c r="F64"/>
      <c r="G64"/>
      <c r="H64"/>
      <c r="I64"/>
      <c r="J64"/>
      <c r="K64"/>
      <c r="L64"/>
    </row>
    <row r="65" spans="2:12" x14ac:dyDescent="0.2">
      <c r="B65"/>
      <c r="C65"/>
      <c r="D65"/>
      <c r="E65"/>
      <c r="F65"/>
      <c r="G65"/>
      <c r="H65"/>
      <c r="I65"/>
      <c r="J65"/>
      <c r="K65"/>
      <c r="L65"/>
    </row>
    <row r="66" spans="2:12" x14ac:dyDescent="0.2">
      <c r="B66"/>
      <c r="C66"/>
      <c r="D66"/>
      <c r="E66"/>
      <c r="F66"/>
      <c r="G66"/>
      <c r="H66"/>
      <c r="I66"/>
      <c r="J66" s="160"/>
      <c r="K66" s="160"/>
      <c r="L66" s="160"/>
    </row>
    <row r="67" spans="2:12" x14ac:dyDescent="0.2">
      <c r="B67"/>
      <c r="C67"/>
      <c r="D67"/>
      <c r="E67"/>
      <c r="F67"/>
      <c r="G67"/>
      <c r="H67"/>
      <c r="I67"/>
      <c r="J67"/>
      <c r="K67"/>
      <c r="L67"/>
    </row>
    <row r="68" spans="2:12" x14ac:dyDescent="0.2">
      <c r="B68"/>
      <c r="C68"/>
      <c r="D68"/>
      <c r="E68"/>
      <c r="F68"/>
      <c r="G68"/>
      <c r="H68"/>
      <c r="I68"/>
      <c r="J68"/>
      <c r="K68"/>
      <c r="L68"/>
    </row>
    <row r="69" spans="2:12" x14ac:dyDescent="0.2">
      <c r="B69"/>
      <c r="C69"/>
      <c r="D69"/>
      <c r="E69"/>
      <c r="F69"/>
      <c r="G69"/>
      <c r="H69"/>
      <c r="I69"/>
      <c r="J69"/>
      <c r="K69"/>
      <c r="L69"/>
    </row>
    <row r="70" spans="2:12" x14ac:dyDescent="0.2">
      <c r="B70"/>
      <c r="C70"/>
      <c r="D70"/>
      <c r="E70"/>
      <c r="F70"/>
      <c r="G70"/>
      <c r="H70"/>
      <c r="I70"/>
      <c r="J70"/>
      <c r="K70"/>
      <c r="L70"/>
    </row>
  </sheetData>
  <mergeCells count="1">
    <mergeCell ref="A1:B1"/>
  </mergeCells>
  <phoneticPr fontId="0" type="noConversion"/>
  <printOptions horizontalCentered="1"/>
  <pageMargins left="0.11811023622047245" right="0.15748031496062992" top="0.19685039370078741" bottom="0.31496062992125984" header="0.51181102362204722" footer="0.51181102362204722"/>
  <pageSetup paperSize="5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72"/>
  <sheetViews>
    <sheetView topLeftCell="A115" zoomScaleNormal="100" workbookViewId="0">
      <selection activeCell="A87" sqref="A87:H135"/>
    </sheetView>
  </sheetViews>
  <sheetFormatPr defaultRowHeight="12.75" x14ac:dyDescent="0.2"/>
  <cols>
    <col min="1" max="1" width="11.85546875" customWidth="1"/>
    <col min="2" max="2" width="18" style="27" customWidth="1"/>
    <col min="3" max="3" width="11.7109375" style="104" customWidth="1"/>
    <col min="4" max="4" width="13.42578125" style="104" customWidth="1"/>
    <col min="5" max="5" width="10.140625" style="1" customWidth="1"/>
    <col min="6" max="6" width="12.42578125" style="1" customWidth="1"/>
    <col min="7" max="7" width="14.42578125" style="24" customWidth="1"/>
    <col min="8" max="8" width="15.42578125" style="1" bestFit="1" customWidth="1"/>
    <col min="9" max="9" width="16.28515625" style="1" customWidth="1"/>
    <col min="10" max="10" width="12.42578125" style="1" customWidth="1"/>
    <col min="11" max="11" width="34.140625" customWidth="1"/>
    <col min="12" max="14" width="18" customWidth="1"/>
    <col min="15" max="15" width="17.140625" customWidth="1"/>
    <col min="16" max="18" width="15.7109375" customWidth="1"/>
    <col min="19" max="20" width="19.28515625" bestFit="1" customWidth="1"/>
    <col min="21" max="21" width="19.140625" bestFit="1" customWidth="1"/>
    <col min="22" max="22" width="23" bestFit="1" customWidth="1"/>
    <col min="23" max="23" width="14.7109375" bestFit="1" customWidth="1"/>
    <col min="24" max="24" width="35.140625" bestFit="1" customWidth="1"/>
    <col min="25" max="25" width="9.28515625" customWidth="1"/>
    <col min="27" max="27" width="11.7109375" bestFit="1" customWidth="1"/>
    <col min="28" max="28" width="10.7109375" bestFit="1" customWidth="1"/>
  </cols>
  <sheetData>
    <row r="1" spans="1:36" ht="15.75" x14ac:dyDescent="0.25">
      <c r="A1" s="40" t="str">
        <f>Summary!A1</f>
        <v>InnPower Forecast for 2017 EB-2016-0086  Rate Application</v>
      </c>
      <c r="G1" s="1"/>
    </row>
    <row r="2" spans="1:36" ht="42" customHeight="1" x14ac:dyDescent="0.2">
      <c r="A2" s="269"/>
      <c r="B2" s="332" t="s">
        <v>0</v>
      </c>
      <c r="C2" s="333" t="s">
        <v>3</v>
      </c>
      <c r="D2" s="333" t="s">
        <v>4</v>
      </c>
      <c r="E2" s="334" t="s">
        <v>5</v>
      </c>
      <c r="F2" s="334" t="s">
        <v>17</v>
      </c>
      <c r="G2" s="335" t="s">
        <v>70</v>
      </c>
      <c r="H2" s="334" t="s">
        <v>10</v>
      </c>
      <c r="I2" s="12" t="s">
        <v>11</v>
      </c>
      <c r="J2" s="12" t="s">
        <v>259</v>
      </c>
      <c r="K2" t="s">
        <v>18</v>
      </c>
    </row>
    <row r="3" spans="1:36" s="15" customFormat="1" ht="13.5" thickBot="1" x14ac:dyDescent="0.25">
      <c r="A3" s="336">
        <v>39083</v>
      </c>
      <c r="B3" s="337">
        <f>'[5]Consumption Data '!B66</f>
        <v>24279309.5</v>
      </c>
      <c r="C3" s="338">
        <v>647.1</v>
      </c>
      <c r="D3" s="338">
        <v>0</v>
      </c>
      <c r="E3" s="339">
        <v>31</v>
      </c>
      <c r="F3" s="339">
        <v>0</v>
      </c>
      <c r="G3" s="340">
        <f>'[5]Consumption Data '!AG66</f>
        <v>13849</v>
      </c>
      <c r="H3" s="339">
        <f t="shared" ref="H3:H55" si="0">$L$18+C3*$L$19+D3*$L$20+E3*$L$21+F3*$L$22+G3*$L$23</f>
        <v>24401062.01372911</v>
      </c>
      <c r="I3" s="10">
        <f t="shared" ref="I3:I38" si="1">H3-B3</f>
        <v>121752.51372911036</v>
      </c>
      <c r="J3" s="161">
        <f t="shared" ref="J3:J38" si="2">ABS(I3/B3)</f>
        <v>5.0146612995361486E-3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x14ac:dyDescent="0.2">
      <c r="A4" s="336">
        <v>39114</v>
      </c>
      <c r="B4" s="337">
        <f>'[5]Consumption Data '!B67</f>
        <v>23881688.099999998</v>
      </c>
      <c r="C4" s="338">
        <v>740.1</v>
      </c>
      <c r="D4" s="338">
        <v>0</v>
      </c>
      <c r="E4" s="339">
        <v>28</v>
      </c>
      <c r="F4" s="339">
        <v>0</v>
      </c>
      <c r="G4" s="340">
        <f>'[5]Consumption Data '!AG67</f>
        <v>13861</v>
      </c>
      <c r="H4" s="339">
        <f t="shared" si="0"/>
        <v>23671088.092772663</v>
      </c>
      <c r="I4" s="10">
        <f t="shared" si="1"/>
        <v>-210600.00722733513</v>
      </c>
      <c r="J4" s="161">
        <f t="shared" si="2"/>
        <v>8.8184723938059956E-3</v>
      </c>
      <c r="K4" s="53" t="s">
        <v>19</v>
      </c>
      <c r="L4" s="53"/>
    </row>
    <row r="5" spans="1:36" x14ac:dyDescent="0.2">
      <c r="A5" s="336">
        <v>39142</v>
      </c>
      <c r="B5" s="337">
        <f>'[5]Consumption Data '!B68</f>
        <v>22297189.800000001</v>
      </c>
      <c r="C5" s="338">
        <v>546.70000000000005</v>
      </c>
      <c r="D5" s="338">
        <v>0</v>
      </c>
      <c r="E5" s="339">
        <v>31</v>
      </c>
      <c r="F5" s="339">
        <v>1</v>
      </c>
      <c r="G5" s="340">
        <f>'[5]Consumption Data '!AG68</f>
        <v>13865</v>
      </c>
      <c r="H5" s="339">
        <f t="shared" si="0"/>
        <v>22164329.161118805</v>
      </c>
      <c r="I5" s="10">
        <f t="shared" si="1"/>
        <v>-132860.63888119534</v>
      </c>
      <c r="J5" s="161">
        <f t="shared" si="2"/>
        <v>5.958627076906137E-3</v>
      </c>
      <c r="K5" s="32" t="s">
        <v>20</v>
      </c>
      <c r="L5" s="63">
        <v>0.98043980382057505</v>
      </c>
    </row>
    <row r="6" spans="1:36" x14ac:dyDescent="0.2">
      <c r="A6" s="336">
        <v>39173</v>
      </c>
      <c r="B6" s="337">
        <f>'[5]Consumption Data '!B69</f>
        <v>18569417.100000001</v>
      </c>
      <c r="C6" s="338">
        <v>356.4</v>
      </c>
      <c r="D6" s="338">
        <v>0</v>
      </c>
      <c r="E6" s="339">
        <v>30</v>
      </c>
      <c r="F6" s="339">
        <v>1</v>
      </c>
      <c r="G6" s="340">
        <f>'[5]Consumption Data '!AG69</f>
        <v>13869</v>
      </c>
      <c r="H6" s="339">
        <f t="shared" si="0"/>
        <v>19056596.833728176</v>
      </c>
      <c r="I6" s="10">
        <f t="shared" si="1"/>
        <v>487179.73372817412</v>
      </c>
      <c r="J6" s="161">
        <f t="shared" si="2"/>
        <v>2.623559647050925E-2</v>
      </c>
      <c r="K6" s="32" t="s">
        <v>21</v>
      </c>
      <c r="L6" s="63">
        <v>0.96126220891572767</v>
      </c>
    </row>
    <row r="7" spans="1:36" x14ac:dyDescent="0.2">
      <c r="A7" s="336">
        <v>39203</v>
      </c>
      <c r="B7" s="337">
        <f>'[5]Consumption Data '!B70</f>
        <v>16382762.399999999</v>
      </c>
      <c r="C7" s="338">
        <v>136.4</v>
      </c>
      <c r="D7" s="338">
        <v>22.4</v>
      </c>
      <c r="E7" s="339">
        <v>31</v>
      </c>
      <c r="F7" s="339">
        <v>1</v>
      </c>
      <c r="G7" s="340">
        <f>'[5]Consumption Data '!AG70</f>
        <v>13873</v>
      </c>
      <c r="H7" s="339">
        <f t="shared" si="0"/>
        <v>17599888.857372724</v>
      </c>
      <c r="I7" s="10">
        <f t="shared" si="1"/>
        <v>1217126.457372725</v>
      </c>
      <c r="J7" s="161">
        <f t="shared" si="2"/>
        <v>7.4293115388936182E-2</v>
      </c>
      <c r="K7" s="32" t="s">
        <v>22</v>
      </c>
      <c r="L7" s="63">
        <v>0.95956318299097898</v>
      </c>
    </row>
    <row r="8" spans="1:36" x14ac:dyDescent="0.2">
      <c r="A8" s="336">
        <v>39234</v>
      </c>
      <c r="B8" s="337">
        <f>'[5]Consumption Data '!B71</f>
        <v>17880105.399999999</v>
      </c>
      <c r="C8" s="338">
        <v>16.5</v>
      </c>
      <c r="D8" s="338">
        <v>99.2</v>
      </c>
      <c r="E8" s="339">
        <v>30</v>
      </c>
      <c r="F8" s="339">
        <v>0</v>
      </c>
      <c r="G8" s="340">
        <f>'[5]Consumption Data '!AG71</f>
        <v>13881</v>
      </c>
      <c r="H8" s="339">
        <f t="shared" si="0"/>
        <v>18895510.596235603</v>
      </c>
      <c r="I8" s="10">
        <f t="shared" si="1"/>
        <v>1015405.1962356046</v>
      </c>
      <c r="J8" s="161">
        <f t="shared" si="2"/>
        <v>5.6789665022646048E-2</v>
      </c>
      <c r="K8" s="32" t="s">
        <v>23</v>
      </c>
      <c r="L8" s="61">
        <v>573027.89631918247</v>
      </c>
    </row>
    <row r="9" spans="1:36" ht="13.5" thickBot="1" x14ac:dyDescent="0.25">
      <c r="A9" s="336">
        <v>39264</v>
      </c>
      <c r="B9" s="337">
        <f>'[5]Consumption Data '!B72</f>
        <v>18476519.899999999</v>
      </c>
      <c r="C9" s="338">
        <v>3.2</v>
      </c>
      <c r="D9" s="338">
        <v>106.1</v>
      </c>
      <c r="E9" s="339">
        <v>31</v>
      </c>
      <c r="F9" s="339">
        <v>0</v>
      </c>
      <c r="G9" s="340">
        <f>'[5]Consumption Data '!AG72</f>
        <v>13905</v>
      </c>
      <c r="H9" s="339">
        <f t="shared" si="0"/>
        <v>19610918.241143968</v>
      </c>
      <c r="I9" s="10">
        <f t="shared" si="1"/>
        <v>1134398.3411439694</v>
      </c>
      <c r="J9" s="161">
        <f t="shared" si="2"/>
        <v>6.1396753678920321E-2</v>
      </c>
      <c r="K9" s="51" t="s">
        <v>24</v>
      </c>
      <c r="L9" s="51">
        <v>120</v>
      </c>
    </row>
    <row r="10" spans="1:36" x14ac:dyDescent="0.2">
      <c r="A10" s="336">
        <v>39295</v>
      </c>
      <c r="B10" s="337">
        <f>'[5]Consumption Data '!B73</f>
        <v>19239333.699999999</v>
      </c>
      <c r="C10" s="338">
        <v>5.2</v>
      </c>
      <c r="D10" s="338">
        <v>141</v>
      </c>
      <c r="E10" s="339">
        <v>31</v>
      </c>
      <c r="F10" s="339">
        <v>0</v>
      </c>
      <c r="G10" s="340">
        <f>'[5]Consumption Data '!AG73</f>
        <v>13925</v>
      </c>
      <c r="H10" s="339">
        <f t="shared" si="0"/>
        <v>20803429.471577667</v>
      </c>
      <c r="I10" s="10">
        <f t="shared" si="1"/>
        <v>1564095.7715776674</v>
      </c>
      <c r="J10" s="161">
        <f t="shared" si="2"/>
        <v>8.1296774408443656E-2</v>
      </c>
    </row>
    <row r="11" spans="1:36" ht="13.5" thickBot="1" x14ac:dyDescent="0.25">
      <c r="A11" s="336">
        <v>39326</v>
      </c>
      <c r="B11" s="337">
        <f>'[5]Consumption Data '!B74</f>
        <v>16489843.199999999</v>
      </c>
      <c r="C11" s="338">
        <v>36.9</v>
      </c>
      <c r="D11" s="338">
        <v>47.5</v>
      </c>
      <c r="E11" s="339">
        <v>30</v>
      </c>
      <c r="F11" s="339">
        <v>1</v>
      </c>
      <c r="G11" s="340">
        <f>'[5]Consumption Data '!AG74</f>
        <v>13949</v>
      </c>
      <c r="H11" s="339">
        <f t="shared" si="0"/>
        <v>16536011.816801559</v>
      </c>
      <c r="I11" s="10">
        <f t="shared" si="1"/>
        <v>46168.616801559925</v>
      </c>
      <c r="J11" s="161">
        <f t="shared" si="2"/>
        <v>2.7998214562501072E-3</v>
      </c>
      <c r="K11" t="s">
        <v>25</v>
      </c>
    </row>
    <row r="12" spans="1:36" x14ac:dyDescent="0.2">
      <c r="A12" s="336">
        <v>39356</v>
      </c>
      <c r="B12" s="337">
        <f>'[5]Consumption Data '!B75</f>
        <v>17241374.899999999</v>
      </c>
      <c r="C12" s="338">
        <v>137.69999999999999</v>
      </c>
      <c r="D12" s="338">
        <v>19.8</v>
      </c>
      <c r="E12" s="339">
        <v>31</v>
      </c>
      <c r="F12" s="339">
        <v>1</v>
      </c>
      <c r="G12" s="340">
        <f>'[5]Consumption Data '!AG75</f>
        <v>13987</v>
      </c>
      <c r="H12" s="339">
        <f t="shared" si="0"/>
        <v>17589030.930825803</v>
      </c>
      <c r="I12" s="10">
        <f t="shared" si="1"/>
        <v>347656.03082580492</v>
      </c>
      <c r="J12" s="161">
        <f t="shared" si="2"/>
        <v>2.0164054945861942E-2</v>
      </c>
      <c r="K12" s="52"/>
      <c r="L12" s="52" t="s">
        <v>29</v>
      </c>
      <c r="M12" s="52" t="s">
        <v>30</v>
      </c>
      <c r="N12" s="52" t="s">
        <v>31</v>
      </c>
      <c r="O12" s="52" t="s">
        <v>32</v>
      </c>
      <c r="P12" s="52" t="s">
        <v>33</v>
      </c>
    </row>
    <row r="13" spans="1:36" x14ac:dyDescent="0.2">
      <c r="A13" s="336">
        <v>39387</v>
      </c>
      <c r="B13" s="337">
        <f>'[5]Consumption Data '!B76</f>
        <v>20822608.399999999</v>
      </c>
      <c r="C13" s="338">
        <v>462.5</v>
      </c>
      <c r="D13" s="338">
        <v>0</v>
      </c>
      <c r="E13" s="339">
        <v>30</v>
      </c>
      <c r="F13" s="339">
        <v>1</v>
      </c>
      <c r="G13" s="340">
        <f>'[5]Consumption Data '!AG76</f>
        <v>14001</v>
      </c>
      <c r="H13" s="339">
        <f t="shared" si="0"/>
        <v>20497601.725979764</v>
      </c>
      <c r="I13" s="10">
        <f t="shared" si="1"/>
        <v>-325006.6740202345</v>
      </c>
      <c r="J13" s="161">
        <f t="shared" si="2"/>
        <v>1.5608355484427903E-2</v>
      </c>
      <c r="K13" s="32" t="s">
        <v>26</v>
      </c>
      <c r="L13" s="32">
        <v>5</v>
      </c>
      <c r="M13" s="32">
        <v>928888096136964.5</v>
      </c>
      <c r="N13" s="32">
        <v>185777619227392.91</v>
      </c>
      <c r="O13" s="32">
        <v>565.77253761319662</v>
      </c>
      <c r="P13" s="32">
        <v>1.0536579416405935E-78</v>
      </c>
    </row>
    <row r="14" spans="1:36" s="31" customFormat="1" x14ac:dyDescent="0.2">
      <c r="A14" s="336">
        <v>39417</v>
      </c>
      <c r="B14" s="337">
        <f>'[5]Consumption Data '!B77</f>
        <v>25594483.699999999</v>
      </c>
      <c r="C14" s="338">
        <v>630.70000000000005</v>
      </c>
      <c r="D14" s="338">
        <v>0</v>
      </c>
      <c r="E14" s="339">
        <v>31</v>
      </c>
      <c r="F14" s="339">
        <v>0</v>
      </c>
      <c r="G14" s="340">
        <f>'[5]Consumption Data '!AG77</f>
        <v>14035</v>
      </c>
      <c r="H14" s="339">
        <f t="shared" si="0"/>
        <v>24284175.074007247</v>
      </c>
      <c r="I14" s="10">
        <f t="shared" si="1"/>
        <v>-1310308.6259927526</v>
      </c>
      <c r="J14" s="161">
        <f t="shared" si="2"/>
        <v>5.1194962217298121E-2</v>
      </c>
      <c r="K14" s="32" t="s">
        <v>27</v>
      </c>
      <c r="L14" s="32">
        <v>114</v>
      </c>
      <c r="M14" s="32">
        <v>37433150575438.609</v>
      </c>
      <c r="N14" s="32">
        <v>328360969959.98779</v>
      </c>
      <c r="O14" s="32"/>
      <c r="P14" s="32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ht="13.5" thickBot="1" x14ac:dyDescent="0.25">
      <c r="A15" s="336">
        <v>39448</v>
      </c>
      <c r="B15" s="337">
        <f>'[5]Consumption Data '!B78</f>
        <v>25337707.800000001</v>
      </c>
      <c r="C15" s="338">
        <f>'Weather Analysis'!M8</f>
        <v>623.5</v>
      </c>
      <c r="D15" s="338">
        <f>'Weather Analysis'!M28</f>
        <v>0</v>
      </c>
      <c r="E15" s="339">
        <v>31</v>
      </c>
      <c r="F15" s="339">
        <v>0</v>
      </c>
      <c r="G15" s="340">
        <f>'[5]Consumption Data '!AG78</f>
        <v>14052</v>
      </c>
      <c r="H15" s="339">
        <f t="shared" si="0"/>
        <v>24199699.704434037</v>
      </c>
      <c r="I15" s="10">
        <f t="shared" si="1"/>
        <v>-1138008.0955659635</v>
      </c>
      <c r="J15" s="161">
        <f t="shared" si="2"/>
        <v>4.4913616675536984E-2</v>
      </c>
      <c r="K15" s="51" t="s">
        <v>9</v>
      </c>
      <c r="L15" s="51">
        <v>119</v>
      </c>
      <c r="M15" s="51">
        <v>966321246712403.12</v>
      </c>
      <c r="N15" s="51"/>
      <c r="O15" s="51"/>
      <c r="P15" s="51"/>
    </row>
    <row r="16" spans="1:36" ht="13.5" thickBot="1" x14ac:dyDescent="0.25">
      <c r="A16" s="336">
        <v>39479</v>
      </c>
      <c r="B16" s="337">
        <f>'[5]Consumption Data '!B79</f>
        <v>23919251.399999999</v>
      </c>
      <c r="C16" s="338">
        <f>'Weather Analysis'!M9</f>
        <v>674.7</v>
      </c>
      <c r="D16" s="338">
        <f>'Weather Analysis'!M29</f>
        <v>0</v>
      </c>
      <c r="E16" s="339">
        <v>29</v>
      </c>
      <c r="F16" s="339">
        <v>0</v>
      </c>
      <c r="G16" s="340">
        <f>'[5]Consumption Data '!AG79</f>
        <v>14069</v>
      </c>
      <c r="H16" s="339">
        <f t="shared" si="0"/>
        <v>23577875.594099402</v>
      </c>
      <c r="I16" s="10">
        <f t="shared" si="1"/>
        <v>-341375.80590059608</v>
      </c>
      <c r="J16" s="161">
        <f t="shared" si="2"/>
        <v>1.4272010448479007E-2</v>
      </c>
    </row>
    <row r="17" spans="1:17" x14ac:dyDescent="0.2">
      <c r="A17" s="336">
        <v>39508</v>
      </c>
      <c r="B17" s="337">
        <f>'[5]Consumption Data '!B80</f>
        <v>23324392.199999999</v>
      </c>
      <c r="C17" s="338">
        <f>'Weather Analysis'!M10</f>
        <v>610.20000000000005</v>
      </c>
      <c r="D17" s="338">
        <f>'Weather Analysis'!M30</f>
        <v>0</v>
      </c>
      <c r="E17" s="339">
        <v>31</v>
      </c>
      <c r="F17" s="339">
        <v>1</v>
      </c>
      <c r="G17" s="340">
        <f>'[5]Consumption Data '!AG80</f>
        <v>14091</v>
      </c>
      <c r="H17" s="339">
        <f t="shared" si="0"/>
        <v>23102145.287175171</v>
      </c>
      <c r="I17" s="10">
        <f t="shared" si="1"/>
        <v>-222246.91282482818</v>
      </c>
      <c r="J17" s="161">
        <f t="shared" si="2"/>
        <v>9.5285189392771488E-3</v>
      </c>
      <c r="K17" s="52"/>
      <c r="L17" s="52" t="s">
        <v>34</v>
      </c>
      <c r="M17" s="52" t="s">
        <v>23</v>
      </c>
      <c r="N17" s="52" t="s">
        <v>35</v>
      </c>
      <c r="O17" s="52" t="s">
        <v>36</v>
      </c>
      <c r="P17" s="52" t="s">
        <v>37</v>
      </c>
      <c r="Q17" s="52" t="s">
        <v>38</v>
      </c>
    </row>
    <row r="18" spans="1:17" x14ac:dyDescent="0.2">
      <c r="A18" s="336">
        <v>39539</v>
      </c>
      <c r="B18" s="337">
        <f>'[5]Consumption Data '!B81</f>
        <v>17845472.600000001</v>
      </c>
      <c r="C18" s="338">
        <f>'Weather Analysis'!M11</f>
        <v>253.9</v>
      </c>
      <c r="D18" s="338">
        <f>'Weather Analysis'!M31</f>
        <v>0</v>
      </c>
      <c r="E18" s="339">
        <v>30</v>
      </c>
      <c r="F18" s="339">
        <v>1</v>
      </c>
      <c r="G18" s="340">
        <f>'[5]Consumption Data '!AG81</f>
        <v>14109</v>
      </c>
      <c r="H18" s="339">
        <f t="shared" si="0"/>
        <v>17852963.293887429</v>
      </c>
      <c r="I18" s="10">
        <f t="shared" si="1"/>
        <v>7490.6938874274492</v>
      </c>
      <c r="J18" s="161">
        <f t="shared" si="2"/>
        <v>4.197531808391249E-4</v>
      </c>
      <c r="K18" s="32" t="s">
        <v>28</v>
      </c>
      <c r="L18" s="61">
        <v>-11122366.738297148</v>
      </c>
      <c r="M18" s="61">
        <v>2305922.316478496</v>
      </c>
      <c r="N18" s="59">
        <v>-4.8233917763902561</v>
      </c>
      <c r="O18" s="32">
        <v>4.4041599447260424E-6</v>
      </c>
      <c r="P18" s="61">
        <v>-15690381.0869717</v>
      </c>
      <c r="Q18" s="61">
        <v>-6554352.3896225942</v>
      </c>
    </row>
    <row r="19" spans="1:17" x14ac:dyDescent="0.2">
      <c r="A19" s="336">
        <v>39569</v>
      </c>
      <c r="B19" s="337">
        <f>'[5]Consumption Data '!B82</f>
        <v>17203594.699999999</v>
      </c>
      <c r="C19" s="338">
        <f>'Weather Analysis'!M12</f>
        <v>193.5</v>
      </c>
      <c r="D19" s="338">
        <f>'Weather Analysis'!M32</f>
        <v>2.5</v>
      </c>
      <c r="E19" s="339">
        <v>31</v>
      </c>
      <c r="F19" s="339">
        <v>1</v>
      </c>
      <c r="G19" s="340">
        <f>'[5]Consumption Data '!AG82</f>
        <v>14151</v>
      </c>
      <c r="H19" s="339">
        <f t="shared" si="0"/>
        <v>17822172.301897161</v>
      </c>
      <c r="I19" s="10">
        <f t="shared" si="1"/>
        <v>618577.60189716145</v>
      </c>
      <c r="J19" s="161">
        <f t="shared" si="2"/>
        <v>3.59562994062608E-2</v>
      </c>
      <c r="K19" s="32" t="s">
        <v>3</v>
      </c>
      <c r="L19" s="61">
        <v>12943.550325674709</v>
      </c>
      <c r="M19" s="61">
        <v>334.74226224540638</v>
      </c>
      <c r="N19" s="59">
        <v>38.667212914351182</v>
      </c>
      <c r="O19" s="32">
        <v>2.2684479983169594E-67</v>
      </c>
      <c r="P19" s="61">
        <v>12280.428482359543</v>
      </c>
      <c r="Q19" s="61">
        <v>13606.672168989875</v>
      </c>
    </row>
    <row r="20" spans="1:17" x14ac:dyDescent="0.2">
      <c r="A20" s="336">
        <v>39600</v>
      </c>
      <c r="B20" s="337">
        <f>'[5]Consumption Data '!B83</f>
        <v>17657148.199999999</v>
      </c>
      <c r="C20" s="338">
        <f>'Weather Analysis'!M13</f>
        <v>22.7</v>
      </c>
      <c r="D20" s="338">
        <f>'Weather Analysis'!M33</f>
        <v>71.5</v>
      </c>
      <c r="E20" s="339">
        <v>30</v>
      </c>
      <c r="F20" s="339">
        <v>0</v>
      </c>
      <c r="G20" s="340">
        <f>'[5]Consumption Data '!AG83</f>
        <v>14186</v>
      </c>
      <c r="H20" s="339">
        <f t="shared" si="0"/>
        <v>18214370.719562363</v>
      </c>
      <c r="I20" s="10">
        <f t="shared" si="1"/>
        <v>557222.51956236362</v>
      </c>
      <c r="J20" s="161">
        <f t="shared" si="2"/>
        <v>3.1557900134879295E-2</v>
      </c>
      <c r="K20" s="32" t="s">
        <v>4</v>
      </c>
      <c r="L20" s="61">
        <v>33133.73731816456</v>
      </c>
      <c r="M20" s="61">
        <v>1978.2119725463795</v>
      </c>
      <c r="N20" s="59">
        <v>16.749336157092607</v>
      </c>
      <c r="O20" s="32">
        <v>1.6272174463933595E-32</v>
      </c>
      <c r="P20" s="61">
        <v>29214.914636786551</v>
      </c>
      <c r="Q20" s="61">
        <v>37052.559999542573</v>
      </c>
    </row>
    <row r="21" spans="1:17" x14ac:dyDescent="0.2">
      <c r="A21" s="336">
        <v>39630</v>
      </c>
      <c r="B21" s="337">
        <f>'[5]Consumption Data '!B84</f>
        <v>19399005.699999999</v>
      </c>
      <c r="C21" s="338">
        <f>'Weather Analysis'!M14</f>
        <v>1</v>
      </c>
      <c r="D21" s="338">
        <f>'Weather Analysis'!M34</f>
        <v>111</v>
      </c>
      <c r="E21" s="339">
        <v>31</v>
      </c>
      <c r="F21" s="339">
        <v>0</v>
      </c>
      <c r="G21" s="340">
        <f>'[5]Consumption Data '!AG84</f>
        <v>14218</v>
      </c>
      <c r="H21" s="339">
        <f t="shared" si="0"/>
        <v>19905315.057258591</v>
      </c>
      <c r="I21" s="10">
        <f t="shared" si="1"/>
        <v>506309.3572585918</v>
      </c>
      <c r="J21" s="161">
        <f t="shared" si="2"/>
        <v>2.609975815711997E-2</v>
      </c>
      <c r="K21" s="32" t="s">
        <v>5</v>
      </c>
      <c r="L21" s="61">
        <v>646626.03989041445</v>
      </c>
      <c r="M21" s="61">
        <v>67735.95935594826</v>
      </c>
      <c r="N21" s="59">
        <v>9.5462741804900819</v>
      </c>
      <c r="O21" s="32">
        <v>3.1761571713378099E-16</v>
      </c>
      <c r="P21" s="61">
        <v>512441.62611027504</v>
      </c>
      <c r="Q21" s="61">
        <v>780810.45367055386</v>
      </c>
    </row>
    <row r="22" spans="1:17" x14ac:dyDescent="0.2">
      <c r="A22" s="336">
        <v>39661</v>
      </c>
      <c r="B22" s="337">
        <f>'[5]Consumption Data '!B85</f>
        <v>18496934.800000001</v>
      </c>
      <c r="C22" s="338">
        <f>'Weather Analysis'!M15</f>
        <v>12.7</v>
      </c>
      <c r="D22" s="338">
        <f>'Weather Analysis'!M35</f>
        <v>64</v>
      </c>
      <c r="E22" s="339">
        <v>31</v>
      </c>
      <c r="F22" s="339">
        <v>0</v>
      </c>
      <c r="G22" s="340">
        <f>'[5]Consumption Data '!AG85</f>
        <v>14260</v>
      </c>
      <c r="H22" s="339">
        <f t="shared" si="0"/>
        <v>18521008.006609909</v>
      </c>
      <c r="I22" s="10">
        <f t="shared" si="1"/>
        <v>24073.206609908491</v>
      </c>
      <c r="J22" s="161">
        <f t="shared" si="2"/>
        <v>1.301470047345817E-3</v>
      </c>
      <c r="K22" s="32" t="s">
        <v>17</v>
      </c>
      <c r="L22" s="61">
        <v>-945405.75781528826</v>
      </c>
      <c r="M22" s="61">
        <v>141921.89713241661</v>
      </c>
      <c r="N22" s="59">
        <v>-6.6614509594189091</v>
      </c>
      <c r="O22" s="32">
        <v>1.0025707756324094E-9</v>
      </c>
      <c r="P22" s="61">
        <v>-1226551.9429487279</v>
      </c>
      <c r="Q22" s="61">
        <v>-664259.57268184866</v>
      </c>
    </row>
    <row r="23" spans="1:17" ht="12.75" customHeight="1" thickBot="1" x14ac:dyDescent="0.25">
      <c r="A23" s="336">
        <v>39692</v>
      </c>
      <c r="B23" s="337">
        <f>'[5]Consumption Data '!B86</f>
        <v>16944225</v>
      </c>
      <c r="C23" s="338">
        <f>'Weather Analysis'!M16</f>
        <v>59</v>
      </c>
      <c r="D23" s="338">
        <f>'Weather Analysis'!M36</f>
        <v>26.7</v>
      </c>
      <c r="E23" s="339">
        <v>30</v>
      </c>
      <c r="F23" s="339">
        <v>1</v>
      </c>
      <c r="G23" s="340">
        <f>'[5]Consumption Data '!AG86</f>
        <v>14297</v>
      </c>
      <c r="H23" s="339">
        <f t="shared" si="0"/>
        <v>16311349.077165466</v>
      </c>
      <c r="I23" s="10">
        <f t="shared" si="1"/>
        <v>-632875.9228345342</v>
      </c>
      <c r="J23" s="161">
        <f t="shared" si="2"/>
        <v>3.7350538182450613E-2</v>
      </c>
      <c r="K23" s="109" t="s">
        <v>70</v>
      </c>
      <c r="L23" s="62">
        <v>512.83486892044948</v>
      </c>
      <c r="M23" s="62">
        <v>72.950831285931883</v>
      </c>
      <c r="N23" s="60">
        <v>7.029870117728823</v>
      </c>
      <c r="O23" s="51">
        <v>1.6192294299005129E-10</v>
      </c>
      <c r="P23" s="62">
        <v>368.31983401208208</v>
      </c>
      <c r="Q23" s="62">
        <v>657.34990382881688</v>
      </c>
    </row>
    <row r="24" spans="1:17" x14ac:dyDescent="0.2">
      <c r="A24" s="336">
        <v>39722</v>
      </c>
      <c r="B24" s="337">
        <f>'[5]Consumption Data '!B87</f>
        <v>18736114.300000001</v>
      </c>
      <c r="C24" s="338">
        <f>'Weather Analysis'!M17</f>
        <v>278.60000000000002</v>
      </c>
      <c r="D24" s="338">
        <f>'Weather Analysis'!M37</f>
        <v>0</v>
      </c>
      <c r="E24" s="339">
        <v>31</v>
      </c>
      <c r="F24" s="339">
        <v>1</v>
      </c>
      <c r="G24" s="340">
        <f>'[5]Consumption Data '!AG87</f>
        <v>14337</v>
      </c>
      <c r="H24" s="339">
        <f t="shared" si="0"/>
        <v>18936221.376935869</v>
      </c>
      <c r="I24" s="10">
        <f t="shared" si="1"/>
        <v>200107.07693586871</v>
      </c>
      <c r="J24" s="161">
        <f t="shared" si="2"/>
        <v>1.0680286943801827E-2</v>
      </c>
    </row>
    <row r="25" spans="1:17" x14ac:dyDescent="0.2">
      <c r="A25" s="336">
        <v>39753</v>
      </c>
      <c r="B25" s="337">
        <f>'[5]Consumption Data '!B88</f>
        <v>20914295.899999999</v>
      </c>
      <c r="C25" s="338">
        <f>'Weather Analysis'!M18</f>
        <v>451.6</v>
      </c>
      <c r="D25" s="338">
        <f>'Weather Analysis'!M38</f>
        <v>0</v>
      </c>
      <c r="E25" s="339">
        <v>30</v>
      </c>
      <c r="F25" s="339">
        <v>1</v>
      </c>
      <c r="G25" s="340">
        <f>'[5]Consumption Data '!AG88</f>
        <v>14348</v>
      </c>
      <c r="H25" s="339">
        <f t="shared" si="0"/>
        <v>20534470.726945307</v>
      </c>
      <c r="I25" s="10">
        <f t="shared" si="1"/>
        <v>-379825.1730546914</v>
      </c>
      <c r="J25" s="161">
        <f t="shared" si="2"/>
        <v>1.816103085041899E-2</v>
      </c>
    </row>
    <row r="26" spans="1:17" x14ac:dyDescent="0.2">
      <c r="A26" s="336">
        <v>39783</v>
      </c>
      <c r="B26" s="337">
        <f>'[5]Consumption Data '!B89</f>
        <v>25844885.199999999</v>
      </c>
      <c r="C26" s="338">
        <f>'Weather Analysis'!M19</f>
        <v>654.6</v>
      </c>
      <c r="D26" s="338">
        <f>'Weather Analysis'!M39</f>
        <v>0</v>
      </c>
      <c r="E26" s="339">
        <v>31</v>
      </c>
      <c r="F26" s="339">
        <v>0</v>
      </c>
      <c r="G26" s="340">
        <f>'[5]Consumption Data '!AG89</f>
        <v>14388</v>
      </c>
      <c r="H26" s="339">
        <f t="shared" si="0"/>
        <v>24774556.635519791</v>
      </c>
      <c r="I26" s="10">
        <f t="shared" si="1"/>
        <v>-1070328.5644802079</v>
      </c>
      <c r="J26" s="161">
        <f t="shared" si="2"/>
        <v>4.1413554604615072E-2</v>
      </c>
    </row>
    <row r="27" spans="1:17" x14ac:dyDescent="0.2">
      <c r="A27" s="336">
        <v>39814</v>
      </c>
      <c r="B27" s="337">
        <f>'[5]Consumption Data '!B90</f>
        <v>27698757.900000002</v>
      </c>
      <c r="C27" s="338">
        <f>'Weather Analysis'!N8</f>
        <v>830.2</v>
      </c>
      <c r="D27" s="338">
        <f>'Weather Analysis'!N28</f>
        <v>0</v>
      </c>
      <c r="E27" s="339">
        <v>31</v>
      </c>
      <c r="F27" s="339">
        <v>0</v>
      </c>
      <c r="G27" s="340">
        <f>'[5]Consumption Data '!AG90</f>
        <v>14411</v>
      </c>
      <c r="H27" s="339">
        <f t="shared" si="0"/>
        <v>27059239.274693437</v>
      </c>
      <c r="I27" s="10">
        <f t="shared" si="1"/>
        <v>-639518.62530656531</v>
      </c>
      <c r="J27" s="161">
        <f t="shared" si="2"/>
        <v>2.3088350301316771E-2</v>
      </c>
    </row>
    <row r="28" spans="1:17" x14ac:dyDescent="0.2">
      <c r="A28" s="336">
        <v>39845</v>
      </c>
      <c r="B28" s="337">
        <f>'[5]Consumption Data '!B91</f>
        <v>22854686.900000002</v>
      </c>
      <c r="C28" s="338">
        <f>'Weather Analysis'!N9</f>
        <v>606.4</v>
      </c>
      <c r="D28" s="338">
        <f>'Weather Analysis'!N29</f>
        <v>0</v>
      </c>
      <c r="E28" s="339">
        <v>28</v>
      </c>
      <c r="F28" s="339">
        <v>0</v>
      </c>
      <c r="G28" s="340">
        <f>'[5]Consumption Data '!AG91</f>
        <v>14426</v>
      </c>
      <c r="H28" s="339">
        <f t="shared" si="0"/>
        <v>22230287.115170006</v>
      </c>
      <c r="I28" s="10">
        <f t="shared" si="1"/>
        <v>-624399.78482999653</v>
      </c>
      <c r="J28" s="161">
        <f t="shared" si="2"/>
        <v>2.7320426114872589E-2</v>
      </c>
    </row>
    <row r="29" spans="1:17" x14ac:dyDescent="0.2">
      <c r="A29" s="336">
        <v>39873</v>
      </c>
      <c r="B29" s="337">
        <f>'[5]Consumption Data '!B92</f>
        <v>22750703.800000001</v>
      </c>
      <c r="C29" s="338">
        <f>'Weather Analysis'!N10</f>
        <v>533.79999999999995</v>
      </c>
      <c r="D29" s="338">
        <f>'Weather Analysis'!N30</f>
        <v>0</v>
      </c>
      <c r="E29" s="339">
        <v>31</v>
      </c>
      <c r="F29" s="339">
        <v>1</v>
      </c>
      <c r="G29" s="340">
        <f>'[5]Consumption Data '!AG92</f>
        <v>14438</v>
      </c>
      <c r="H29" s="339">
        <f t="shared" si="0"/>
        <v>22291211.741809018</v>
      </c>
      <c r="I29" s="10">
        <f t="shared" si="1"/>
        <v>-459492.05819098279</v>
      </c>
      <c r="J29" s="161">
        <f t="shared" si="2"/>
        <v>2.0196828292889241E-2</v>
      </c>
    </row>
    <row r="30" spans="1:17" x14ac:dyDescent="0.2">
      <c r="A30" s="336">
        <v>39904</v>
      </c>
      <c r="B30" s="337">
        <f>'[5]Consumption Data '!B93</f>
        <v>18949041.899999999</v>
      </c>
      <c r="C30" s="338">
        <f>'Weather Analysis'!N11</f>
        <v>305.8</v>
      </c>
      <c r="D30" s="338">
        <f>'Weather Analysis'!N31</f>
        <v>1.2</v>
      </c>
      <c r="E30" s="339">
        <v>30</v>
      </c>
      <c r="F30" s="339">
        <v>1</v>
      </c>
      <c r="G30" s="340">
        <f>'[5]Consumption Data '!AG93</f>
        <v>14448</v>
      </c>
      <c r="H30" s="339">
        <f t="shared" si="0"/>
        <v>18738345.061135776</v>
      </c>
      <c r="I30" s="10">
        <f t="shared" si="1"/>
        <v>-210696.83886422217</v>
      </c>
      <c r="J30" s="161">
        <f t="shared" si="2"/>
        <v>1.1119128870796481E-2</v>
      </c>
    </row>
    <row r="31" spans="1:17" x14ac:dyDescent="0.2">
      <c r="A31" s="336">
        <v>39934</v>
      </c>
      <c r="B31" s="337">
        <f>'[5]Consumption Data '!B94</f>
        <v>17348781.300000001</v>
      </c>
      <c r="C31" s="338">
        <f>'Weather Analysis'!N12</f>
        <v>158.80000000000001</v>
      </c>
      <c r="D31" s="338">
        <f>'Weather Analysis'!N32</f>
        <v>6.9</v>
      </c>
      <c r="E31" s="339">
        <v>31</v>
      </c>
      <c r="F31" s="339">
        <v>1</v>
      </c>
      <c r="G31" s="340">
        <f>'[5]Consumption Data '!AG94</f>
        <v>14455</v>
      </c>
      <c r="H31" s="339">
        <f t="shared" si="0"/>
        <v>17674721.349947989</v>
      </c>
      <c r="I31" s="10">
        <f t="shared" si="1"/>
        <v>325940.04994798824</v>
      </c>
      <c r="J31" s="161">
        <f t="shared" si="2"/>
        <v>1.8787489698079727E-2</v>
      </c>
    </row>
    <row r="32" spans="1:17" x14ac:dyDescent="0.2">
      <c r="A32" s="336">
        <v>39965</v>
      </c>
      <c r="B32" s="337">
        <f>'[5]Consumption Data '!B95</f>
        <v>17392957.300000001</v>
      </c>
      <c r="C32" s="338">
        <f>'Weather Analysis'!N13</f>
        <v>49.3</v>
      </c>
      <c r="D32" s="338">
        <f>'Weather Analysis'!N33</f>
        <v>34.200000000000003</v>
      </c>
      <c r="E32" s="339">
        <v>30</v>
      </c>
      <c r="F32" s="339">
        <v>0</v>
      </c>
      <c r="G32" s="340">
        <f>'[5]Consumption Data '!AG95</f>
        <v>14460</v>
      </c>
      <c r="H32" s="339">
        <f t="shared" si="0"/>
        <v>17463297.510341976</v>
      </c>
      <c r="I32" s="10">
        <f t="shared" si="1"/>
        <v>70340.210341975093</v>
      </c>
      <c r="J32" s="161">
        <f t="shared" si="2"/>
        <v>4.0441777168035188E-3</v>
      </c>
    </row>
    <row r="33" spans="1:10" x14ac:dyDescent="0.2">
      <c r="A33" s="336">
        <v>39995</v>
      </c>
      <c r="B33" s="337">
        <f>'[5]Consumption Data '!B96</f>
        <v>18006297.300000001</v>
      </c>
      <c r="C33" s="338">
        <f>'Weather Analysis'!N14</f>
        <v>6.2</v>
      </c>
      <c r="D33" s="338">
        <f>'Weather Analysis'!N34</f>
        <v>43.7</v>
      </c>
      <c r="E33" s="339">
        <v>31</v>
      </c>
      <c r="F33" s="339">
        <v>0</v>
      </c>
      <c r="G33" s="340">
        <f>'[5]Consumption Data '!AG96</f>
        <v>14710</v>
      </c>
      <c r="H33" s="339">
        <f t="shared" si="0"/>
        <v>17995035.752948485</v>
      </c>
      <c r="I33" s="10">
        <f t="shared" si="1"/>
        <v>-11261.54705151543</v>
      </c>
      <c r="J33" s="161">
        <f t="shared" si="2"/>
        <v>6.2542269873081739E-4</v>
      </c>
    </row>
    <row r="34" spans="1:10" x14ac:dyDescent="0.2">
      <c r="A34" s="336">
        <v>40026</v>
      </c>
      <c r="B34" s="337">
        <f>'[5]Consumption Data '!B97</f>
        <v>20135392.300000001</v>
      </c>
      <c r="C34" s="338">
        <f>'Weather Analysis'!N15</f>
        <v>9.8000000000000007</v>
      </c>
      <c r="D34" s="338">
        <f>'Weather Analysis'!N35</f>
        <v>91</v>
      </c>
      <c r="E34" s="339">
        <v>31</v>
      </c>
      <c r="F34" s="339">
        <v>0</v>
      </c>
      <c r="G34" s="340">
        <f>'[5]Consumption Data '!AG97</f>
        <v>14976</v>
      </c>
      <c r="H34" s="339">
        <f t="shared" si="0"/>
        <v>19745272.384402938</v>
      </c>
      <c r="I34" s="10">
        <f t="shared" si="1"/>
        <v>-390119.91559706256</v>
      </c>
      <c r="J34" s="161">
        <f t="shared" si="2"/>
        <v>1.9374835602138357E-2</v>
      </c>
    </row>
    <row r="35" spans="1:10" x14ac:dyDescent="0.2">
      <c r="A35" s="336">
        <v>40057</v>
      </c>
      <c r="B35" s="337">
        <f>'[5]Consumption Data '!B98</f>
        <v>17368091.399999999</v>
      </c>
      <c r="C35" s="338">
        <f>'Weather Analysis'!N16</f>
        <v>55.2</v>
      </c>
      <c r="D35" s="338">
        <f>'Weather Analysis'!N36</f>
        <v>20.9</v>
      </c>
      <c r="E35" s="339">
        <v>30</v>
      </c>
      <c r="F35" s="339">
        <v>1</v>
      </c>
      <c r="G35" s="340">
        <f>'[5]Consumption Data '!AG98</f>
        <v>15073</v>
      </c>
      <c r="H35" s="339">
        <f t="shared" si="0"/>
        <v>16467947.767764816</v>
      </c>
      <c r="I35" s="10">
        <f t="shared" si="1"/>
        <v>-900143.63223518245</v>
      </c>
      <c r="J35" s="161">
        <f t="shared" si="2"/>
        <v>5.182743523765556E-2</v>
      </c>
    </row>
    <row r="36" spans="1:10" x14ac:dyDescent="0.2">
      <c r="A36" s="336">
        <v>40087</v>
      </c>
      <c r="B36" s="337">
        <f>'[5]Consumption Data '!B99</f>
        <v>19458169</v>
      </c>
      <c r="C36" s="338">
        <f>'Weather Analysis'!N17</f>
        <v>287.8</v>
      </c>
      <c r="D36" s="338">
        <f>'Weather Analysis'!N37</f>
        <v>0</v>
      </c>
      <c r="E36" s="339">
        <v>31</v>
      </c>
      <c r="F36" s="339">
        <v>1</v>
      </c>
      <c r="G36" s="340">
        <f>'[5]Consumption Data '!AG99</f>
        <v>15110</v>
      </c>
      <c r="H36" s="339">
        <f t="shared" si="0"/>
        <v>19451723.393607583</v>
      </c>
      <c r="I36" s="10">
        <f t="shared" si="1"/>
        <v>-6445.6063924171031</v>
      </c>
      <c r="J36" s="161">
        <f t="shared" si="2"/>
        <v>3.3125451795680793E-4</v>
      </c>
    </row>
    <row r="37" spans="1:10" x14ac:dyDescent="0.2">
      <c r="A37" s="336">
        <v>40118</v>
      </c>
      <c r="B37" s="337">
        <f>'[5]Consumption Data '!B100</f>
        <v>19998429.5</v>
      </c>
      <c r="C37" s="338">
        <f>'Weather Analysis'!N18</f>
        <v>361.2</v>
      </c>
      <c r="D37" s="338">
        <f>'Weather Analysis'!N38</f>
        <v>0</v>
      </c>
      <c r="E37" s="339">
        <v>30</v>
      </c>
      <c r="F37" s="339">
        <v>1</v>
      </c>
      <c r="G37" s="340">
        <f>'[5]Consumption Data '!AG100</f>
        <v>15107</v>
      </c>
      <c r="H37" s="339">
        <f t="shared" si="0"/>
        <v>19753615.443014935</v>
      </c>
      <c r="I37" s="10">
        <f t="shared" si="1"/>
        <v>-244814.05698506534</v>
      </c>
      <c r="J37" s="161">
        <f t="shared" si="2"/>
        <v>1.2241664125928756E-2</v>
      </c>
    </row>
    <row r="38" spans="1:10" x14ac:dyDescent="0.2">
      <c r="A38" s="336">
        <v>40148</v>
      </c>
      <c r="B38" s="337">
        <f>'[5]Consumption Data '!B101</f>
        <v>25277880.599999998</v>
      </c>
      <c r="C38" s="338">
        <f>'Weather Analysis'!N19</f>
        <v>631.29999999999995</v>
      </c>
      <c r="D38" s="338">
        <f>'Weather Analysis'!N39</f>
        <v>0</v>
      </c>
      <c r="E38" s="339">
        <v>31</v>
      </c>
      <c r="F38" s="339">
        <v>0</v>
      </c>
      <c r="G38" s="340">
        <f>'[5]Consumption Data '!AG101</f>
        <v>14563</v>
      </c>
      <c r="H38" s="339">
        <f t="shared" si="0"/>
        <v>24562718.014992647</v>
      </c>
      <c r="I38" s="10">
        <f t="shared" si="1"/>
        <v>-715162.58500735089</v>
      </c>
      <c r="J38" s="161">
        <f t="shared" si="2"/>
        <v>2.8292031136793603E-2</v>
      </c>
    </row>
    <row r="39" spans="1:10" x14ac:dyDescent="0.2">
      <c r="A39" s="336">
        <v>40179</v>
      </c>
      <c r="B39" s="337">
        <f>'[5]Consumption Data '!B102</f>
        <v>26451955.599999998</v>
      </c>
      <c r="C39" s="338">
        <f>'Weather Analysis'!O8</f>
        <v>720</v>
      </c>
      <c r="D39" s="338">
        <f>'Weather Analysis'!O28</f>
        <v>0</v>
      </c>
      <c r="E39" s="339">
        <v>31</v>
      </c>
      <c r="F39" s="339">
        <v>0</v>
      </c>
      <c r="G39" s="340">
        <f>'[5]Consumption Data '!AG102</f>
        <v>14554</v>
      </c>
      <c r="H39" s="339">
        <f t="shared" si="0"/>
        <v>25706195.415059712</v>
      </c>
      <c r="I39" s="10">
        <f t="shared" ref="I39:I70" si="3">H39-B39</f>
        <v>-745760.18494028598</v>
      </c>
      <c r="J39" s="161">
        <f t="shared" ref="J39:J70" si="4">ABS(I39/B39)</f>
        <v>2.819300758769934E-2</v>
      </c>
    </row>
    <row r="40" spans="1:10" x14ac:dyDescent="0.2">
      <c r="A40" s="336">
        <v>40210</v>
      </c>
      <c r="B40" s="337">
        <f>'[5]Consumption Data '!B103</f>
        <v>22355017.900000002</v>
      </c>
      <c r="C40" s="338">
        <f>'Weather Analysis'!O9</f>
        <v>598.29999999999995</v>
      </c>
      <c r="D40" s="338">
        <f>'Weather Analysis'!O29</f>
        <v>0</v>
      </c>
      <c r="E40" s="339">
        <v>28</v>
      </c>
      <c r="F40" s="339">
        <v>0</v>
      </c>
      <c r="G40" s="340">
        <f>'[5]Consumption Data '!AG103</f>
        <v>14553</v>
      </c>
      <c r="H40" s="339">
        <f t="shared" si="0"/>
        <v>22190574.385884937</v>
      </c>
      <c r="I40" s="10">
        <f t="shared" si="3"/>
        <v>-164443.51411506534</v>
      </c>
      <c r="J40" s="161">
        <f t="shared" si="4"/>
        <v>7.3560001092669814E-3</v>
      </c>
    </row>
    <row r="41" spans="1:10" x14ac:dyDescent="0.2">
      <c r="A41" s="336">
        <v>40238</v>
      </c>
      <c r="B41" s="337">
        <f>'[5]Consumption Data '!B104</f>
        <v>21335193</v>
      </c>
      <c r="C41" s="338">
        <f>'Weather Analysis'!O10</f>
        <v>422.8</v>
      </c>
      <c r="D41" s="338">
        <f>'Weather Analysis'!O30</f>
        <v>0</v>
      </c>
      <c r="E41" s="339">
        <v>31</v>
      </c>
      <c r="F41" s="339">
        <v>1</v>
      </c>
      <c r="G41" s="340">
        <f>'[5]Consumption Data '!AG104</f>
        <v>14566</v>
      </c>
      <c r="H41" s="339">
        <f t="shared" si="0"/>
        <v>20920120.518880945</v>
      </c>
      <c r="I41" s="10">
        <f t="shared" si="3"/>
        <v>-415072.4811190553</v>
      </c>
      <c r="J41" s="161">
        <f t="shared" si="4"/>
        <v>1.9454826638739819E-2</v>
      </c>
    </row>
    <row r="42" spans="1:10" x14ac:dyDescent="0.2">
      <c r="A42" s="336">
        <v>40269</v>
      </c>
      <c r="B42" s="337">
        <f>'[5]Consumption Data '!B105</f>
        <v>17366211</v>
      </c>
      <c r="C42" s="338">
        <f>'Weather Analysis'!O11</f>
        <v>225.1</v>
      </c>
      <c r="D42" s="338">
        <f>'Weather Analysis'!O31</f>
        <v>0</v>
      </c>
      <c r="E42" s="339">
        <v>30</v>
      </c>
      <c r="F42" s="339">
        <v>1</v>
      </c>
      <c r="G42" s="340">
        <f>'[5]Consumption Data '!AG105</f>
        <v>14576</v>
      </c>
      <c r="H42" s="339">
        <f t="shared" si="0"/>
        <v>17719682.928293847</v>
      </c>
      <c r="I42" s="10">
        <f t="shared" si="3"/>
        <v>353471.92829384655</v>
      </c>
      <c r="J42" s="161">
        <f t="shared" si="4"/>
        <v>2.0354004007773863E-2</v>
      </c>
    </row>
    <row r="43" spans="1:10" x14ac:dyDescent="0.2">
      <c r="A43" s="336">
        <v>40299</v>
      </c>
      <c r="B43" s="337">
        <f>'[5]Consumption Data '!B106</f>
        <v>18594842.100000001</v>
      </c>
      <c r="C43" s="338">
        <f>'Weather Analysis'!O12</f>
        <v>107.9</v>
      </c>
      <c r="D43" s="338">
        <f>'Weather Analysis'!O32</f>
        <v>45.7</v>
      </c>
      <c r="E43" s="339">
        <v>31</v>
      </c>
      <c r="F43" s="339">
        <v>1</v>
      </c>
      <c r="G43" s="340">
        <f>'[5]Consumption Data '!AG106</f>
        <v>14570</v>
      </c>
      <c r="H43" s="339">
        <f t="shared" si="0"/>
        <v>18360459.656241782</v>
      </c>
      <c r="I43" s="10">
        <f t="shared" si="3"/>
        <v>-234382.44375821948</v>
      </c>
      <c r="J43" s="161">
        <f t="shared" si="4"/>
        <v>1.26047020188582E-2</v>
      </c>
    </row>
    <row r="44" spans="1:10" x14ac:dyDescent="0.2">
      <c r="A44" s="336">
        <v>40330</v>
      </c>
      <c r="B44" s="337">
        <f>'[5]Consumption Data '!B107</f>
        <v>18232281.300000001</v>
      </c>
      <c r="C44" s="338">
        <f>'Weather Analysis'!O13</f>
        <v>21.7</v>
      </c>
      <c r="D44" s="338">
        <f>'Weather Analysis'!O33</f>
        <v>58.7</v>
      </c>
      <c r="E44" s="339">
        <v>30</v>
      </c>
      <c r="F44" s="339">
        <v>0</v>
      </c>
      <c r="G44" s="340">
        <f>'[5]Consumption Data '!AG107</f>
        <v>14584</v>
      </c>
      <c r="H44" s="339">
        <f t="shared" si="0"/>
        <v>17981423.609394521</v>
      </c>
      <c r="I44" s="10">
        <f t="shared" si="3"/>
        <v>-250857.69060548022</v>
      </c>
      <c r="J44" s="161">
        <f t="shared" si="4"/>
        <v>1.375898531169987E-2</v>
      </c>
    </row>
    <row r="45" spans="1:10" x14ac:dyDescent="0.2">
      <c r="A45" s="336">
        <v>40360</v>
      </c>
      <c r="B45" s="337">
        <f>'[5]Consumption Data '!B108</f>
        <v>22225961.800000001</v>
      </c>
      <c r="C45" s="338">
        <f>'Weather Analysis'!O14</f>
        <v>1.8</v>
      </c>
      <c r="D45" s="338">
        <f>'Weather Analysis'!O34</f>
        <v>164.9</v>
      </c>
      <c r="E45" s="339">
        <v>31</v>
      </c>
      <c r="F45" s="339">
        <v>0</v>
      </c>
      <c r="G45" s="340">
        <f>'[5]Consumption Data '!AG108</f>
        <v>14599</v>
      </c>
      <c r="H45" s="339">
        <f t="shared" si="0"/>
        <v>21896968.424026892</v>
      </c>
      <c r="I45" s="10">
        <f t="shared" si="3"/>
        <v>-328993.37597310916</v>
      </c>
      <c r="J45" s="161">
        <f t="shared" si="4"/>
        <v>1.4802210987922653E-2</v>
      </c>
    </row>
    <row r="46" spans="1:10" x14ac:dyDescent="0.2">
      <c r="A46" s="336">
        <v>40391</v>
      </c>
      <c r="B46" s="337">
        <f>'[5]Consumption Data '!B109</f>
        <v>21301864.899999999</v>
      </c>
      <c r="C46" s="338">
        <f>'Weather Analysis'!O15</f>
        <v>2.1</v>
      </c>
      <c r="D46" s="338">
        <f>'Weather Analysis'!O35</f>
        <v>138.80000000000001</v>
      </c>
      <c r="E46" s="339">
        <v>31</v>
      </c>
      <c r="F46" s="339">
        <v>0</v>
      </c>
      <c r="G46" s="340">
        <f>'[5]Consumption Data '!AG109</f>
        <v>14633</v>
      </c>
      <c r="H46" s="339">
        <f t="shared" si="0"/>
        <v>21053497.330663797</v>
      </c>
      <c r="I46" s="10">
        <f t="shared" si="3"/>
        <v>-248367.569336202</v>
      </c>
      <c r="J46" s="161">
        <f t="shared" si="4"/>
        <v>1.1659428435122693E-2</v>
      </c>
    </row>
    <row r="47" spans="1:10" x14ac:dyDescent="0.2">
      <c r="A47" s="336">
        <v>40422</v>
      </c>
      <c r="B47" s="337">
        <f>'[5]Consumption Data '!B110</f>
        <v>17785837.5</v>
      </c>
      <c r="C47" s="338">
        <f>'Weather Analysis'!O16</f>
        <v>78.099999999999994</v>
      </c>
      <c r="D47" s="338">
        <f>'Weather Analysis'!O36</f>
        <v>31.5</v>
      </c>
      <c r="E47" s="339">
        <v>30</v>
      </c>
      <c r="F47" s="339">
        <v>1</v>
      </c>
      <c r="G47" s="340">
        <f>'[5]Consumption Data '!AG110</f>
        <v>14646</v>
      </c>
      <c r="H47" s="339">
        <f t="shared" si="0"/>
        <v>16896592.19676628</v>
      </c>
      <c r="I47" s="10">
        <f t="shared" si="3"/>
        <v>-889245.30323372036</v>
      </c>
      <c r="J47" s="161">
        <f t="shared" si="4"/>
        <v>4.9997381525256845E-2</v>
      </c>
    </row>
    <row r="48" spans="1:10" x14ac:dyDescent="0.2">
      <c r="A48" s="336">
        <v>40452</v>
      </c>
      <c r="B48" s="337">
        <f>'[5]Consumption Data '!B111</f>
        <v>18734173.199999999</v>
      </c>
      <c r="C48" s="338">
        <f>'Weather Analysis'!O17</f>
        <v>241.6</v>
      </c>
      <c r="D48" s="338">
        <f>'Weather Analysis'!O37</f>
        <v>0</v>
      </c>
      <c r="E48" s="339">
        <v>31</v>
      </c>
      <c r="F48" s="339">
        <v>1</v>
      </c>
      <c r="G48" s="340">
        <f>'[5]Consumption Data '!AG111</f>
        <v>14664</v>
      </c>
      <c r="H48" s="339">
        <f t="shared" si="0"/>
        <v>18625007.017022893</v>
      </c>
      <c r="I48" s="10">
        <f t="shared" si="3"/>
        <v>-109166.18297710642</v>
      </c>
      <c r="J48" s="161">
        <f t="shared" si="4"/>
        <v>5.8271150699677754E-3</v>
      </c>
    </row>
    <row r="49" spans="1:10" x14ac:dyDescent="0.2">
      <c r="A49" s="336">
        <v>40483</v>
      </c>
      <c r="B49" s="337">
        <f>'[5]Consumption Data '!B112</f>
        <v>20451455.399999999</v>
      </c>
      <c r="C49" s="338">
        <f>'Weather Analysis'!O18</f>
        <v>405.3</v>
      </c>
      <c r="D49" s="338">
        <f>'Weather Analysis'!O38</f>
        <v>0</v>
      </c>
      <c r="E49" s="339">
        <v>30</v>
      </c>
      <c r="F49" s="339">
        <v>1</v>
      </c>
      <c r="G49" s="340">
        <f>'[5]Consumption Data '!AG112</f>
        <v>14688</v>
      </c>
      <c r="H49" s="339">
        <f t="shared" si="0"/>
        <v>20109548.20229952</v>
      </c>
      <c r="I49" s="10">
        <f t="shared" si="3"/>
        <v>-341907.19770047814</v>
      </c>
      <c r="J49" s="161">
        <f t="shared" si="4"/>
        <v>1.6717988574078604E-2</v>
      </c>
    </row>
    <row r="50" spans="1:10" x14ac:dyDescent="0.2">
      <c r="A50" s="336">
        <v>40513</v>
      </c>
      <c r="B50" s="337">
        <f>'[5]Consumption Data '!B113</f>
        <v>25404585.100000001</v>
      </c>
      <c r="C50" s="338">
        <f>'Weather Analysis'!O19</f>
        <v>676.2</v>
      </c>
      <c r="D50" s="338">
        <f>'Weather Analysis'!O39</f>
        <v>0</v>
      </c>
      <c r="E50" s="339">
        <v>31</v>
      </c>
      <c r="F50" s="339">
        <v>0</v>
      </c>
      <c r="G50" s="340">
        <f>'[5]Consumption Data '!AG113</f>
        <v>14707</v>
      </c>
      <c r="H50" s="339">
        <f t="shared" si="0"/>
        <v>25217731.645739987</v>
      </c>
      <c r="I50" s="10">
        <f t="shared" si="3"/>
        <v>-186853.454260014</v>
      </c>
      <c r="J50" s="161">
        <f t="shared" si="4"/>
        <v>7.355107494355969E-3</v>
      </c>
    </row>
    <row r="51" spans="1:10" x14ac:dyDescent="0.2">
      <c r="A51" s="336">
        <v>40544</v>
      </c>
      <c r="B51" s="337">
        <f>'[5]Consumption Data '!B114</f>
        <v>26274474</v>
      </c>
      <c r="C51" s="338">
        <f>'Weather Analysis'!P8</f>
        <v>775.3</v>
      </c>
      <c r="D51" s="338">
        <f>'Weather Analysis'!P28</f>
        <v>0</v>
      </c>
      <c r="E51" s="341">
        <v>31</v>
      </c>
      <c r="F51" s="339">
        <v>0</v>
      </c>
      <c r="G51" s="340">
        <f>'[5]Consumption Data '!AG114</f>
        <v>14713</v>
      </c>
      <c r="H51" s="339">
        <f t="shared" si="0"/>
        <v>26503514.492227875</v>
      </c>
      <c r="I51" s="10">
        <f t="shared" si="3"/>
        <v>229040.4922278747</v>
      </c>
      <c r="J51" s="161">
        <f t="shared" si="4"/>
        <v>8.7172246427416472E-3</v>
      </c>
    </row>
    <row r="52" spans="1:10" x14ac:dyDescent="0.2">
      <c r="A52" s="336">
        <v>40575</v>
      </c>
      <c r="B52" s="337">
        <f>'[5]Consumption Data '!B115</f>
        <v>22971970.300000001</v>
      </c>
      <c r="C52" s="338">
        <f>'Weather Analysis'!P9</f>
        <v>654.20000000000005</v>
      </c>
      <c r="D52" s="338">
        <f>'Weather Analysis'!P29</f>
        <v>0</v>
      </c>
      <c r="E52" s="341">
        <v>28</v>
      </c>
      <c r="F52" s="339">
        <v>0</v>
      </c>
      <c r="G52" s="340">
        <f>'[5]Consumption Data '!AG115</f>
        <v>14716</v>
      </c>
      <c r="H52" s="339">
        <f t="shared" si="0"/>
        <v>22997710.932724189</v>
      </c>
      <c r="I52" s="10">
        <f t="shared" si="3"/>
        <v>25740.632724188268</v>
      </c>
      <c r="J52" s="161">
        <f t="shared" si="4"/>
        <v>1.1205235070405896E-3</v>
      </c>
    </row>
    <row r="53" spans="1:10" x14ac:dyDescent="0.2">
      <c r="A53" s="336">
        <v>40603</v>
      </c>
      <c r="B53" s="337">
        <f>'[5]Consumption Data '!B116</f>
        <v>22951605.199999999</v>
      </c>
      <c r="C53" s="338">
        <f>'Weather Analysis'!P10</f>
        <v>572.79999999999995</v>
      </c>
      <c r="D53" s="338">
        <f>'Weather Analysis'!P30</f>
        <v>0</v>
      </c>
      <c r="E53" s="341">
        <v>31</v>
      </c>
      <c r="F53" s="339">
        <v>1</v>
      </c>
      <c r="G53" s="340">
        <f>'[5]Consumption Data '!AG116</f>
        <v>14728</v>
      </c>
      <c r="H53" s="339">
        <f t="shared" si="0"/>
        <v>22944732.316497263</v>
      </c>
      <c r="I53" s="10">
        <f t="shared" si="3"/>
        <v>-6872.8835027366877</v>
      </c>
      <c r="J53" s="161">
        <f t="shared" si="4"/>
        <v>2.9945110343466031E-4</v>
      </c>
    </row>
    <row r="54" spans="1:10" x14ac:dyDescent="0.2">
      <c r="A54" s="336">
        <v>40634</v>
      </c>
      <c r="B54" s="337">
        <f>'[5]Consumption Data '!B117</f>
        <v>18914566.699999999</v>
      </c>
      <c r="C54" s="338">
        <f>'Weather Analysis'!P11</f>
        <v>332.3</v>
      </c>
      <c r="D54" s="338">
        <f>'Weather Analysis'!P31</f>
        <v>0</v>
      </c>
      <c r="E54" s="341">
        <v>30</v>
      </c>
      <c r="F54" s="339">
        <v>1</v>
      </c>
      <c r="G54" s="340">
        <f>'[5]Consumption Data '!AG117</f>
        <v>14729</v>
      </c>
      <c r="H54" s="339">
        <f t="shared" si="0"/>
        <v>19185695.258151006</v>
      </c>
      <c r="I54" s="10">
        <f t="shared" si="3"/>
        <v>271128.5581510067</v>
      </c>
      <c r="J54" s="161">
        <f t="shared" si="4"/>
        <v>1.4334378495226471E-2</v>
      </c>
    </row>
    <row r="55" spans="1:10" x14ac:dyDescent="0.2">
      <c r="A55" s="336">
        <v>40664</v>
      </c>
      <c r="B55" s="337">
        <f>'[5]Consumption Data '!B118</f>
        <v>17615740</v>
      </c>
      <c r="C55" s="338">
        <f>'Weather Analysis'!P12</f>
        <v>134.1</v>
      </c>
      <c r="D55" s="338">
        <f>'Weather Analysis'!P32</f>
        <v>13</v>
      </c>
      <c r="E55" s="341">
        <v>31</v>
      </c>
      <c r="F55" s="339">
        <v>1</v>
      </c>
      <c r="G55" s="340">
        <f>'[5]Consumption Data '!AG118</f>
        <v>14733</v>
      </c>
      <c r="H55" s="339">
        <f t="shared" si="0"/>
        <v>17699699.54810451</v>
      </c>
      <c r="I55" s="10">
        <f t="shared" si="3"/>
        <v>83959.548104509711</v>
      </c>
      <c r="J55" s="161">
        <f t="shared" si="4"/>
        <v>4.7661664003050518E-3</v>
      </c>
    </row>
    <row r="56" spans="1:10" x14ac:dyDescent="0.2">
      <c r="A56" s="336">
        <v>40695</v>
      </c>
      <c r="B56" s="337">
        <f>'[5]Consumption Data '!B119</f>
        <v>17571916.300000001</v>
      </c>
      <c r="C56" s="338">
        <f>'Weather Analysis'!P13</f>
        <v>19</v>
      </c>
      <c r="D56" s="338">
        <f>'Weather Analysis'!P33</f>
        <v>52.2</v>
      </c>
      <c r="E56" s="341">
        <v>30</v>
      </c>
      <c r="F56" s="339">
        <v>0</v>
      </c>
      <c r="G56" s="340">
        <f>'[5]Consumption Data '!AG119</f>
        <v>14742</v>
      </c>
      <c r="H56" s="339">
        <f t="shared" ref="H56:H86" si="5">$L$18+C56*$L$19+D56*$L$20+E56*$L$21+F56*$L$22+G56*$L$23</f>
        <v>17812134.640236564</v>
      </c>
      <c r="I56" s="10">
        <f t="shared" si="3"/>
        <v>240218.34023656324</v>
      </c>
      <c r="J56" s="161">
        <f t="shared" si="4"/>
        <v>1.3670582999337598E-2</v>
      </c>
    </row>
    <row r="57" spans="1:10" x14ac:dyDescent="0.2">
      <c r="A57" s="336">
        <v>40725</v>
      </c>
      <c r="B57" s="337">
        <f>'[5]Consumption Data '!B120</f>
        <v>22292830.300000001</v>
      </c>
      <c r="C57" s="338">
        <f>'Weather Analysis'!P14</f>
        <v>0</v>
      </c>
      <c r="D57" s="338">
        <f>'Weather Analysis'!P34</f>
        <v>198.5</v>
      </c>
      <c r="E57" s="341">
        <v>31</v>
      </c>
      <c r="F57" s="339">
        <v>0</v>
      </c>
      <c r="G57" s="340">
        <f>'[5]Consumption Data '!AG120</f>
        <v>14759</v>
      </c>
      <c r="H57" s="339">
        <f t="shared" si="5"/>
        <v>23069017.186358277</v>
      </c>
      <c r="I57" s="10">
        <f t="shared" si="3"/>
        <v>776186.88635827601</v>
      </c>
      <c r="J57" s="161">
        <f t="shared" si="4"/>
        <v>3.4817781139179799E-2</v>
      </c>
    </row>
    <row r="58" spans="1:10" x14ac:dyDescent="0.2">
      <c r="A58" s="336">
        <v>40756</v>
      </c>
      <c r="B58" s="337">
        <f>'[5]Consumption Data '!B121</f>
        <v>19354570.300000001</v>
      </c>
      <c r="C58" s="338">
        <f>'Weather Analysis'!P15</f>
        <v>0</v>
      </c>
      <c r="D58" s="338">
        <f>'Weather Analysis'!P35</f>
        <v>122.2</v>
      </c>
      <c r="E58" s="341">
        <v>31</v>
      </c>
      <c r="F58" s="339">
        <v>0</v>
      </c>
      <c r="G58" s="340">
        <f>'[5]Consumption Data '!AG121</f>
        <v>14772</v>
      </c>
      <c r="H58" s="339">
        <f t="shared" si="5"/>
        <v>20547579.882278286</v>
      </c>
      <c r="I58" s="10">
        <f t="shared" si="3"/>
        <v>1193009.5822782852</v>
      </c>
      <c r="J58" s="161">
        <f t="shared" si="4"/>
        <v>6.1639683226565101E-2</v>
      </c>
    </row>
    <row r="59" spans="1:10" x14ac:dyDescent="0.2">
      <c r="A59" s="336">
        <v>40787</v>
      </c>
      <c r="B59" s="337">
        <f>'[5]Consumption Data '!B122</f>
        <v>17323768.100000001</v>
      </c>
      <c r="C59" s="338">
        <f>'Weather Analysis'!P16</f>
        <v>48.2</v>
      </c>
      <c r="D59" s="338">
        <f>'Weather Analysis'!P36</f>
        <v>39.700000000000003</v>
      </c>
      <c r="E59" s="341">
        <v>30</v>
      </c>
      <c r="F59" s="339">
        <v>1</v>
      </c>
      <c r="G59" s="340">
        <f>'[5]Consumption Data '!AG122</f>
        <v>14772</v>
      </c>
      <c r="H59" s="339">
        <f t="shared" si="5"/>
        <v>16845893.88152153</v>
      </c>
      <c r="I59" s="10">
        <f t="shared" si="3"/>
        <v>-477874.21847847104</v>
      </c>
      <c r="J59" s="161">
        <f t="shared" si="4"/>
        <v>2.7584888906384691E-2</v>
      </c>
    </row>
    <row r="60" spans="1:10" x14ac:dyDescent="0.2">
      <c r="A60" s="336">
        <v>40817</v>
      </c>
      <c r="B60" s="337">
        <f>'[5]Consumption Data '!B123</f>
        <v>18576164</v>
      </c>
      <c r="C60" s="338">
        <f>'Weather Analysis'!P17</f>
        <v>235.5</v>
      </c>
      <c r="D60" s="338">
        <f>'Weather Analysis'!P37</f>
        <v>2.4</v>
      </c>
      <c r="E60" s="341">
        <v>31</v>
      </c>
      <c r="F60" s="339">
        <v>1</v>
      </c>
      <c r="G60" s="340">
        <f>'[5]Consumption Data '!AG123</f>
        <v>14794</v>
      </c>
      <c r="H60" s="339">
        <f t="shared" si="5"/>
        <v>18692240.862559527</v>
      </c>
      <c r="I60" s="10">
        <f t="shared" si="3"/>
        <v>116076.86255952716</v>
      </c>
      <c r="J60" s="161">
        <f t="shared" si="4"/>
        <v>6.2486992771773097E-3</v>
      </c>
    </row>
    <row r="61" spans="1:10" x14ac:dyDescent="0.2">
      <c r="A61" s="336">
        <v>40848</v>
      </c>
      <c r="B61" s="337">
        <f>'[5]Consumption Data '!B124</f>
        <v>19598868</v>
      </c>
      <c r="C61" s="338">
        <f>'Weather Analysis'!P18</f>
        <v>342.1</v>
      </c>
      <c r="D61" s="338">
        <f>'Weather Analysis'!P38</f>
        <v>0</v>
      </c>
      <c r="E61" s="341">
        <v>30</v>
      </c>
      <c r="F61" s="339">
        <v>1</v>
      </c>
      <c r="G61" s="340">
        <f>'[5]Consumption Data '!AG124</f>
        <v>14809</v>
      </c>
      <c r="H61" s="339">
        <f t="shared" si="5"/>
        <v>19353568.840856254</v>
      </c>
      <c r="I61" s="10">
        <f t="shared" si="3"/>
        <v>-245299.1591437459</v>
      </c>
      <c r="J61" s="161">
        <f t="shared" si="4"/>
        <v>1.2515986083673093E-2</v>
      </c>
    </row>
    <row r="62" spans="1:10" x14ac:dyDescent="0.2">
      <c r="A62" s="336">
        <v>40878</v>
      </c>
      <c r="B62" s="337">
        <f>'[5]Consumption Data '!B125</f>
        <v>23311694</v>
      </c>
      <c r="C62" s="338">
        <f>'Weather Analysis'!P19</f>
        <v>534</v>
      </c>
      <c r="D62" s="338">
        <f>'Weather Analysis'!P39</f>
        <v>0</v>
      </c>
      <c r="E62" s="341">
        <v>31</v>
      </c>
      <c r="F62" s="339">
        <v>0</v>
      </c>
      <c r="G62" s="340">
        <f>(G61+G63)/2</f>
        <v>14817.5</v>
      </c>
      <c r="H62" s="339">
        <f t="shared" si="5"/>
        <v>23433827.042444754</v>
      </c>
      <c r="I62" s="10">
        <f t="shared" si="3"/>
        <v>122133.04244475439</v>
      </c>
      <c r="J62" s="161">
        <f t="shared" si="4"/>
        <v>5.2391320186664422E-3</v>
      </c>
    </row>
    <row r="63" spans="1:10" x14ac:dyDescent="0.2">
      <c r="A63" s="336">
        <v>40909</v>
      </c>
      <c r="B63" s="337">
        <f>'[6]Power Purchased'!B123</f>
        <v>24487281</v>
      </c>
      <c r="C63" s="342">
        <f>'Weather Analysis'!Q8</f>
        <v>611.1</v>
      </c>
      <c r="D63" s="342">
        <f>'Weather Analysis'!Q28</f>
        <v>0</v>
      </c>
      <c r="E63" s="339">
        <v>31</v>
      </c>
      <c r="F63" s="340">
        <v>0</v>
      </c>
      <c r="G63" s="340">
        <f>'[6]Customer Numbers'!$J6</f>
        <v>14826</v>
      </c>
      <c r="H63" s="339">
        <f t="shared" si="5"/>
        <v>24436133.8689401</v>
      </c>
      <c r="I63" s="10">
        <f t="shared" si="3"/>
        <v>-51147.131059899926</v>
      </c>
      <c r="J63" s="161">
        <f t="shared" si="4"/>
        <v>2.0887223477322747E-3</v>
      </c>
    </row>
    <row r="64" spans="1:10" x14ac:dyDescent="0.2">
      <c r="A64" s="336">
        <v>40940</v>
      </c>
      <c r="B64" s="337">
        <f>'[6]Power Purchased'!B124</f>
        <v>21711326.899999999</v>
      </c>
      <c r="C64" s="342">
        <f>'Weather Analysis'!Q9</f>
        <v>531.70000000000005</v>
      </c>
      <c r="D64" s="342">
        <f>'Weather Analysis'!Q29</f>
        <v>0</v>
      </c>
      <c r="E64" s="339">
        <v>29</v>
      </c>
      <c r="F64" s="340">
        <v>0</v>
      </c>
      <c r="G64" s="340">
        <f>'[6]Customer Numbers'!$J7</f>
        <v>14835</v>
      </c>
      <c r="H64" s="339">
        <f t="shared" si="5"/>
        <v>22119779.407120984</v>
      </c>
      <c r="I64" s="10">
        <f t="shared" si="3"/>
        <v>408452.50712098554</v>
      </c>
      <c r="J64" s="161">
        <f t="shared" si="4"/>
        <v>1.881287629274218E-2</v>
      </c>
    </row>
    <row r="65" spans="1:10" x14ac:dyDescent="0.2">
      <c r="A65" s="336">
        <v>40969</v>
      </c>
      <c r="B65" s="337">
        <f>'[6]Power Purchased'!B125</f>
        <v>20140443.699999999</v>
      </c>
      <c r="C65" s="342">
        <f>'Weather Analysis'!Q10</f>
        <v>349.40000000000009</v>
      </c>
      <c r="D65" s="342">
        <f>'Weather Analysis'!Q30</f>
        <v>0.2</v>
      </c>
      <c r="E65" s="339">
        <v>31</v>
      </c>
      <c r="F65" s="340">
        <v>1</v>
      </c>
      <c r="G65" s="340">
        <f>'[6]Customer Numbers'!$J8</f>
        <v>14856</v>
      </c>
      <c r="H65" s="339">
        <f t="shared" si="5"/>
        <v>20125412.784426987</v>
      </c>
      <c r="I65" s="10">
        <f t="shared" si="3"/>
        <v>-15030.915573012084</v>
      </c>
      <c r="J65" s="161">
        <f t="shared" si="4"/>
        <v>7.463050862683867E-4</v>
      </c>
    </row>
    <row r="66" spans="1:10" x14ac:dyDescent="0.2">
      <c r="A66" s="336">
        <v>41000</v>
      </c>
      <c r="B66" s="337">
        <f>'[6]Power Purchased'!B126</f>
        <v>18335838.899999999</v>
      </c>
      <c r="C66" s="342">
        <f>'Weather Analysis'!Q11</f>
        <v>321.70000000000005</v>
      </c>
      <c r="D66" s="342">
        <f>'Weather Analysis'!Q31</f>
        <v>0</v>
      </c>
      <c r="E66" s="339">
        <v>30</v>
      </c>
      <c r="F66" s="340">
        <v>1</v>
      </c>
      <c r="G66" s="340">
        <f>'[6]Customer Numbers'!$J9</f>
        <v>14867</v>
      </c>
      <c r="H66" s="339">
        <f t="shared" si="5"/>
        <v>19119264.836609874</v>
      </c>
      <c r="I66" s="10">
        <f t="shared" si="3"/>
        <v>783425.93660987541</v>
      </c>
      <c r="J66" s="161">
        <f t="shared" si="4"/>
        <v>4.2726484502973873E-2</v>
      </c>
    </row>
    <row r="67" spans="1:10" x14ac:dyDescent="0.2">
      <c r="A67" s="336">
        <v>41030</v>
      </c>
      <c r="B67" s="337">
        <f>'[6]Power Purchased'!B127</f>
        <v>17673429</v>
      </c>
      <c r="C67" s="342">
        <f>'Weather Analysis'!Q12</f>
        <v>80.7</v>
      </c>
      <c r="D67" s="342">
        <f>'Weather Analysis'!Q32</f>
        <v>36.700000000000003</v>
      </c>
      <c r="E67" s="339">
        <v>31</v>
      </c>
      <c r="F67" s="340">
        <v>1</v>
      </c>
      <c r="G67" s="340">
        <f>'[6]Customer Numbers'!$J10</f>
        <v>14877</v>
      </c>
      <c r="H67" s="339">
        <f t="shared" si="5"/>
        <v>17867631.756278526</v>
      </c>
      <c r="I67" s="10">
        <f t="shared" si="3"/>
        <v>194202.75627852604</v>
      </c>
      <c r="J67" s="161">
        <f t="shared" si="4"/>
        <v>1.0988402775631487E-2</v>
      </c>
    </row>
    <row r="68" spans="1:10" x14ac:dyDescent="0.2">
      <c r="A68" s="336">
        <v>41061</v>
      </c>
      <c r="B68" s="337">
        <f>'[6]Power Purchased'!B128</f>
        <v>19474755.100000001</v>
      </c>
      <c r="C68" s="342">
        <f>'Weather Analysis'!Q13</f>
        <v>23.2</v>
      </c>
      <c r="D68" s="342">
        <f>'Weather Analysis'!Q33</f>
        <v>101.60000000000001</v>
      </c>
      <c r="E68" s="339">
        <v>30</v>
      </c>
      <c r="F68" s="340">
        <v>0</v>
      </c>
      <c r="G68" s="340">
        <f>'[6]Customer Numbers'!$J11</f>
        <v>14882</v>
      </c>
      <c r="H68" s="339">
        <f t="shared" si="5"/>
        <v>19575101.056770589</v>
      </c>
      <c r="I68" s="10">
        <f t="shared" si="3"/>
        <v>100345.95677058771</v>
      </c>
      <c r="J68" s="161">
        <f t="shared" si="4"/>
        <v>5.1526171320422772E-3</v>
      </c>
    </row>
    <row r="69" spans="1:10" x14ac:dyDescent="0.2">
      <c r="A69" s="336">
        <v>41091</v>
      </c>
      <c r="B69" s="337">
        <f>'[6]Power Purchased'!B129</f>
        <v>22780193</v>
      </c>
      <c r="C69" s="342">
        <f>'Weather Analysis'!Q14</f>
        <v>0</v>
      </c>
      <c r="D69" s="342">
        <f>'Weather Analysis'!Q34</f>
        <v>195.39999999999998</v>
      </c>
      <c r="E69" s="339">
        <v>31</v>
      </c>
      <c r="F69" s="340">
        <v>0</v>
      </c>
      <c r="G69" s="340">
        <f>'[6]Customer Numbers'!$J12</f>
        <v>14921</v>
      </c>
      <c r="H69" s="339">
        <f t="shared" si="5"/>
        <v>23049381.84943708</v>
      </c>
      <c r="I69" s="10">
        <f t="shared" si="3"/>
        <v>269188.84943708032</v>
      </c>
      <c r="J69" s="161">
        <f t="shared" si="4"/>
        <v>1.1816794064786033E-2</v>
      </c>
    </row>
    <row r="70" spans="1:10" x14ac:dyDescent="0.2">
      <c r="A70" s="336">
        <v>41122</v>
      </c>
      <c r="B70" s="337">
        <f>'[6]Power Purchased'!B130</f>
        <v>20627757.200000003</v>
      </c>
      <c r="C70" s="342">
        <f>'Weather Analysis'!Q15</f>
        <v>2</v>
      </c>
      <c r="D70" s="342">
        <f>'Weather Analysis'!Q35</f>
        <v>112.10000000000001</v>
      </c>
      <c r="E70" s="339">
        <v>31</v>
      </c>
      <c r="F70" s="340">
        <v>0</v>
      </c>
      <c r="G70" s="340">
        <f>'[6]Customer Numbers'!$J13</f>
        <v>14953</v>
      </c>
      <c r="H70" s="339">
        <f t="shared" si="5"/>
        <v>20331639.347290777</v>
      </c>
      <c r="I70" s="10">
        <f t="shared" si="3"/>
        <v>-296117.85270922631</v>
      </c>
      <c r="J70" s="161">
        <f t="shared" si="4"/>
        <v>1.4355310169601291E-2</v>
      </c>
    </row>
    <row r="71" spans="1:10" x14ac:dyDescent="0.2">
      <c r="A71" s="336">
        <v>41153</v>
      </c>
      <c r="B71" s="337">
        <f>'[6]Power Purchased'!B131</f>
        <v>17795945.799999997</v>
      </c>
      <c r="C71" s="342">
        <f>'Weather Analysis'!Q16</f>
        <v>85</v>
      </c>
      <c r="D71" s="342">
        <f>'Weather Analysis'!Q36</f>
        <v>35.6</v>
      </c>
      <c r="E71" s="339">
        <v>30</v>
      </c>
      <c r="F71" s="340">
        <v>1</v>
      </c>
      <c r="G71" s="340">
        <f>'[6]Customer Numbers'!$J14</f>
        <v>14968</v>
      </c>
      <c r="H71" s="339">
        <f t="shared" si="5"/>
        <v>17286883.844810296</v>
      </c>
      <c r="I71" s="10">
        <f t="shared" ref="I71:I103" si="6">H71-B71</f>
        <v>-509061.95518970117</v>
      </c>
      <c r="J71" s="161">
        <f t="shared" ref="J71:J103" si="7">ABS(I71/B71)</f>
        <v>2.8605501551353413E-2</v>
      </c>
    </row>
    <row r="72" spans="1:10" x14ac:dyDescent="0.2">
      <c r="A72" s="336">
        <v>41183</v>
      </c>
      <c r="B72" s="337">
        <f>'[6]Power Purchased'!B132</f>
        <v>17475406.5</v>
      </c>
      <c r="C72" s="342">
        <f>'Weather Analysis'!Q17</f>
        <v>242.50000000000003</v>
      </c>
      <c r="D72" s="342">
        <f>'Weather Analysis'!Q37</f>
        <v>1.1000000000000001</v>
      </c>
      <c r="E72" s="339">
        <v>31</v>
      </c>
      <c r="F72" s="340">
        <v>1</v>
      </c>
      <c r="G72" s="340">
        <f>'[6]Customer Numbers'!$J15</f>
        <v>15012</v>
      </c>
      <c r="H72" s="339">
        <f t="shared" si="5"/>
        <v>18851569.857750297</v>
      </c>
      <c r="I72" s="10">
        <f t="shared" si="6"/>
        <v>1376163.3577502966</v>
      </c>
      <c r="J72" s="161">
        <f t="shared" si="7"/>
        <v>7.8748574904411894E-2</v>
      </c>
    </row>
    <row r="73" spans="1:10" x14ac:dyDescent="0.2">
      <c r="A73" s="336">
        <v>41214</v>
      </c>
      <c r="B73" s="337">
        <f>'[6]Power Purchased'!B133</f>
        <v>20981769.300000001</v>
      </c>
      <c r="C73" s="342">
        <f>'Weather Analysis'!Q18</f>
        <v>433.99999999999994</v>
      </c>
      <c r="D73" s="342">
        <f>'Weather Analysis'!Q38</f>
        <v>0</v>
      </c>
      <c r="E73" s="339">
        <v>30</v>
      </c>
      <c r="F73" s="340">
        <v>1</v>
      </c>
      <c r="G73" s="340">
        <f>'[6]Customer Numbers'!$J16</f>
        <v>15036</v>
      </c>
      <c r="H73" s="339">
        <f t="shared" si="5"/>
        <v>20659494.631030701</v>
      </c>
      <c r="I73" s="10">
        <f t="shared" si="6"/>
        <v>-322274.66896929964</v>
      </c>
      <c r="J73" s="161">
        <f t="shared" si="7"/>
        <v>1.535974704332011E-2</v>
      </c>
    </row>
    <row r="74" spans="1:10" x14ac:dyDescent="0.2">
      <c r="A74" s="336">
        <v>41244</v>
      </c>
      <c r="B74" s="337">
        <f>'[6]Power Purchased'!B134</f>
        <v>23645692</v>
      </c>
      <c r="C74" s="342">
        <f>'Weather Analysis'!Q19</f>
        <v>533.50000000000011</v>
      </c>
      <c r="D74" s="342">
        <f>'Weather Analysis'!Q39</f>
        <v>0</v>
      </c>
      <c r="E74" s="339">
        <v>31</v>
      </c>
      <c r="F74" s="340">
        <v>0</v>
      </c>
      <c r="G74" s="340">
        <f>'[6]Customer Numbers'!$J17</f>
        <v>15062</v>
      </c>
      <c r="H74" s="339">
        <f t="shared" si="5"/>
        <v>23552743.392732967</v>
      </c>
      <c r="I74" s="10">
        <f t="shared" si="6"/>
        <v>-92948.607267033309</v>
      </c>
      <c r="J74" s="161">
        <f t="shared" si="7"/>
        <v>3.9308897057034027E-3</v>
      </c>
    </row>
    <row r="75" spans="1:10" x14ac:dyDescent="0.2">
      <c r="A75" s="336">
        <v>41275</v>
      </c>
      <c r="B75" s="337">
        <v>24666681.099999998</v>
      </c>
      <c r="C75" s="342">
        <f>'Weather Analysis'!R8</f>
        <v>624.40000000000009</v>
      </c>
      <c r="D75" s="338">
        <f>'Weather Analysis'!R28</f>
        <v>0</v>
      </c>
      <c r="E75" s="339">
        <v>31</v>
      </c>
      <c r="F75" s="340">
        <v>0</v>
      </c>
      <c r="G75" s="340">
        <f>'[6]Customer Numbers'!J23</f>
        <v>15076</v>
      </c>
      <c r="H75" s="339">
        <f t="shared" si="5"/>
        <v>24736491.805501685</v>
      </c>
      <c r="I75" s="10">
        <f t="shared" si="6"/>
        <v>69810.705501686782</v>
      </c>
      <c r="J75" s="161">
        <f t="shared" si="7"/>
        <v>2.8301620805275983E-3</v>
      </c>
    </row>
    <row r="76" spans="1:10" x14ac:dyDescent="0.2">
      <c r="A76" s="336">
        <v>41306</v>
      </c>
      <c r="B76" s="337">
        <v>22513099.599999998</v>
      </c>
      <c r="C76" s="342">
        <f>'Weather Analysis'!R9</f>
        <v>631.49999999999989</v>
      </c>
      <c r="D76" s="338">
        <f>'Weather Analysis'!R29</f>
        <v>0</v>
      </c>
      <c r="E76" s="339">
        <v>28</v>
      </c>
      <c r="F76" s="340">
        <v>0</v>
      </c>
      <c r="G76" s="340">
        <f>'[6]Customer Numbers'!J24</f>
        <v>15088</v>
      </c>
      <c r="H76" s="339">
        <f t="shared" si="5"/>
        <v>22894666.911569778</v>
      </c>
      <c r="I76" s="10">
        <f t="shared" si="6"/>
        <v>381567.31156978011</v>
      </c>
      <c r="J76" s="161">
        <f t="shared" si="7"/>
        <v>1.6948679584297674E-2</v>
      </c>
    </row>
    <row r="77" spans="1:10" x14ac:dyDescent="0.2">
      <c r="A77" s="336">
        <v>41334</v>
      </c>
      <c r="B77" s="337">
        <v>22356782.100000001</v>
      </c>
      <c r="C77" s="342">
        <f>'Weather Analysis'!R10</f>
        <v>554.79999999999995</v>
      </c>
      <c r="D77" s="338">
        <f>'Weather Analysis'!R30</f>
        <v>0</v>
      </c>
      <c r="E77" s="339">
        <v>31</v>
      </c>
      <c r="F77" s="340">
        <v>1</v>
      </c>
      <c r="G77" s="340">
        <f>'[6]Customer Numbers'!J25</f>
        <v>15100</v>
      </c>
      <c r="H77" s="339">
        <f t="shared" si="5"/>
        <v>22902522.981873527</v>
      </c>
      <c r="I77" s="10">
        <f t="shared" si="6"/>
        <v>545740.88187352568</v>
      </c>
      <c r="J77" s="161">
        <f t="shared" si="7"/>
        <v>2.4410529182262129E-2</v>
      </c>
    </row>
    <row r="78" spans="1:10" x14ac:dyDescent="0.2">
      <c r="A78" s="336">
        <v>41365</v>
      </c>
      <c r="B78" s="337">
        <v>19424576.5</v>
      </c>
      <c r="C78" s="342">
        <f>'Weather Analysis'!R11</f>
        <v>358.6</v>
      </c>
      <c r="D78" s="338">
        <f>'Weather Analysis'!R31</f>
        <v>0</v>
      </c>
      <c r="E78" s="339">
        <v>30</v>
      </c>
      <c r="F78" s="340">
        <v>1</v>
      </c>
      <c r="G78" s="340">
        <f>'[6]Customer Numbers'!J26</f>
        <v>15107</v>
      </c>
      <c r="H78" s="339">
        <f t="shared" si="5"/>
        <v>19719962.212168179</v>
      </c>
      <c r="I78" s="10">
        <f t="shared" si="6"/>
        <v>295385.71216817945</v>
      </c>
      <c r="J78" s="161">
        <f t="shared" si="7"/>
        <v>1.5206803204599053E-2</v>
      </c>
    </row>
    <row r="79" spans="1:10" x14ac:dyDescent="0.2">
      <c r="A79" s="336">
        <v>41395</v>
      </c>
      <c r="B79" s="337">
        <v>17840112.599999998</v>
      </c>
      <c r="C79" s="342">
        <f>'Weather Analysis'!R12</f>
        <v>109.10000000000001</v>
      </c>
      <c r="D79" s="338">
        <f>'Weather Analysis'!R32</f>
        <v>23.1</v>
      </c>
      <c r="E79" s="339">
        <v>31</v>
      </c>
      <c r="F79" s="340">
        <v>1</v>
      </c>
      <c r="G79" s="340">
        <f>'[6]Customer Numbers'!J27</f>
        <v>15139</v>
      </c>
      <c r="H79" s="339">
        <f t="shared" si="5"/>
        <v>17918972.493657805</v>
      </c>
      <c r="I79" s="10">
        <f t="shared" si="6"/>
        <v>78859.893657807261</v>
      </c>
      <c r="J79" s="161">
        <f t="shared" si="7"/>
        <v>4.4203697266914825E-3</v>
      </c>
    </row>
    <row r="80" spans="1:10" x14ac:dyDescent="0.2">
      <c r="A80" s="336">
        <v>41426</v>
      </c>
      <c r="B80" s="337">
        <v>18666406.800000001</v>
      </c>
      <c r="C80" s="342">
        <f>'Weather Analysis'!R13</f>
        <v>32.999999999999993</v>
      </c>
      <c r="D80" s="338">
        <f>'Weather Analysis'!R33</f>
        <v>59.6</v>
      </c>
      <c r="E80" s="339">
        <v>30</v>
      </c>
      <c r="F80" s="340">
        <v>0</v>
      </c>
      <c r="G80" s="340">
        <f>'[6]Customer Numbers'!J28</f>
        <v>15172</v>
      </c>
      <c r="H80" s="339">
        <f t="shared" si="5"/>
        <v>18459052.994586218</v>
      </c>
      <c r="I80" s="10">
        <f t="shared" si="6"/>
        <v>-207353.8054137826</v>
      </c>
      <c r="J80" s="161">
        <f t="shared" si="7"/>
        <v>1.1108394220455037E-2</v>
      </c>
    </row>
    <row r="81" spans="1:10" x14ac:dyDescent="0.2">
      <c r="A81" s="336">
        <v>41456</v>
      </c>
      <c r="B81" s="337">
        <v>22033173.100000001</v>
      </c>
      <c r="C81" s="342">
        <f>'Weather Analysis'!R14</f>
        <v>1.2999999999999998</v>
      </c>
      <c r="D81" s="338">
        <f>'Weather Analysis'!R34</f>
        <v>120.80000000000003</v>
      </c>
      <c r="E81" s="339">
        <v>31</v>
      </c>
      <c r="F81" s="340">
        <v>0</v>
      </c>
      <c r="G81" s="340">
        <f>'[6]Customer Numbers'!J29</f>
        <v>15207</v>
      </c>
      <c r="H81" s="339">
        <f t="shared" si="5"/>
        <v>20741102.433436632</v>
      </c>
      <c r="I81" s="10">
        <f t="shared" si="6"/>
        <v>-1292070.6665633693</v>
      </c>
      <c r="J81" s="161">
        <f t="shared" si="7"/>
        <v>5.8642060346876197E-2</v>
      </c>
    </row>
    <row r="82" spans="1:10" x14ac:dyDescent="0.2">
      <c r="A82" s="336">
        <v>41487</v>
      </c>
      <c r="B82" s="337">
        <v>20162331.399999999</v>
      </c>
      <c r="C82" s="342">
        <f>'Weather Analysis'!R15</f>
        <v>4.4000000000000004</v>
      </c>
      <c r="D82" s="338">
        <f>'Weather Analysis'!R35</f>
        <v>93.799999999999983</v>
      </c>
      <c r="E82" s="339">
        <v>31</v>
      </c>
      <c r="F82" s="340">
        <v>0</v>
      </c>
      <c r="G82" s="340">
        <f>'[6]Customer Numbers'!J30</f>
        <v>15244</v>
      </c>
      <c r="H82" s="339">
        <f t="shared" si="5"/>
        <v>19905591.422005836</v>
      </c>
      <c r="I82" s="10">
        <f t="shared" si="6"/>
        <v>-256739.97799416259</v>
      </c>
      <c r="J82" s="161">
        <f t="shared" si="7"/>
        <v>1.2733645375661398E-2</v>
      </c>
    </row>
    <row r="83" spans="1:10" x14ac:dyDescent="0.2">
      <c r="A83" s="336">
        <v>41518</v>
      </c>
      <c r="B83" s="337">
        <v>17834215.399999999</v>
      </c>
      <c r="C83" s="342">
        <f>'Weather Analysis'!R16</f>
        <v>82.999999999999986</v>
      </c>
      <c r="D83" s="338">
        <f>'Weather Analysis'!R36</f>
        <v>28.099999999999998</v>
      </c>
      <c r="E83" s="339">
        <v>30</v>
      </c>
      <c r="F83" s="340">
        <v>1</v>
      </c>
      <c r="G83" s="340">
        <f>'[6]Customer Numbers'!J31</f>
        <v>15260</v>
      </c>
      <c r="H83" s="339">
        <f t="shared" si="5"/>
        <v>17162241.495997481</v>
      </c>
      <c r="I83" s="10">
        <f t="shared" si="6"/>
        <v>-671973.90400251746</v>
      </c>
      <c r="J83" s="161">
        <f t="shared" si="7"/>
        <v>3.7678916001122061E-2</v>
      </c>
    </row>
    <row r="84" spans="1:10" x14ac:dyDescent="0.2">
      <c r="A84" s="336">
        <v>41548</v>
      </c>
      <c r="B84" s="337">
        <v>19036509.300000001</v>
      </c>
      <c r="C84" s="342">
        <f>'Weather Analysis'!R17</f>
        <v>208.5</v>
      </c>
      <c r="D84" s="338">
        <f>'Weather Analysis'!R37</f>
        <v>0.4</v>
      </c>
      <c r="E84" s="339">
        <v>31</v>
      </c>
      <c r="F84" s="340">
        <v>1</v>
      </c>
      <c r="G84" s="340">
        <f>'[6]Customer Numbers'!J32</f>
        <v>15288</v>
      </c>
      <c r="H84" s="339">
        <f t="shared" si="5"/>
        <v>18529837.954376686</v>
      </c>
      <c r="I84" s="10">
        <f t="shared" si="6"/>
        <v>-506671.34562331438</v>
      </c>
      <c r="J84" s="161">
        <f t="shared" si="7"/>
        <v>2.6615769605581752E-2</v>
      </c>
    </row>
    <row r="85" spans="1:10" x14ac:dyDescent="0.2">
      <c r="A85" s="336">
        <v>41579</v>
      </c>
      <c r="B85" s="337">
        <v>21552244.500000004</v>
      </c>
      <c r="C85" s="342">
        <f>'Weather Analysis'!R18</f>
        <v>478.20000000000005</v>
      </c>
      <c r="D85" s="338">
        <f>'Weather Analysis'!R38</f>
        <v>0</v>
      </c>
      <c r="E85" s="339">
        <v>30</v>
      </c>
      <c r="F85" s="340">
        <v>1</v>
      </c>
      <c r="G85" s="340">
        <f>'[6]Customer Numbers'!J33</f>
        <v>15334</v>
      </c>
      <c r="H85" s="339">
        <f t="shared" si="5"/>
        <v>21384424.346363816</v>
      </c>
      <c r="I85" s="10">
        <f t="shared" si="6"/>
        <v>-167820.15363618731</v>
      </c>
      <c r="J85" s="161">
        <f t="shared" si="7"/>
        <v>7.7866671211987825E-3</v>
      </c>
    </row>
    <row r="86" spans="1:10" x14ac:dyDescent="0.2">
      <c r="A86" s="336">
        <v>41609</v>
      </c>
      <c r="B86" s="337">
        <v>25671928.999999996</v>
      </c>
      <c r="C86" s="342">
        <f>'Weather Analysis'!R19</f>
        <v>687.9</v>
      </c>
      <c r="D86" s="338">
        <f>'Weather Analysis'!R39</f>
        <v>0</v>
      </c>
      <c r="E86" s="339">
        <v>31</v>
      </c>
      <c r="F86" s="340">
        <v>0</v>
      </c>
      <c r="G86" s="340">
        <f>'[6]Customer Numbers'!J34</f>
        <v>15352</v>
      </c>
      <c r="H86" s="339">
        <f t="shared" si="5"/>
        <v>25699949.675004069</v>
      </c>
      <c r="I86" s="10">
        <f t="shared" si="6"/>
        <v>28020.675004072487</v>
      </c>
      <c r="J86" s="161">
        <f t="shared" si="7"/>
        <v>1.0914908265784193E-3</v>
      </c>
    </row>
    <row r="87" spans="1:10" ht="38.25" x14ac:dyDescent="0.2">
      <c r="A87" s="269"/>
      <c r="B87" s="332" t="s">
        <v>0</v>
      </c>
      <c r="C87" s="333" t="s">
        <v>3</v>
      </c>
      <c r="D87" s="333" t="s">
        <v>4</v>
      </c>
      <c r="E87" s="334" t="s">
        <v>5</v>
      </c>
      <c r="F87" s="334" t="s">
        <v>17</v>
      </c>
      <c r="G87" s="335" t="s">
        <v>70</v>
      </c>
      <c r="H87" s="334" t="s">
        <v>10</v>
      </c>
      <c r="I87" s="10"/>
      <c r="J87" s="161"/>
    </row>
    <row r="88" spans="1:10" x14ac:dyDescent="0.2">
      <c r="A88" s="336">
        <v>41640</v>
      </c>
      <c r="B88" s="337">
        <v>27344318.300000001</v>
      </c>
      <c r="C88" s="342">
        <f>'Weather Analysis'!S8</f>
        <v>825.90000000000009</v>
      </c>
      <c r="D88" s="338">
        <f>'Weather Analysis'!S28</f>
        <v>0</v>
      </c>
      <c r="E88" s="339">
        <v>31</v>
      </c>
      <c r="F88" s="340">
        <v>0</v>
      </c>
      <c r="G88" s="340">
        <f>'[6]Customer Numbers'!J41</f>
        <v>15406</v>
      </c>
      <c r="H88" s="339">
        <f>$L$18+C88*$L$19+D88*$L$20+E88*$L$21+F88*$L$22+G88*$L$23</f>
        <v>27513852.70286889</v>
      </c>
      <c r="I88" s="10">
        <f t="shared" si="6"/>
        <v>169534.40286888927</v>
      </c>
      <c r="J88" s="161">
        <f t="shared" si="7"/>
        <v>6.1999864472353393E-3</v>
      </c>
    </row>
    <row r="89" spans="1:10" x14ac:dyDescent="0.2">
      <c r="A89" s="336">
        <v>41671</v>
      </c>
      <c r="B89" s="337">
        <v>23698938.399999999</v>
      </c>
      <c r="C89" s="342">
        <f>'Weather Analysis'!S9</f>
        <v>737.09999999999991</v>
      </c>
      <c r="D89" s="338">
        <f>'Weather Analysis'!S29</f>
        <v>0</v>
      </c>
      <c r="E89" s="339">
        <v>28</v>
      </c>
      <c r="F89" s="340">
        <v>0</v>
      </c>
      <c r="G89" s="340">
        <f>'[6]Customer Numbers'!J42</f>
        <v>15425</v>
      </c>
      <c r="H89" s="339">
        <f t="shared" ref="H89:H135" si="8">$L$18+C89*$L$19+D89*$L$20+E89*$L$21+F89*$L$22+G89*$L$23</f>
        <v>24434331.17678722</v>
      </c>
      <c r="I89" s="10">
        <f t="shared" si="6"/>
        <v>735392.77678722143</v>
      </c>
      <c r="J89" s="161">
        <f t="shared" si="7"/>
        <v>3.1030621050402048E-2</v>
      </c>
    </row>
    <row r="90" spans="1:10" x14ac:dyDescent="0.2">
      <c r="A90" s="336">
        <v>41699</v>
      </c>
      <c r="B90" s="337">
        <v>24427814.699999999</v>
      </c>
      <c r="C90" s="342">
        <f>'Weather Analysis'!S10</f>
        <v>690.6</v>
      </c>
      <c r="D90" s="338">
        <f>'Weather Analysis'!S30</f>
        <v>0</v>
      </c>
      <c r="E90" s="339">
        <v>31</v>
      </c>
      <c r="F90" s="340">
        <v>1</v>
      </c>
      <c r="G90" s="340">
        <f>'[6]Customer Numbers'!J43</f>
        <v>15444</v>
      </c>
      <c r="H90" s="339">
        <f t="shared" si="8"/>
        <v>24836672.311008789</v>
      </c>
      <c r="I90" s="10">
        <f t="shared" si="6"/>
        <v>408857.61100878939</v>
      </c>
      <c r="J90" s="161">
        <f t="shared" si="7"/>
        <v>1.6737379746408074E-2</v>
      </c>
    </row>
    <row r="91" spans="1:10" x14ac:dyDescent="0.2">
      <c r="A91" s="336">
        <v>41730</v>
      </c>
      <c r="B91" s="337">
        <v>19352180.899999999</v>
      </c>
      <c r="C91" s="342">
        <f>'Weather Analysis'!S11</f>
        <v>356.90000000000003</v>
      </c>
      <c r="D91" s="338">
        <f>'Weather Analysis'!S31</f>
        <v>0</v>
      </c>
      <c r="E91" s="339">
        <v>30</v>
      </c>
      <c r="F91" s="340">
        <v>1</v>
      </c>
      <c r="G91" s="340">
        <f>'[6]Customer Numbers'!J44</f>
        <v>15478</v>
      </c>
      <c r="H91" s="339">
        <f t="shared" si="8"/>
        <v>19888219.912984017</v>
      </c>
      <c r="I91" s="10">
        <f t="shared" si="6"/>
        <v>536039.01298401877</v>
      </c>
      <c r="J91" s="161">
        <f t="shared" si="7"/>
        <v>2.7699152656433614E-2</v>
      </c>
    </row>
    <row r="92" spans="1:10" x14ac:dyDescent="0.2">
      <c r="A92" s="336">
        <v>41760</v>
      </c>
      <c r="B92" s="337">
        <v>17549445.199999999</v>
      </c>
      <c r="C92" s="342">
        <f>'Weather Analysis'!S12</f>
        <v>132.10000000000005</v>
      </c>
      <c r="D92" s="338">
        <f>'Weather Analysis'!S32</f>
        <v>11.9</v>
      </c>
      <c r="E92" s="339">
        <v>31</v>
      </c>
      <c r="F92" s="340">
        <v>1</v>
      </c>
      <c r="G92" s="340">
        <f>'[6]Customer Numbers'!J45</f>
        <v>15497</v>
      </c>
      <c r="H92" s="339">
        <f t="shared" si="8"/>
        <v>18029171.176258404</v>
      </c>
      <c r="I92" s="10">
        <f t="shared" si="6"/>
        <v>479725.97625840455</v>
      </c>
      <c r="J92" s="161">
        <f t="shared" si="7"/>
        <v>2.733567761209936E-2</v>
      </c>
    </row>
    <row r="93" spans="1:10" x14ac:dyDescent="0.2">
      <c r="A93" s="336">
        <v>41791</v>
      </c>
      <c r="B93" s="337">
        <v>18258424.300000001</v>
      </c>
      <c r="C93" s="342">
        <f>'Weather Analysis'!S13</f>
        <v>14.1</v>
      </c>
      <c r="D93" s="338">
        <f>'Weather Analysis'!S33</f>
        <v>68.099999999999994</v>
      </c>
      <c r="E93" s="339">
        <v>30</v>
      </c>
      <c r="F93" s="340">
        <v>0</v>
      </c>
      <c r="G93" s="340">
        <f>'[6]Customer Numbers'!J46</f>
        <v>15515</v>
      </c>
      <c r="H93" s="339">
        <f t="shared" si="8"/>
        <v>18671959.020675082</v>
      </c>
      <c r="I93" s="10">
        <f t="shared" si="6"/>
        <v>413534.72067508101</v>
      </c>
      <c r="J93" s="161">
        <f t="shared" si="7"/>
        <v>2.2648981855191139E-2</v>
      </c>
    </row>
    <row r="94" spans="1:10" x14ac:dyDescent="0.2">
      <c r="A94" s="336">
        <v>41821</v>
      </c>
      <c r="B94" s="337">
        <v>19452973.100000001</v>
      </c>
      <c r="C94" s="342">
        <f>'Weather Analysis'!S14</f>
        <v>4</v>
      </c>
      <c r="D94" s="338">
        <f>'Weather Analysis'!S34</f>
        <v>71</v>
      </c>
      <c r="E94" s="339">
        <v>31</v>
      </c>
      <c r="F94" s="340">
        <v>0</v>
      </c>
      <c r="G94" s="340">
        <f>'[6]Customer Numbers'!J47</f>
        <v>15587</v>
      </c>
      <c r="H94" s="339">
        <f t="shared" si="8"/>
        <v>19320867.151061129</v>
      </c>
      <c r="I94" s="10">
        <f t="shared" si="6"/>
        <v>-132105.94893887267</v>
      </c>
      <c r="J94" s="161">
        <f t="shared" si="7"/>
        <v>6.7910415677731369E-3</v>
      </c>
    </row>
    <row r="95" spans="1:10" x14ac:dyDescent="0.2">
      <c r="A95" s="336">
        <v>41852</v>
      </c>
      <c r="B95" s="337">
        <v>19828414.199999999</v>
      </c>
      <c r="C95" s="342">
        <f>'Weather Analysis'!S15</f>
        <v>8.7999999999999989</v>
      </c>
      <c r="D95" s="338">
        <f>'Weather Analysis'!S35</f>
        <v>81.799999999999983</v>
      </c>
      <c r="E95" s="339">
        <v>31</v>
      </c>
      <c r="F95" s="340">
        <v>0</v>
      </c>
      <c r="G95" s="340">
        <f>'[6]Customer Numbers'!J48</f>
        <v>15628</v>
      </c>
      <c r="H95" s="339">
        <f t="shared" si="8"/>
        <v>19761866.785286281</v>
      </c>
      <c r="I95" s="10">
        <f t="shared" si="6"/>
        <v>-66547.414713717997</v>
      </c>
      <c r="J95" s="161">
        <f t="shared" si="7"/>
        <v>3.3561642420056972E-3</v>
      </c>
    </row>
    <row r="96" spans="1:10" x14ac:dyDescent="0.2">
      <c r="A96" s="336">
        <v>41883</v>
      </c>
      <c r="B96" s="337">
        <v>17976813.599999998</v>
      </c>
      <c r="C96" s="342">
        <f>'Weather Analysis'!S16</f>
        <v>69.700000000000017</v>
      </c>
      <c r="D96" s="338">
        <f>'Weather Analysis'!S36</f>
        <v>30.099999999999998</v>
      </c>
      <c r="E96" s="339">
        <v>30</v>
      </c>
      <c r="F96" s="340">
        <v>1</v>
      </c>
      <c r="G96" s="340">
        <f>'[6]Customer Numbers'!J49</f>
        <v>15648</v>
      </c>
      <c r="H96" s="339">
        <f t="shared" si="8"/>
        <v>17255339.680443473</v>
      </c>
      <c r="I96" s="10">
        <f t="shared" si="6"/>
        <v>-721473.9195565246</v>
      </c>
      <c r="J96" s="161">
        <f t="shared" si="7"/>
        <v>4.0133581824340923E-2</v>
      </c>
    </row>
    <row r="97" spans="1:12" x14ac:dyDescent="0.2">
      <c r="A97" s="336">
        <v>41913</v>
      </c>
      <c r="B97" s="337">
        <v>19058731</v>
      </c>
      <c r="C97" s="342">
        <f>'Weather Analysis'!S17</f>
        <v>224.30000000000004</v>
      </c>
      <c r="D97" s="338">
        <f>'Weather Analysis'!S37</f>
        <v>1.3</v>
      </c>
      <c r="E97" s="339">
        <v>31</v>
      </c>
      <c r="F97" s="340">
        <v>1</v>
      </c>
      <c r="G97" s="340">
        <f>'[6]Customer Numbers'!J50</f>
        <v>15688</v>
      </c>
      <c r="H97" s="339">
        <f t="shared" si="8"/>
        <v>18969300.360676873</v>
      </c>
      <c r="I97" s="10">
        <f t="shared" si="6"/>
        <v>-89430.639323126525</v>
      </c>
      <c r="J97" s="161">
        <f t="shared" si="7"/>
        <v>4.692371140718998E-3</v>
      </c>
    </row>
    <row r="98" spans="1:12" x14ac:dyDescent="0.2">
      <c r="A98" s="336">
        <v>41944</v>
      </c>
      <c r="B98" s="337">
        <v>22053998.800000001</v>
      </c>
      <c r="C98" s="342">
        <f>'Weather Analysis'!S18</f>
        <v>482.1</v>
      </c>
      <c r="D98" s="338">
        <f>'Weather Analysis'!S38</f>
        <v>0</v>
      </c>
      <c r="E98" s="339">
        <v>30</v>
      </c>
      <c r="F98" s="340">
        <v>1</v>
      </c>
      <c r="G98" s="340">
        <f>'[6]Customer Numbers'!J51</f>
        <v>15720</v>
      </c>
      <c r="H98" s="339">
        <f t="shared" si="8"/>
        <v>21632858.452037241</v>
      </c>
      <c r="I98" s="10">
        <f t="shared" si="6"/>
        <v>-421140.34796275944</v>
      </c>
      <c r="J98" s="161">
        <f t="shared" si="7"/>
        <v>1.909587244390162E-2</v>
      </c>
    </row>
    <row r="99" spans="1:12" x14ac:dyDescent="0.2">
      <c r="A99" s="336">
        <v>41974</v>
      </c>
      <c r="B99" s="337">
        <v>24252933.800000001</v>
      </c>
      <c r="C99" s="342">
        <f>'Weather Analysis'!S19</f>
        <v>557.29999999999995</v>
      </c>
      <c r="D99" s="338">
        <f>'Weather Analysis'!S39</f>
        <v>0</v>
      </c>
      <c r="E99" s="339">
        <v>31</v>
      </c>
      <c r="F99" s="340">
        <v>0</v>
      </c>
      <c r="G99" s="340">
        <f>'[6]Customer Numbers'!J52</f>
        <v>15775</v>
      </c>
      <c r="H99" s="339">
        <f t="shared" si="8"/>
        <v>24226451.152024303</v>
      </c>
      <c r="I99" s="10">
        <f t="shared" si="6"/>
        <v>-26482.647975698113</v>
      </c>
      <c r="J99" s="161">
        <f t="shared" si="7"/>
        <v>1.0919358537851661E-3</v>
      </c>
    </row>
    <row r="100" spans="1:12" x14ac:dyDescent="0.2">
      <c r="A100" s="336">
        <v>42005</v>
      </c>
      <c r="B100" s="337">
        <v>26957597.760000002</v>
      </c>
      <c r="C100" s="342">
        <f>'Weather Analysis'!T8</f>
        <v>792.39999999999975</v>
      </c>
      <c r="D100" s="338">
        <f>'Weather Analysis'!T28</f>
        <v>0</v>
      </c>
      <c r="E100" s="341">
        <v>31</v>
      </c>
      <c r="F100" s="340">
        <v>0</v>
      </c>
      <c r="G100" s="343">
        <f>'[6]Customer Numbers'!J60</f>
        <v>15793</v>
      </c>
      <c r="H100" s="339">
        <f t="shared" si="8"/>
        <v>27278710.861230992</v>
      </c>
      <c r="I100" s="10">
        <f t="shared" si="6"/>
        <v>321113.10123099014</v>
      </c>
      <c r="J100" s="161">
        <f t="shared" si="7"/>
        <v>1.1911784725397955E-2</v>
      </c>
    </row>
    <row r="101" spans="1:12" x14ac:dyDescent="0.2">
      <c r="A101" s="336">
        <v>42036</v>
      </c>
      <c r="B101" s="337">
        <v>25654360.289999999</v>
      </c>
      <c r="C101" s="342">
        <f>'Weather Analysis'!T9</f>
        <v>856.8</v>
      </c>
      <c r="D101" s="338">
        <f>'Weather Analysis'!T29</f>
        <v>0</v>
      </c>
      <c r="E101" s="341">
        <v>28</v>
      </c>
      <c r="F101" s="340">
        <v>0</v>
      </c>
      <c r="G101" s="343">
        <f>'[6]Customer Numbers'!J61</f>
        <v>15802</v>
      </c>
      <c r="H101" s="339">
        <f t="shared" si="8"/>
        <v>26177012.896353491</v>
      </c>
      <c r="I101" s="10">
        <f t="shared" si="6"/>
        <v>522652.60635349154</v>
      </c>
      <c r="J101" s="161">
        <f t="shared" si="7"/>
        <v>2.0372856716962071E-2</v>
      </c>
    </row>
    <row r="102" spans="1:12" x14ac:dyDescent="0.2">
      <c r="A102" s="336">
        <v>42064</v>
      </c>
      <c r="B102" s="337">
        <v>23473380.280000001</v>
      </c>
      <c r="C102" s="342">
        <f>'Weather Analysis'!T10</f>
        <v>615.49999999999989</v>
      </c>
      <c r="D102" s="338">
        <f>'Weather Analysis'!T30</f>
        <v>0</v>
      </c>
      <c r="E102" s="341">
        <v>31</v>
      </c>
      <c r="F102" s="340">
        <v>1</v>
      </c>
      <c r="G102" s="343">
        <f>'[6]Customer Numbers'!J62</f>
        <v>15826</v>
      </c>
      <c r="H102" s="339">
        <f t="shared" si="8"/>
        <v>24060514.601478226</v>
      </c>
      <c r="I102" s="10">
        <f t="shared" si="6"/>
        <v>587134.32147822529</v>
      </c>
      <c r="J102" s="161">
        <f t="shared" si="7"/>
        <v>2.5012772531039371E-2</v>
      </c>
    </row>
    <row r="103" spans="1:12" x14ac:dyDescent="0.2">
      <c r="A103" s="336">
        <v>42095</v>
      </c>
      <c r="B103" s="337">
        <v>18844476.52</v>
      </c>
      <c r="C103" s="342">
        <f>'Weather Analysis'!T11</f>
        <v>313.7</v>
      </c>
      <c r="D103" s="338">
        <f>'Weather Analysis'!T31</f>
        <v>0</v>
      </c>
      <c r="E103" s="341">
        <v>30</v>
      </c>
      <c r="F103" s="340">
        <v>1</v>
      </c>
      <c r="G103" s="343">
        <f>'[6]Customer Numbers'!J63</f>
        <v>15843</v>
      </c>
      <c r="H103" s="339">
        <f t="shared" si="8"/>
        <v>19516243.266070835</v>
      </c>
      <c r="I103" s="10">
        <f t="shared" si="6"/>
        <v>671766.74607083574</v>
      </c>
      <c r="J103" s="161">
        <f t="shared" si="7"/>
        <v>3.5647938819519713E-2</v>
      </c>
    </row>
    <row r="104" spans="1:12" x14ac:dyDescent="0.2">
      <c r="A104" s="336">
        <v>42125</v>
      </c>
      <c r="B104" s="337">
        <v>18113892.379999999</v>
      </c>
      <c r="C104" s="342">
        <f>'Weather Analysis'!T12</f>
        <v>89.3</v>
      </c>
      <c r="D104" s="338">
        <f>'Weather Analysis'!T32</f>
        <v>34.1</v>
      </c>
      <c r="E104" s="341">
        <v>31</v>
      </c>
      <c r="F104" s="340">
        <v>1</v>
      </c>
      <c r="G104" s="343">
        <f>'[6]Customer Numbers'!J64</f>
        <v>15856</v>
      </c>
      <c r="H104" s="339">
        <f t="shared" si="8"/>
        <v>18394863.908725221</v>
      </c>
      <c r="I104" s="10">
        <f t="shared" ref="I104:I123" si="9">H104-B104</f>
        <v>280971.52872522175</v>
      </c>
      <c r="J104" s="161">
        <f t="shared" ref="J104:J123" si="10">ABS(I104/B104)</f>
        <v>1.5511383353223929E-2</v>
      </c>
    </row>
    <row r="105" spans="1:12" x14ac:dyDescent="0.2">
      <c r="A105" s="336">
        <v>42156</v>
      </c>
      <c r="B105" s="337">
        <v>18210408.52</v>
      </c>
      <c r="C105" s="342">
        <f>'Weather Analysis'!T13</f>
        <v>33.800000000000004</v>
      </c>
      <c r="D105" s="338">
        <f>'Weather Analysis'!T33</f>
        <v>32.299999999999997</v>
      </c>
      <c r="E105" s="341">
        <v>30</v>
      </c>
      <c r="F105" s="340">
        <v>0</v>
      </c>
      <c r="G105" s="343">
        <f>'[6]Customer Numbers'!J65</f>
        <v>15883</v>
      </c>
      <c r="H105" s="339">
        <f t="shared" si="8"/>
        <v>17929482.397863306</v>
      </c>
      <c r="I105" s="10">
        <f t="shared" si="9"/>
        <v>-280926.12213669345</v>
      </c>
      <c r="J105" s="161">
        <f t="shared" si="10"/>
        <v>1.5426678749582135E-2</v>
      </c>
    </row>
    <row r="106" spans="1:12" x14ac:dyDescent="0.2">
      <c r="A106" s="336">
        <v>42186</v>
      </c>
      <c r="B106" s="337">
        <v>21783993.609999999</v>
      </c>
      <c r="C106" s="342">
        <f>'Weather Analysis'!T14</f>
        <v>4</v>
      </c>
      <c r="D106" s="338">
        <f>'Weather Analysis'!T34</f>
        <v>114.29999999999998</v>
      </c>
      <c r="E106" s="341">
        <v>31</v>
      </c>
      <c r="F106" s="340">
        <v>0</v>
      </c>
      <c r="G106" s="343">
        <f>'[6]Customer Numbers'!J66</f>
        <v>15881</v>
      </c>
      <c r="H106" s="339">
        <f t="shared" si="8"/>
        <v>20906331.428400263</v>
      </c>
      <c r="I106" s="10">
        <f t="shared" si="9"/>
        <v>-877662.18159973621</v>
      </c>
      <c r="J106" s="161">
        <f t="shared" si="10"/>
        <v>4.0289315049966003E-2</v>
      </c>
    </row>
    <row r="107" spans="1:12" x14ac:dyDescent="0.2">
      <c r="A107" s="336">
        <v>42217</v>
      </c>
      <c r="B107" s="337">
        <v>20815474.270000003</v>
      </c>
      <c r="C107" s="342">
        <f>'Weather Analysis'!T15</f>
        <v>4.4000000000000004</v>
      </c>
      <c r="D107" s="338">
        <f>'Weather Analysis'!T35</f>
        <v>88.6</v>
      </c>
      <c r="E107" s="341">
        <v>31</v>
      </c>
      <c r="F107" s="340">
        <v>0</v>
      </c>
      <c r="G107" s="343">
        <f>'[6]Customer Numbers'!J67</f>
        <v>15970</v>
      </c>
      <c r="H107" s="339">
        <f t="shared" si="8"/>
        <v>20105614.102787629</v>
      </c>
      <c r="I107" s="10">
        <f t="shared" si="9"/>
        <v>-709860.16721237451</v>
      </c>
      <c r="J107" s="161">
        <f t="shared" si="10"/>
        <v>3.4102521902921526E-2</v>
      </c>
    </row>
    <row r="108" spans="1:12" x14ac:dyDescent="0.2">
      <c r="A108" s="336">
        <v>42248</v>
      </c>
      <c r="B108" s="337">
        <v>19854447.340000004</v>
      </c>
      <c r="C108" s="342">
        <f>'Weather Analysis'!T16</f>
        <v>31.099999999999994</v>
      </c>
      <c r="D108" s="338">
        <f>'Weather Analysis'!T36</f>
        <v>81.900000000000006</v>
      </c>
      <c r="E108" s="341">
        <v>30</v>
      </c>
      <c r="F108" s="340">
        <v>1</v>
      </c>
      <c r="G108" s="343">
        <f>'[6]Customer Numbers'!J68</f>
        <v>16005</v>
      </c>
      <c r="H108" s="339">
        <f t="shared" si="8"/>
        <v>18655128.279157951</v>
      </c>
      <c r="I108" s="10">
        <f t="shared" si="9"/>
        <v>-1199319.0608420521</v>
      </c>
      <c r="J108" s="161">
        <f t="shared" si="10"/>
        <v>6.0405562557555019E-2</v>
      </c>
    </row>
    <row r="109" spans="1:12" x14ac:dyDescent="0.2">
      <c r="A109" s="336">
        <v>42278</v>
      </c>
      <c r="B109" s="337">
        <v>19438981.529999997</v>
      </c>
      <c r="C109" s="342">
        <f>'Weather Analysis'!T17</f>
        <v>249.8</v>
      </c>
      <c r="D109" s="338">
        <f>'Weather Analysis'!T37</f>
        <v>0</v>
      </c>
      <c r="E109" s="341">
        <v>31</v>
      </c>
      <c r="F109" s="340">
        <v>1</v>
      </c>
      <c r="G109" s="343">
        <f>'[6]Customer Numbers'!J69</f>
        <v>16050</v>
      </c>
      <c r="H109" s="339">
        <f t="shared" si="8"/>
        <v>19441933.258017167</v>
      </c>
      <c r="I109" s="10">
        <f t="shared" si="9"/>
        <v>2951.7280171699822</v>
      </c>
      <c r="J109" s="161">
        <f t="shared" si="10"/>
        <v>1.5184581623345895E-4</v>
      </c>
    </row>
    <row r="110" spans="1:12" x14ac:dyDescent="0.2">
      <c r="A110" s="336">
        <v>42309</v>
      </c>
      <c r="B110" s="337">
        <v>20136180.119999997</v>
      </c>
      <c r="C110" s="342">
        <f>'Weather Analysis'!T18</f>
        <v>345</v>
      </c>
      <c r="D110" s="338">
        <f>'Weather Analysis'!T38</f>
        <v>0</v>
      </c>
      <c r="E110" s="341">
        <v>30</v>
      </c>
      <c r="F110" s="340">
        <v>1</v>
      </c>
      <c r="G110" s="343">
        <f>'[6]Customer Numbers'!J70</f>
        <v>16127</v>
      </c>
      <c r="H110" s="339">
        <f t="shared" si="8"/>
        <v>20067021.494037863</v>
      </c>
      <c r="I110" s="10">
        <f t="shared" si="9"/>
        <v>-69158.625962134451</v>
      </c>
      <c r="J110" s="161">
        <f t="shared" si="10"/>
        <v>3.4345454574794725E-3</v>
      </c>
    </row>
    <row r="111" spans="1:12" x14ac:dyDescent="0.2">
      <c r="A111" s="336">
        <v>42339</v>
      </c>
      <c r="B111" s="337">
        <v>22491790.48</v>
      </c>
      <c r="C111" s="342">
        <f>'Weather Analysis'!T19</f>
        <v>429.70000000000005</v>
      </c>
      <c r="D111" s="338">
        <f>'Weather Analysis'!T39</f>
        <v>0</v>
      </c>
      <c r="E111" s="341">
        <v>31</v>
      </c>
      <c r="F111" s="340">
        <v>0</v>
      </c>
      <c r="G111" s="343">
        <f>'[6]Customer Numbers'!J71</f>
        <v>16168</v>
      </c>
      <c r="H111" s="339">
        <f t="shared" si="8"/>
        <v>22776398.233953949</v>
      </c>
      <c r="I111" s="10">
        <f t="shared" si="9"/>
        <v>284607.75395394862</v>
      </c>
      <c r="J111" s="161">
        <f t="shared" si="10"/>
        <v>1.2653850488560509E-2</v>
      </c>
      <c r="L111" s="47"/>
    </row>
    <row r="112" spans="1:12" x14ac:dyDescent="0.2">
      <c r="A112" s="336">
        <v>42370</v>
      </c>
      <c r="B112" s="337">
        <v>25159552</v>
      </c>
      <c r="C112" s="342">
        <v>670.4</v>
      </c>
      <c r="D112" s="338">
        <v>0</v>
      </c>
      <c r="E112" s="339">
        <v>31</v>
      </c>
      <c r="F112" s="340">
        <v>0</v>
      </c>
      <c r="G112" s="343">
        <f>'[7]Mthly Stats'!L55+'[7]Mthly Stats'!M55+'[7]Mthly Stats'!O55</f>
        <v>16197</v>
      </c>
      <c r="H112" s="339">
        <f t="shared" si="8"/>
        <v>25906783.008542545</v>
      </c>
      <c r="I112" s="10">
        <f t="shared" si="9"/>
        <v>747231.00854254514</v>
      </c>
      <c r="J112" s="161">
        <f t="shared" si="10"/>
        <v>2.9699694515329413E-2</v>
      </c>
    </row>
    <row r="113" spans="1:11" x14ac:dyDescent="0.2">
      <c r="A113" s="336">
        <v>42401</v>
      </c>
      <c r="B113" s="337">
        <v>23014941</v>
      </c>
      <c r="C113" s="342">
        <v>588.4</v>
      </c>
      <c r="D113" s="338">
        <v>0</v>
      </c>
      <c r="E113" s="339">
        <v>29</v>
      </c>
      <c r="F113" s="340">
        <v>0</v>
      </c>
      <c r="G113" s="343">
        <f>'[7]Mthly Stats'!L56+'[7]Mthly Stats'!M56+'[7]Mthly Stats'!O56</f>
        <v>16212</v>
      </c>
      <c r="H113" s="339">
        <f t="shared" si="8"/>
        <v>23559852.325090196</v>
      </c>
      <c r="I113" s="10">
        <f t="shared" si="9"/>
        <v>544911.32509019598</v>
      </c>
      <c r="J113" s="161">
        <f t="shared" si="10"/>
        <v>2.3676416337117527E-2</v>
      </c>
    </row>
    <row r="114" spans="1:11" x14ac:dyDescent="0.2">
      <c r="A114" s="336">
        <v>42430</v>
      </c>
      <c r="B114" s="337">
        <v>21970551</v>
      </c>
      <c r="C114" s="342">
        <v>476.0999999999998</v>
      </c>
      <c r="D114" s="338">
        <v>0</v>
      </c>
      <c r="E114" s="339">
        <v>31</v>
      </c>
      <c r="F114" s="340">
        <v>1</v>
      </c>
      <c r="G114" s="343">
        <f>'[7]Mthly Stats'!L57+'[7]Mthly Stats'!M57+'[7]Mthly Stats'!O57</f>
        <v>16243</v>
      </c>
      <c r="H114" s="339">
        <f t="shared" si="8"/>
        <v>22470035.826418996</v>
      </c>
      <c r="I114" s="10">
        <f t="shared" si="9"/>
        <v>499484.82641899586</v>
      </c>
      <c r="J114" s="161">
        <f t="shared" si="10"/>
        <v>2.2734287657100446E-2</v>
      </c>
    </row>
    <row r="115" spans="1:11" x14ac:dyDescent="0.2">
      <c r="A115" s="336">
        <v>42461</v>
      </c>
      <c r="B115" s="337">
        <v>19763963</v>
      </c>
      <c r="C115" s="342">
        <v>394.8</v>
      </c>
      <c r="D115" s="338">
        <v>0</v>
      </c>
      <c r="E115" s="339">
        <v>30</v>
      </c>
      <c r="F115" s="340">
        <v>1</v>
      </c>
      <c r="G115" s="343">
        <f>'[7]Mthly Stats'!L58+'[7]Mthly Stats'!M58+'[7]Mthly Stats'!O58</f>
        <v>16249</v>
      </c>
      <c r="H115" s="339">
        <f t="shared" si="8"/>
        <v>20774176.154264759</v>
      </c>
      <c r="I115" s="10">
        <f t="shared" si="9"/>
        <v>1010213.1542647593</v>
      </c>
      <c r="J115" s="161">
        <f t="shared" si="10"/>
        <v>5.1113896249692398E-2</v>
      </c>
    </row>
    <row r="116" spans="1:11" x14ac:dyDescent="0.2">
      <c r="A116" s="336">
        <v>42491</v>
      </c>
      <c r="B116" s="337">
        <v>18836973</v>
      </c>
      <c r="C116" s="342">
        <v>142.50000000000003</v>
      </c>
      <c r="D116" s="338">
        <v>36.9</v>
      </c>
      <c r="E116" s="339">
        <v>31</v>
      </c>
      <c r="F116" s="340">
        <v>1</v>
      </c>
      <c r="G116" s="343">
        <f>'[7]Mthly Stats'!L59+'[7]Mthly Stats'!M59+'[7]Mthly Stats'!O59</f>
        <v>16261</v>
      </c>
      <c r="H116" s="339">
        <f t="shared" si="8"/>
        <v>19383933.372454755</v>
      </c>
      <c r="I116" s="10">
        <f t="shared" si="9"/>
        <v>546960.37245475501</v>
      </c>
      <c r="J116" s="161">
        <f t="shared" si="10"/>
        <v>2.9036532167602248E-2</v>
      </c>
    </row>
    <row r="117" spans="1:11" x14ac:dyDescent="0.2">
      <c r="A117" s="336">
        <v>42522</v>
      </c>
      <c r="B117" s="337">
        <v>19211234</v>
      </c>
      <c r="C117" s="342">
        <v>24.200000000000003</v>
      </c>
      <c r="D117" s="338">
        <v>83.7</v>
      </c>
      <c r="E117" s="339">
        <v>30</v>
      </c>
      <c r="F117" s="340">
        <v>0</v>
      </c>
      <c r="G117" s="343">
        <f>'[7]Mthly Stats'!L60+'[7]Mthly Stats'!M60+'[7]Mthly Stats'!O60</f>
        <v>16269</v>
      </c>
      <c r="H117" s="339">
        <f t="shared" si="8"/>
        <v>19706252.672293782</v>
      </c>
      <c r="I117" s="10">
        <f t="shared" si="9"/>
        <v>495018.67229378223</v>
      </c>
      <c r="J117" s="161">
        <f t="shared" si="10"/>
        <v>2.5767146050783736E-2</v>
      </c>
      <c r="K117" s="47"/>
    </row>
    <row r="118" spans="1:11" x14ac:dyDescent="0.2">
      <c r="A118" s="336">
        <v>42552</v>
      </c>
      <c r="B118" s="337">
        <v>23404500</v>
      </c>
      <c r="C118" s="342">
        <v>0</v>
      </c>
      <c r="D118" s="338">
        <v>176.89999999999998</v>
      </c>
      <c r="E118" s="339">
        <v>31</v>
      </c>
      <c r="F118" s="340">
        <v>0</v>
      </c>
      <c r="G118" s="343">
        <f>'[7]Mthly Stats'!L61+'[7]Mthly Stats'!M61+'[7]Mthly Stats'!O61</f>
        <v>16281</v>
      </c>
      <c r="H118" s="339">
        <f t="shared" si="8"/>
        <v>23133863.130782846</v>
      </c>
      <c r="I118" s="10">
        <f t="shared" si="9"/>
        <v>-270636.86921715364</v>
      </c>
      <c r="J118" s="161">
        <f t="shared" si="10"/>
        <v>1.1563454430436611E-2</v>
      </c>
    </row>
    <row r="119" spans="1:11" x14ac:dyDescent="0.2">
      <c r="A119" s="336">
        <v>42583</v>
      </c>
      <c r="B119" s="337">
        <v>24564804</v>
      </c>
      <c r="C119" s="342">
        <v>0</v>
      </c>
      <c r="D119" s="338">
        <v>195.4</v>
      </c>
      <c r="E119" s="339">
        <v>31</v>
      </c>
      <c r="F119" s="340">
        <v>0</v>
      </c>
      <c r="G119" s="343">
        <f>'[7]Mthly Stats'!L62+'[7]Mthly Stats'!M62+'[7]Mthly Stats'!O62</f>
        <v>16292</v>
      </c>
      <c r="H119" s="339">
        <f t="shared" si="8"/>
        <v>23752478.454727016</v>
      </c>
      <c r="I119" s="10">
        <f t="shared" si="9"/>
        <v>-812325.54527298361</v>
      </c>
      <c r="J119" s="161">
        <f t="shared" si="10"/>
        <v>3.3068676032301486E-2</v>
      </c>
    </row>
    <row r="120" spans="1:11" x14ac:dyDescent="0.2">
      <c r="A120" s="336">
        <v>42614</v>
      </c>
      <c r="B120" s="337">
        <v>19239594</v>
      </c>
      <c r="C120" s="342">
        <v>25.900000000000006</v>
      </c>
      <c r="D120" s="338">
        <v>69.400000000000006</v>
      </c>
      <c r="E120" s="339">
        <v>30</v>
      </c>
      <c r="F120" s="340">
        <v>1</v>
      </c>
      <c r="G120" s="343">
        <f>'[7]Mthly Stats'!L63+'[7]Mthly Stats'!M63+'[7]Mthly Stats'!O63</f>
        <v>16323</v>
      </c>
      <c r="H120" s="339">
        <f t="shared" si="8"/>
        <v>18336731.58930409</v>
      </c>
      <c r="I120" s="10">
        <f t="shared" si="9"/>
        <v>-902862.41069591045</v>
      </c>
      <c r="J120" s="161">
        <f t="shared" si="10"/>
        <v>4.6927310976308048E-2</v>
      </c>
    </row>
    <row r="121" spans="1:11" x14ac:dyDescent="0.2">
      <c r="A121" s="336">
        <v>42644</v>
      </c>
      <c r="B121" s="337">
        <v>19360398</v>
      </c>
      <c r="C121" s="342">
        <v>194.20000000000002</v>
      </c>
      <c r="D121" s="338">
        <v>4.0999999999999996</v>
      </c>
      <c r="E121" s="339">
        <v>31</v>
      </c>
      <c r="F121" s="340">
        <v>1</v>
      </c>
      <c r="G121" s="343">
        <f>'[7]Mthly Stats'!L64+'[7]Mthly Stats'!M64+'[7]Mthly Stats'!O64</f>
        <v>16370</v>
      </c>
      <c r="H121" s="339">
        <f t="shared" si="8"/>
        <v>19022227.340968672</v>
      </c>
      <c r="I121" s="10">
        <f t="shared" si="9"/>
        <v>-338170.65903132781</v>
      </c>
      <c r="J121" s="161">
        <f t="shared" si="10"/>
        <v>1.7467133631825536E-2</v>
      </c>
    </row>
    <row r="122" spans="1:11" x14ac:dyDescent="0.2">
      <c r="A122" s="336">
        <v>42675</v>
      </c>
      <c r="B122" s="337">
        <v>20317470</v>
      </c>
      <c r="C122" s="342">
        <v>337.80000000000007</v>
      </c>
      <c r="D122" s="338">
        <v>0</v>
      </c>
      <c r="E122" s="339">
        <v>30</v>
      </c>
      <c r="F122" s="340">
        <v>1</v>
      </c>
      <c r="G122" s="343">
        <f>'[7]Mthly Stats'!L65+'[7]Mthly Stats'!M65+'[7]Mthly Stats'!O65</f>
        <v>16399</v>
      </c>
      <c r="H122" s="339">
        <f t="shared" si="8"/>
        <v>20113319.016039368</v>
      </c>
      <c r="I122" s="10">
        <f t="shared" si="9"/>
        <v>-204150.98396063223</v>
      </c>
      <c r="J122" s="161">
        <f t="shared" si="10"/>
        <v>1.0048051453287847E-2</v>
      </c>
    </row>
    <row r="123" spans="1:11" x14ac:dyDescent="0.2">
      <c r="A123" s="336">
        <v>42705</v>
      </c>
      <c r="B123" s="337">
        <v>24538056</v>
      </c>
      <c r="C123" s="342">
        <v>607.99999999999989</v>
      </c>
      <c r="D123" s="338">
        <v>0</v>
      </c>
      <c r="E123" s="339">
        <v>31</v>
      </c>
      <c r="F123" s="340">
        <v>0</v>
      </c>
      <c r="G123" s="343">
        <f>'[7]Mthly Stats'!L66+'[7]Mthly Stats'!M66+'[7]Mthly Stats'!O66</f>
        <v>16425</v>
      </c>
      <c r="H123" s="339">
        <f t="shared" si="8"/>
        <v>25216031.818334304</v>
      </c>
      <c r="I123" s="10">
        <f t="shared" si="9"/>
        <v>677975.8183343038</v>
      </c>
      <c r="J123" s="161">
        <f t="shared" si="10"/>
        <v>2.7629565208193502E-2</v>
      </c>
    </row>
    <row r="124" spans="1:11" x14ac:dyDescent="0.2">
      <c r="A124" s="336">
        <v>42736</v>
      </c>
      <c r="B124" s="337"/>
      <c r="C124" s="342">
        <f t="shared" ref="C124:D135" si="11">(C3+C15+C27+C39+C51+C63+C75+C88+C100+C112)/10</f>
        <v>712.03</v>
      </c>
      <c r="D124" s="342">
        <f t="shared" si="11"/>
        <v>0</v>
      </c>
      <c r="E124" s="339">
        <v>31</v>
      </c>
      <c r="F124" s="340">
        <v>0</v>
      </c>
      <c r="G124" s="343">
        <f>G123+'Rate Class Customer Model'!$L$13</f>
        <v>16463.769230769238</v>
      </c>
      <c r="H124" s="339">
        <f t="shared" si="8"/>
        <v>26582431.572093934</v>
      </c>
      <c r="I124"/>
      <c r="J124" s="5">
        <f>AVERAGE(J3:J123)</f>
        <v>2.1339846645501145E-2</v>
      </c>
    </row>
    <row r="125" spans="1:11" x14ac:dyDescent="0.2">
      <c r="A125" s="336">
        <v>42767</v>
      </c>
      <c r="B125" s="337"/>
      <c r="C125" s="342">
        <f t="shared" si="11"/>
        <v>661.92</v>
      </c>
      <c r="D125" s="342">
        <f t="shared" si="11"/>
        <v>0</v>
      </c>
      <c r="E125" s="339">
        <v>28</v>
      </c>
      <c r="F125" s="340">
        <v>0</v>
      </c>
      <c r="G125" s="343">
        <f>G124+'Rate Class Customer Model'!$L$13</f>
        <v>16502.538461538476</v>
      </c>
      <c r="H125" s="339">
        <f t="shared" si="8"/>
        <v>24013834.358982824</v>
      </c>
      <c r="I125"/>
      <c r="J125"/>
    </row>
    <row r="126" spans="1:11" x14ac:dyDescent="0.2">
      <c r="A126" s="336">
        <v>42795</v>
      </c>
      <c r="B126" s="337"/>
      <c r="C126" s="342">
        <f t="shared" si="11"/>
        <v>537.27</v>
      </c>
      <c r="D126" s="342">
        <f t="shared" si="11"/>
        <v>0.02</v>
      </c>
      <c r="E126" s="339">
        <v>31</v>
      </c>
      <c r="F126" s="340">
        <v>1</v>
      </c>
      <c r="G126" s="343">
        <f>G125+'Rate Class Customer Model'!$L$13</f>
        <v>16541.307692307713</v>
      </c>
      <c r="H126" s="339">
        <f t="shared" si="8"/>
        <v>23415438.060869474</v>
      </c>
      <c r="I126"/>
      <c r="J126"/>
    </row>
    <row r="127" spans="1:11" x14ac:dyDescent="0.2">
      <c r="A127" s="336">
        <v>42826</v>
      </c>
      <c r="B127" s="337"/>
      <c r="C127" s="342">
        <f t="shared" si="11"/>
        <v>321.91999999999996</v>
      </c>
      <c r="D127" s="342">
        <f t="shared" si="11"/>
        <v>0.12</v>
      </c>
      <c r="E127" s="339">
        <v>30</v>
      </c>
      <c r="F127" s="340">
        <v>1</v>
      </c>
      <c r="G127" s="343">
        <f>G126+'Rate Class Customer Model'!$L$13</f>
        <v>16580.076923076951</v>
      </c>
      <c r="H127" s="339">
        <f t="shared" si="8"/>
        <v>20004614.045456517</v>
      </c>
      <c r="I127"/>
      <c r="J127"/>
    </row>
    <row r="128" spans="1:11" x14ac:dyDescent="0.2">
      <c r="A128" s="336">
        <v>42856</v>
      </c>
      <c r="B128" s="337"/>
      <c r="C128" s="342">
        <f t="shared" si="11"/>
        <v>128.44</v>
      </c>
      <c r="D128" s="342">
        <f t="shared" si="11"/>
        <v>23.32</v>
      </c>
      <c r="E128" s="339">
        <v>31</v>
      </c>
      <c r="F128" s="340">
        <v>1</v>
      </c>
      <c r="G128" s="343">
        <f>G127+'Rate Class Customer Model'!$L$13</f>
        <v>16618.846153846189</v>
      </c>
      <c r="H128" s="339">
        <f t="shared" si="8"/>
        <v>18935506.887496494</v>
      </c>
      <c r="I128"/>
      <c r="J128"/>
    </row>
    <row r="129" spans="1:10" x14ac:dyDescent="0.2">
      <c r="A129" s="336">
        <v>42887</v>
      </c>
      <c r="B129" s="337"/>
      <c r="C129" s="342">
        <f t="shared" si="11"/>
        <v>25.75</v>
      </c>
      <c r="D129" s="342">
        <f t="shared" si="11"/>
        <v>66.11</v>
      </c>
      <c r="E129" s="339">
        <v>30</v>
      </c>
      <c r="F129" s="340">
        <v>0</v>
      </c>
      <c r="G129" s="343">
        <f>G128+'Rate Class Customer Model'!$L$13</f>
        <v>16657.615384615427</v>
      </c>
      <c r="H129" s="339">
        <f t="shared" si="8"/>
        <v>19342788.255701784</v>
      </c>
      <c r="I129"/>
      <c r="J129"/>
    </row>
    <row r="130" spans="1:10" x14ac:dyDescent="0.2">
      <c r="A130" s="336">
        <v>42917</v>
      </c>
      <c r="B130" s="337"/>
      <c r="C130" s="342">
        <f t="shared" si="11"/>
        <v>2.15</v>
      </c>
      <c r="D130" s="342">
        <f t="shared" si="11"/>
        <v>130.26</v>
      </c>
      <c r="E130" s="339">
        <v>31</v>
      </c>
      <c r="F130" s="340">
        <v>0</v>
      </c>
      <c r="G130" s="343">
        <f>G129+'Rate Class Customer Model'!$L$13</f>
        <v>16696.384615384664</v>
      </c>
      <c r="H130" s="339">
        <f t="shared" si="8"/>
        <v>21829357.970246218</v>
      </c>
      <c r="I130"/>
      <c r="J130"/>
    </row>
    <row r="131" spans="1:10" x14ac:dyDescent="0.2">
      <c r="A131" s="336">
        <v>42948</v>
      </c>
      <c r="B131" s="337"/>
      <c r="C131" s="342">
        <f t="shared" si="11"/>
        <v>4.9399999999999995</v>
      </c>
      <c r="D131" s="342">
        <f t="shared" si="11"/>
        <v>112.87</v>
      </c>
      <c r="E131" s="339">
        <v>31</v>
      </c>
      <c r="F131" s="340">
        <v>0</v>
      </c>
      <c r="G131" s="343">
        <f>G130+'Rate Class Customer Model'!$L$13</f>
        <v>16735.153846153902</v>
      </c>
      <c r="H131" s="339">
        <f t="shared" si="8"/>
        <v>21309156.997071661</v>
      </c>
      <c r="I131"/>
      <c r="J131"/>
    </row>
    <row r="132" spans="1:10" x14ac:dyDescent="0.2">
      <c r="A132" s="336">
        <v>42979</v>
      </c>
      <c r="B132" s="337"/>
      <c r="C132" s="342">
        <f t="shared" si="11"/>
        <v>57.21</v>
      </c>
      <c r="D132" s="342">
        <f t="shared" si="11"/>
        <v>41.14</v>
      </c>
      <c r="E132" s="339">
        <v>30</v>
      </c>
      <c r="F132" s="340">
        <v>1</v>
      </c>
      <c r="G132" s="343">
        <f>G131+'Rate Class Customer Model'!$L$13</f>
        <v>16773.92307692314</v>
      </c>
      <c r="H132" s="339">
        <f t="shared" si="8"/>
        <v>18036883.810436718</v>
      </c>
      <c r="I132"/>
      <c r="J132"/>
    </row>
    <row r="133" spans="1:10" x14ac:dyDescent="0.2">
      <c r="A133" s="336">
        <v>43009</v>
      </c>
      <c r="B133" s="337"/>
      <c r="C133" s="342">
        <f t="shared" si="11"/>
        <v>230.05</v>
      </c>
      <c r="D133" s="342">
        <f t="shared" si="11"/>
        <v>2.91</v>
      </c>
      <c r="E133" s="339">
        <v>31</v>
      </c>
      <c r="F133" s="340">
        <v>1</v>
      </c>
      <c r="G133" s="343">
        <f>G132+'Rate Class Customer Model'!$L$13</f>
        <v>16812.692307692378</v>
      </c>
      <c r="H133" s="339">
        <f t="shared" si="8"/>
        <v>19673852.524323005</v>
      </c>
      <c r="I133"/>
      <c r="J133"/>
    </row>
    <row r="134" spans="1:10" x14ac:dyDescent="0.2">
      <c r="A134" s="336">
        <v>43040</v>
      </c>
      <c r="B134" s="337"/>
      <c r="C134" s="342">
        <f t="shared" si="11"/>
        <v>409.9799999999999</v>
      </c>
      <c r="D134" s="342">
        <f t="shared" si="11"/>
        <v>0</v>
      </c>
      <c r="E134" s="339">
        <v>30</v>
      </c>
      <c r="F134" s="340">
        <v>1</v>
      </c>
      <c r="G134" s="343">
        <f>G133+'Rate Class Customer Model'!$L$13</f>
        <v>16851.461538461615</v>
      </c>
      <c r="H134" s="339">
        <f t="shared" si="8"/>
        <v>21279622.532315072</v>
      </c>
      <c r="I134"/>
      <c r="J134"/>
    </row>
    <row r="135" spans="1:10" x14ac:dyDescent="0.2">
      <c r="A135" s="336">
        <v>43070</v>
      </c>
      <c r="B135" s="337"/>
      <c r="C135" s="342">
        <f t="shared" si="11"/>
        <v>594.31999999999994</v>
      </c>
      <c r="D135" s="342">
        <f t="shared" si="11"/>
        <v>0</v>
      </c>
      <c r="E135" s="339">
        <v>31</v>
      </c>
      <c r="F135" s="340">
        <v>0</v>
      </c>
      <c r="G135" s="343">
        <f>G134+'Rate Class Customer Model'!$L$13</f>
        <v>16890.230769230853</v>
      </c>
      <c r="H135" s="339">
        <f t="shared" si="8"/>
        <v>25277550.610435337</v>
      </c>
      <c r="I135"/>
      <c r="J135"/>
    </row>
    <row r="136" spans="1:10" x14ac:dyDescent="0.2">
      <c r="A136" s="3"/>
      <c r="C136" s="113"/>
      <c r="E136" s="10"/>
      <c r="F136" s="18"/>
      <c r="G136" s="152"/>
      <c r="H136" s="10"/>
      <c r="I136"/>
      <c r="J136"/>
    </row>
    <row r="137" spans="1:10" x14ac:dyDescent="0.2">
      <c r="A137" s="3"/>
      <c r="C137" s="113"/>
      <c r="D137" s="419" t="s">
        <v>60</v>
      </c>
      <c r="E137" s="419"/>
      <c r="F137" s="18"/>
      <c r="G137" s="18"/>
      <c r="H137" s="47">
        <f>SUM(H3:H136)</f>
        <v>2756015341.9254289</v>
      </c>
      <c r="I137" s="111"/>
      <c r="J137" s="112"/>
    </row>
    <row r="138" spans="1:10" x14ac:dyDescent="0.2">
      <c r="A138" s="3"/>
      <c r="I138" s="111"/>
      <c r="J138" s="112"/>
    </row>
    <row r="139" spans="1:10" x14ac:dyDescent="0.2">
      <c r="A139" s="3"/>
      <c r="I139" s="111"/>
      <c r="J139" s="420" t="s">
        <v>256</v>
      </c>
    </row>
    <row r="140" spans="1:10" x14ac:dyDescent="0.2">
      <c r="A140" s="3"/>
      <c r="I140" s="111" t="s">
        <v>60</v>
      </c>
      <c r="J140" s="420"/>
    </row>
    <row r="141" spans="1:10" x14ac:dyDescent="0.2">
      <c r="A141" s="17">
        <v>2007</v>
      </c>
      <c r="B141" s="27">
        <f>SUM(B3:B14)</f>
        <v>241154636.09999999</v>
      </c>
      <c r="C141" s="27"/>
      <c r="H141" s="27">
        <f>SUM(H3:H14)</f>
        <v>245109642.8152931</v>
      </c>
      <c r="I141" s="27">
        <f>'Purchased Power Model WN'!H140</f>
        <v>242713895.42730781</v>
      </c>
      <c r="J141" s="321">
        <f t="shared" ref="J141:J151" si="12">I141/H141</f>
        <v>0.99022581339327131</v>
      </c>
    </row>
    <row r="142" spans="1:10" x14ac:dyDescent="0.2">
      <c r="A142">
        <v>2008</v>
      </c>
      <c r="B142" s="27">
        <f>SUM(B15:B26)</f>
        <v>245623027.80000001</v>
      </c>
      <c r="C142" s="27"/>
      <c r="H142" s="27">
        <f>SUM(H15:H26)</f>
        <v>243752147.78149053</v>
      </c>
      <c r="I142" s="27">
        <f>'Purchased Power Model WN'!H141</f>
        <v>245158520.51763326</v>
      </c>
      <c r="J142" s="321">
        <f t="shared" si="12"/>
        <v>1.0057696834630703</v>
      </c>
    </row>
    <row r="143" spans="1:10" x14ac:dyDescent="0.2">
      <c r="A143" s="17">
        <v>2009</v>
      </c>
      <c r="B143" s="27">
        <f>SUM(B27:B38)</f>
        <v>247239189.20000002</v>
      </c>
      <c r="C143" s="27"/>
      <c r="H143" s="27">
        <f>SUM(H27:H38)</f>
        <v>243433414.80982959</v>
      </c>
      <c r="I143" s="27">
        <f>'Purchased Power Model WN'!H142</f>
        <v>247420181.01939079</v>
      </c>
      <c r="J143" s="321">
        <f t="shared" si="12"/>
        <v>1.0163772348700595</v>
      </c>
    </row>
    <row r="144" spans="1:10" x14ac:dyDescent="0.2">
      <c r="A144">
        <v>2010</v>
      </c>
      <c r="B144" s="27">
        <f>SUM(B39:B50)</f>
        <v>250239378.79999998</v>
      </c>
      <c r="C144" s="27"/>
      <c r="H144" s="27">
        <f>SUM(H39:H50)</f>
        <v>246677801.33027512</v>
      </c>
      <c r="I144" s="27">
        <f>'Purchased Power Model WN'!H143</f>
        <v>246990938.23410431</v>
      </c>
      <c r="J144" s="321">
        <f t="shared" si="12"/>
        <v>1.0012694166323055</v>
      </c>
    </row>
    <row r="145" spans="1:10" x14ac:dyDescent="0.2">
      <c r="A145">
        <v>2011</v>
      </c>
      <c r="B145" s="27">
        <f>SUM(B51:B62)</f>
        <v>246758167.20000002</v>
      </c>
      <c r="C145" s="27"/>
      <c r="H145" s="27">
        <f>SUM(H51:H62)</f>
        <v>249085614.88396004</v>
      </c>
      <c r="I145" s="27">
        <f>'Purchased Power Model WN'!H144</f>
        <v>247885578.66293609</v>
      </c>
      <c r="J145" s="321">
        <f t="shared" si="12"/>
        <v>0.99518223394159877</v>
      </c>
    </row>
    <row r="146" spans="1:10" x14ac:dyDescent="0.2">
      <c r="A146">
        <v>2012</v>
      </c>
      <c r="B146" s="6">
        <f>SUM(B63:B74)</f>
        <v>245129838.40000004</v>
      </c>
      <c r="C146" s="179"/>
      <c r="H146" s="156">
        <f>SUM(H63:H74)</f>
        <v>246975036.63319921</v>
      </c>
      <c r="I146" s="27">
        <f>'Purchased Power Model WN'!H145</f>
        <v>249563259.20679107</v>
      </c>
      <c r="J146" s="321">
        <f t="shared" si="12"/>
        <v>1.0104796930445883</v>
      </c>
    </row>
    <row r="147" spans="1:10" x14ac:dyDescent="0.2">
      <c r="A147">
        <v>2013</v>
      </c>
      <c r="B147" s="6">
        <f>SUM(B75:B86)</f>
        <v>251758061.40000001</v>
      </c>
      <c r="C147" s="179"/>
      <c r="H147" s="156">
        <f>SUM(H75:H86)</f>
        <v>250054816.72654173</v>
      </c>
      <c r="I147" s="27">
        <f>'Purchased Power Model WN'!H146</f>
        <v>250594628.85800833</v>
      </c>
      <c r="J147" s="321">
        <f t="shared" si="12"/>
        <v>1.002158775177912</v>
      </c>
    </row>
    <row r="148" spans="1:10" x14ac:dyDescent="0.2">
      <c r="A148">
        <v>2014</v>
      </c>
      <c r="B148" s="27">
        <f>SUM(B88:B99)</f>
        <v>253254986.30000001</v>
      </c>
      <c r="C148" s="27"/>
      <c r="H148" s="27">
        <f>SUM(H88:H99)</f>
        <v>254540889.88211167</v>
      </c>
      <c r="I148" s="27">
        <f>'Purchased Power Model WN'!H147</f>
        <v>252873667.01549083</v>
      </c>
      <c r="J148" s="321">
        <f t="shared" si="12"/>
        <v>0.99345007842396948</v>
      </c>
    </row>
    <row r="149" spans="1:10" x14ac:dyDescent="0.2">
      <c r="A149" s="17">
        <v>2015</v>
      </c>
      <c r="B149" s="27">
        <f>SUM(B100:B111)</f>
        <v>255774983.09999999</v>
      </c>
      <c r="C149" s="27"/>
      <c r="H149" s="27">
        <f>SUM(H100:H111)</f>
        <v>255309254.72807688</v>
      </c>
      <c r="I149" s="27">
        <f>'Purchased Power Model WN'!H148</f>
        <v>255126550.59465837</v>
      </c>
      <c r="J149" s="321">
        <f t="shared" si="12"/>
        <v>0.99928438107888762</v>
      </c>
    </row>
    <row r="150" spans="1:10" x14ac:dyDescent="0.2">
      <c r="A150">
        <v>2016</v>
      </c>
      <c r="B150" s="179">
        <f>SUM(B112:B123)</f>
        <v>259382036</v>
      </c>
      <c r="C150" s="27"/>
      <c r="H150" s="6">
        <f>SUM(H112:H123)</f>
        <v>261375684.70922133</v>
      </c>
      <c r="I150" s="27">
        <f>'Purchased Power Model WN'!H149</f>
        <v>257987084.76367834</v>
      </c>
      <c r="J150" s="321">
        <f t="shared" si="12"/>
        <v>0.98703551958433777</v>
      </c>
    </row>
    <row r="151" spans="1:10" x14ac:dyDescent="0.2">
      <c r="A151">
        <v>2017</v>
      </c>
      <c r="H151" s="6">
        <f>SUM(H124:H135)</f>
        <v>259701037.62542906</v>
      </c>
      <c r="I151" s="27">
        <f>'Purchased Power Model WN'!H150</f>
        <v>259701037.62542906</v>
      </c>
      <c r="J151" s="321">
        <f t="shared" si="12"/>
        <v>1</v>
      </c>
    </row>
    <row r="152" spans="1:10" x14ac:dyDescent="0.2">
      <c r="A152" s="17"/>
      <c r="H152" s="6"/>
      <c r="I152" s="111"/>
      <c r="J152" s="112"/>
    </row>
    <row r="153" spans="1:10" x14ac:dyDescent="0.2">
      <c r="A153" s="114" t="s">
        <v>127</v>
      </c>
      <c r="B153" s="27">
        <f>SUM(B141:B150)</f>
        <v>2496314304.3000002</v>
      </c>
      <c r="H153" s="27">
        <f>SUM(H141:H150)</f>
        <v>2496314304.2999992</v>
      </c>
      <c r="I153" s="111">
        <f>B153-H153</f>
        <v>0</v>
      </c>
      <c r="J153" s="112"/>
    </row>
    <row r="154" spans="1:10" x14ac:dyDescent="0.2">
      <c r="I154" s="111"/>
      <c r="J154" s="112"/>
    </row>
    <row r="155" spans="1:10" x14ac:dyDescent="0.2">
      <c r="H155" s="47">
        <f>SUM(H141:H151)</f>
        <v>2756015341.9254284</v>
      </c>
      <c r="I155" s="111">
        <f>H137-H155</f>
        <v>0</v>
      </c>
      <c r="J155" s="112"/>
    </row>
    <row r="156" spans="1:10" x14ac:dyDescent="0.2">
      <c r="H156"/>
      <c r="I156" s="111"/>
      <c r="J156" s="112"/>
    </row>
    <row r="157" spans="1:10" x14ac:dyDescent="0.2">
      <c r="I157" s="111"/>
      <c r="J157" s="112"/>
    </row>
    <row r="158" spans="1:10" x14ac:dyDescent="0.2">
      <c r="I158" s="111"/>
      <c r="J158" s="112"/>
    </row>
    <row r="159" spans="1:10" x14ac:dyDescent="0.2">
      <c r="B159" s="27" t="s">
        <v>88</v>
      </c>
      <c r="I159" s="111"/>
      <c r="J159" s="112"/>
    </row>
    <row r="160" spans="1:10" x14ac:dyDescent="0.2">
      <c r="A160" s="3">
        <v>42736</v>
      </c>
      <c r="C160" s="106">
        <f>'Weather Analysis'!W8</f>
        <v>717.80526315789461</v>
      </c>
      <c r="D160" s="107">
        <f>'Weather Analysis'!W28</f>
        <v>0</v>
      </c>
      <c r="E160" s="80">
        <f t="shared" ref="E160:G171" si="13">E124</f>
        <v>31</v>
      </c>
      <c r="F160" s="80">
        <f t="shared" si="13"/>
        <v>0</v>
      </c>
      <c r="G160" s="80">
        <f t="shared" si="13"/>
        <v>16463.769230769238</v>
      </c>
      <c r="H160" s="10">
        <f t="shared" ref="H160:H171" si="14">$L$18+C160*$L$19+D160*$L$20+E160*$L$21+F160*$L$22+G160*$L$23</f>
        <v>26657183.981422156</v>
      </c>
      <c r="I160" s="111"/>
      <c r="J160" s="112"/>
    </row>
    <row r="161" spans="1:10" x14ac:dyDescent="0.2">
      <c r="A161" s="3">
        <v>42767</v>
      </c>
      <c r="C161" s="106">
        <f>'Weather Analysis'!W9</f>
        <v>697.2247368421049</v>
      </c>
      <c r="D161" s="107">
        <f>'Weather Analysis'!W29</f>
        <v>0</v>
      </c>
      <c r="E161" s="80">
        <f t="shared" si="13"/>
        <v>28</v>
      </c>
      <c r="F161" s="80">
        <f t="shared" si="13"/>
        <v>0</v>
      </c>
      <c r="G161" s="80">
        <f t="shared" si="13"/>
        <v>16502.538461538476</v>
      </c>
      <c r="H161" s="10">
        <f t="shared" si="14"/>
        <v>24470802.997033309</v>
      </c>
      <c r="I161" s="111"/>
      <c r="J161" s="112"/>
    </row>
    <row r="162" spans="1:10" x14ac:dyDescent="0.2">
      <c r="A162" s="3">
        <v>42795</v>
      </c>
      <c r="C162" s="106">
        <f>'Weather Analysis'!W10</f>
        <v>541.9405263157895</v>
      </c>
      <c r="D162" s="107">
        <f>'Weather Analysis'!W30</f>
        <v>2.7368421052631486E-2</v>
      </c>
      <c r="E162" s="80">
        <f t="shared" si="13"/>
        <v>31</v>
      </c>
      <c r="F162" s="80">
        <f t="shared" si="13"/>
        <v>1</v>
      </c>
      <c r="G162" s="80">
        <f t="shared" si="13"/>
        <v>16541.307692307713</v>
      </c>
      <c r="H162" s="10">
        <f t="shared" si="14"/>
        <v>23476135.39661289</v>
      </c>
      <c r="I162" s="111"/>
      <c r="J162" s="112"/>
    </row>
    <row r="163" spans="1:10" x14ac:dyDescent="0.2">
      <c r="A163" s="3">
        <v>42826</v>
      </c>
      <c r="C163" s="106">
        <f>'Weather Analysis'!W11</f>
        <v>331.84631578947392</v>
      </c>
      <c r="D163" s="107">
        <f>'Weather Analysis'!W31</f>
        <v>-0.13157894736841058</v>
      </c>
      <c r="E163" s="80">
        <f t="shared" si="13"/>
        <v>30</v>
      </c>
      <c r="F163" s="80">
        <f t="shared" si="13"/>
        <v>1</v>
      </c>
      <c r="G163" s="80">
        <f t="shared" si="13"/>
        <v>16580.076923076951</v>
      </c>
      <c r="H163" s="10">
        <f t="shared" si="14"/>
        <v>20124760.062669225</v>
      </c>
      <c r="I163" s="111"/>
      <c r="J163" s="112"/>
    </row>
    <row r="164" spans="1:10" x14ac:dyDescent="0.2">
      <c r="A164" s="3">
        <v>42856</v>
      </c>
      <c r="C164" s="106">
        <f>'Weather Analysis'!W12</f>
        <v>116.38736842105209</v>
      </c>
      <c r="D164" s="107">
        <f>'Weather Analysis'!W32</f>
        <v>28.305789473684399</v>
      </c>
      <c r="E164" s="80">
        <f t="shared" si="13"/>
        <v>31</v>
      </c>
      <c r="F164" s="80">
        <f t="shared" si="13"/>
        <v>1</v>
      </c>
      <c r="G164" s="80">
        <f t="shared" si="13"/>
        <v>16618.846153846189</v>
      </c>
      <c r="H164" s="10">
        <f t="shared" si="14"/>
        <v>18944700.882842295</v>
      </c>
      <c r="I164" s="111"/>
      <c r="J164" s="112"/>
    </row>
    <row r="165" spans="1:10" x14ac:dyDescent="0.2">
      <c r="A165" s="3">
        <v>42887</v>
      </c>
      <c r="C165" s="106">
        <f>'Weather Analysis'!W13</f>
        <v>22.515263157894651</v>
      </c>
      <c r="D165" s="107">
        <f>'Weather Analysis'!W33</f>
        <v>63.331578947368371</v>
      </c>
      <c r="E165" s="80">
        <f t="shared" si="13"/>
        <v>30</v>
      </c>
      <c r="F165" s="80">
        <f t="shared" si="13"/>
        <v>0</v>
      </c>
      <c r="G165" s="80">
        <f t="shared" si="13"/>
        <v>16657.615384615427</v>
      </c>
      <c r="H165" s="10">
        <f t="shared" si="14"/>
        <v>19208859.803278524</v>
      </c>
      <c r="I165" s="111"/>
      <c r="J165" s="112"/>
    </row>
    <row r="166" spans="1:10" x14ac:dyDescent="0.2">
      <c r="A166" s="3">
        <v>42917</v>
      </c>
      <c r="C166" s="106">
        <v>0</v>
      </c>
      <c r="D166" s="107">
        <f>'Weather Analysis'!W34</f>
        <v>141.66315789473697</v>
      </c>
      <c r="E166" s="80">
        <f t="shared" si="13"/>
        <v>31</v>
      </c>
      <c r="F166" s="80">
        <f t="shared" si="13"/>
        <v>0</v>
      </c>
      <c r="G166" s="80">
        <f t="shared" si="13"/>
        <v>16696.384615384664</v>
      </c>
      <c r="H166" s="10">
        <f t="shared" si="14"/>
        <v>22179358.575327788</v>
      </c>
      <c r="I166" s="111"/>
      <c r="J166" s="112"/>
    </row>
    <row r="167" spans="1:10" x14ac:dyDescent="0.2">
      <c r="A167" s="3">
        <v>42948</v>
      </c>
      <c r="C167" s="106">
        <v>0</v>
      </c>
      <c r="D167" s="107">
        <f>'Weather Analysis'!W35</f>
        <v>123.42210526315785</v>
      </c>
      <c r="E167" s="80">
        <f t="shared" si="13"/>
        <v>31</v>
      </c>
      <c r="F167" s="80">
        <f t="shared" si="13"/>
        <v>0</v>
      </c>
      <c r="G167" s="80">
        <f t="shared" si="13"/>
        <v>16735.153846153902</v>
      </c>
      <c r="H167" s="10">
        <f t="shared" si="14"/>
        <v>21594846.542405918</v>
      </c>
      <c r="I167" s="111"/>
      <c r="J167" s="112"/>
    </row>
    <row r="168" spans="1:10" x14ac:dyDescent="0.2">
      <c r="A168" s="3">
        <v>42979</v>
      </c>
      <c r="C168" s="106">
        <f>'Weather Analysis'!W16</f>
        <v>52.620526315789562</v>
      </c>
      <c r="D168" s="107">
        <f>'Weather Analysis'!W36</f>
        <v>46.809999999999945</v>
      </c>
      <c r="E168" s="80">
        <f t="shared" si="13"/>
        <v>30</v>
      </c>
      <c r="F168" s="80">
        <f t="shared" si="13"/>
        <v>1</v>
      </c>
      <c r="G168" s="80">
        <f t="shared" si="13"/>
        <v>16773.92307692314</v>
      </c>
      <c r="H168" s="10">
        <f t="shared" si="14"/>
        <v>18165348.017430775</v>
      </c>
      <c r="I168" s="111"/>
      <c r="J168" s="112"/>
    </row>
    <row r="169" spans="1:10" x14ac:dyDescent="0.2">
      <c r="A169" s="3">
        <v>43009</v>
      </c>
      <c r="C169" s="106">
        <f>'Weather Analysis'!W17</f>
        <v>224.9699999999998</v>
      </c>
      <c r="D169" s="107">
        <f>'Weather Analysis'!W37</f>
        <v>2.3221052631578942</v>
      </c>
      <c r="E169" s="80">
        <f t="shared" si="13"/>
        <v>31</v>
      </c>
      <c r="F169" s="80">
        <f t="shared" si="13"/>
        <v>1</v>
      </c>
      <c r="G169" s="80">
        <f t="shared" si="13"/>
        <v>16812.692307692378</v>
      </c>
      <c r="H169" s="10">
        <f t="shared" si="14"/>
        <v>19588620.138887316</v>
      </c>
      <c r="I169" s="111"/>
      <c r="J169" s="112"/>
    </row>
    <row r="170" spans="1:10" x14ac:dyDescent="0.2">
      <c r="A170" s="3">
        <v>43040</v>
      </c>
      <c r="C170" s="106">
        <f>'Weather Analysis'!W18</f>
        <v>400.37421052631578</v>
      </c>
      <c r="D170" s="107">
        <f>'Weather Analysis'!W38</f>
        <v>0</v>
      </c>
      <c r="E170" s="80">
        <f t="shared" si="13"/>
        <v>30</v>
      </c>
      <c r="F170" s="80">
        <f t="shared" si="13"/>
        <v>1</v>
      </c>
      <c r="G170" s="80">
        <f t="shared" si="13"/>
        <v>16851.461538461615</v>
      </c>
      <c r="H170" s="10">
        <f t="shared" si="14"/>
        <v>21155289.512844607</v>
      </c>
      <c r="I170" s="111"/>
      <c r="J170" s="112"/>
    </row>
    <row r="171" spans="1:10" x14ac:dyDescent="0.2">
      <c r="A171" s="3">
        <v>43070</v>
      </c>
      <c r="C171" s="106">
        <f>'Weather Analysis'!W19</f>
        <v>576.0384210526322</v>
      </c>
      <c r="D171" s="107">
        <f>'Weather Analysis'!W39</f>
        <v>0</v>
      </c>
      <c r="E171" s="80">
        <f t="shared" si="13"/>
        <v>31</v>
      </c>
      <c r="F171" s="80">
        <f t="shared" si="13"/>
        <v>0</v>
      </c>
      <c r="G171" s="80">
        <f t="shared" si="13"/>
        <v>16890.230769230853</v>
      </c>
      <c r="H171" s="10">
        <f t="shared" si="14"/>
        <v>25040922.073297292</v>
      </c>
      <c r="I171" s="111">
        <f>SUM(H160:H171)</f>
        <v>260606827.98405209</v>
      </c>
      <c r="J171" s="112"/>
    </row>
    <row r="172" spans="1:10" x14ac:dyDescent="0.2">
      <c r="I172" s="111"/>
      <c r="J172" s="112"/>
    </row>
  </sheetData>
  <mergeCells count="2">
    <mergeCell ref="D137:E137"/>
    <mergeCell ref="J139:J140"/>
  </mergeCells>
  <phoneticPr fontId="0" type="noConversion"/>
  <printOptions horizontalCentered="1"/>
  <pageMargins left="0.19685039370078741" right="0.19685039370078741" top="0.35433070866141736" bottom="0.35433070866141736" header="0.51181102362204722" footer="0.15748031496062992"/>
  <pageSetup paperSize="17" scale="61" fitToHeight="3" orientation="landscape" verticalDpi="300" r:id="rId1"/>
  <headerFooter alignWithMargins="0">
    <oddFooter>&amp;L&amp;A&amp;R&amp;P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71"/>
  <sheetViews>
    <sheetView topLeftCell="A85" zoomScaleNormal="100" workbookViewId="0">
      <selection activeCell="D36" sqref="D36"/>
    </sheetView>
  </sheetViews>
  <sheetFormatPr defaultRowHeight="12.75" x14ac:dyDescent="0.2"/>
  <cols>
    <col min="1" max="1" width="11.85546875" customWidth="1"/>
    <col min="2" max="2" width="18" style="27" customWidth="1"/>
    <col min="3" max="3" width="11.7109375" style="104" customWidth="1"/>
    <col min="4" max="4" width="13.42578125" style="104" customWidth="1"/>
    <col min="5" max="5" width="10.140625" style="1" customWidth="1"/>
    <col min="6" max="6" width="12.42578125" style="1" customWidth="1"/>
    <col min="7" max="7" width="14.42578125" style="24" customWidth="1"/>
    <col min="8" max="8" width="15.42578125" style="1" bestFit="1" customWidth="1"/>
    <col min="9" max="9" width="16.28515625" style="1" customWidth="1"/>
    <col min="10" max="10" width="12.42578125" style="1" customWidth="1"/>
    <col min="11" max="11" width="34.140625" customWidth="1"/>
    <col min="12" max="14" width="18" customWidth="1"/>
    <col min="15" max="15" width="17.140625" customWidth="1"/>
    <col min="16" max="18" width="15.7109375" customWidth="1"/>
    <col min="19" max="20" width="19.28515625" bestFit="1" customWidth="1"/>
    <col min="21" max="21" width="19.140625" bestFit="1" customWidth="1"/>
    <col min="22" max="22" width="23" bestFit="1" customWidth="1"/>
    <col min="23" max="23" width="14.7109375" bestFit="1" customWidth="1"/>
    <col min="24" max="24" width="35.140625" bestFit="1" customWidth="1"/>
    <col min="25" max="25" width="9.28515625" customWidth="1"/>
    <col min="27" max="27" width="11.7109375" bestFit="1" customWidth="1"/>
    <col min="28" max="28" width="10.7109375" bestFit="1" customWidth="1"/>
  </cols>
  <sheetData>
    <row r="1" spans="1:36" ht="15.75" x14ac:dyDescent="0.25">
      <c r="A1" s="40" t="str">
        <f>Summary!A1</f>
        <v>InnPower Forecast for 2017 EB-2016-0086  Rate Application</v>
      </c>
      <c r="G1" s="1"/>
    </row>
    <row r="2" spans="1:36" ht="42" customHeight="1" x14ac:dyDescent="0.2">
      <c r="B2" s="78" t="s">
        <v>0</v>
      </c>
      <c r="C2" s="105" t="s">
        <v>3</v>
      </c>
      <c r="D2" s="105" t="s">
        <v>4</v>
      </c>
      <c r="E2" s="12" t="s">
        <v>5</v>
      </c>
      <c r="F2" s="12" t="s">
        <v>17</v>
      </c>
      <c r="G2" s="79" t="s">
        <v>70</v>
      </c>
      <c r="H2" s="12" t="s">
        <v>10</v>
      </c>
      <c r="I2" s="12" t="s">
        <v>11</v>
      </c>
      <c r="J2" s="12" t="s">
        <v>12</v>
      </c>
      <c r="K2" t="s">
        <v>18</v>
      </c>
    </row>
    <row r="3" spans="1:36" s="15" customFormat="1" ht="13.5" thickBot="1" x14ac:dyDescent="0.25">
      <c r="A3" s="3">
        <v>39083</v>
      </c>
      <c r="B3" s="27">
        <f>'[5]Consumption Data '!B66</f>
        <v>24279309.5</v>
      </c>
      <c r="C3" s="104">
        <v>712.03</v>
      </c>
      <c r="D3" s="104">
        <v>0</v>
      </c>
      <c r="E3" s="10">
        <v>31</v>
      </c>
      <c r="F3" s="10">
        <v>0</v>
      </c>
      <c r="G3" s="18">
        <f>'[5]Consumption Data '!AG66</f>
        <v>13849</v>
      </c>
      <c r="H3" s="10">
        <f t="shared" ref="H3:H66" si="0">$L$18+C3*$L$19+D3*$L$20+E3*$L$21+F3*$L$22+G3*$L$23</f>
        <v>25241486.736375168</v>
      </c>
      <c r="I3" s="10"/>
      <c r="J3" s="14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x14ac:dyDescent="0.2">
      <c r="A4" s="3">
        <v>39114</v>
      </c>
      <c r="B4" s="27">
        <f>'[5]Consumption Data '!B67</f>
        <v>23881688.099999998</v>
      </c>
      <c r="C4" s="104">
        <v>661.92</v>
      </c>
      <c r="D4" s="104">
        <v>0</v>
      </c>
      <c r="E4" s="10">
        <v>28</v>
      </c>
      <c r="F4" s="10">
        <v>0</v>
      </c>
      <c r="G4" s="18">
        <f>'[5]Consumption Data '!AG67</f>
        <v>13861</v>
      </c>
      <c r="H4" s="10">
        <f t="shared" si="0"/>
        <v>22659161.328311414</v>
      </c>
      <c r="I4" s="10"/>
      <c r="J4" s="14"/>
      <c r="K4" s="53" t="s">
        <v>19</v>
      </c>
      <c r="L4" s="53"/>
    </row>
    <row r="5" spans="1:36" x14ac:dyDescent="0.2">
      <c r="A5" s="3">
        <v>39142</v>
      </c>
      <c r="B5" s="27">
        <f>'[5]Consumption Data '!B68</f>
        <v>22297189.800000001</v>
      </c>
      <c r="C5" s="104">
        <v>537.27</v>
      </c>
      <c r="D5" s="104">
        <v>0.02</v>
      </c>
      <c r="E5" s="10">
        <v>31</v>
      </c>
      <c r="F5" s="10">
        <v>1</v>
      </c>
      <c r="G5" s="18">
        <f>'[5]Consumption Data '!AG68</f>
        <v>13865</v>
      </c>
      <c r="H5" s="10">
        <f t="shared" si="0"/>
        <v>22042934.156294055</v>
      </c>
      <c r="I5" s="10"/>
      <c r="J5" s="14"/>
      <c r="K5" s="32" t="s">
        <v>20</v>
      </c>
      <c r="L5" s="63">
        <v>0.98043980382057505</v>
      </c>
    </row>
    <row r="6" spans="1:36" x14ac:dyDescent="0.2">
      <c r="A6" s="3">
        <v>39173</v>
      </c>
      <c r="B6" s="27">
        <f>'[5]Consumption Data '!B69</f>
        <v>18569417.100000001</v>
      </c>
      <c r="C6" s="104">
        <v>321.91999999999996</v>
      </c>
      <c r="D6" s="104">
        <v>0.12</v>
      </c>
      <c r="E6" s="10">
        <v>30</v>
      </c>
      <c r="F6" s="10">
        <v>1</v>
      </c>
      <c r="G6" s="18">
        <f>'[5]Consumption Data '!AG69</f>
        <v>13869</v>
      </c>
      <c r="H6" s="10">
        <f t="shared" si="0"/>
        <v>18614279.266977094</v>
      </c>
      <c r="I6" s="10"/>
      <c r="J6" s="14"/>
      <c r="K6" s="32" t="s">
        <v>21</v>
      </c>
      <c r="L6" s="63">
        <v>0.96126220891572767</v>
      </c>
    </row>
    <row r="7" spans="1:36" x14ac:dyDescent="0.2">
      <c r="A7" s="3">
        <v>39203</v>
      </c>
      <c r="B7" s="27">
        <f>'[5]Consumption Data '!B70</f>
        <v>16382762.399999999</v>
      </c>
      <c r="C7" s="104">
        <v>128.44</v>
      </c>
      <c r="D7" s="104">
        <v>23.32</v>
      </c>
      <c r="E7" s="10">
        <v>31</v>
      </c>
      <c r="F7" s="10">
        <v>1</v>
      </c>
      <c r="G7" s="18">
        <f>'[5]Consumption Data '!AG70</f>
        <v>13873</v>
      </c>
      <c r="H7" s="10">
        <f t="shared" si="0"/>
        <v>17527341.235113062</v>
      </c>
      <c r="I7" s="10"/>
      <c r="J7" s="14"/>
      <c r="K7" s="32" t="s">
        <v>22</v>
      </c>
      <c r="L7" s="63">
        <v>0.95956318299097898</v>
      </c>
    </row>
    <row r="8" spans="1:36" x14ac:dyDescent="0.2">
      <c r="A8" s="3">
        <v>39234</v>
      </c>
      <c r="B8" s="27">
        <f>'[5]Consumption Data '!B71</f>
        <v>17880105.399999999</v>
      </c>
      <c r="C8" s="104">
        <v>25.75</v>
      </c>
      <c r="D8" s="104">
        <v>66.11</v>
      </c>
      <c r="E8" s="10">
        <v>30</v>
      </c>
      <c r="F8" s="10">
        <v>0</v>
      </c>
      <c r="G8" s="18">
        <f>'[5]Consumption Data '!AG71</f>
        <v>13881</v>
      </c>
      <c r="H8" s="10">
        <f t="shared" si="0"/>
        <v>17918843.068890028</v>
      </c>
      <c r="I8" s="10"/>
      <c r="J8" s="14"/>
      <c r="K8" s="32" t="s">
        <v>23</v>
      </c>
      <c r="L8" s="61">
        <v>573027.89631918247</v>
      </c>
    </row>
    <row r="9" spans="1:36" ht="13.5" thickBot="1" x14ac:dyDescent="0.25">
      <c r="A9" s="3">
        <v>39264</v>
      </c>
      <c r="B9" s="27">
        <f>'[5]Consumption Data '!B72</f>
        <v>18476519.899999999</v>
      </c>
      <c r="C9" s="104">
        <v>2.15</v>
      </c>
      <c r="D9" s="104">
        <v>130.26</v>
      </c>
      <c r="E9" s="10">
        <v>31</v>
      </c>
      <c r="F9" s="10">
        <v>0</v>
      </c>
      <c r="G9" s="18">
        <f>'[5]Consumption Data '!AG72</f>
        <v>13905</v>
      </c>
      <c r="H9" s="10">
        <f t="shared" si="0"/>
        <v>20397838.606908865</v>
      </c>
      <c r="I9" s="10"/>
      <c r="J9" s="14"/>
      <c r="K9" s="51" t="s">
        <v>24</v>
      </c>
      <c r="L9" s="51">
        <v>120</v>
      </c>
    </row>
    <row r="10" spans="1:36" x14ac:dyDescent="0.2">
      <c r="A10" s="3">
        <v>39295</v>
      </c>
      <c r="B10" s="27">
        <f>'[5]Consumption Data '!B73</f>
        <v>19239333.699999999</v>
      </c>
      <c r="C10" s="104">
        <v>4.9399999999999995</v>
      </c>
      <c r="D10" s="104">
        <v>112.87</v>
      </c>
      <c r="E10" s="10">
        <v>31</v>
      </c>
      <c r="F10" s="10">
        <v>0</v>
      </c>
      <c r="G10" s="18">
        <f>'[5]Consumption Data '!AG73</f>
        <v>13925</v>
      </c>
      <c r="H10" s="10">
        <f t="shared" si="0"/>
        <v>19868012.117733024</v>
      </c>
      <c r="I10" s="10"/>
      <c r="J10" s="14"/>
    </row>
    <row r="11" spans="1:36" ht="13.5" thickBot="1" x14ac:dyDescent="0.25">
      <c r="A11" s="3">
        <v>39326</v>
      </c>
      <c r="B11" s="27">
        <f>'[5]Consumption Data '!B74</f>
        <v>16489843.199999999</v>
      </c>
      <c r="C11" s="104">
        <v>57.21</v>
      </c>
      <c r="D11" s="104">
        <v>41.14</v>
      </c>
      <c r="E11" s="10">
        <v>30</v>
      </c>
      <c r="F11" s="10">
        <v>1</v>
      </c>
      <c r="G11" s="18">
        <f>'[5]Consumption Data '!AG74</f>
        <v>13949</v>
      </c>
      <c r="H11" s="10">
        <f t="shared" si="0"/>
        <v>16588164.754572488</v>
      </c>
      <c r="I11" s="10"/>
      <c r="J11" s="14"/>
      <c r="K11" t="s">
        <v>25</v>
      </c>
    </row>
    <row r="12" spans="1:36" x14ac:dyDescent="0.2">
      <c r="A12" s="3">
        <v>39356</v>
      </c>
      <c r="B12" s="27">
        <f>'[5]Consumption Data '!B75</f>
        <v>17241374.899999999</v>
      </c>
      <c r="C12" s="104">
        <v>230.05</v>
      </c>
      <c r="D12" s="104">
        <v>2.91</v>
      </c>
      <c r="E12" s="10">
        <v>31</v>
      </c>
      <c r="F12" s="10">
        <v>1</v>
      </c>
      <c r="G12" s="18">
        <f>'[5]Consumption Data '!AG75</f>
        <v>13987</v>
      </c>
      <c r="H12" s="10">
        <f t="shared" si="0"/>
        <v>18224738.980098061</v>
      </c>
      <c r="I12" s="10"/>
      <c r="J12" s="14"/>
      <c r="K12" s="52"/>
      <c r="L12" s="52" t="s">
        <v>29</v>
      </c>
      <c r="M12" s="52" t="s">
        <v>30</v>
      </c>
      <c r="N12" s="52" t="s">
        <v>31</v>
      </c>
      <c r="O12" s="52" t="s">
        <v>32</v>
      </c>
      <c r="P12" s="52" t="s">
        <v>33</v>
      </c>
    </row>
    <row r="13" spans="1:36" x14ac:dyDescent="0.2">
      <c r="A13" s="3">
        <v>39387</v>
      </c>
      <c r="B13" s="27">
        <f>'[5]Consumption Data '!B76</f>
        <v>20822608.399999999</v>
      </c>
      <c r="C13" s="104">
        <v>409.9799999999999</v>
      </c>
      <c r="D13" s="104">
        <v>0</v>
      </c>
      <c r="E13" s="10">
        <v>30</v>
      </c>
      <c r="F13" s="10">
        <v>1</v>
      </c>
      <c r="G13" s="18">
        <f>'[5]Consumption Data '!AG76</f>
        <v>14001</v>
      </c>
      <c r="H13" s="10">
        <f t="shared" si="0"/>
        <v>19817806.462875329</v>
      </c>
      <c r="I13" s="10"/>
      <c r="J13" s="14"/>
      <c r="K13" s="32" t="s">
        <v>26</v>
      </c>
      <c r="L13" s="32">
        <v>5</v>
      </c>
      <c r="M13" s="32">
        <v>928888096136964.5</v>
      </c>
      <c r="N13" s="32">
        <v>185777619227392.91</v>
      </c>
      <c r="O13" s="32">
        <v>565.77253761319662</v>
      </c>
      <c r="P13" s="32">
        <v>1.0536579416405935E-78</v>
      </c>
    </row>
    <row r="14" spans="1:36" s="31" customFormat="1" x14ac:dyDescent="0.2">
      <c r="A14" s="3">
        <v>39417</v>
      </c>
      <c r="B14" s="27">
        <f>'[5]Consumption Data '!B77</f>
        <v>25594483.699999999</v>
      </c>
      <c r="C14" s="104">
        <v>594.31999999999994</v>
      </c>
      <c r="D14" s="104">
        <v>0</v>
      </c>
      <c r="E14" s="10">
        <v>31</v>
      </c>
      <c r="F14" s="10">
        <v>0</v>
      </c>
      <c r="G14" s="18">
        <f>'[5]Consumption Data '!AG77</f>
        <v>14035</v>
      </c>
      <c r="H14" s="10">
        <f t="shared" si="0"/>
        <v>23813288.7131592</v>
      </c>
      <c r="I14" s="10"/>
      <c r="J14" s="14"/>
      <c r="K14" s="32" t="s">
        <v>27</v>
      </c>
      <c r="L14" s="32">
        <v>114</v>
      </c>
      <c r="M14" s="32">
        <v>37433150575438.609</v>
      </c>
      <c r="N14" s="32">
        <v>328360969959.98779</v>
      </c>
      <c r="O14" s="32"/>
      <c r="P14" s="32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ht="13.5" thickBot="1" x14ac:dyDescent="0.25">
      <c r="A15" s="3">
        <v>39448</v>
      </c>
      <c r="B15" s="27">
        <f>'[5]Consumption Data '!B78</f>
        <v>25337707.800000001</v>
      </c>
      <c r="C15" s="113">
        <f t="shared" ref="C15:D34" si="1">C3</f>
        <v>712.03</v>
      </c>
      <c r="D15" s="113">
        <f t="shared" si="1"/>
        <v>0</v>
      </c>
      <c r="E15" s="10">
        <v>31</v>
      </c>
      <c r="F15" s="10">
        <v>0</v>
      </c>
      <c r="G15" s="18">
        <f>'[5]Consumption Data '!AG78</f>
        <v>14052</v>
      </c>
      <c r="H15" s="10">
        <f t="shared" si="0"/>
        <v>25345592.214766018</v>
      </c>
      <c r="I15" s="10"/>
      <c r="J15" s="14"/>
      <c r="K15" s="51" t="s">
        <v>9</v>
      </c>
      <c r="L15" s="51">
        <v>119</v>
      </c>
      <c r="M15" s="51">
        <v>966321246712403.12</v>
      </c>
      <c r="N15" s="51"/>
      <c r="O15" s="51"/>
      <c r="P15" s="51"/>
    </row>
    <row r="16" spans="1:36" ht="13.5" thickBot="1" x14ac:dyDescent="0.25">
      <c r="A16" s="3">
        <v>39479</v>
      </c>
      <c r="B16" s="27">
        <f>'[5]Consumption Data '!B79</f>
        <v>23919251.399999999</v>
      </c>
      <c r="C16" s="113">
        <f t="shared" si="1"/>
        <v>661.92</v>
      </c>
      <c r="D16" s="113">
        <f t="shared" si="1"/>
        <v>0</v>
      </c>
      <c r="E16" s="10">
        <v>29</v>
      </c>
      <c r="F16" s="10">
        <v>0</v>
      </c>
      <c r="G16" s="18">
        <f>'[5]Consumption Data '!AG79</f>
        <v>14069</v>
      </c>
      <c r="H16" s="10">
        <f t="shared" si="0"/>
        <v>23412457.020937279</v>
      </c>
      <c r="I16" s="10"/>
      <c r="J16" s="14"/>
    </row>
    <row r="17" spans="1:17" x14ac:dyDescent="0.2">
      <c r="A17" s="3">
        <v>39508</v>
      </c>
      <c r="B17" s="27">
        <f>'[5]Consumption Data '!B80</f>
        <v>23324392.199999999</v>
      </c>
      <c r="C17" s="113">
        <f t="shared" si="1"/>
        <v>537.27</v>
      </c>
      <c r="D17" s="113">
        <f t="shared" si="1"/>
        <v>0.02</v>
      </c>
      <c r="E17" s="10">
        <v>31</v>
      </c>
      <c r="F17" s="10">
        <v>1</v>
      </c>
      <c r="G17" s="18">
        <f>'[5]Consumption Data '!AG80</f>
        <v>14091</v>
      </c>
      <c r="H17" s="10">
        <f t="shared" si="0"/>
        <v>22158834.836670078</v>
      </c>
      <c r="I17" s="10"/>
      <c r="J17" s="14"/>
      <c r="K17" s="52"/>
      <c r="L17" s="52" t="s">
        <v>34</v>
      </c>
      <c r="M17" s="52" t="s">
        <v>23</v>
      </c>
      <c r="N17" s="52" t="s">
        <v>35</v>
      </c>
      <c r="O17" s="52" t="s">
        <v>36</v>
      </c>
      <c r="P17" s="52" t="s">
        <v>37</v>
      </c>
      <c r="Q17" s="52" t="s">
        <v>38</v>
      </c>
    </row>
    <row r="18" spans="1:17" x14ac:dyDescent="0.2">
      <c r="A18" s="3">
        <v>39539</v>
      </c>
      <c r="B18" s="27">
        <f>'[5]Consumption Data '!B81</f>
        <v>17845472.600000001</v>
      </c>
      <c r="C18" s="113">
        <f t="shared" si="1"/>
        <v>321.91999999999996</v>
      </c>
      <c r="D18" s="113">
        <f t="shared" si="1"/>
        <v>0.12</v>
      </c>
      <c r="E18" s="10">
        <v>30</v>
      </c>
      <c r="F18" s="10">
        <v>1</v>
      </c>
      <c r="G18" s="18">
        <f>'[5]Consumption Data '!AG81</f>
        <v>14109</v>
      </c>
      <c r="H18" s="10">
        <f t="shared" si="0"/>
        <v>18737359.635518</v>
      </c>
      <c r="I18" s="10"/>
      <c r="J18" s="14"/>
      <c r="K18" s="32" t="s">
        <v>28</v>
      </c>
      <c r="L18" s="61">
        <v>-11122366.738297148</v>
      </c>
      <c r="M18" s="61">
        <v>2305922.316478496</v>
      </c>
      <c r="N18" s="59">
        <v>-4.8233917763902561</v>
      </c>
      <c r="O18" s="32">
        <v>4.4041599447260424E-6</v>
      </c>
      <c r="P18" s="61">
        <v>-15690381.0869717</v>
      </c>
      <c r="Q18" s="61">
        <v>-6554352.3896225942</v>
      </c>
    </row>
    <row r="19" spans="1:17" x14ac:dyDescent="0.2">
      <c r="A19" s="3">
        <v>39569</v>
      </c>
      <c r="B19" s="27">
        <f>'[5]Consumption Data '!B82</f>
        <v>17203594.699999999</v>
      </c>
      <c r="C19" s="113">
        <f t="shared" si="1"/>
        <v>128.44</v>
      </c>
      <c r="D19" s="113">
        <f t="shared" si="1"/>
        <v>23.32</v>
      </c>
      <c r="E19" s="10">
        <v>31</v>
      </c>
      <c r="F19" s="10">
        <v>1</v>
      </c>
      <c r="G19" s="18">
        <f>'[5]Consumption Data '!AG82</f>
        <v>14151</v>
      </c>
      <c r="H19" s="10">
        <f t="shared" si="0"/>
        <v>17669909.328672949</v>
      </c>
      <c r="I19" s="10"/>
      <c r="J19" s="14"/>
      <c r="K19" s="32" t="s">
        <v>3</v>
      </c>
      <c r="L19" s="61">
        <v>12943.550325674709</v>
      </c>
      <c r="M19" s="61">
        <v>334.74226224540638</v>
      </c>
      <c r="N19" s="59">
        <v>38.667212914351182</v>
      </c>
      <c r="O19" s="32">
        <v>2.2684479983169594E-67</v>
      </c>
      <c r="P19" s="61">
        <v>12280.428482359543</v>
      </c>
      <c r="Q19" s="61">
        <v>13606.672168989875</v>
      </c>
    </row>
    <row r="20" spans="1:17" x14ac:dyDescent="0.2">
      <c r="A20" s="3">
        <v>39600</v>
      </c>
      <c r="B20" s="27">
        <f>'[5]Consumption Data '!B83</f>
        <v>17657148.199999999</v>
      </c>
      <c r="C20" s="113">
        <f t="shared" si="1"/>
        <v>25.75</v>
      </c>
      <c r="D20" s="113">
        <f t="shared" si="1"/>
        <v>66.11</v>
      </c>
      <c r="E20" s="10">
        <v>30</v>
      </c>
      <c r="F20" s="10">
        <v>0</v>
      </c>
      <c r="G20" s="18">
        <f>'[5]Consumption Data '!AG83</f>
        <v>14186</v>
      </c>
      <c r="H20" s="10">
        <f t="shared" si="0"/>
        <v>18075257.703910764</v>
      </c>
      <c r="I20" s="10"/>
      <c r="J20" s="14"/>
      <c r="K20" s="32" t="s">
        <v>4</v>
      </c>
      <c r="L20" s="61">
        <v>33133.73731816456</v>
      </c>
      <c r="M20" s="61">
        <v>1978.2119725463795</v>
      </c>
      <c r="N20" s="59">
        <v>16.749336157092607</v>
      </c>
      <c r="O20" s="32">
        <v>1.6272174463933595E-32</v>
      </c>
      <c r="P20" s="61">
        <v>29214.914636786551</v>
      </c>
      <c r="Q20" s="61">
        <v>37052.559999542573</v>
      </c>
    </row>
    <row r="21" spans="1:17" x14ac:dyDescent="0.2">
      <c r="A21" s="3">
        <v>39630</v>
      </c>
      <c r="B21" s="27">
        <f>'[5]Consumption Data '!B84</f>
        <v>19399005.699999999</v>
      </c>
      <c r="C21" s="113">
        <f t="shared" si="1"/>
        <v>2.15</v>
      </c>
      <c r="D21" s="113">
        <f t="shared" si="1"/>
        <v>130.26</v>
      </c>
      <c r="E21" s="10">
        <v>31</v>
      </c>
      <c r="F21" s="10">
        <v>0</v>
      </c>
      <c r="G21" s="18">
        <f>'[5]Consumption Data '!AG84</f>
        <v>14218</v>
      </c>
      <c r="H21" s="10">
        <f t="shared" si="0"/>
        <v>20558355.920880966</v>
      </c>
      <c r="I21" s="10"/>
      <c r="J21" s="14"/>
      <c r="K21" s="32" t="s">
        <v>5</v>
      </c>
      <c r="L21" s="61">
        <v>646626.03989041445</v>
      </c>
      <c r="M21" s="61">
        <v>67735.95935594826</v>
      </c>
      <c r="N21" s="59">
        <v>9.5462741804900819</v>
      </c>
      <c r="O21" s="32">
        <v>3.1761571713378099E-16</v>
      </c>
      <c r="P21" s="61">
        <v>512441.62611027504</v>
      </c>
      <c r="Q21" s="61">
        <v>780810.45367055386</v>
      </c>
    </row>
    <row r="22" spans="1:17" x14ac:dyDescent="0.2">
      <c r="A22" s="3">
        <v>39661</v>
      </c>
      <c r="B22" s="27">
        <f>'[5]Consumption Data '!B85</f>
        <v>18496934.800000001</v>
      </c>
      <c r="C22" s="113">
        <f t="shared" si="1"/>
        <v>4.9399999999999995</v>
      </c>
      <c r="D22" s="113">
        <f t="shared" si="1"/>
        <v>112.87</v>
      </c>
      <c r="E22" s="10">
        <v>31</v>
      </c>
      <c r="F22" s="10">
        <v>0</v>
      </c>
      <c r="G22" s="18">
        <f>'[5]Consumption Data '!AG85</f>
        <v>14260</v>
      </c>
      <c r="H22" s="10">
        <f t="shared" si="0"/>
        <v>20039811.798821375</v>
      </c>
      <c r="I22" s="10"/>
      <c r="J22" s="14"/>
      <c r="K22" s="32" t="s">
        <v>17</v>
      </c>
      <c r="L22" s="61">
        <v>-945405.75781528826</v>
      </c>
      <c r="M22" s="61">
        <v>141921.89713241661</v>
      </c>
      <c r="N22" s="59">
        <v>-6.6614509594189091</v>
      </c>
      <c r="O22" s="32">
        <v>1.0025707756324094E-9</v>
      </c>
      <c r="P22" s="61">
        <v>-1226551.9429487279</v>
      </c>
      <c r="Q22" s="61">
        <v>-664259.57268184866</v>
      </c>
    </row>
    <row r="23" spans="1:17" ht="12.75" customHeight="1" thickBot="1" x14ac:dyDescent="0.25">
      <c r="A23" s="3">
        <v>39692</v>
      </c>
      <c r="B23" s="27">
        <f>'[5]Consumption Data '!B86</f>
        <v>16944225</v>
      </c>
      <c r="C23" s="113">
        <f t="shared" si="1"/>
        <v>57.21</v>
      </c>
      <c r="D23" s="113">
        <f t="shared" si="1"/>
        <v>41.14</v>
      </c>
      <c r="E23" s="10">
        <v>30</v>
      </c>
      <c r="F23" s="10">
        <v>1</v>
      </c>
      <c r="G23" s="18">
        <f>'[5]Consumption Data '!AG86</f>
        <v>14297</v>
      </c>
      <c r="H23" s="10">
        <f t="shared" si="0"/>
        <v>16766631.288956804</v>
      </c>
      <c r="I23" s="10"/>
      <c r="J23" s="14"/>
      <c r="K23" s="109" t="s">
        <v>70</v>
      </c>
      <c r="L23" s="62">
        <v>512.83486892044948</v>
      </c>
      <c r="M23" s="62">
        <v>72.950831285931883</v>
      </c>
      <c r="N23" s="60">
        <v>7.029870117728823</v>
      </c>
      <c r="O23" s="51">
        <v>1.6192294299005129E-10</v>
      </c>
      <c r="P23" s="62">
        <v>368.31983401208208</v>
      </c>
      <c r="Q23" s="62">
        <v>657.34990382881688</v>
      </c>
    </row>
    <row r="24" spans="1:17" x14ac:dyDescent="0.2">
      <c r="A24" s="3">
        <v>39722</v>
      </c>
      <c r="B24" s="27">
        <f>'[5]Consumption Data '!B87</f>
        <v>18736114.300000001</v>
      </c>
      <c r="C24" s="113">
        <f t="shared" si="1"/>
        <v>230.05</v>
      </c>
      <c r="D24" s="113">
        <f t="shared" si="1"/>
        <v>2.91</v>
      </c>
      <c r="E24" s="10">
        <v>31</v>
      </c>
      <c r="F24" s="10">
        <v>1</v>
      </c>
      <c r="G24" s="18">
        <f>'[5]Consumption Data '!AG87</f>
        <v>14337</v>
      </c>
      <c r="H24" s="10">
        <f t="shared" si="0"/>
        <v>18404231.184220221</v>
      </c>
      <c r="I24" s="10"/>
      <c r="J24" s="14"/>
    </row>
    <row r="25" spans="1:17" x14ac:dyDescent="0.2">
      <c r="A25" s="3">
        <v>39753</v>
      </c>
      <c r="B25" s="27">
        <f>'[5]Consumption Data '!B88</f>
        <v>20914295.899999999</v>
      </c>
      <c r="C25" s="113">
        <f t="shared" si="1"/>
        <v>409.9799999999999</v>
      </c>
      <c r="D25" s="113">
        <f t="shared" si="1"/>
        <v>0</v>
      </c>
      <c r="E25" s="10">
        <v>30</v>
      </c>
      <c r="F25" s="10">
        <v>1</v>
      </c>
      <c r="G25" s="18">
        <f>'[5]Consumption Data '!AG88</f>
        <v>14348</v>
      </c>
      <c r="H25" s="10">
        <f t="shared" si="0"/>
        <v>19995760.162390724</v>
      </c>
      <c r="I25" s="10"/>
      <c r="J25" s="14"/>
    </row>
    <row r="26" spans="1:17" x14ac:dyDescent="0.2">
      <c r="A26" s="3">
        <v>39783</v>
      </c>
      <c r="B26" s="27">
        <f>'[5]Consumption Data '!B89</f>
        <v>25844885.199999999</v>
      </c>
      <c r="C26" s="113">
        <f t="shared" si="1"/>
        <v>594.31999999999994</v>
      </c>
      <c r="D26" s="113">
        <f t="shared" si="1"/>
        <v>0</v>
      </c>
      <c r="E26" s="10">
        <v>31</v>
      </c>
      <c r="F26" s="10">
        <v>0</v>
      </c>
      <c r="G26" s="18">
        <f>'[5]Consumption Data '!AG89</f>
        <v>14388</v>
      </c>
      <c r="H26" s="10">
        <f t="shared" si="0"/>
        <v>23994319.421888117</v>
      </c>
      <c r="I26" s="10"/>
      <c r="J26" s="14"/>
    </row>
    <row r="27" spans="1:17" x14ac:dyDescent="0.2">
      <c r="A27" s="3">
        <v>39814</v>
      </c>
      <c r="B27" s="27">
        <f>'[5]Consumption Data '!B90</f>
        <v>27698757.900000002</v>
      </c>
      <c r="C27" s="113">
        <f t="shared" si="1"/>
        <v>712.03</v>
      </c>
      <c r="D27" s="113">
        <f t="shared" si="1"/>
        <v>0</v>
      </c>
      <c r="E27" s="10">
        <v>31</v>
      </c>
      <c r="F27" s="10">
        <v>0</v>
      </c>
      <c r="G27" s="18">
        <f>'[5]Consumption Data '!AG90</f>
        <v>14411</v>
      </c>
      <c r="H27" s="10">
        <f t="shared" si="0"/>
        <v>25529699.932708457</v>
      </c>
      <c r="I27" s="10"/>
      <c r="J27" s="14"/>
    </row>
    <row r="28" spans="1:17" x14ac:dyDescent="0.2">
      <c r="A28" s="3">
        <v>39845</v>
      </c>
      <c r="B28" s="27">
        <f>'[5]Consumption Data '!B91</f>
        <v>22854686.900000002</v>
      </c>
      <c r="C28" s="113">
        <f t="shared" si="1"/>
        <v>661.92</v>
      </c>
      <c r="D28" s="113">
        <f t="shared" si="1"/>
        <v>0</v>
      </c>
      <c r="E28" s="10">
        <v>28</v>
      </c>
      <c r="F28" s="10">
        <v>0</v>
      </c>
      <c r="G28" s="18">
        <f>'[5]Consumption Data '!AG91</f>
        <v>14426</v>
      </c>
      <c r="H28" s="10">
        <f t="shared" si="0"/>
        <v>22948913.029251464</v>
      </c>
      <c r="I28" s="10"/>
      <c r="J28" s="14"/>
    </row>
    <row r="29" spans="1:17" x14ac:dyDescent="0.2">
      <c r="A29" s="3">
        <v>39873</v>
      </c>
      <c r="B29" s="27">
        <f>'[5]Consumption Data '!B92</f>
        <v>22750703.800000001</v>
      </c>
      <c r="C29" s="113">
        <f t="shared" si="1"/>
        <v>537.27</v>
      </c>
      <c r="D29" s="113">
        <f t="shared" si="1"/>
        <v>0.02</v>
      </c>
      <c r="E29" s="10">
        <v>31</v>
      </c>
      <c r="F29" s="10">
        <v>1</v>
      </c>
      <c r="G29" s="18">
        <f>'[5]Consumption Data '!AG92</f>
        <v>14438</v>
      </c>
      <c r="H29" s="10">
        <f t="shared" si="0"/>
        <v>22336788.536185473</v>
      </c>
      <c r="I29" s="10"/>
      <c r="J29" s="14"/>
    </row>
    <row r="30" spans="1:17" x14ac:dyDescent="0.2">
      <c r="A30" s="3">
        <v>39904</v>
      </c>
      <c r="B30" s="27">
        <f>'[5]Consumption Data '!B93</f>
        <v>18949041.899999999</v>
      </c>
      <c r="C30" s="113">
        <f t="shared" si="1"/>
        <v>321.91999999999996</v>
      </c>
      <c r="D30" s="113">
        <f t="shared" si="1"/>
        <v>0.12</v>
      </c>
      <c r="E30" s="10">
        <v>30</v>
      </c>
      <c r="F30" s="10">
        <v>1</v>
      </c>
      <c r="G30" s="18">
        <f>'[5]Consumption Data '!AG93</f>
        <v>14448</v>
      </c>
      <c r="H30" s="10">
        <f t="shared" si="0"/>
        <v>18911210.656082034</v>
      </c>
      <c r="I30" s="10"/>
      <c r="J30" s="14"/>
    </row>
    <row r="31" spans="1:17" x14ac:dyDescent="0.2">
      <c r="A31" s="3">
        <v>39934</v>
      </c>
      <c r="B31" s="27">
        <f>'[5]Consumption Data '!B94</f>
        <v>17348781.300000001</v>
      </c>
      <c r="C31" s="113">
        <f t="shared" si="1"/>
        <v>128.44</v>
      </c>
      <c r="D31" s="113">
        <f t="shared" si="1"/>
        <v>23.32</v>
      </c>
      <c r="E31" s="10">
        <v>31</v>
      </c>
      <c r="F31" s="10">
        <v>1</v>
      </c>
      <c r="G31" s="18">
        <f>'[5]Consumption Data '!AG94</f>
        <v>14455</v>
      </c>
      <c r="H31" s="10">
        <f t="shared" si="0"/>
        <v>17825811.128824763</v>
      </c>
      <c r="I31" s="10"/>
      <c r="J31" s="14"/>
    </row>
    <row r="32" spans="1:17" x14ac:dyDescent="0.2">
      <c r="A32" s="3">
        <v>39965</v>
      </c>
      <c r="B32" s="27">
        <f>'[5]Consumption Data '!B95</f>
        <v>17392957.300000001</v>
      </c>
      <c r="C32" s="113">
        <f t="shared" si="1"/>
        <v>25.75</v>
      </c>
      <c r="D32" s="113">
        <f t="shared" si="1"/>
        <v>66.11</v>
      </c>
      <c r="E32" s="10">
        <v>30</v>
      </c>
      <c r="F32" s="10">
        <v>0</v>
      </c>
      <c r="G32" s="18">
        <f>'[5]Consumption Data '!AG95</f>
        <v>14460</v>
      </c>
      <c r="H32" s="10">
        <f t="shared" si="0"/>
        <v>18215774.457994968</v>
      </c>
      <c r="I32" s="10"/>
      <c r="J32" s="14"/>
    </row>
    <row r="33" spans="1:10" x14ac:dyDescent="0.2">
      <c r="A33" s="3">
        <v>39995</v>
      </c>
      <c r="B33" s="27">
        <f>'[5]Consumption Data '!B96</f>
        <v>18006297.300000001</v>
      </c>
      <c r="C33" s="113">
        <f t="shared" si="1"/>
        <v>2.15</v>
      </c>
      <c r="D33" s="113">
        <f t="shared" si="1"/>
        <v>130.26</v>
      </c>
      <c r="E33" s="10">
        <v>31</v>
      </c>
      <c r="F33" s="10">
        <v>0</v>
      </c>
      <c r="G33" s="18">
        <f>'[5]Consumption Data '!AG96</f>
        <v>14710</v>
      </c>
      <c r="H33" s="10">
        <f t="shared" si="0"/>
        <v>20810670.676389828</v>
      </c>
      <c r="I33" s="10"/>
      <c r="J33" s="14"/>
    </row>
    <row r="34" spans="1:10" x14ac:dyDescent="0.2">
      <c r="A34" s="3">
        <v>40026</v>
      </c>
      <c r="B34" s="27">
        <f>'[5]Consumption Data '!B97</f>
        <v>20135392.300000001</v>
      </c>
      <c r="C34" s="113">
        <f t="shared" si="1"/>
        <v>4.9399999999999995</v>
      </c>
      <c r="D34" s="113">
        <f t="shared" si="1"/>
        <v>112.87</v>
      </c>
      <c r="E34" s="10">
        <v>31</v>
      </c>
      <c r="F34" s="10">
        <v>0</v>
      </c>
      <c r="G34" s="18">
        <f>'[5]Consumption Data '!AG97</f>
        <v>14976</v>
      </c>
      <c r="H34" s="10">
        <f t="shared" si="0"/>
        <v>20407001.564968418</v>
      </c>
      <c r="I34" s="10"/>
      <c r="J34" s="14"/>
    </row>
    <row r="35" spans="1:10" x14ac:dyDescent="0.2">
      <c r="A35" s="3">
        <v>40057</v>
      </c>
      <c r="B35" s="27">
        <f>'[5]Consumption Data '!B98</f>
        <v>17368091.399999999</v>
      </c>
      <c r="C35" s="113">
        <f t="shared" ref="C35:D54" si="2">C23</f>
        <v>57.21</v>
      </c>
      <c r="D35" s="113">
        <f t="shared" si="2"/>
        <v>41.14</v>
      </c>
      <c r="E35" s="10">
        <v>30</v>
      </c>
      <c r="F35" s="10">
        <v>1</v>
      </c>
      <c r="G35" s="18">
        <f>'[5]Consumption Data '!AG98</f>
        <v>15073</v>
      </c>
      <c r="H35" s="10">
        <f t="shared" si="0"/>
        <v>17164591.147239074</v>
      </c>
      <c r="I35" s="10"/>
      <c r="J35" s="14"/>
    </row>
    <row r="36" spans="1:10" x14ac:dyDescent="0.2">
      <c r="A36" s="3">
        <v>40087</v>
      </c>
      <c r="B36" s="27">
        <f>'[5]Consumption Data '!B99</f>
        <v>19458169</v>
      </c>
      <c r="C36" s="113">
        <f t="shared" si="2"/>
        <v>230.05</v>
      </c>
      <c r="D36" s="113">
        <f t="shared" si="2"/>
        <v>2.91</v>
      </c>
      <c r="E36" s="10">
        <v>31</v>
      </c>
      <c r="F36" s="10">
        <v>1</v>
      </c>
      <c r="G36" s="18">
        <f>'[5]Consumption Data '!AG99</f>
        <v>15110</v>
      </c>
      <c r="H36" s="10">
        <f t="shared" si="0"/>
        <v>18800652.537895728</v>
      </c>
      <c r="I36" s="10"/>
      <c r="J36" s="14"/>
    </row>
    <row r="37" spans="1:10" x14ac:dyDescent="0.2">
      <c r="A37" s="3">
        <v>40118</v>
      </c>
      <c r="B37" s="27">
        <f>'[5]Consumption Data '!B100</f>
        <v>19998429.5</v>
      </c>
      <c r="C37" s="113">
        <f t="shared" si="2"/>
        <v>409.9799999999999</v>
      </c>
      <c r="D37" s="113">
        <f t="shared" si="2"/>
        <v>0</v>
      </c>
      <c r="E37" s="10">
        <v>30</v>
      </c>
      <c r="F37" s="10">
        <v>1</v>
      </c>
      <c r="G37" s="18">
        <f>'[5]Consumption Data '!AG100</f>
        <v>15107</v>
      </c>
      <c r="H37" s="10">
        <f t="shared" si="0"/>
        <v>20385001.827901345</v>
      </c>
      <c r="I37" s="10"/>
      <c r="J37" s="14"/>
    </row>
    <row r="38" spans="1:10" x14ac:dyDescent="0.2">
      <c r="A38" s="3">
        <v>40148</v>
      </c>
      <c r="B38" s="27">
        <f>'[5]Consumption Data '!B101</f>
        <v>25277880.599999998</v>
      </c>
      <c r="C38" s="113">
        <f t="shared" si="2"/>
        <v>594.31999999999994</v>
      </c>
      <c r="D38" s="113">
        <f t="shared" si="2"/>
        <v>0</v>
      </c>
      <c r="E38" s="10">
        <v>31</v>
      </c>
      <c r="F38" s="10">
        <v>0</v>
      </c>
      <c r="G38" s="18">
        <f>'[5]Consumption Data '!AG101</f>
        <v>14563</v>
      </c>
      <c r="H38" s="10">
        <f t="shared" si="0"/>
        <v>24084065.523949198</v>
      </c>
      <c r="I38" s="10"/>
      <c r="J38" s="14"/>
    </row>
    <row r="39" spans="1:10" x14ac:dyDescent="0.2">
      <c r="A39" s="3">
        <v>40179</v>
      </c>
      <c r="B39" s="27">
        <f>'[5]Consumption Data '!B102</f>
        <v>26451955.599999998</v>
      </c>
      <c r="C39" s="113">
        <f t="shared" si="2"/>
        <v>712.03</v>
      </c>
      <c r="D39" s="113">
        <f t="shared" si="2"/>
        <v>0</v>
      </c>
      <c r="E39" s="10">
        <v>31</v>
      </c>
      <c r="F39" s="10">
        <v>0</v>
      </c>
      <c r="G39" s="18">
        <f>'[5]Consumption Data '!AG102</f>
        <v>14554</v>
      </c>
      <c r="H39" s="10">
        <f t="shared" si="0"/>
        <v>25603035.318964083</v>
      </c>
      <c r="I39" s="10"/>
      <c r="J39" s="14"/>
    </row>
    <row r="40" spans="1:10" x14ac:dyDescent="0.2">
      <c r="A40" s="3">
        <v>40210</v>
      </c>
      <c r="B40" s="27">
        <f>'[5]Consumption Data '!B103</f>
        <v>22355017.900000002</v>
      </c>
      <c r="C40" s="113">
        <f t="shared" si="2"/>
        <v>661.92</v>
      </c>
      <c r="D40" s="113">
        <f t="shared" si="2"/>
        <v>0</v>
      </c>
      <c r="E40" s="10">
        <v>28</v>
      </c>
      <c r="F40" s="10">
        <v>0</v>
      </c>
      <c r="G40" s="18">
        <f>'[5]Consumption Data '!AG103</f>
        <v>14553</v>
      </c>
      <c r="H40" s="10">
        <f t="shared" si="0"/>
        <v>23014043.057604361</v>
      </c>
      <c r="I40" s="10"/>
      <c r="J40" s="14"/>
    </row>
    <row r="41" spans="1:10" x14ac:dyDescent="0.2">
      <c r="A41" s="3">
        <v>40238</v>
      </c>
      <c r="B41" s="27">
        <f>'[5]Consumption Data '!B104</f>
        <v>21335193</v>
      </c>
      <c r="C41" s="113">
        <f t="shared" si="2"/>
        <v>537.27</v>
      </c>
      <c r="D41" s="113">
        <f t="shared" si="2"/>
        <v>0.02</v>
      </c>
      <c r="E41" s="10">
        <v>31</v>
      </c>
      <c r="F41" s="10">
        <v>1</v>
      </c>
      <c r="G41" s="18">
        <f>'[5]Consumption Data '!AG104</f>
        <v>14566</v>
      </c>
      <c r="H41" s="10">
        <f t="shared" si="0"/>
        <v>22402431.39940729</v>
      </c>
      <c r="I41" s="10"/>
      <c r="J41" s="14"/>
    </row>
    <row r="42" spans="1:10" x14ac:dyDescent="0.2">
      <c r="A42" s="3">
        <v>40269</v>
      </c>
      <c r="B42" s="27">
        <f>'[5]Consumption Data '!B105</f>
        <v>17366211</v>
      </c>
      <c r="C42" s="113">
        <f t="shared" si="2"/>
        <v>321.91999999999996</v>
      </c>
      <c r="D42" s="113">
        <f t="shared" si="2"/>
        <v>0.12</v>
      </c>
      <c r="E42" s="10">
        <v>30</v>
      </c>
      <c r="F42" s="10">
        <v>1</v>
      </c>
      <c r="G42" s="18">
        <f>'[5]Consumption Data '!AG105</f>
        <v>14576</v>
      </c>
      <c r="H42" s="10">
        <f t="shared" si="0"/>
        <v>18976853.519303851</v>
      </c>
      <c r="I42" s="10"/>
      <c r="J42" s="14"/>
    </row>
    <row r="43" spans="1:10" x14ac:dyDescent="0.2">
      <c r="A43" s="3">
        <v>40299</v>
      </c>
      <c r="B43" s="27">
        <f>'[5]Consumption Data '!B106</f>
        <v>18594842.100000001</v>
      </c>
      <c r="C43" s="113">
        <f t="shared" si="2"/>
        <v>128.44</v>
      </c>
      <c r="D43" s="113">
        <f t="shared" si="2"/>
        <v>23.32</v>
      </c>
      <c r="E43" s="10">
        <v>31</v>
      </c>
      <c r="F43" s="10">
        <v>1</v>
      </c>
      <c r="G43" s="18">
        <f>'[5]Consumption Data '!AG106</f>
        <v>14570</v>
      </c>
      <c r="H43" s="10">
        <f t="shared" si="0"/>
        <v>17884787.138750616</v>
      </c>
      <c r="I43" s="10"/>
      <c r="J43" s="14"/>
    </row>
    <row r="44" spans="1:10" x14ac:dyDescent="0.2">
      <c r="A44" s="3">
        <v>40330</v>
      </c>
      <c r="B44" s="27">
        <f>'[5]Consumption Data '!B107</f>
        <v>18232281.300000001</v>
      </c>
      <c r="C44" s="113">
        <f t="shared" si="2"/>
        <v>25.75</v>
      </c>
      <c r="D44" s="113">
        <f t="shared" si="2"/>
        <v>66.11</v>
      </c>
      <c r="E44" s="10">
        <v>30</v>
      </c>
      <c r="F44" s="10">
        <v>0</v>
      </c>
      <c r="G44" s="18">
        <f>'[5]Consumption Data '!AG107</f>
        <v>14584</v>
      </c>
      <c r="H44" s="10">
        <f t="shared" si="0"/>
        <v>18279365.981741104</v>
      </c>
      <c r="I44" s="10"/>
      <c r="J44" s="14"/>
    </row>
    <row r="45" spans="1:10" x14ac:dyDescent="0.2">
      <c r="A45" s="3">
        <v>40360</v>
      </c>
      <c r="B45" s="27">
        <f>'[5]Consumption Data '!B108</f>
        <v>22225961.800000001</v>
      </c>
      <c r="C45" s="113">
        <f t="shared" si="2"/>
        <v>2.15</v>
      </c>
      <c r="D45" s="113">
        <f t="shared" si="2"/>
        <v>130.26</v>
      </c>
      <c r="E45" s="10">
        <v>31</v>
      </c>
      <c r="F45" s="10">
        <v>0</v>
      </c>
      <c r="G45" s="18">
        <f>'[5]Consumption Data '!AG108</f>
        <v>14599</v>
      </c>
      <c r="H45" s="10">
        <f t="shared" si="0"/>
        <v>20753746.005939655</v>
      </c>
      <c r="I45" s="10"/>
      <c r="J45" s="14"/>
    </row>
    <row r="46" spans="1:10" x14ac:dyDescent="0.2">
      <c r="A46" s="3">
        <v>40391</v>
      </c>
      <c r="B46" s="27">
        <f>'[5]Consumption Data '!B109</f>
        <v>21301864.899999999</v>
      </c>
      <c r="C46" s="113">
        <f t="shared" si="2"/>
        <v>4.9399999999999995</v>
      </c>
      <c r="D46" s="113">
        <f t="shared" si="2"/>
        <v>112.87</v>
      </c>
      <c r="E46" s="10">
        <v>31</v>
      </c>
      <c r="F46" s="10">
        <v>0</v>
      </c>
      <c r="G46" s="18">
        <f>'[5]Consumption Data '!AG109</f>
        <v>14633</v>
      </c>
      <c r="H46" s="10">
        <f t="shared" si="0"/>
        <v>20231099.204928704</v>
      </c>
      <c r="I46" s="10"/>
      <c r="J46" s="14"/>
    </row>
    <row r="47" spans="1:10" x14ac:dyDescent="0.2">
      <c r="A47" s="3">
        <v>40422</v>
      </c>
      <c r="B47" s="27">
        <f>'[5]Consumption Data '!B110</f>
        <v>17785837.5</v>
      </c>
      <c r="C47" s="113">
        <f t="shared" si="2"/>
        <v>57.21</v>
      </c>
      <c r="D47" s="113">
        <f t="shared" si="2"/>
        <v>41.14</v>
      </c>
      <c r="E47" s="10">
        <v>30</v>
      </c>
      <c r="F47" s="10">
        <v>1</v>
      </c>
      <c r="G47" s="18">
        <f>'[5]Consumption Data '!AG110</f>
        <v>14646</v>
      </c>
      <c r="H47" s="10">
        <f t="shared" si="0"/>
        <v>16945610.658210039</v>
      </c>
      <c r="I47" s="10"/>
      <c r="J47" s="14"/>
    </row>
    <row r="48" spans="1:10" x14ac:dyDescent="0.2">
      <c r="A48" s="3">
        <v>40452</v>
      </c>
      <c r="B48" s="27">
        <f>'[5]Consumption Data '!B111</f>
        <v>18734173.199999999</v>
      </c>
      <c r="C48" s="113">
        <f t="shared" si="2"/>
        <v>230.05</v>
      </c>
      <c r="D48" s="113">
        <f t="shared" si="2"/>
        <v>2.91</v>
      </c>
      <c r="E48" s="10">
        <v>31</v>
      </c>
      <c r="F48" s="10">
        <v>1</v>
      </c>
      <c r="G48" s="18">
        <f>'[5]Consumption Data '!AG111</f>
        <v>14664</v>
      </c>
      <c r="H48" s="10">
        <f t="shared" si="0"/>
        <v>18571928.186357208</v>
      </c>
      <c r="I48" s="10"/>
      <c r="J48" s="14"/>
    </row>
    <row r="49" spans="1:10" x14ac:dyDescent="0.2">
      <c r="A49" s="3">
        <v>40483</v>
      </c>
      <c r="B49" s="27">
        <f>'[5]Consumption Data '!B112</f>
        <v>20451455.399999999</v>
      </c>
      <c r="C49" s="113">
        <f t="shared" si="2"/>
        <v>409.9799999999999</v>
      </c>
      <c r="D49" s="113">
        <f t="shared" si="2"/>
        <v>0</v>
      </c>
      <c r="E49" s="10">
        <v>30</v>
      </c>
      <c r="F49" s="10">
        <v>1</v>
      </c>
      <c r="G49" s="18">
        <f>'[5]Consumption Data '!AG112</f>
        <v>14688</v>
      </c>
      <c r="H49" s="10">
        <f t="shared" si="0"/>
        <v>20170124.017823674</v>
      </c>
      <c r="I49" s="10"/>
      <c r="J49" s="14"/>
    </row>
    <row r="50" spans="1:10" x14ac:dyDescent="0.2">
      <c r="A50" s="3">
        <v>40513</v>
      </c>
      <c r="B50" s="27">
        <f>'[5]Consumption Data '!B113</f>
        <v>25404585.100000001</v>
      </c>
      <c r="C50" s="113">
        <f t="shared" si="2"/>
        <v>594.31999999999994</v>
      </c>
      <c r="D50" s="113">
        <f t="shared" si="2"/>
        <v>0</v>
      </c>
      <c r="E50" s="10">
        <v>31</v>
      </c>
      <c r="F50" s="10">
        <v>0</v>
      </c>
      <c r="G50" s="18">
        <f>'[5]Consumption Data '!AG113</f>
        <v>14707</v>
      </c>
      <c r="H50" s="10">
        <f t="shared" si="0"/>
        <v>24157913.745073743</v>
      </c>
      <c r="I50" s="10"/>
      <c r="J50" s="14"/>
    </row>
    <row r="51" spans="1:10" x14ac:dyDescent="0.2">
      <c r="A51" s="3">
        <v>40544</v>
      </c>
      <c r="B51" s="27">
        <f>'[5]Consumption Data '!B114</f>
        <v>26274474</v>
      </c>
      <c r="C51" s="113">
        <f t="shared" si="2"/>
        <v>712.03</v>
      </c>
      <c r="D51" s="113">
        <f t="shared" si="2"/>
        <v>0</v>
      </c>
      <c r="E51" s="47">
        <v>31</v>
      </c>
      <c r="F51" s="10">
        <v>0</v>
      </c>
      <c r="G51" s="18">
        <f>'[5]Consumption Data '!AG114</f>
        <v>14713</v>
      </c>
      <c r="H51" s="10">
        <f t="shared" si="0"/>
        <v>25684576.063122436</v>
      </c>
      <c r="I51" s="10"/>
      <c r="J51" s="14"/>
    </row>
    <row r="52" spans="1:10" x14ac:dyDescent="0.2">
      <c r="A52" s="3">
        <v>40575</v>
      </c>
      <c r="B52" s="27">
        <f>'[5]Consumption Data '!B115</f>
        <v>22971970.300000001</v>
      </c>
      <c r="C52" s="113">
        <f t="shared" si="2"/>
        <v>661.92</v>
      </c>
      <c r="D52" s="113">
        <f t="shared" si="2"/>
        <v>0</v>
      </c>
      <c r="E52" s="47">
        <v>28</v>
      </c>
      <c r="F52" s="10">
        <v>0</v>
      </c>
      <c r="G52" s="18">
        <f>'[5]Consumption Data '!AG115</f>
        <v>14716</v>
      </c>
      <c r="H52" s="10">
        <f t="shared" si="0"/>
        <v>23097635.141238395</v>
      </c>
      <c r="I52" s="10"/>
      <c r="J52" s="14"/>
    </row>
    <row r="53" spans="1:10" x14ac:dyDescent="0.2">
      <c r="A53" s="3">
        <v>40603</v>
      </c>
      <c r="B53" s="27">
        <f>'[5]Consumption Data '!B116</f>
        <v>22951605.199999999</v>
      </c>
      <c r="C53" s="113">
        <f t="shared" si="2"/>
        <v>537.27</v>
      </c>
      <c r="D53" s="113">
        <f t="shared" si="2"/>
        <v>0.02</v>
      </c>
      <c r="E53" s="47">
        <v>31</v>
      </c>
      <c r="F53" s="10">
        <v>1</v>
      </c>
      <c r="G53" s="18">
        <f>'[5]Consumption Data '!AG116</f>
        <v>14728</v>
      </c>
      <c r="H53" s="10">
        <f t="shared" si="0"/>
        <v>22485510.648172405</v>
      </c>
      <c r="I53" s="10"/>
      <c r="J53" s="14"/>
    </row>
    <row r="54" spans="1:10" x14ac:dyDescent="0.2">
      <c r="A54" s="3">
        <v>40634</v>
      </c>
      <c r="B54" s="27">
        <f>'[5]Consumption Data '!B117</f>
        <v>18914566.699999999</v>
      </c>
      <c r="C54" s="113">
        <f t="shared" si="2"/>
        <v>321.91999999999996</v>
      </c>
      <c r="D54" s="113">
        <f t="shared" si="2"/>
        <v>0.12</v>
      </c>
      <c r="E54" s="47">
        <v>30</v>
      </c>
      <c r="F54" s="10">
        <v>1</v>
      </c>
      <c r="G54" s="18">
        <f>'[5]Consumption Data '!AG117</f>
        <v>14729</v>
      </c>
      <c r="H54" s="10">
        <f t="shared" si="0"/>
        <v>19055317.254248679</v>
      </c>
      <c r="I54" s="10"/>
      <c r="J54" s="14"/>
    </row>
    <row r="55" spans="1:10" x14ac:dyDescent="0.2">
      <c r="A55" s="3">
        <v>40664</v>
      </c>
      <c r="B55" s="27">
        <f>'[5]Consumption Data '!B118</f>
        <v>17615740</v>
      </c>
      <c r="C55" s="113">
        <f t="shared" ref="C55:D74" si="3">C43</f>
        <v>128.44</v>
      </c>
      <c r="D55" s="113">
        <f t="shared" si="3"/>
        <v>23.32</v>
      </c>
      <c r="E55" s="47">
        <v>31</v>
      </c>
      <c r="F55" s="10">
        <v>1</v>
      </c>
      <c r="G55" s="18">
        <f>'[5]Consumption Data '!AG118</f>
        <v>14733</v>
      </c>
      <c r="H55" s="10">
        <f t="shared" si="0"/>
        <v>17968379.22238465</v>
      </c>
      <c r="I55" s="10"/>
      <c r="J55" s="14"/>
    </row>
    <row r="56" spans="1:10" x14ac:dyDescent="0.2">
      <c r="A56" s="3">
        <v>40695</v>
      </c>
      <c r="B56" s="27">
        <f>'[5]Consumption Data '!B119</f>
        <v>17571916.300000001</v>
      </c>
      <c r="C56" s="113">
        <f t="shared" si="3"/>
        <v>25.75</v>
      </c>
      <c r="D56" s="113">
        <f t="shared" si="3"/>
        <v>66.11</v>
      </c>
      <c r="E56" s="47">
        <v>30</v>
      </c>
      <c r="F56" s="10">
        <v>0</v>
      </c>
      <c r="G56" s="18">
        <f>'[5]Consumption Data '!AG119</f>
        <v>14742</v>
      </c>
      <c r="H56" s="10">
        <f t="shared" si="0"/>
        <v>18360393.891030535</v>
      </c>
      <c r="I56" s="10"/>
      <c r="J56" s="14"/>
    </row>
    <row r="57" spans="1:10" x14ac:dyDescent="0.2">
      <c r="A57" s="3">
        <v>40725</v>
      </c>
      <c r="B57" s="27">
        <f>'[5]Consumption Data '!B120</f>
        <v>22292830.300000001</v>
      </c>
      <c r="C57" s="113">
        <f t="shared" si="3"/>
        <v>2.15</v>
      </c>
      <c r="D57" s="113">
        <f t="shared" si="3"/>
        <v>130.26</v>
      </c>
      <c r="E57" s="47">
        <v>31</v>
      </c>
      <c r="F57" s="10">
        <v>0</v>
      </c>
      <c r="G57" s="18">
        <f>'[5]Consumption Data '!AG120</f>
        <v>14759</v>
      </c>
      <c r="H57" s="10">
        <f t="shared" si="0"/>
        <v>20835799.584966928</v>
      </c>
      <c r="I57" s="10"/>
      <c r="J57" s="14"/>
    </row>
    <row r="58" spans="1:10" x14ac:dyDescent="0.2">
      <c r="A58" s="3">
        <v>40756</v>
      </c>
      <c r="B58" s="27">
        <f>'[5]Consumption Data '!B121</f>
        <v>19354570.300000001</v>
      </c>
      <c r="C58" s="113">
        <f t="shared" si="3"/>
        <v>4.9399999999999995</v>
      </c>
      <c r="D58" s="113">
        <f t="shared" si="3"/>
        <v>112.87</v>
      </c>
      <c r="E58" s="47">
        <v>31</v>
      </c>
      <c r="F58" s="10">
        <v>0</v>
      </c>
      <c r="G58" s="18">
        <f>'[5]Consumption Data '!AG121</f>
        <v>14772</v>
      </c>
      <c r="H58" s="10">
        <f t="shared" si="0"/>
        <v>20302383.251708649</v>
      </c>
      <c r="I58" s="10"/>
      <c r="J58" s="14"/>
    </row>
    <row r="59" spans="1:10" x14ac:dyDescent="0.2">
      <c r="A59" s="3">
        <v>40787</v>
      </c>
      <c r="B59" s="27">
        <f>'[5]Consumption Data '!B122</f>
        <v>17323768.100000001</v>
      </c>
      <c r="C59" s="113">
        <f t="shared" si="3"/>
        <v>57.21</v>
      </c>
      <c r="D59" s="113">
        <f t="shared" si="3"/>
        <v>41.14</v>
      </c>
      <c r="E59" s="47">
        <v>30</v>
      </c>
      <c r="F59" s="10">
        <v>1</v>
      </c>
      <c r="G59" s="18">
        <f>'[5]Consumption Data '!AG122</f>
        <v>14772</v>
      </c>
      <c r="H59" s="10">
        <f t="shared" si="0"/>
        <v>17010227.851694018</v>
      </c>
      <c r="I59" s="10"/>
      <c r="J59" s="14"/>
    </row>
    <row r="60" spans="1:10" x14ac:dyDescent="0.2">
      <c r="A60" s="3">
        <v>40817</v>
      </c>
      <c r="B60" s="27">
        <f>'[5]Consumption Data '!B123</f>
        <v>18576164</v>
      </c>
      <c r="C60" s="113">
        <f t="shared" si="3"/>
        <v>230.05</v>
      </c>
      <c r="D60" s="113">
        <f t="shared" si="3"/>
        <v>2.91</v>
      </c>
      <c r="E60" s="47">
        <v>31</v>
      </c>
      <c r="F60" s="10">
        <v>1</v>
      </c>
      <c r="G60" s="18">
        <f>'[5]Consumption Data '!AG123</f>
        <v>14794</v>
      </c>
      <c r="H60" s="10">
        <f t="shared" si="0"/>
        <v>18638596.719316866</v>
      </c>
      <c r="I60" s="10"/>
      <c r="J60" s="14"/>
    </row>
    <row r="61" spans="1:10" x14ac:dyDescent="0.2">
      <c r="A61" s="3">
        <v>40848</v>
      </c>
      <c r="B61" s="27">
        <f>'[5]Consumption Data '!B124</f>
        <v>19598868</v>
      </c>
      <c r="C61" s="113">
        <f t="shared" si="3"/>
        <v>409.9799999999999</v>
      </c>
      <c r="D61" s="113">
        <f t="shared" si="3"/>
        <v>0</v>
      </c>
      <c r="E61" s="47">
        <v>30</v>
      </c>
      <c r="F61" s="10">
        <v>1</v>
      </c>
      <c r="G61" s="18">
        <f>'[5]Consumption Data '!AG124</f>
        <v>14809</v>
      </c>
      <c r="H61" s="10">
        <f t="shared" si="0"/>
        <v>20232177.036963049</v>
      </c>
      <c r="I61" s="10"/>
      <c r="J61" s="14"/>
    </row>
    <row r="62" spans="1:10" x14ac:dyDescent="0.2">
      <c r="A62" s="3">
        <v>40878</v>
      </c>
      <c r="B62" s="27">
        <f>'[5]Consumption Data '!B125</f>
        <v>23311694</v>
      </c>
      <c r="C62" s="113">
        <f t="shared" si="3"/>
        <v>594.31999999999994</v>
      </c>
      <c r="D62" s="113">
        <f t="shared" si="3"/>
        <v>0</v>
      </c>
      <c r="E62" s="47">
        <v>31</v>
      </c>
      <c r="F62" s="10">
        <v>0</v>
      </c>
      <c r="G62" s="18">
        <f>(G61+G63)/2</f>
        <v>14817.5</v>
      </c>
      <c r="H62" s="10">
        <f t="shared" si="0"/>
        <v>24214581.998089451</v>
      </c>
      <c r="I62" s="10"/>
      <c r="J62" s="14"/>
    </row>
    <row r="63" spans="1:10" x14ac:dyDescent="0.2">
      <c r="A63" s="3">
        <v>40909</v>
      </c>
      <c r="B63" s="27">
        <f>'[6]Power Purchased'!B123</f>
        <v>24487281</v>
      </c>
      <c r="C63" s="113">
        <f t="shared" si="3"/>
        <v>712.03</v>
      </c>
      <c r="D63" s="113">
        <f t="shared" si="3"/>
        <v>0</v>
      </c>
      <c r="E63" s="10">
        <v>31</v>
      </c>
      <c r="F63" s="18">
        <v>0</v>
      </c>
      <c r="G63" s="18">
        <f>'[6]Customer Numbers'!$J6</f>
        <v>14826</v>
      </c>
      <c r="H63" s="10">
        <f t="shared" si="0"/>
        <v>25742526.403310448</v>
      </c>
    </row>
    <row r="64" spans="1:10" x14ac:dyDescent="0.2">
      <c r="A64" s="3">
        <v>40940</v>
      </c>
      <c r="B64" s="27">
        <f>'[6]Power Purchased'!B124</f>
        <v>21711326.899999999</v>
      </c>
      <c r="C64" s="113">
        <f t="shared" si="3"/>
        <v>661.92</v>
      </c>
      <c r="D64" s="113">
        <f t="shared" si="3"/>
        <v>0</v>
      </c>
      <c r="E64" s="10">
        <v>29</v>
      </c>
      <c r="F64" s="18">
        <v>0</v>
      </c>
      <c r="G64" s="18">
        <f>'[6]Customer Numbers'!$J7</f>
        <v>14835</v>
      </c>
      <c r="H64" s="10">
        <f t="shared" si="0"/>
        <v>23805288.530530341</v>
      </c>
    </row>
    <row r="65" spans="1:10" x14ac:dyDescent="0.2">
      <c r="A65" s="3">
        <v>40969</v>
      </c>
      <c r="B65" s="27">
        <f>'[6]Power Purchased'!B125</f>
        <v>20140443.699999999</v>
      </c>
      <c r="C65" s="113">
        <f t="shared" si="3"/>
        <v>537.27</v>
      </c>
      <c r="D65" s="113">
        <f t="shared" si="3"/>
        <v>0.02</v>
      </c>
      <c r="E65" s="10">
        <v>31</v>
      </c>
      <c r="F65" s="18">
        <v>1</v>
      </c>
      <c r="G65" s="18">
        <f>'[6]Customer Numbers'!$J8</f>
        <v>14856</v>
      </c>
      <c r="H65" s="10">
        <f t="shared" si="0"/>
        <v>22551153.511394221</v>
      </c>
    </row>
    <row r="66" spans="1:10" x14ac:dyDescent="0.2">
      <c r="A66" s="3">
        <v>41000</v>
      </c>
      <c r="B66" s="27">
        <f>'[6]Power Purchased'!B126</f>
        <v>18335838.899999999</v>
      </c>
      <c r="C66" s="113">
        <f t="shared" si="3"/>
        <v>321.91999999999996</v>
      </c>
      <c r="D66" s="113">
        <f t="shared" si="3"/>
        <v>0.12</v>
      </c>
      <c r="E66" s="10">
        <v>30</v>
      </c>
      <c r="F66" s="18">
        <v>1</v>
      </c>
      <c r="G66" s="18">
        <f>'[6]Customer Numbers'!$J9</f>
        <v>14867</v>
      </c>
      <c r="H66" s="10">
        <f t="shared" si="0"/>
        <v>19126088.466159701</v>
      </c>
    </row>
    <row r="67" spans="1:10" x14ac:dyDescent="0.2">
      <c r="A67" s="3">
        <v>41030</v>
      </c>
      <c r="B67" s="27">
        <f>'[6]Power Purchased'!B127</f>
        <v>17673429</v>
      </c>
      <c r="C67" s="113">
        <f t="shared" si="3"/>
        <v>128.44</v>
      </c>
      <c r="D67" s="113">
        <f t="shared" si="3"/>
        <v>23.32</v>
      </c>
      <c r="E67" s="10">
        <v>31</v>
      </c>
      <c r="F67" s="18">
        <v>1</v>
      </c>
      <c r="G67" s="18">
        <f>'[6]Customer Numbers'!$J10</f>
        <v>14877</v>
      </c>
      <c r="H67" s="10">
        <f t="shared" ref="H67:H86" si="4">$L$18+C67*$L$19+D67*$L$20+E67*$L$21+F67*$L$22+G67*$L$23</f>
        <v>18042227.443509195</v>
      </c>
    </row>
    <row r="68" spans="1:10" x14ac:dyDescent="0.2">
      <c r="A68" s="3">
        <v>41061</v>
      </c>
      <c r="B68" s="27">
        <f>'[6]Power Purchased'!B128</f>
        <v>19474755.100000001</v>
      </c>
      <c r="C68" s="113">
        <f t="shared" si="3"/>
        <v>25.75</v>
      </c>
      <c r="D68" s="113">
        <f t="shared" si="3"/>
        <v>66.11</v>
      </c>
      <c r="E68" s="10">
        <v>30</v>
      </c>
      <c r="F68" s="18">
        <v>0</v>
      </c>
      <c r="G68" s="18">
        <f>'[6]Customer Numbers'!$J11</f>
        <v>14882</v>
      </c>
      <c r="H68" s="10">
        <f t="shared" si="4"/>
        <v>18432190.7726794</v>
      </c>
    </row>
    <row r="69" spans="1:10" x14ac:dyDescent="0.2">
      <c r="A69" s="3">
        <v>41091</v>
      </c>
      <c r="B69" s="27">
        <f>'[6]Power Purchased'!B129</f>
        <v>22780193</v>
      </c>
      <c r="C69" s="113">
        <f t="shared" si="3"/>
        <v>2.15</v>
      </c>
      <c r="D69" s="113">
        <f t="shared" si="3"/>
        <v>130.26</v>
      </c>
      <c r="E69" s="10">
        <v>31</v>
      </c>
      <c r="F69" s="18">
        <v>0</v>
      </c>
      <c r="G69" s="18">
        <f>'[6]Customer Numbers'!$J12</f>
        <v>14921</v>
      </c>
      <c r="H69" s="10">
        <f t="shared" si="4"/>
        <v>20918878.833732042</v>
      </c>
    </row>
    <row r="70" spans="1:10" x14ac:dyDescent="0.2">
      <c r="A70" s="3">
        <v>41122</v>
      </c>
      <c r="B70" s="27">
        <f>'[6]Power Purchased'!B130</f>
        <v>20627757.200000003</v>
      </c>
      <c r="C70" s="113">
        <f t="shared" si="3"/>
        <v>4.9399999999999995</v>
      </c>
      <c r="D70" s="113">
        <f t="shared" si="3"/>
        <v>112.87</v>
      </c>
      <c r="E70" s="10">
        <v>31</v>
      </c>
      <c r="F70" s="18">
        <v>0</v>
      </c>
      <c r="G70" s="18">
        <f>'[6]Customer Numbers'!$J13</f>
        <v>14953</v>
      </c>
      <c r="H70" s="10">
        <f t="shared" si="4"/>
        <v>20395206.362983249</v>
      </c>
    </row>
    <row r="71" spans="1:10" x14ac:dyDescent="0.2">
      <c r="A71" s="3">
        <v>41153</v>
      </c>
      <c r="B71" s="27">
        <f>'[6]Power Purchased'!B131</f>
        <v>17795945.799999997</v>
      </c>
      <c r="C71" s="113">
        <f t="shared" si="3"/>
        <v>57.21</v>
      </c>
      <c r="D71" s="113">
        <f t="shared" si="3"/>
        <v>41.14</v>
      </c>
      <c r="E71" s="10">
        <v>30</v>
      </c>
      <c r="F71" s="18">
        <v>1</v>
      </c>
      <c r="G71" s="18">
        <f>'[6]Customer Numbers'!$J14</f>
        <v>14968</v>
      </c>
      <c r="H71" s="10">
        <f t="shared" si="4"/>
        <v>17110743.486002427</v>
      </c>
    </row>
    <row r="72" spans="1:10" x14ac:dyDescent="0.2">
      <c r="A72" s="3">
        <v>41183</v>
      </c>
      <c r="B72" s="27">
        <f>'[6]Power Purchased'!B132</f>
        <v>17475406.5</v>
      </c>
      <c r="C72" s="113">
        <f t="shared" si="3"/>
        <v>230.05</v>
      </c>
      <c r="D72" s="113">
        <f t="shared" si="3"/>
        <v>2.91</v>
      </c>
      <c r="E72" s="10">
        <v>31</v>
      </c>
      <c r="F72" s="18">
        <v>1</v>
      </c>
      <c r="G72" s="18">
        <f>'[6]Customer Numbers'!$J15</f>
        <v>15012</v>
      </c>
      <c r="H72" s="10">
        <f t="shared" si="4"/>
        <v>18750394.720741525</v>
      </c>
    </row>
    <row r="73" spans="1:10" x14ac:dyDescent="0.2">
      <c r="A73" s="3">
        <v>41214</v>
      </c>
      <c r="B73" s="27">
        <f>'[6]Power Purchased'!B133</f>
        <v>20981769.300000001</v>
      </c>
      <c r="C73" s="113">
        <f t="shared" si="3"/>
        <v>409.9799999999999</v>
      </c>
      <c r="D73" s="113">
        <f t="shared" si="3"/>
        <v>0</v>
      </c>
      <c r="E73" s="10">
        <v>30</v>
      </c>
      <c r="F73" s="18">
        <v>1</v>
      </c>
      <c r="G73" s="18">
        <f>'[6]Customer Numbers'!$J16</f>
        <v>15036</v>
      </c>
      <c r="H73" s="10">
        <f t="shared" si="4"/>
        <v>20348590.552207991</v>
      </c>
    </row>
    <row r="74" spans="1:10" x14ac:dyDescent="0.2">
      <c r="A74" s="3">
        <v>41244</v>
      </c>
      <c r="B74" s="27">
        <f>'[6]Power Purchased'!B134</f>
        <v>23645692</v>
      </c>
      <c r="C74" s="113">
        <f t="shared" si="3"/>
        <v>594.31999999999994</v>
      </c>
      <c r="D74" s="113">
        <f t="shared" si="3"/>
        <v>0</v>
      </c>
      <c r="E74" s="10">
        <v>31</v>
      </c>
      <c r="F74" s="18">
        <v>0</v>
      </c>
      <c r="G74" s="18">
        <f>'[6]Customer Numbers'!$J17</f>
        <v>15062</v>
      </c>
      <c r="H74" s="10">
        <f t="shared" si="4"/>
        <v>24339970.123540502</v>
      </c>
      <c r="I74" s="48"/>
      <c r="J74" s="24"/>
    </row>
    <row r="75" spans="1:10" x14ac:dyDescent="0.2">
      <c r="A75" s="3">
        <v>41275</v>
      </c>
      <c r="B75" s="27">
        <v>24666681.099999998</v>
      </c>
      <c r="C75" s="113">
        <f t="shared" ref="C75:D94" si="5">C63</f>
        <v>712.03</v>
      </c>
      <c r="D75" s="113">
        <f t="shared" si="5"/>
        <v>0</v>
      </c>
      <c r="E75" s="10">
        <v>31</v>
      </c>
      <c r="F75" s="18">
        <v>0</v>
      </c>
      <c r="G75" s="18">
        <f>'[6]Customer Numbers'!J23</f>
        <v>15076</v>
      </c>
      <c r="H75" s="10">
        <f t="shared" si="4"/>
        <v>25870735.120540559</v>
      </c>
      <c r="I75" s="47"/>
    </row>
    <row r="76" spans="1:10" x14ac:dyDescent="0.2">
      <c r="A76" s="3">
        <v>41306</v>
      </c>
      <c r="B76" s="27">
        <v>22513099.599999998</v>
      </c>
      <c r="C76" s="113">
        <f t="shared" si="5"/>
        <v>661.92</v>
      </c>
      <c r="D76" s="113">
        <f t="shared" si="5"/>
        <v>0</v>
      </c>
      <c r="E76" s="10">
        <v>28</v>
      </c>
      <c r="F76" s="18">
        <v>0</v>
      </c>
      <c r="G76" s="18">
        <f>'[6]Customer Numbers'!J24</f>
        <v>15088</v>
      </c>
      <c r="H76" s="10">
        <f t="shared" si="4"/>
        <v>23288409.712476805</v>
      </c>
      <c r="I76" s="47"/>
    </row>
    <row r="77" spans="1:10" x14ac:dyDescent="0.2">
      <c r="A77" s="3">
        <v>41334</v>
      </c>
      <c r="B77" s="27">
        <v>22356782.100000001</v>
      </c>
      <c r="C77" s="113">
        <f t="shared" si="5"/>
        <v>537.27</v>
      </c>
      <c r="D77" s="113">
        <f t="shared" si="5"/>
        <v>0.02</v>
      </c>
      <c r="E77" s="10">
        <v>31</v>
      </c>
      <c r="F77" s="18">
        <v>1</v>
      </c>
      <c r="G77" s="18">
        <f>'[6]Customer Numbers'!J25</f>
        <v>15100</v>
      </c>
      <c r="H77" s="10">
        <f t="shared" si="4"/>
        <v>22676285.219410811</v>
      </c>
      <c r="I77" s="47"/>
    </row>
    <row r="78" spans="1:10" x14ac:dyDescent="0.2">
      <c r="A78" s="3">
        <v>41365</v>
      </c>
      <c r="B78" s="27">
        <v>19424576.5</v>
      </c>
      <c r="C78" s="113">
        <f t="shared" si="5"/>
        <v>321.91999999999996</v>
      </c>
      <c r="D78" s="113">
        <f t="shared" si="5"/>
        <v>0.12</v>
      </c>
      <c r="E78" s="10">
        <v>30</v>
      </c>
      <c r="F78" s="18">
        <v>1</v>
      </c>
      <c r="G78" s="18">
        <f>'[6]Customer Numbers'!J26</f>
        <v>15107</v>
      </c>
      <c r="H78" s="10">
        <f t="shared" si="4"/>
        <v>19249168.83470061</v>
      </c>
      <c r="I78" s="47"/>
      <c r="J78" s="47"/>
    </row>
    <row r="79" spans="1:10" x14ac:dyDescent="0.2">
      <c r="A79" s="3">
        <v>41395</v>
      </c>
      <c r="B79" s="27">
        <v>17840112.599999998</v>
      </c>
      <c r="C79" s="113">
        <f t="shared" si="5"/>
        <v>128.44</v>
      </c>
      <c r="D79" s="113">
        <f t="shared" si="5"/>
        <v>23.32</v>
      </c>
      <c r="E79" s="10">
        <v>31</v>
      </c>
      <c r="F79" s="18">
        <v>1</v>
      </c>
      <c r="G79" s="18">
        <f>'[6]Customer Numbers'!J27</f>
        <v>15139</v>
      </c>
      <c r="H79" s="10">
        <f t="shared" si="4"/>
        <v>18176590.179166354</v>
      </c>
      <c r="I79" s="47"/>
    </row>
    <row r="80" spans="1:10" x14ac:dyDescent="0.2">
      <c r="A80" s="3">
        <v>41426</v>
      </c>
      <c r="B80" s="27">
        <v>18666406.800000001</v>
      </c>
      <c r="C80" s="113">
        <f t="shared" si="5"/>
        <v>25.75</v>
      </c>
      <c r="D80" s="113">
        <f t="shared" si="5"/>
        <v>66.11</v>
      </c>
      <c r="E80" s="10">
        <v>30</v>
      </c>
      <c r="F80" s="18">
        <v>0</v>
      </c>
      <c r="G80" s="18">
        <f>'[6]Customer Numbers'!J28</f>
        <v>15172</v>
      </c>
      <c r="H80" s="10">
        <f t="shared" si="4"/>
        <v>18580912.884666327</v>
      </c>
      <c r="I80" s="47"/>
    </row>
    <row r="81" spans="1:9" x14ac:dyDescent="0.2">
      <c r="A81" s="3">
        <v>41456</v>
      </c>
      <c r="B81" s="27">
        <v>22033173.100000001</v>
      </c>
      <c r="C81" s="113">
        <f t="shared" si="5"/>
        <v>2.15</v>
      </c>
      <c r="D81" s="113">
        <f t="shared" si="5"/>
        <v>130.26</v>
      </c>
      <c r="E81" s="10">
        <v>31</v>
      </c>
      <c r="F81" s="18">
        <v>0</v>
      </c>
      <c r="G81" s="18">
        <f>'[6]Customer Numbers'!J29</f>
        <v>15207</v>
      </c>
      <c r="H81" s="10">
        <f t="shared" si="4"/>
        <v>21065549.60624329</v>
      </c>
      <c r="I81" s="47"/>
    </row>
    <row r="82" spans="1:9" x14ac:dyDescent="0.2">
      <c r="A82" s="3">
        <v>41487</v>
      </c>
      <c r="B82" s="27">
        <v>20162331.399999999</v>
      </c>
      <c r="C82" s="113">
        <f t="shared" si="5"/>
        <v>4.9399999999999995</v>
      </c>
      <c r="D82" s="113">
        <f t="shared" si="5"/>
        <v>112.87</v>
      </c>
      <c r="E82" s="10">
        <v>31</v>
      </c>
      <c r="F82" s="18">
        <v>0</v>
      </c>
      <c r="G82" s="18">
        <f>'[6]Customer Numbers'!J30</f>
        <v>15244</v>
      </c>
      <c r="H82" s="10">
        <f t="shared" si="4"/>
        <v>20544441.3098391</v>
      </c>
      <c r="I82" s="47"/>
    </row>
    <row r="83" spans="1:9" x14ac:dyDescent="0.2">
      <c r="A83" s="3">
        <v>41518</v>
      </c>
      <c r="B83" s="27">
        <v>17834215.399999999</v>
      </c>
      <c r="C83" s="113">
        <f t="shared" si="5"/>
        <v>57.21</v>
      </c>
      <c r="D83" s="113">
        <f t="shared" si="5"/>
        <v>41.14</v>
      </c>
      <c r="E83" s="10">
        <v>30</v>
      </c>
      <c r="F83" s="18">
        <v>1</v>
      </c>
      <c r="G83" s="18">
        <f>'[6]Customer Numbers'!J31</f>
        <v>15260</v>
      </c>
      <c r="H83" s="10">
        <f t="shared" si="4"/>
        <v>17260491.267727196</v>
      </c>
      <c r="I83" s="47"/>
    </row>
    <row r="84" spans="1:9" x14ac:dyDescent="0.2">
      <c r="A84" s="3">
        <v>41548</v>
      </c>
      <c r="B84" s="27">
        <v>19036509.300000001</v>
      </c>
      <c r="C84" s="113">
        <f t="shared" si="5"/>
        <v>230.05</v>
      </c>
      <c r="D84" s="113">
        <f t="shared" si="5"/>
        <v>2.91</v>
      </c>
      <c r="E84" s="10">
        <v>31</v>
      </c>
      <c r="F84" s="18">
        <v>1</v>
      </c>
      <c r="G84" s="18">
        <f>'[6]Customer Numbers'!J32</f>
        <v>15288</v>
      </c>
      <c r="H84" s="10">
        <f t="shared" si="4"/>
        <v>18891937.144563567</v>
      </c>
      <c r="I84" s="47"/>
    </row>
    <row r="85" spans="1:9" x14ac:dyDescent="0.2">
      <c r="A85" s="3">
        <v>41579</v>
      </c>
      <c r="B85" s="27">
        <v>21552244.500000004</v>
      </c>
      <c r="C85" s="113">
        <f t="shared" si="5"/>
        <v>409.9799999999999</v>
      </c>
      <c r="D85" s="113">
        <f t="shared" si="5"/>
        <v>0</v>
      </c>
      <c r="E85" s="10">
        <v>30</v>
      </c>
      <c r="F85" s="18">
        <v>1</v>
      </c>
      <c r="G85" s="18">
        <f>'[6]Customer Numbers'!J33</f>
        <v>15334</v>
      </c>
      <c r="H85" s="10">
        <f t="shared" si="4"/>
        <v>20501415.343146287</v>
      </c>
      <c r="I85" s="47"/>
    </row>
    <row r="86" spans="1:9" x14ac:dyDescent="0.2">
      <c r="A86" s="3">
        <v>41609</v>
      </c>
      <c r="B86" s="27">
        <v>25671928.999999996</v>
      </c>
      <c r="C86" s="113">
        <f t="shared" si="5"/>
        <v>594.31999999999994</v>
      </c>
      <c r="D86" s="113">
        <f t="shared" si="5"/>
        <v>0</v>
      </c>
      <c r="E86" s="10">
        <v>31</v>
      </c>
      <c r="F86" s="18">
        <v>0</v>
      </c>
      <c r="G86" s="18">
        <f>'[6]Customer Numbers'!J34</f>
        <v>15352</v>
      </c>
      <c r="H86" s="10">
        <f t="shared" si="4"/>
        <v>24488692.23552743</v>
      </c>
      <c r="I86" s="47"/>
    </row>
    <row r="87" spans="1:9" x14ac:dyDescent="0.2">
      <c r="A87" s="3">
        <v>41640</v>
      </c>
      <c r="B87" s="27">
        <v>27344318.300000001</v>
      </c>
      <c r="C87" s="113">
        <f t="shared" si="5"/>
        <v>712.03</v>
      </c>
      <c r="D87" s="113">
        <f t="shared" si="5"/>
        <v>0</v>
      </c>
      <c r="E87" s="10">
        <v>31</v>
      </c>
      <c r="F87" s="18">
        <v>0</v>
      </c>
      <c r="G87" s="18">
        <f>'[6]Customer Numbers'!J41</f>
        <v>15406</v>
      </c>
      <c r="H87" s="10">
        <f>$L$18+C87*$L$19+D87*$L$20+E87*$L$21+F87*$L$22+G87*$L$23</f>
        <v>26039970.627284307</v>
      </c>
      <c r="I87" s="47"/>
    </row>
    <row r="88" spans="1:9" x14ac:dyDescent="0.2">
      <c r="A88" s="3">
        <v>41671</v>
      </c>
      <c r="B88" s="27">
        <v>23698938.399999999</v>
      </c>
      <c r="C88" s="113">
        <f t="shared" si="5"/>
        <v>661.92</v>
      </c>
      <c r="D88" s="113">
        <f t="shared" si="5"/>
        <v>0</v>
      </c>
      <c r="E88" s="10">
        <v>28</v>
      </c>
      <c r="F88" s="18">
        <v>0</v>
      </c>
      <c r="G88" s="18">
        <f>'[6]Customer Numbers'!J42</f>
        <v>15425</v>
      </c>
      <c r="H88" s="10">
        <f t="shared" ref="H88:H134" si="6">$L$18+C88*$L$19+D88*$L$20+E88*$L$21+F88*$L$22+G88*$L$23</f>
        <v>23461235.063302994</v>
      </c>
      <c r="I88" s="47"/>
    </row>
    <row r="89" spans="1:9" x14ac:dyDescent="0.2">
      <c r="A89" s="3">
        <v>41699</v>
      </c>
      <c r="B89" s="27">
        <v>24427814.699999999</v>
      </c>
      <c r="C89" s="113">
        <f t="shared" si="5"/>
        <v>537.27</v>
      </c>
      <c r="D89" s="113">
        <f t="shared" si="5"/>
        <v>0.02</v>
      </c>
      <c r="E89" s="10">
        <v>31</v>
      </c>
      <c r="F89" s="18">
        <v>1</v>
      </c>
      <c r="G89" s="18">
        <f>'[6]Customer Numbers'!J43</f>
        <v>15444</v>
      </c>
      <c r="H89" s="10">
        <f t="shared" si="6"/>
        <v>22852700.414319448</v>
      </c>
      <c r="I89" s="47"/>
    </row>
    <row r="90" spans="1:9" x14ac:dyDescent="0.2">
      <c r="A90" s="3">
        <v>41730</v>
      </c>
      <c r="B90" s="27">
        <v>19352180.899999999</v>
      </c>
      <c r="C90" s="113">
        <f t="shared" si="5"/>
        <v>321.91999999999996</v>
      </c>
      <c r="D90" s="113">
        <f t="shared" si="5"/>
        <v>0.12</v>
      </c>
      <c r="E90" s="10">
        <v>30</v>
      </c>
      <c r="F90" s="18">
        <v>1</v>
      </c>
      <c r="G90" s="18">
        <f>'[6]Customer Numbers'!J44</f>
        <v>15478</v>
      </c>
      <c r="H90" s="10">
        <f t="shared" si="6"/>
        <v>19439430.571070097</v>
      </c>
      <c r="I90" s="47"/>
    </row>
    <row r="91" spans="1:9" x14ac:dyDescent="0.2">
      <c r="A91" s="3">
        <v>41760</v>
      </c>
      <c r="B91" s="27">
        <v>17549445.199999999</v>
      </c>
      <c r="C91" s="113">
        <f t="shared" si="5"/>
        <v>128.44</v>
      </c>
      <c r="D91" s="113">
        <f t="shared" si="5"/>
        <v>23.32</v>
      </c>
      <c r="E91" s="10">
        <v>31</v>
      </c>
      <c r="F91" s="18">
        <v>1</v>
      </c>
      <c r="G91" s="18">
        <f>'[6]Customer Numbers'!J45</f>
        <v>15497</v>
      </c>
      <c r="H91" s="10">
        <f t="shared" si="6"/>
        <v>18360185.062239874</v>
      </c>
      <c r="I91" s="47"/>
    </row>
    <row r="92" spans="1:9" x14ac:dyDescent="0.2">
      <c r="A92" s="3">
        <v>41791</v>
      </c>
      <c r="B92" s="27">
        <v>18258424.300000001</v>
      </c>
      <c r="C92" s="113">
        <f t="shared" si="5"/>
        <v>25.75</v>
      </c>
      <c r="D92" s="113">
        <f t="shared" si="5"/>
        <v>66.11</v>
      </c>
      <c r="E92" s="10">
        <v>30</v>
      </c>
      <c r="F92" s="18">
        <v>0</v>
      </c>
      <c r="G92" s="18">
        <f>'[6]Customer Numbers'!J46</f>
        <v>15515</v>
      </c>
      <c r="H92" s="10">
        <f t="shared" si="6"/>
        <v>18756815.244706042</v>
      </c>
      <c r="I92" s="47"/>
    </row>
    <row r="93" spans="1:9" x14ac:dyDescent="0.2">
      <c r="A93" s="3">
        <v>41821</v>
      </c>
      <c r="B93" s="27">
        <v>19452973.100000001</v>
      </c>
      <c r="C93" s="113">
        <f t="shared" si="5"/>
        <v>2.15</v>
      </c>
      <c r="D93" s="113">
        <f t="shared" si="5"/>
        <v>130.26</v>
      </c>
      <c r="E93" s="10">
        <v>31</v>
      </c>
      <c r="F93" s="18">
        <v>0</v>
      </c>
      <c r="G93" s="18">
        <f>'[6]Customer Numbers'!J47</f>
        <v>15587</v>
      </c>
      <c r="H93" s="10">
        <f t="shared" si="6"/>
        <v>21260426.85643306</v>
      </c>
      <c r="I93" s="47"/>
    </row>
    <row r="94" spans="1:9" x14ac:dyDescent="0.2">
      <c r="A94" s="3">
        <v>41852</v>
      </c>
      <c r="B94" s="27">
        <v>19828414.199999999</v>
      </c>
      <c r="C94" s="113">
        <f t="shared" si="5"/>
        <v>4.9399999999999995</v>
      </c>
      <c r="D94" s="113">
        <f t="shared" si="5"/>
        <v>112.87</v>
      </c>
      <c r="E94" s="10">
        <v>31</v>
      </c>
      <c r="F94" s="18">
        <v>0</v>
      </c>
      <c r="G94" s="18">
        <f>'[6]Customer Numbers'!J48</f>
        <v>15628</v>
      </c>
      <c r="H94" s="10">
        <f t="shared" si="6"/>
        <v>20741369.89950455</v>
      </c>
      <c r="I94" s="47"/>
    </row>
    <row r="95" spans="1:9" x14ac:dyDescent="0.2">
      <c r="A95" s="3">
        <v>41883</v>
      </c>
      <c r="B95" s="27">
        <v>17976813.599999998</v>
      </c>
      <c r="C95" s="113">
        <f t="shared" ref="C95:D114" si="7">C83</f>
        <v>57.21</v>
      </c>
      <c r="D95" s="113">
        <f t="shared" si="7"/>
        <v>41.14</v>
      </c>
      <c r="E95" s="10">
        <v>30</v>
      </c>
      <c r="F95" s="18">
        <v>1</v>
      </c>
      <c r="G95" s="18">
        <f>'[6]Customer Numbers'!J49</f>
        <v>15648</v>
      </c>
      <c r="H95" s="10">
        <f t="shared" si="6"/>
        <v>17459471.19686833</v>
      </c>
      <c r="I95" s="47"/>
    </row>
    <row r="96" spans="1:9" x14ac:dyDescent="0.2">
      <c r="A96" s="3">
        <v>41913</v>
      </c>
      <c r="B96" s="27">
        <v>19058731</v>
      </c>
      <c r="C96" s="113">
        <f t="shared" si="7"/>
        <v>230.05</v>
      </c>
      <c r="D96" s="113">
        <f t="shared" si="7"/>
        <v>2.91</v>
      </c>
      <c r="E96" s="10">
        <v>31</v>
      </c>
      <c r="F96" s="18">
        <v>1</v>
      </c>
      <c r="G96" s="18">
        <f>'[6]Customer Numbers'!J50</f>
        <v>15688</v>
      </c>
      <c r="H96" s="10">
        <f t="shared" si="6"/>
        <v>19097071.092131749</v>
      </c>
      <c r="I96" s="47"/>
    </row>
    <row r="97" spans="1:12" x14ac:dyDescent="0.2">
      <c r="A97" s="3">
        <v>41944</v>
      </c>
      <c r="B97" s="27">
        <v>22053998.800000001</v>
      </c>
      <c r="C97" s="113">
        <f t="shared" si="7"/>
        <v>409.9799999999999</v>
      </c>
      <c r="D97" s="113">
        <f t="shared" si="7"/>
        <v>0</v>
      </c>
      <c r="E97" s="10">
        <v>30</v>
      </c>
      <c r="F97" s="18">
        <v>1</v>
      </c>
      <c r="G97" s="18">
        <f>'[6]Customer Numbers'!J51</f>
        <v>15720</v>
      </c>
      <c r="H97" s="10">
        <f t="shared" si="6"/>
        <v>20699369.602549579</v>
      </c>
      <c r="I97" s="47"/>
    </row>
    <row r="98" spans="1:12" x14ac:dyDescent="0.2">
      <c r="A98" s="3">
        <v>41974</v>
      </c>
      <c r="B98" s="27">
        <v>24252933.800000001</v>
      </c>
      <c r="C98" s="113">
        <f t="shared" si="7"/>
        <v>594.31999999999994</v>
      </c>
      <c r="D98" s="113">
        <f t="shared" si="7"/>
        <v>0</v>
      </c>
      <c r="E98" s="10">
        <v>31</v>
      </c>
      <c r="F98" s="18">
        <v>0</v>
      </c>
      <c r="G98" s="18">
        <f>'[6]Customer Numbers'!J52</f>
        <v>15775</v>
      </c>
      <c r="H98" s="10">
        <f t="shared" si="6"/>
        <v>24705621.385080781</v>
      </c>
      <c r="I98" s="47"/>
    </row>
    <row r="99" spans="1:12" x14ac:dyDescent="0.2">
      <c r="A99" s="3">
        <v>42005</v>
      </c>
      <c r="B99" s="27">
        <v>26957597.760000002</v>
      </c>
      <c r="C99" s="113">
        <f t="shared" si="7"/>
        <v>712.03</v>
      </c>
      <c r="D99" s="113">
        <f t="shared" si="7"/>
        <v>0</v>
      </c>
      <c r="E99" s="47">
        <v>31</v>
      </c>
      <c r="F99" s="18">
        <v>0</v>
      </c>
      <c r="G99" s="152">
        <f>'[6]Customer Numbers'!J60</f>
        <v>15793</v>
      </c>
      <c r="H99" s="10">
        <f t="shared" si="6"/>
        <v>26238437.721556522</v>
      </c>
    </row>
    <row r="100" spans="1:12" x14ac:dyDescent="0.2">
      <c r="A100" s="3">
        <v>42036</v>
      </c>
      <c r="B100" s="27">
        <v>25654360.289999999</v>
      </c>
      <c r="C100" s="113">
        <f t="shared" si="7"/>
        <v>661.92</v>
      </c>
      <c r="D100" s="113">
        <f t="shared" si="7"/>
        <v>0</v>
      </c>
      <c r="E100" s="47">
        <v>28</v>
      </c>
      <c r="F100" s="18">
        <v>0</v>
      </c>
      <c r="G100" s="152">
        <f>'[6]Customer Numbers'!J61</f>
        <v>15802</v>
      </c>
      <c r="H100" s="10">
        <f t="shared" si="6"/>
        <v>23654573.808886003</v>
      </c>
    </row>
    <row r="101" spans="1:12" x14ac:dyDescent="0.2">
      <c r="A101" s="3">
        <v>42064</v>
      </c>
      <c r="B101" s="27">
        <v>23473380.280000001</v>
      </c>
      <c r="C101" s="113">
        <f t="shared" si="7"/>
        <v>537.27</v>
      </c>
      <c r="D101" s="113">
        <f t="shared" si="7"/>
        <v>0.02</v>
      </c>
      <c r="E101" s="47">
        <v>31</v>
      </c>
      <c r="F101" s="18">
        <v>1</v>
      </c>
      <c r="G101" s="152">
        <f>'[6]Customer Numbers'!J62</f>
        <v>15826</v>
      </c>
      <c r="H101" s="10">
        <f t="shared" si="6"/>
        <v>23048603.33424706</v>
      </c>
    </row>
    <row r="102" spans="1:12" x14ac:dyDescent="0.2">
      <c r="A102" s="3">
        <v>42095</v>
      </c>
      <c r="B102" s="27">
        <v>18844476.52</v>
      </c>
      <c r="C102" s="113">
        <f t="shared" si="7"/>
        <v>321.91999999999996</v>
      </c>
      <c r="D102" s="113">
        <f t="shared" si="7"/>
        <v>0.12</v>
      </c>
      <c r="E102" s="47">
        <v>30</v>
      </c>
      <c r="F102" s="18">
        <v>1</v>
      </c>
      <c r="G102" s="152">
        <f>'[6]Customer Numbers'!J63</f>
        <v>15843</v>
      </c>
      <c r="H102" s="10">
        <f t="shared" si="6"/>
        <v>19626615.298226062</v>
      </c>
    </row>
    <row r="103" spans="1:12" x14ac:dyDescent="0.2">
      <c r="A103" s="3">
        <v>42125</v>
      </c>
      <c r="B103" s="27">
        <v>18113892.379999999</v>
      </c>
      <c r="C103" s="113">
        <f t="shared" si="7"/>
        <v>128.44</v>
      </c>
      <c r="D103" s="113">
        <f t="shared" si="7"/>
        <v>23.32</v>
      </c>
      <c r="E103" s="47">
        <v>31</v>
      </c>
      <c r="F103" s="18">
        <v>1</v>
      </c>
      <c r="G103" s="152">
        <f>'[6]Customer Numbers'!J64</f>
        <v>15856</v>
      </c>
      <c r="H103" s="10">
        <f t="shared" si="6"/>
        <v>18544292.780182313</v>
      </c>
    </row>
    <row r="104" spans="1:12" x14ac:dyDescent="0.2">
      <c r="A104" s="3">
        <v>42156</v>
      </c>
      <c r="B104" s="27">
        <v>18210408.52</v>
      </c>
      <c r="C104" s="113">
        <f t="shared" si="7"/>
        <v>25.75</v>
      </c>
      <c r="D104" s="113">
        <f t="shared" si="7"/>
        <v>66.11</v>
      </c>
      <c r="E104" s="47">
        <v>30</v>
      </c>
      <c r="F104" s="18">
        <v>0</v>
      </c>
      <c r="G104" s="152">
        <f>'[6]Customer Numbers'!J65</f>
        <v>15883</v>
      </c>
      <c r="H104" s="10">
        <f t="shared" si="6"/>
        <v>18945538.476468768</v>
      </c>
      <c r="I104" s="47"/>
      <c r="J104" s="179"/>
    </row>
    <row r="105" spans="1:12" x14ac:dyDescent="0.2">
      <c r="A105" s="3">
        <v>42186</v>
      </c>
      <c r="B105" s="27">
        <v>21783993.609999999</v>
      </c>
      <c r="C105" s="113">
        <f t="shared" si="7"/>
        <v>2.15</v>
      </c>
      <c r="D105" s="113">
        <f t="shared" si="7"/>
        <v>130.26</v>
      </c>
      <c r="E105" s="47">
        <v>31</v>
      </c>
      <c r="F105" s="18">
        <v>0</v>
      </c>
      <c r="G105" s="152">
        <f>'[6]Customer Numbers'!J66</f>
        <v>15881</v>
      </c>
      <c r="H105" s="10">
        <f t="shared" si="6"/>
        <v>21411200.307895672</v>
      </c>
    </row>
    <row r="106" spans="1:12" x14ac:dyDescent="0.2">
      <c r="A106" s="3">
        <v>42217</v>
      </c>
      <c r="B106" s="27">
        <v>20815474.270000003</v>
      </c>
      <c r="C106" s="113">
        <f t="shared" si="7"/>
        <v>4.9399999999999995</v>
      </c>
      <c r="D106" s="113">
        <f t="shared" si="7"/>
        <v>112.87</v>
      </c>
      <c r="E106" s="47">
        <v>31</v>
      </c>
      <c r="F106" s="18">
        <v>0</v>
      </c>
      <c r="G106" s="152">
        <f>'[6]Customer Numbers'!J67</f>
        <v>15970</v>
      </c>
      <c r="H106" s="10">
        <f t="shared" si="6"/>
        <v>20916759.424675345</v>
      </c>
    </row>
    <row r="107" spans="1:12" x14ac:dyDescent="0.2">
      <c r="A107" s="3">
        <v>42248</v>
      </c>
      <c r="B107" s="27">
        <v>19854447.340000004</v>
      </c>
      <c r="C107" s="113">
        <f t="shared" si="7"/>
        <v>57.21</v>
      </c>
      <c r="D107" s="113">
        <f t="shared" si="7"/>
        <v>41.14</v>
      </c>
      <c r="E107" s="47">
        <v>30</v>
      </c>
      <c r="F107" s="18">
        <v>1</v>
      </c>
      <c r="G107" s="152">
        <f>'[6]Customer Numbers'!J68</f>
        <v>16005</v>
      </c>
      <c r="H107" s="10">
        <f t="shared" si="6"/>
        <v>17642553.245072931</v>
      </c>
    </row>
    <row r="108" spans="1:12" x14ac:dyDescent="0.2">
      <c r="A108" s="3">
        <v>42278</v>
      </c>
      <c r="B108" s="27">
        <v>19438981.529999997</v>
      </c>
      <c r="C108" s="113">
        <f t="shared" si="7"/>
        <v>230.05</v>
      </c>
      <c r="D108" s="113">
        <f t="shared" si="7"/>
        <v>2.91</v>
      </c>
      <c r="E108" s="47">
        <v>31</v>
      </c>
      <c r="F108" s="18">
        <v>1</v>
      </c>
      <c r="G108" s="152">
        <f>'[6]Customer Numbers'!J69</f>
        <v>16050</v>
      </c>
      <c r="H108" s="10">
        <f t="shared" si="6"/>
        <v>19282717.314680949</v>
      </c>
    </row>
    <row r="109" spans="1:12" x14ac:dyDescent="0.2">
      <c r="A109" s="3">
        <v>42309</v>
      </c>
      <c r="B109" s="27">
        <v>20136180.119999997</v>
      </c>
      <c r="C109" s="113">
        <f t="shared" si="7"/>
        <v>409.9799999999999</v>
      </c>
      <c r="D109" s="113">
        <f t="shared" si="7"/>
        <v>0</v>
      </c>
      <c r="E109" s="47">
        <v>30</v>
      </c>
      <c r="F109" s="18">
        <v>1</v>
      </c>
      <c r="G109" s="152">
        <f>'[6]Customer Numbers'!J70</f>
        <v>16127</v>
      </c>
      <c r="H109" s="10">
        <f t="shared" si="6"/>
        <v>20908093.394200202</v>
      </c>
    </row>
    <row r="110" spans="1:12" x14ac:dyDescent="0.2">
      <c r="A110" s="3">
        <v>42339</v>
      </c>
      <c r="B110" s="27">
        <v>22491790.48</v>
      </c>
      <c r="C110" s="113">
        <f t="shared" si="7"/>
        <v>594.31999999999994</v>
      </c>
      <c r="D110" s="113">
        <f t="shared" si="7"/>
        <v>0</v>
      </c>
      <c r="E110" s="47">
        <v>31</v>
      </c>
      <c r="F110" s="18">
        <v>0</v>
      </c>
      <c r="G110" s="152">
        <f>'[6]Customer Numbers'!J71</f>
        <v>16168</v>
      </c>
      <c r="H110" s="10">
        <f t="shared" si="6"/>
        <v>24907165.488566518</v>
      </c>
      <c r="I110"/>
      <c r="J110"/>
      <c r="L110" s="47"/>
    </row>
    <row r="111" spans="1:12" x14ac:dyDescent="0.2">
      <c r="A111" s="3">
        <v>42370</v>
      </c>
      <c r="B111" s="27">
        <v>25159552</v>
      </c>
      <c r="C111" s="113">
        <f t="shared" si="7"/>
        <v>712.03</v>
      </c>
      <c r="D111" s="113">
        <f t="shared" si="7"/>
        <v>0</v>
      </c>
      <c r="E111" s="10">
        <v>31</v>
      </c>
      <c r="F111" s="18">
        <v>0</v>
      </c>
      <c r="G111" s="152">
        <f>'[7]Mthly Stats'!L55+'[7]Mthly Stats'!M55+'[7]Mthly Stats'!O55</f>
        <v>16197</v>
      </c>
      <c r="H111" s="10">
        <f t="shared" si="6"/>
        <v>26445623.008600384</v>
      </c>
      <c r="I111"/>
      <c r="J111"/>
    </row>
    <row r="112" spans="1:12" x14ac:dyDescent="0.2">
      <c r="A112" s="3">
        <v>42401</v>
      </c>
      <c r="B112" s="27">
        <v>23014941</v>
      </c>
      <c r="C112" s="113">
        <f t="shared" si="7"/>
        <v>661.92</v>
      </c>
      <c r="D112" s="113">
        <f t="shared" si="7"/>
        <v>0</v>
      </c>
      <c r="E112" s="10">
        <v>29</v>
      </c>
      <c r="F112" s="18">
        <v>0</v>
      </c>
      <c r="G112" s="152">
        <f>'[7]Mthly Stats'!L56+'[7]Mthly Stats'!M56+'[7]Mthly Stats'!O56</f>
        <v>16212</v>
      </c>
      <c r="H112" s="10">
        <f t="shared" si="6"/>
        <v>24511462.145033799</v>
      </c>
      <c r="I112"/>
      <c r="J112"/>
    </row>
    <row r="113" spans="1:11" x14ac:dyDescent="0.2">
      <c r="A113" s="3">
        <v>42430</v>
      </c>
      <c r="B113" s="27">
        <v>21970551</v>
      </c>
      <c r="C113" s="113">
        <f t="shared" si="7"/>
        <v>537.27</v>
      </c>
      <c r="D113" s="113">
        <f t="shared" si="7"/>
        <v>0.02</v>
      </c>
      <c r="E113" s="10">
        <v>31</v>
      </c>
      <c r="F113" s="18">
        <v>1</v>
      </c>
      <c r="G113" s="152">
        <f>'[7]Mthly Stats'!L57+'[7]Mthly Stats'!M57+'[7]Mthly Stats'!O57</f>
        <v>16243</v>
      </c>
      <c r="H113" s="10">
        <f t="shared" si="6"/>
        <v>23262455.474586885</v>
      </c>
      <c r="I113"/>
      <c r="J113"/>
    </row>
    <row r="114" spans="1:11" x14ac:dyDescent="0.2">
      <c r="A114" s="3">
        <v>42461</v>
      </c>
      <c r="B114" s="27">
        <v>19763963</v>
      </c>
      <c r="C114" s="113">
        <f t="shared" si="7"/>
        <v>321.91999999999996</v>
      </c>
      <c r="D114" s="113">
        <f t="shared" si="7"/>
        <v>0.12</v>
      </c>
      <c r="E114" s="10">
        <v>30</v>
      </c>
      <c r="F114" s="18">
        <v>1</v>
      </c>
      <c r="G114" s="152">
        <f>'[7]Mthly Stats'!L58+'[7]Mthly Stats'!M58+'[7]Mthly Stats'!O58</f>
        <v>16249</v>
      </c>
      <c r="H114" s="10">
        <f t="shared" si="6"/>
        <v>19834826.255007762</v>
      </c>
      <c r="I114"/>
      <c r="J114"/>
    </row>
    <row r="115" spans="1:11" x14ac:dyDescent="0.2">
      <c r="A115" s="3">
        <v>42491</v>
      </c>
      <c r="B115" s="27">
        <v>18836973</v>
      </c>
      <c r="C115" s="113">
        <f t="shared" ref="C115:D122" si="8">C103</f>
        <v>128.44</v>
      </c>
      <c r="D115" s="113">
        <f t="shared" si="8"/>
        <v>23.32</v>
      </c>
      <c r="E115" s="10">
        <v>31</v>
      </c>
      <c r="F115" s="18">
        <v>1</v>
      </c>
      <c r="G115" s="152">
        <f>'[7]Mthly Stats'!L59+'[7]Mthly Stats'!M59+'[7]Mthly Stats'!O59</f>
        <v>16261</v>
      </c>
      <c r="H115" s="10">
        <f t="shared" si="6"/>
        <v>18751990.902095094</v>
      </c>
      <c r="I115"/>
      <c r="J115"/>
    </row>
    <row r="116" spans="1:11" x14ac:dyDescent="0.2">
      <c r="A116" s="3">
        <v>42522</v>
      </c>
      <c r="B116" s="27">
        <v>19211234</v>
      </c>
      <c r="C116" s="113">
        <f t="shared" si="8"/>
        <v>25.75</v>
      </c>
      <c r="D116" s="113">
        <f t="shared" si="8"/>
        <v>66.11</v>
      </c>
      <c r="E116" s="10">
        <v>30</v>
      </c>
      <c r="F116" s="18">
        <v>0</v>
      </c>
      <c r="G116" s="152">
        <f>'[7]Mthly Stats'!L60+'[7]Mthly Stats'!M60+'[7]Mthly Stats'!O60</f>
        <v>16269</v>
      </c>
      <c r="H116" s="10">
        <f t="shared" si="6"/>
        <v>19143492.73587206</v>
      </c>
      <c r="I116"/>
      <c r="J116"/>
      <c r="K116" s="47"/>
    </row>
    <row r="117" spans="1:11" x14ac:dyDescent="0.2">
      <c r="A117" s="3">
        <v>42552</v>
      </c>
      <c r="B117" s="27">
        <v>23404500</v>
      </c>
      <c r="C117" s="113">
        <f t="shared" si="8"/>
        <v>2.15</v>
      </c>
      <c r="D117" s="113">
        <f t="shared" si="8"/>
        <v>130.26</v>
      </c>
      <c r="E117" s="10">
        <v>31</v>
      </c>
      <c r="F117" s="18">
        <v>0</v>
      </c>
      <c r="G117" s="152">
        <f>'[7]Mthly Stats'!L61+'[7]Mthly Stats'!M61+'[7]Mthly Stats'!O61</f>
        <v>16281</v>
      </c>
      <c r="H117" s="10">
        <f t="shared" si="6"/>
        <v>21616334.255463853</v>
      </c>
      <c r="I117"/>
      <c r="J117"/>
    </row>
    <row r="118" spans="1:11" x14ac:dyDescent="0.2">
      <c r="A118" s="3">
        <v>42583</v>
      </c>
      <c r="B118" s="27">
        <v>24564804</v>
      </c>
      <c r="C118" s="113">
        <f t="shared" si="8"/>
        <v>4.9399999999999995</v>
      </c>
      <c r="D118" s="113">
        <f t="shared" si="8"/>
        <v>112.87</v>
      </c>
      <c r="E118" s="10">
        <v>31</v>
      </c>
      <c r="F118" s="18">
        <v>0</v>
      </c>
      <c r="G118" s="152">
        <f>'[7]Mthly Stats'!L62+'[7]Mthly Stats'!M62+'[7]Mthly Stats'!O62</f>
        <v>16292</v>
      </c>
      <c r="H118" s="10">
        <f t="shared" si="6"/>
        <v>21081892.252467729</v>
      </c>
      <c r="I118"/>
      <c r="J118"/>
    </row>
    <row r="119" spans="1:11" x14ac:dyDescent="0.2">
      <c r="A119" s="3">
        <v>42614</v>
      </c>
      <c r="B119" s="27">
        <v>19239594</v>
      </c>
      <c r="C119" s="113">
        <f t="shared" si="8"/>
        <v>57.21</v>
      </c>
      <c r="D119" s="113">
        <f t="shared" si="8"/>
        <v>41.14</v>
      </c>
      <c r="E119" s="10">
        <v>30</v>
      </c>
      <c r="F119" s="18">
        <v>1</v>
      </c>
      <c r="G119" s="152">
        <f>'[7]Mthly Stats'!L63+'[7]Mthly Stats'!M63+'[7]Mthly Stats'!O63</f>
        <v>16323</v>
      </c>
      <c r="H119" s="10">
        <f t="shared" si="6"/>
        <v>17805634.733389635</v>
      </c>
      <c r="I119"/>
      <c r="J119"/>
    </row>
    <row r="120" spans="1:11" x14ac:dyDescent="0.2">
      <c r="A120" s="3">
        <v>42644</v>
      </c>
      <c r="B120" s="27">
        <v>19360398</v>
      </c>
      <c r="C120" s="113">
        <f t="shared" si="8"/>
        <v>230.05</v>
      </c>
      <c r="D120" s="113">
        <f t="shared" si="8"/>
        <v>2.91</v>
      </c>
      <c r="E120" s="10">
        <v>31</v>
      </c>
      <c r="F120" s="18">
        <v>1</v>
      </c>
      <c r="G120" s="152">
        <f>'[7]Mthly Stats'!L64+'[7]Mthly Stats'!M64+'[7]Mthly Stats'!O64</f>
        <v>16370</v>
      </c>
      <c r="H120" s="10">
        <f t="shared" si="6"/>
        <v>19446824.472735494</v>
      </c>
      <c r="I120"/>
      <c r="J120"/>
    </row>
    <row r="121" spans="1:11" x14ac:dyDescent="0.2">
      <c r="A121" s="3">
        <v>42675</v>
      </c>
      <c r="B121" s="27">
        <v>20317470</v>
      </c>
      <c r="C121" s="113">
        <f t="shared" si="8"/>
        <v>409.9799999999999</v>
      </c>
      <c r="D121" s="113">
        <f t="shared" si="8"/>
        <v>0</v>
      </c>
      <c r="E121" s="10">
        <v>30</v>
      </c>
      <c r="F121" s="18">
        <v>1</v>
      </c>
      <c r="G121" s="152">
        <f>'[7]Mthly Stats'!L65+'[7]Mthly Stats'!M65+'[7]Mthly Stats'!O65</f>
        <v>16399</v>
      </c>
      <c r="H121" s="10">
        <f t="shared" si="6"/>
        <v>21047584.478546567</v>
      </c>
      <c r="I121"/>
      <c r="J121"/>
    </row>
    <row r="122" spans="1:11" x14ac:dyDescent="0.2">
      <c r="A122" s="3">
        <v>42705</v>
      </c>
      <c r="B122" s="27">
        <v>24538056</v>
      </c>
      <c r="C122" s="113">
        <f t="shared" si="8"/>
        <v>594.31999999999994</v>
      </c>
      <c r="D122" s="113">
        <f t="shared" si="8"/>
        <v>0</v>
      </c>
      <c r="E122" s="10">
        <v>31</v>
      </c>
      <c r="F122" s="18">
        <v>0</v>
      </c>
      <c r="G122" s="152">
        <f>'[7]Mthly Stats'!L66+'[7]Mthly Stats'!M66+'[7]Mthly Stats'!O66</f>
        <v>16425</v>
      </c>
      <c r="H122" s="10">
        <f t="shared" si="6"/>
        <v>25038964.049879074</v>
      </c>
      <c r="I122"/>
      <c r="J122"/>
    </row>
    <row r="123" spans="1:11" x14ac:dyDescent="0.2">
      <c r="A123" s="3">
        <v>42736</v>
      </c>
      <c r="C123" s="113">
        <f>(C3+C15+C27+C39+C51+C63+C75+C87+C99+C111)/10</f>
        <v>712.02999999999986</v>
      </c>
      <c r="D123" s="113">
        <f>(D3+D15+D27+D39+D51+D63+D75+D87+D99+D111)/10</f>
        <v>0</v>
      </c>
      <c r="E123" s="10">
        <v>31</v>
      </c>
      <c r="F123" s="18">
        <v>0</v>
      </c>
      <c r="G123" s="152">
        <f>G122+'Rate Class Customer Model'!$L$13</f>
        <v>16463.769230769238</v>
      </c>
      <c r="H123" s="10">
        <f t="shared" si="6"/>
        <v>26582431.572093934</v>
      </c>
      <c r="I123"/>
      <c r="J123"/>
    </row>
    <row r="124" spans="1:11" x14ac:dyDescent="0.2">
      <c r="A124" s="3">
        <v>42767</v>
      </c>
      <c r="C124" s="113">
        <f t="shared" ref="C124:D134" si="9">(C4+C16+C28+C40+C52+C64+C76+C88+C100+C112)/10</f>
        <v>661.92</v>
      </c>
      <c r="D124" s="113">
        <f t="shared" si="9"/>
        <v>0</v>
      </c>
      <c r="E124" s="10">
        <v>28</v>
      </c>
      <c r="F124" s="18">
        <v>0</v>
      </c>
      <c r="G124" s="152">
        <f>G123+'Rate Class Customer Model'!$L$13</f>
        <v>16502.538461538476</v>
      </c>
      <c r="H124" s="10">
        <f t="shared" si="6"/>
        <v>24013834.358982824</v>
      </c>
      <c r="I124"/>
      <c r="J124"/>
    </row>
    <row r="125" spans="1:11" x14ac:dyDescent="0.2">
      <c r="A125" s="3">
        <v>42795</v>
      </c>
      <c r="C125" s="113">
        <f t="shared" si="9"/>
        <v>537.2700000000001</v>
      </c>
      <c r="D125" s="113">
        <f t="shared" si="9"/>
        <v>1.9999999999999997E-2</v>
      </c>
      <c r="E125" s="10">
        <v>31</v>
      </c>
      <c r="F125" s="18">
        <v>1</v>
      </c>
      <c r="G125" s="152">
        <f>G124+'Rate Class Customer Model'!$L$13</f>
        <v>16541.307692307713</v>
      </c>
      <c r="H125" s="10">
        <f t="shared" si="6"/>
        <v>23415438.060869478</v>
      </c>
      <c r="I125"/>
      <c r="J125"/>
    </row>
    <row r="126" spans="1:11" x14ac:dyDescent="0.2">
      <c r="A126" s="3">
        <v>42826</v>
      </c>
      <c r="C126" s="113">
        <f t="shared" si="9"/>
        <v>321.92</v>
      </c>
      <c r="D126" s="113">
        <f t="shared" si="9"/>
        <v>0.12000000000000002</v>
      </c>
      <c r="E126" s="10">
        <v>30</v>
      </c>
      <c r="F126" s="18">
        <v>1</v>
      </c>
      <c r="G126" s="152">
        <f>G125+'Rate Class Customer Model'!$L$13</f>
        <v>16580.076923076951</v>
      </c>
      <c r="H126" s="10">
        <f t="shared" si="6"/>
        <v>20004614.045456521</v>
      </c>
      <c r="I126"/>
      <c r="J126"/>
    </row>
    <row r="127" spans="1:11" x14ac:dyDescent="0.2">
      <c r="A127" s="3">
        <v>42856</v>
      </c>
      <c r="C127" s="113">
        <f t="shared" si="9"/>
        <v>128.44000000000003</v>
      </c>
      <c r="D127" s="113">
        <f t="shared" si="9"/>
        <v>23.319999999999997</v>
      </c>
      <c r="E127" s="10">
        <v>31</v>
      </c>
      <c r="F127" s="18">
        <v>1</v>
      </c>
      <c r="G127" s="152">
        <f>G126+'Rate Class Customer Model'!$L$13</f>
        <v>16618.846153846189</v>
      </c>
      <c r="H127" s="10">
        <f t="shared" si="6"/>
        <v>18935506.887496494</v>
      </c>
      <c r="I127"/>
      <c r="J127"/>
    </row>
    <row r="128" spans="1:11" x14ac:dyDescent="0.2">
      <c r="A128" s="3">
        <v>42887</v>
      </c>
      <c r="C128" s="113">
        <f t="shared" si="9"/>
        <v>25.75</v>
      </c>
      <c r="D128" s="113">
        <f t="shared" si="9"/>
        <v>66.11</v>
      </c>
      <c r="E128" s="10">
        <v>30</v>
      </c>
      <c r="F128" s="18">
        <v>0</v>
      </c>
      <c r="G128" s="152">
        <f>G127+'Rate Class Customer Model'!$L$13</f>
        <v>16657.615384615427</v>
      </c>
      <c r="H128" s="10">
        <f t="shared" si="6"/>
        <v>19342788.255701784</v>
      </c>
      <c r="I128"/>
      <c r="J128"/>
    </row>
    <row r="129" spans="1:10" x14ac:dyDescent="0.2">
      <c r="A129" s="3">
        <v>42917</v>
      </c>
      <c r="C129" s="113">
        <f t="shared" si="9"/>
        <v>2.1499999999999995</v>
      </c>
      <c r="D129" s="113">
        <f t="shared" si="9"/>
        <v>130.26</v>
      </c>
      <c r="E129" s="10">
        <v>31</v>
      </c>
      <c r="F129" s="18">
        <v>0</v>
      </c>
      <c r="G129" s="152">
        <f>G128+'Rate Class Customer Model'!$L$13</f>
        <v>16696.384615384664</v>
      </c>
      <c r="H129" s="10">
        <f t="shared" si="6"/>
        <v>21829357.970246218</v>
      </c>
      <c r="I129"/>
      <c r="J129"/>
    </row>
    <row r="130" spans="1:10" x14ac:dyDescent="0.2">
      <c r="A130" s="3">
        <v>42948</v>
      </c>
      <c r="C130" s="113">
        <f t="shared" si="9"/>
        <v>4.9399999999999986</v>
      </c>
      <c r="D130" s="113">
        <f t="shared" si="9"/>
        <v>112.87</v>
      </c>
      <c r="E130" s="10">
        <v>31</v>
      </c>
      <c r="F130" s="18">
        <v>0</v>
      </c>
      <c r="G130" s="152">
        <f>G129+'Rate Class Customer Model'!$L$13</f>
        <v>16735.153846153902</v>
      </c>
      <c r="H130" s="10">
        <f t="shared" si="6"/>
        <v>21309156.997071661</v>
      </c>
      <c r="I130"/>
      <c r="J130"/>
    </row>
    <row r="131" spans="1:10" x14ac:dyDescent="0.2">
      <c r="A131" s="3">
        <v>42979</v>
      </c>
      <c r="C131" s="113">
        <f t="shared" si="9"/>
        <v>57.21</v>
      </c>
      <c r="D131" s="113">
        <f t="shared" si="9"/>
        <v>41.139999999999993</v>
      </c>
      <c r="E131" s="10">
        <v>30</v>
      </c>
      <c r="F131" s="18">
        <v>1</v>
      </c>
      <c r="G131" s="152">
        <f>G130+'Rate Class Customer Model'!$L$13</f>
        <v>16773.92307692314</v>
      </c>
      <c r="H131" s="10">
        <f t="shared" si="6"/>
        <v>18036883.810436718</v>
      </c>
      <c r="I131"/>
      <c r="J131"/>
    </row>
    <row r="132" spans="1:10" x14ac:dyDescent="0.2">
      <c r="A132" s="3">
        <v>43009</v>
      </c>
      <c r="C132" s="113">
        <f t="shared" si="9"/>
        <v>230.05</v>
      </c>
      <c r="D132" s="113">
        <f t="shared" si="9"/>
        <v>2.91</v>
      </c>
      <c r="E132" s="10">
        <v>31</v>
      </c>
      <c r="F132" s="18">
        <v>1</v>
      </c>
      <c r="G132" s="152">
        <f>G131+'Rate Class Customer Model'!$L$13</f>
        <v>16812.692307692378</v>
      </c>
      <c r="H132" s="10">
        <f t="shared" si="6"/>
        <v>19673852.524323005</v>
      </c>
      <c r="I132"/>
      <c r="J132"/>
    </row>
    <row r="133" spans="1:10" x14ac:dyDescent="0.2">
      <c r="A133" s="3">
        <v>43040</v>
      </c>
      <c r="C133" s="113">
        <f t="shared" si="9"/>
        <v>409.9799999999999</v>
      </c>
      <c r="D133" s="113">
        <f t="shared" si="9"/>
        <v>0</v>
      </c>
      <c r="E133" s="10">
        <v>30</v>
      </c>
      <c r="F133" s="18">
        <v>1</v>
      </c>
      <c r="G133" s="152">
        <f>G132+'Rate Class Customer Model'!$L$13</f>
        <v>16851.461538461615</v>
      </c>
      <c r="H133" s="10">
        <f t="shared" si="6"/>
        <v>21279622.532315072</v>
      </c>
      <c r="I133"/>
      <c r="J133"/>
    </row>
    <row r="134" spans="1:10" x14ac:dyDescent="0.2">
      <c r="A134" s="3">
        <v>43070</v>
      </c>
      <c r="C134" s="113">
        <f t="shared" si="9"/>
        <v>594.31999999999982</v>
      </c>
      <c r="D134" s="113">
        <f t="shared" si="9"/>
        <v>0</v>
      </c>
      <c r="E134" s="10">
        <v>31</v>
      </c>
      <c r="F134" s="18">
        <v>0</v>
      </c>
      <c r="G134" s="152">
        <f>G133+'Rate Class Customer Model'!$L$13</f>
        <v>16890.230769230853</v>
      </c>
      <c r="H134" s="10">
        <f t="shared" si="6"/>
        <v>25277550.610435337</v>
      </c>
      <c r="I134"/>
      <c r="J134"/>
    </row>
    <row r="135" spans="1:10" x14ac:dyDescent="0.2">
      <c r="A135" s="3"/>
      <c r="C135" s="113"/>
      <c r="E135" s="10"/>
      <c r="F135" s="18"/>
      <c r="G135" s="152"/>
      <c r="H135" s="10"/>
      <c r="I135"/>
      <c r="J135"/>
    </row>
    <row r="136" spans="1:10" x14ac:dyDescent="0.2">
      <c r="A136" s="3"/>
      <c r="C136" s="113"/>
      <c r="D136" s="419" t="s">
        <v>60</v>
      </c>
      <c r="E136" s="419"/>
      <c r="F136" s="18"/>
      <c r="G136" s="18"/>
      <c r="H136" s="47">
        <f>SUM(H3:H135)</f>
        <v>2756015341.9254313</v>
      </c>
      <c r="I136" s="111"/>
      <c r="J136" s="112"/>
    </row>
    <row r="137" spans="1:10" x14ac:dyDescent="0.2">
      <c r="A137" s="3"/>
      <c r="I137" s="111"/>
      <c r="J137" s="112"/>
    </row>
    <row r="138" spans="1:10" x14ac:dyDescent="0.2">
      <c r="A138" s="3"/>
      <c r="I138" s="111"/>
      <c r="J138" s="420"/>
    </row>
    <row r="139" spans="1:10" x14ac:dyDescent="0.2">
      <c r="A139" s="3"/>
      <c r="I139" s="111"/>
      <c r="J139" s="420"/>
    </row>
    <row r="140" spans="1:10" x14ac:dyDescent="0.2">
      <c r="A140" s="17">
        <v>2007</v>
      </c>
      <c r="B140" s="27">
        <f>SUM(B3:B14)</f>
        <v>241154636.09999999</v>
      </c>
      <c r="C140" s="27"/>
      <c r="H140" s="27">
        <f>SUM(H3:H14)</f>
        <v>242713895.42730781</v>
      </c>
      <c r="I140" s="27"/>
      <c r="J140" s="321"/>
    </row>
    <row r="141" spans="1:10" x14ac:dyDescent="0.2">
      <c r="A141">
        <v>2008</v>
      </c>
      <c r="B141" s="27">
        <f>SUM(B15:B26)</f>
        <v>245623027.80000001</v>
      </c>
      <c r="C141" s="27"/>
      <c r="H141" s="27">
        <f>SUM(H15:H26)</f>
        <v>245158520.51763326</v>
      </c>
      <c r="I141" s="27"/>
      <c r="J141" s="321"/>
    </row>
    <row r="142" spans="1:10" x14ac:dyDescent="0.2">
      <c r="A142" s="17">
        <v>2009</v>
      </c>
      <c r="B142" s="27">
        <f>SUM(B27:B38)</f>
        <v>247239189.20000002</v>
      </c>
      <c r="C142" s="27"/>
      <c r="H142" s="27">
        <f>SUM(H27:H38)</f>
        <v>247420181.01939079</v>
      </c>
      <c r="I142" s="27"/>
      <c r="J142" s="321"/>
    </row>
    <row r="143" spans="1:10" x14ac:dyDescent="0.2">
      <c r="A143">
        <v>2010</v>
      </c>
      <c r="B143" s="27">
        <f>SUM(B39:B50)</f>
        <v>250239378.79999998</v>
      </c>
      <c r="C143" s="27"/>
      <c r="H143" s="27">
        <f>SUM(H39:H50)</f>
        <v>246990938.23410431</v>
      </c>
      <c r="I143" s="27"/>
      <c r="J143" s="321"/>
    </row>
    <row r="144" spans="1:10" x14ac:dyDescent="0.2">
      <c r="A144">
        <v>2011</v>
      </c>
      <c r="B144" s="27">
        <f>SUM(B51:B62)</f>
        <v>246758167.20000002</v>
      </c>
      <c r="C144" s="27"/>
      <c r="H144" s="27">
        <f>SUM(H51:H62)</f>
        <v>247885578.66293609</v>
      </c>
      <c r="I144" s="27"/>
      <c r="J144" s="321"/>
    </row>
    <row r="145" spans="1:10" x14ac:dyDescent="0.2">
      <c r="A145">
        <v>2012</v>
      </c>
      <c r="B145" s="179">
        <f>SUM(B63:B74)</f>
        <v>245129838.40000004</v>
      </c>
      <c r="C145" s="179"/>
      <c r="H145" s="179">
        <f>SUM(H63:H74)</f>
        <v>249563259.20679107</v>
      </c>
      <c r="I145" s="27"/>
      <c r="J145" s="321"/>
    </row>
    <row r="146" spans="1:10" x14ac:dyDescent="0.2">
      <c r="A146">
        <v>2013</v>
      </c>
      <c r="B146" s="179">
        <f>SUM(B75:B86)</f>
        <v>251758061.40000001</v>
      </c>
      <c r="C146" s="179"/>
      <c r="H146" s="179">
        <f>SUM(H75:H86)</f>
        <v>250594628.85800833</v>
      </c>
      <c r="I146" s="27"/>
      <c r="J146" s="321"/>
    </row>
    <row r="147" spans="1:10" x14ac:dyDescent="0.2">
      <c r="A147">
        <v>2014</v>
      </c>
      <c r="B147" s="27">
        <f>SUM(B87:B98)</f>
        <v>253254986.30000001</v>
      </c>
      <c r="C147" s="27"/>
      <c r="H147" s="27">
        <f>SUM(H87:H98)</f>
        <v>252873667.01549083</v>
      </c>
      <c r="I147" s="27"/>
      <c r="J147" s="321"/>
    </row>
    <row r="148" spans="1:10" x14ac:dyDescent="0.2">
      <c r="A148" s="17">
        <v>2015</v>
      </c>
      <c r="B148" s="27">
        <f>SUM(B99:B110)</f>
        <v>255774983.09999999</v>
      </c>
      <c r="C148" s="27"/>
      <c r="H148" s="27">
        <f>SUM(H99:H110)</f>
        <v>255126550.59465837</v>
      </c>
      <c r="I148" s="27"/>
      <c r="J148" s="321"/>
    </row>
    <row r="149" spans="1:10" x14ac:dyDescent="0.2">
      <c r="A149">
        <v>2016</v>
      </c>
      <c r="B149" s="179">
        <f>SUM(B111:B122)</f>
        <v>259382036</v>
      </c>
      <c r="C149" s="27"/>
      <c r="H149" s="179">
        <f>SUM(H111:H122)</f>
        <v>257987084.76367834</v>
      </c>
      <c r="I149" s="27"/>
      <c r="J149" s="321"/>
    </row>
    <row r="150" spans="1:10" x14ac:dyDescent="0.2">
      <c r="A150">
        <v>2017</v>
      </c>
      <c r="H150" s="179">
        <f>SUM(H123:H134)</f>
        <v>259701037.62542906</v>
      </c>
      <c r="I150" s="27"/>
      <c r="J150" s="321"/>
    </row>
    <row r="151" spans="1:10" x14ac:dyDescent="0.2">
      <c r="A151" s="17"/>
      <c r="H151" s="179"/>
      <c r="I151" s="111"/>
      <c r="J151" s="112"/>
    </row>
    <row r="152" spans="1:10" x14ac:dyDescent="0.2">
      <c r="A152" s="114" t="s">
        <v>127</v>
      </c>
      <c r="B152" s="27">
        <f>SUM(B140:B149)</f>
        <v>2496314304.3000002</v>
      </c>
      <c r="H152" s="27">
        <f>SUM(H140:H149)</f>
        <v>2496314304.2999992</v>
      </c>
      <c r="I152" s="111">
        <f>B152-H152</f>
        <v>0</v>
      </c>
      <c r="J152" s="112"/>
    </row>
    <row r="153" spans="1:10" x14ac:dyDescent="0.2">
      <c r="I153" s="111"/>
      <c r="J153" s="112"/>
    </row>
    <row r="154" spans="1:10" x14ac:dyDescent="0.2">
      <c r="H154" s="47">
        <f>SUM(H140:H150)</f>
        <v>2756015341.9254284</v>
      </c>
      <c r="I154" s="111">
        <f>H136-H154</f>
        <v>0</v>
      </c>
      <c r="J154" s="112"/>
    </row>
    <row r="155" spans="1:10" x14ac:dyDescent="0.2">
      <c r="H155"/>
      <c r="I155" s="111"/>
      <c r="J155" s="112"/>
    </row>
    <row r="156" spans="1:10" x14ac:dyDescent="0.2">
      <c r="I156" s="111"/>
      <c r="J156" s="112"/>
    </row>
    <row r="157" spans="1:10" x14ac:dyDescent="0.2">
      <c r="I157" s="111"/>
      <c r="J157" s="112"/>
    </row>
    <row r="158" spans="1:10" x14ac:dyDescent="0.2">
      <c r="B158"/>
      <c r="C158"/>
      <c r="D158"/>
      <c r="E158"/>
      <c r="F158"/>
      <c r="G158"/>
      <c r="H158"/>
      <c r="I158"/>
      <c r="J158"/>
    </row>
    <row r="159" spans="1:10" x14ac:dyDescent="0.2">
      <c r="B159"/>
      <c r="C159"/>
      <c r="D159"/>
      <c r="E159"/>
      <c r="F159"/>
      <c r="G159"/>
      <c r="H159"/>
      <c r="I159"/>
      <c r="J159"/>
    </row>
    <row r="160" spans="1:10" x14ac:dyDescent="0.2">
      <c r="B160"/>
      <c r="C160"/>
      <c r="D160"/>
      <c r="E160"/>
      <c r="F160"/>
      <c r="G160"/>
      <c r="H160"/>
      <c r="I160"/>
      <c r="J160"/>
    </row>
    <row r="161" spans="2:10" x14ac:dyDescent="0.2">
      <c r="B161"/>
      <c r="C161"/>
      <c r="D161"/>
      <c r="E161"/>
      <c r="F161"/>
      <c r="G161"/>
      <c r="H161"/>
      <c r="I161"/>
      <c r="J161"/>
    </row>
    <row r="162" spans="2:10" x14ac:dyDescent="0.2">
      <c r="B162"/>
      <c r="C162"/>
      <c r="D162"/>
      <c r="E162"/>
      <c r="F162"/>
      <c r="G162"/>
      <c r="H162"/>
      <c r="I162"/>
      <c r="J162"/>
    </row>
    <row r="163" spans="2:10" x14ac:dyDescent="0.2">
      <c r="B163"/>
      <c r="C163"/>
      <c r="D163"/>
      <c r="E163"/>
      <c r="F163"/>
      <c r="G163"/>
      <c r="H163"/>
      <c r="I163"/>
      <c r="J163"/>
    </row>
    <row r="164" spans="2:10" x14ac:dyDescent="0.2">
      <c r="B164"/>
      <c r="C164"/>
      <c r="D164"/>
      <c r="E164"/>
      <c r="F164"/>
      <c r="G164"/>
      <c r="H164"/>
      <c r="I164"/>
      <c r="J164"/>
    </row>
    <row r="165" spans="2:10" x14ac:dyDescent="0.2">
      <c r="B165"/>
      <c r="C165"/>
      <c r="D165"/>
      <c r="E165"/>
      <c r="F165"/>
      <c r="G165"/>
      <c r="H165"/>
      <c r="I165"/>
      <c r="J165"/>
    </row>
    <row r="166" spans="2:10" x14ac:dyDescent="0.2">
      <c r="B166"/>
      <c r="C166"/>
      <c r="D166"/>
      <c r="E166"/>
      <c r="F166"/>
      <c r="G166"/>
      <c r="H166"/>
      <c r="I166"/>
      <c r="J166"/>
    </row>
    <row r="167" spans="2:10" x14ac:dyDescent="0.2">
      <c r="B167"/>
      <c r="C167"/>
      <c r="D167"/>
      <c r="E167"/>
      <c r="F167"/>
      <c r="G167"/>
      <c r="H167"/>
      <c r="I167"/>
      <c r="J167"/>
    </row>
    <row r="168" spans="2:10" x14ac:dyDescent="0.2">
      <c r="B168"/>
      <c r="C168"/>
      <c r="D168"/>
      <c r="E168"/>
      <c r="F168"/>
      <c r="G168"/>
      <c r="H168"/>
      <c r="I168"/>
      <c r="J168"/>
    </row>
    <row r="169" spans="2:10" x14ac:dyDescent="0.2">
      <c r="B169"/>
      <c r="C169"/>
      <c r="D169"/>
      <c r="E169"/>
      <c r="F169"/>
      <c r="G169"/>
      <c r="H169"/>
      <c r="I169"/>
      <c r="J169"/>
    </row>
    <row r="170" spans="2:10" x14ac:dyDescent="0.2">
      <c r="B170"/>
      <c r="C170"/>
      <c r="D170"/>
      <c r="E170"/>
      <c r="F170"/>
      <c r="G170"/>
      <c r="H170"/>
      <c r="I170"/>
      <c r="J170"/>
    </row>
    <row r="171" spans="2:10" x14ac:dyDescent="0.2">
      <c r="B171"/>
      <c r="C171"/>
      <c r="D171"/>
      <c r="E171"/>
      <c r="F171"/>
      <c r="G171"/>
      <c r="H171"/>
      <c r="I171"/>
      <c r="J171"/>
    </row>
  </sheetData>
  <mergeCells count="2">
    <mergeCell ref="D136:E136"/>
    <mergeCell ref="J138:J139"/>
  </mergeCells>
  <printOptions horizontalCentered="1"/>
  <pageMargins left="0.19685039370078741" right="0.19685039370078741" top="0.35433070866141736" bottom="0.35433070866141736" header="0.51181102362204722" footer="0.15748031496062992"/>
  <pageSetup paperSize="17" scale="61" fitToHeight="3" orientation="landscape" verticalDpi="300" r:id="rId1"/>
  <headerFooter alignWithMargins="0">
    <oddFooter>&amp;L&amp;A&amp;R&amp;P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7"/>
  <sheetViews>
    <sheetView topLeftCell="E55" zoomScaleNormal="100" workbookViewId="0">
      <selection activeCell="H67" sqref="H67"/>
    </sheetView>
  </sheetViews>
  <sheetFormatPr defaultRowHeight="12.75" x14ac:dyDescent="0.2"/>
  <cols>
    <col min="1" max="1" width="11" customWidth="1"/>
    <col min="2" max="2" width="18" style="1" customWidth="1"/>
    <col min="3" max="3" width="17.140625" style="1" customWidth="1"/>
    <col min="4" max="4" width="15.7109375" style="1" customWidth="1"/>
    <col min="5" max="5" width="15.28515625" style="1" customWidth="1"/>
    <col min="6" max="6" width="13.28515625" style="1" customWidth="1"/>
    <col min="7" max="7" width="15.7109375" style="6" customWidth="1"/>
    <col min="8" max="8" width="15" style="6" customWidth="1"/>
    <col min="9" max="10" width="14.140625" style="6" bestFit="1" customWidth="1"/>
    <col min="11" max="11" width="14.140625" style="6" customWidth="1"/>
    <col min="12" max="12" width="14.7109375" style="6" customWidth="1"/>
    <col min="13" max="13" width="12.5703125" style="6" customWidth="1"/>
    <col min="14" max="14" width="12.7109375" bestFit="1" customWidth="1"/>
    <col min="15" max="15" width="13.7109375" customWidth="1"/>
    <col min="16" max="16" width="12.7109375" customWidth="1"/>
    <col min="17" max="17" width="10.7109375" bestFit="1" customWidth="1"/>
    <col min="18" max="18" width="6.28515625" customWidth="1"/>
    <col min="19" max="19" width="11.140625" bestFit="1" customWidth="1"/>
  </cols>
  <sheetData>
    <row r="1" spans="1:17" x14ac:dyDescent="0.2">
      <c r="G1" s="153"/>
      <c r="H1" s="153"/>
      <c r="I1" s="153"/>
      <c r="J1" s="153"/>
      <c r="K1" s="153"/>
      <c r="L1" s="153"/>
      <c r="M1" s="153"/>
    </row>
    <row r="3" spans="1:17" ht="42" customHeight="1" x14ac:dyDescent="0.2">
      <c r="B3" s="2" t="s">
        <v>6</v>
      </c>
      <c r="C3" s="2" t="s">
        <v>7</v>
      </c>
      <c r="D3" s="2" t="s">
        <v>39</v>
      </c>
      <c r="E3" s="2" t="s">
        <v>8</v>
      </c>
      <c r="F3" s="2" t="s">
        <v>1</v>
      </c>
      <c r="G3" s="7" t="s">
        <v>2</v>
      </c>
      <c r="H3" s="44" t="s">
        <v>56</v>
      </c>
      <c r="I3" s="45" t="s">
        <v>57</v>
      </c>
      <c r="J3" s="45" t="s">
        <v>58</v>
      </c>
      <c r="K3" s="45" t="s">
        <v>67</v>
      </c>
      <c r="L3" s="45" t="s">
        <v>61</v>
      </c>
      <c r="M3" s="46" t="s">
        <v>59</v>
      </c>
      <c r="N3" s="46" t="s">
        <v>115</v>
      </c>
    </row>
    <row r="5" spans="1:17" x14ac:dyDescent="0.2">
      <c r="A5" s="19"/>
      <c r="B5" s="37" t="s">
        <v>40</v>
      </c>
    </row>
    <row r="6" spans="1:17" x14ac:dyDescent="0.2">
      <c r="B6"/>
      <c r="C6"/>
      <c r="D6"/>
      <c r="E6"/>
      <c r="F6"/>
      <c r="G6"/>
      <c r="H6"/>
      <c r="I6"/>
      <c r="J6"/>
      <c r="K6"/>
      <c r="L6"/>
      <c r="M6"/>
    </row>
    <row r="7" spans="1:17" x14ac:dyDescent="0.2">
      <c r="N7" s="27"/>
    </row>
    <row r="8" spans="1:17" x14ac:dyDescent="0.2">
      <c r="A8">
        <f>'Purchased Power Model '!A141</f>
        <v>2007</v>
      </c>
      <c r="B8" s="6">
        <f>'Purchased Power Model '!B141</f>
        <v>241154636.09999999</v>
      </c>
      <c r="C8" s="6">
        <f>'Purchased Power Model '!H141</f>
        <v>245109642.8152931</v>
      </c>
      <c r="D8" s="33">
        <f t="shared" ref="D8:D17" si="0">C8-B8</f>
        <v>3955006.7152931094</v>
      </c>
      <c r="E8" s="5">
        <f t="shared" ref="E8:E17" si="1">D8/B8</f>
        <v>1.6400293103438743E-2</v>
      </c>
      <c r="F8" s="50">
        <f t="shared" ref="F8:F17" si="2">1 +(B8-G8)/G8</f>
        <v>1.0979298606749899</v>
      </c>
      <c r="G8" s="27">
        <f t="shared" ref="G8:G17" si="3">SUM(H8:N8)</f>
        <v>219644846.84999999</v>
      </c>
      <c r="H8" s="35">
        <v>148690902</v>
      </c>
      <c r="I8" s="35">
        <v>28463422</v>
      </c>
      <c r="J8" s="35">
        <v>39320570</v>
      </c>
      <c r="K8" s="35">
        <v>126371</v>
      </c>
      <c r="L8" s="35">
        <v>1495947</v>
      </c>
      <c r="M8" s="35">
        <v>519694</v>
      </c>
      <c r="N8" s="35">
        <v>1027940.85</v>
      </c>
      <c r="P8" s="160"/>
      <c r="Q8" s="160"/>
    </row>
    <row r="9" spans="1:17" x14ac:dyDescent="0.2">
      <c r="A9">
        <f>'Purchased Power Model '!A142</f>
        <v>2008</v>
      </c>
      <c r="B9" s="6">
        <f>'Purchased Power Model '!B142</f>
        <v>245623027.80000001</v>
      </c>
      <c r="C9" s="6">
        <f>'Purchased Power Model '!H142</f>
        <v>243752147.78149053</v>
      </c>
      <c r="D9" s="33">
        <f t="shared" si="0"/>
        <v>-1870880.0185094774</v>
      </c>
      <c r="E9" s="5">
        <f t="shared" si="1"/>
        <v>-7.6168754829976787E-3</v>
      </c>
      <c r="F9" s="50">
        <f t="shared" si="2"/>
        <v>1.0827665955331065</v>
      </c>
      <c r="G9" s="27">
        <f t="shared" si="3"/>
        <v>226847622.39000002</v>
      </c>
      <c r="H9" s="35">
        <v>149960621</v>
      </c>
      <c r="I9" s="35">
        <v>28399681</v>
      </c>
      <c r="J9" s="35">
        <v>45269405.57</v>
      </c>
      <c r="K9" s="35">
        <v>124211.62</v>
      </c>
      <c r="L9" s="35">
        <v>1533898.8</v>
      </c>
      <c r="M9" s="35">
        <v>508215</v>
      </c>
      <c r="N9" s="35">
        <v>1051589.3999999999</v>
      </c>
      <c r="P9" s="160"/>
      <c r="Q9" s="160"/>
    </row>
    <row r="10" spans="1:17" x14ac:dyDescent="0.2">
      <c r="A10">
        <f>'Purchased Power Model '!A143</f>
        <v>2009</v>
      </c>
      <c r="B10" s="6">
        <f>'Purchased Power Model '!B143</f>
        <v>247239189.20000002</v>
      </c>
      <c r="C10" s="6">
        <f>'Purchased Power Model '!H143</f>
        <v>243433414.80982959</v>
      </c>
      <c r="D10" s="33">
        <f t="shared" si="0"/>
        <v>-3805774.3901704252</v>
      </c>
      <c r="E10" s="5">
        <f t="shared" si="1"/>
        <v>-1.5393087165853013E-2</v>
      </c>
      <c r="F10" s="50">
        <f t="shared" si="2"/>
        <v>1.0791454563975964</v>
      </c>
      <c r="G10" s="27">
        <f t="shared" si="3"/>
        <v>229106454.31</v>
      </c>
      <c r="H10" s="35">
        <v>150373777</v>
      </c>
      <c r="I10" s="35">
        <v>28113433</v>
      </c>
      <c r="J10" s="35">
        <v>47473258.210000001</v>
      </c>
      <c r="K10" s="35">
        <v>122021.1</v>
      </c>
      <c r="L10" s="35">
        <v>1576911.6</v>
      </c>
      <c r="M10" s="35">
        <v>493680</v>
      </c>
      <c r="N10" s="35">
        <v>953373.4</v>
      </c>
      <c r="P10" s="160"/>
      <c r="Q10" s="160"/>
    </row>
    <row r="11" spans="1:17" x14ac:dyDescent="0.2">
      <c r="A11">
        <f>'Purchased Power Model '!A144</f>
        <v>2010</v>
      </c>
      <c r="B11" s="6">
        <f>'Purchased Power Model '!B144</f>
        <v>250239378.79999998</v>
      </c>
      <c r="C11" s="6">
        <f>'Purchased Power Model '!H144</f>
        <v>246677801.33027512</v>
      </c>
      <c r="D11" s="33">
        <f>C11-B11</f>
        <v>-3561577.4697248638</v>
      </c>
      <c r="E11" s="5">
        <f>D11/B11</f>
        <v>-1.423268186967248E-2</v>
      </c>
      <c r="F11" s="50">
        <f t="shared" si="2"/>
        <v>1.0791997078286213</v>
      </c>
      <c r="G11" s="27">
        <f t="shared" si="3"/>
        <v>231874950.46999997</v>
      </c>
      <c r="H11" s="35">
        <v>148340356.22999996</v>
      </c>
      <c r="I11" s="35">
        <v>29188874</v>
      </c>
      <c r="J11" s="35">
        <v>51128771.11999999</v>
      </c>
      <c r="K11" s="35">
        <v>116702.72</v>
      </c>
      <c r="L11" s="35">
        <v>1580058</v>
      </c>
      <c r="M11" s="35">
        <v>493680</v>
      </c>
      <c r="N11" s="35">
        <v>1026508.4</v>
      </c>
      <c r="P11" s="160"/>
      <c r="Q11" s="160"/>
    </row>
    <row r="12" spans="1:17" x14ac:dyDescent="0.2">
      <c r="A12">
        <f>'Purchased Power Model '!A145</f>
        <v>2011</v>
      </c>
      <c r="B12" s="6">
        <f>'Purchased Power Model '!B145</f>
        <v>246758167.20000002</v>
      </c>
      <c r="C12" s="6">
        <f>'Purchased Power Model '!H145</f>
        <v>249085614.88396004</v>
      </c>
      <c r="D12" s="33">
        <f t="shared" si="0"/>
        <v>2327447.6839600205</v>
      </c>
      <c r="E12" s="5">
        <f t="shared" si="1"/>
        <v>9.4320998991437657E-3</v>
      </c>
      <c r="F12" s="50">
        <f t="shared" si="2"/>
        <v>1.056320612483562</v>
      </c>
      <c r="G12" s="27">
        <f t="shared" si="3"/>
        <v>233601582.96999997</v>
      </c>
      <c r="H12" s="35">
        <v>150098109.56999999</v>
      </c>
      <c r="I12" s="35">
        <v>30548695.32</v>
      </c>
      <c r="J12" s="35">
        <v>49921685.450000003</v>
      </c>
      <c r="K12" s="35">
        <v>110240.82</v>
      </c>
      <c r="L12" s="35">
        <v>1457369.41</v>
      </c>
      <c r="M12" s="35">
        <v>489312</v>
      </c>
      <c r="N12" s="35">
        <v>976170.4</v>
      </c>
      <c r="P12" s="160"/>
      <c r="Q12" s="160"/>
    </row>
    <row r="13" spans="1:17" x14ac:dyDescent="0.2">
      <c r="A13">
        <f>'Purchased Power Model '!A146</f>
        <v>2012</v>
      </c>
      <c r="B13" s="6">
        <f>'Purchased Power Model '!B146</f>
        <v>245129838.40000004</v>
      </c>
      <c r="C13" s="6">
        <f>'Purchased Power Model '!H146</f>
        <v>246975036.63319921</v>
      </c>
      <c r="D13" s="33">
        <f t="shared" si="0"/>
        <v>1845198.2331991792</v>
      </c>
      <c r="E13" s="5">
        <f t="shared" si="1"/>
        <v>7.5274321773435267E-3</v>
      </c>
      <c r="F13" s="50">
        <f t="shared" si="2"/>
        <v>1.0660126997067048</v>
      </c>
      <c r="G13" s="27">
        <f t="shared" si="3"/>
        <v>229950204.59647745</v>
      </c>
      <c r="H13" s="159">
        <v>144943095</v>
      </c>
      <c r="I13" s="159">
        <v>30723398</v>
      </c>
      <c r="J13" s="159">
        <v>51138110</v>
      </c>
      <c r="K13" s="159">
        <v>113359.85597714041</v>
      </c>
      <c r="L13" s="159">
        <v>1569708.8405002926</v>
      </c>
      <c r="M13" s="159">
        <v>478326.5</v>
      </c>
      <c r="N13" s="159">
        <v>984206.4</v>
      </c>
      <c r="P13" s="160"/>
      <c r="Q13" s="160"/>
    </row>
    <row r="14" spans="1:17" x14ac:dyDescent="0.2">
      <c r="A14">
        <f>'Purchased Power Model '!A147</f>
        <v>2013</v>
      </c>
      <c r="B14" s="6">
        <f>'Purchased Power Model '!B147</f>
        <v>251758061.40000001</v>
      </c>
      <c r="C14" s="6">
        <f>'Purchased Power Model '!H147</f>
        <v>250054816.72654173</v>
      </c>
      <c r="D14" s="33">
        <f t="shared" si="0"/>
        <v>-1703244.6734582782</v>
      </c>
      <c r="E14" s="5">
        <f t="shared" si="1"/>
        <v>-6.7654027203209082E-3</v>
      </c>
      <c r="F14" s="50">
        <f t="shared" si="2"/>
        <v>1.0812217452604542</v>
      </c>
      <c r="G14" s="27">
        <f t="shared" si="3"/>
        <v>232845910.19703764</v>
      </c>
      <c r="H14" s="159">
        <v>147964296</v>
      </c>
      <c r="I14" s="159">
        <v>30842995</v>
      </c>
      <c r="J14" s="159">
        <v>50921722</v>
      </c>
      <c r="K14" s="159">
        <v>101843.93410009757</v>
      </c>
      <c r="L14" s="159">
        <v>1472134.2629375483</v>
      </c>
      <c r="M14" s="159">
        <v>470796.6</v>
      </c>
      <c r="N14" s="159">
        <v>1072122.3999999999</v>
      </c>
      <c r="P14" s="160"/>
      <c r="Q14" s="160"/>
    </row>
    <row r="15" spans="1:17" x14ac:dyDescent="0.2">
      <c r="A15">
        <f>'Purchased Power Model '!A148</f>
        <v>2014</v>
      </c>
      <c r="B15" s="6">
        <f>'Purchased Power Model '!B148</f>
        <v>253254986.30000001</v>
      </c>
      <c r="C15" s="6">
        <f>'Purchased Power Model '!H148</f>
        <v>254540889.88211167</v>
      </c>
      <c r="D15" s="33">
        <f t="shared" si="0"/>
        <v>1285903.5821116567</v>
      </c>
      <c r="E15" s="5">
        <f t="shared" si="1"/>
        <v>5.0775054852756386E-3</v>
      </c>
      <c r="F15" s="50">
        <f t="shared" si="2"/>
        <v>1.0625457799796181</v>
      </c>
      <c r="G15" s="27">
        <f t="shared" si="3"/>
        <v>238347364.48236424</v>
      </c>
      <c r="H15" s="159">
        <v>152377958.31999999</v>
      </c>
      <c r="I15" s="159">
        <v>32022040.200000003</v>
      </c>
      <c r="J15" s="159">
        <v>50592266.850000001</v>
      </c>
      <c r="K15" s="159">
        <v>107980</v>
      </c>
      <c r="L15" s="159">
        <v>1625553.4323642934</v>
      </c>
      <c r="M15" s="159">
        <v>463266.7</v>
      </c>
      <c r="N15" s="159">
        <v>1158298.98</v>
      </c>
      <c r="O15" s="155"/>
      <c r="P15" s="160"/>
      <c r="Q15" s="160"/>
    </row>
    <row r="16" spans="1:17" x14ac:dyDescent="0.2">
      <c r="A16">
        <f>'Purchased Power Model '!A149</f>
        <v>2015</v>
      </c>
      <c r="B16" s="6">
        <f>'Purchased Power Model '!B149</f>
        <v>255774983.09999999</v>
      </c>
      <c r="C16" s="6">
        <f>'Purchased Power Model '!H149</f>
        <v>255309254.72807688</v>
      </c>
      <c r="D16" s="33">
        <f t="shared" si="0"/>
        <v>-465728.37192311883</v>
      </c>
      <c r="E16" s="5">
        <f t="shared" si="1"/>
        <v>-1.8208519311719929E-3</v>
      </c>
      <c r="F16" s="50">
        <f t="shared" si="2"/>
        <v>1.0543640316685261</v>
      </c>
      <c r="G16" s="27">
        <f t="shared" si="3"/>
        <v>242586977</v>
      </c>
      <c r="H16" s="159">
        <v>151042923</v>
      </c>
      <c r="I16" s="159">
        <v>34218675</v>
      </c>
      <c r="J16" s="159">
        <v>54636276</v>
      </c>
      <c r="K16" s="159">
        <v>103536</v>
      </c>
      <c r="L16" s="159">
        <v>1106444</v>
      </c>
      <c r="M16" s="159">
        <v>463092</v>
      </c>
      <c r="N16" s="159">
        <v>1016031</v>
      </c>
      <c r="O16" s="155"/>
      <c r="P16" s="160"/>
      <c r="Q16" s="160"/>
    </row>
    <row r="17" spans="1:14" x14ac:dyDescent="0.2">
      <c r="A17">
        <f>'Purchased Power Model '!A150</f>
        <v>2016</v>
      </c>
      <c r="B17" s="179">
        <f>'Purchased Power Model '!B150</f>
        <v>259382036</v>
      </c>
      <c r="C17" s="6">
        <f>'Purchased Power Model '!H150</f>
        <v>261375684.70922133</v>
      </c>
      <c r="D17" s="33">
        <f t="shared" si="0"/>
        <v>1993648.7092213333</v>
      </c>
      <c r="E17" s="5">
        <f t="shared" si="1"/>
        <v>7.6861479690957983E-3</v>
      </c>
      <c r="F17" s="50">
        <f t="shared" si="2"/>
        <v>1.0717543273556265</v>
      </c>
      <c r="G17" s="27">
        <f t="shared" si="3"/>
        <v>242016317.90000004</v>
      </c>
      <c r="H17" s="159">
        <v>148724721.91</v>
      </c>
      <c r="I17" s="159">
        <v>33243041.120000005</v>
      </c>
      <c r="J17" s="159">
        <v>57980607.439999998</v>
      </c>
      <c r="K17" s="159">
        <v>106305.36</v>
      </c>
      <c r="L17" s="159">
        <v>536549.52</v>
      </c>
      <c r="M17" s="159">
        <v>468047.55</v>
      </c>
      <c r="N17" s="159">
        <v>957045</v>
      </c>
    </row>
    <row r="18" spans="1:14" x14ac:dyDescent="0.2">
      <c r="A18">
        <f>'Purchased Power Model '!A151</f>
        <v>2017</v>
      </c>
      <c r="B18" s="6"/>
      <c r="C18" s="6">
        <f>'Purchased Power Model '!H151</f>
        <v>259701037.62542906</v>
      </c>
      <c r="G18" s="22">
        <f>C18/$F$21</f>
        <v>242004217.45104995</v>
      </c>
      <c r="H18"/>
      <c r="I18"/>
      <c r="K18"/>
      <c r="L18"/>
      <c r="M18"/>
    </row>
    <row r="19" spans="1:14" x14ac:dyDescent="0.2">
      <c r="B19" s="6"/>
      <c r="C19" s="6"/>
      <c r="G19" s="27"/>
      <c r="H19"/>
      <c r="I19"/>
      <c r="J19"/>
      <c r="K19"/>
      <c r="L19"/>
      <c r="M19"/>
    </row>
    <row r="21" spans="1:14" x14ac:dyDescent="0.2">
      <c r="A21" s="20" t="s">
        <v>13</v>
      </c>
      <c r="F21" s="154">
        <f>AVERAGE(F8:F17)</f>
        <v>1.0731260816888806</v>
      </c>
    </row>
    <row r="22" spans="1:14" x14ac:dyDescent="0.2">
      <c r="E22" s="24"/>
      <c r="F22" s="24"/>
      <c r="G22" s="27"/>
    </row>
    <row r="24" spans="1:14" x14ac:dyDescent="0.2">
      <c r="A24" s="23" t="s">
        <v>15</v>
      </c>
      <c r="B24" s="13"/>
    </row>
    <row r="25" spans="1:14" ht="13.5" customHeight="1" x14ac:dyDescent="0.2"/>
    <row r="26" spans="1:14" x14ac:dyDescent="0.2">
      <c r="A26">
        <f t="shared" ref="A26:A36" si="4">A8</f>
        <v>2007</v>
      </c>
      <c r="H26" s="27">
        <f>H8/'Rate Class Customer Model'!B3</f>
        <v>11445.685628512047</v>
      </c>
      <c r="I26" s="27">
        <f>I8/'Rate Class Customer Model'!C3</f>
        <v>34753.873015873018</v>
      </c>
      <c r="J26" s="27">
        <f>J8/'Rate Class Customer Model'!D3</f>
        <v>553810.84507042251</v>
      </c>
      <c r="K26" s="27">
        <f>K8/'Rate Class Customer Model'!E3</f>
        <v>679.41397849462362</v>
      </c>
      <c r="L26" s="27">
        <f>L8/'Rate Class Customer Model'!F3</f>
        <v>601.02330253113701</v>
      </c>
      <c r="M26" s="27">
        <f>M8/'Rate Class Customer Model'!G3</f>
        <v>5839.2584269662921</v>
      </c>
      <c r="N26" s="27">
        <f t="shared" ref="N26:N35" si="5">N8</f>
        <v>1027940.85</v>
      </c>
    </row>
    <row r="27" spans="1:14" x14ac:dyDescent="0.2">
      <c r="A27">
        <f t="shared" si="4"/>
        <v>2008</v>
      </c>
      <c r="H27" s="27">
        <f>H9/'Rate Class Customer Model'!B4</f>
        <v>11294.766965428937</v>
      </c>
      <c r="I27" s="27">
        <f>I9/'Rate Class Customer Model'!C4</f>
        <v>33970.910287081337</v>
      </c>
      <c r="J27" s="27">
        <f>J9/'Rate Class Customer Model'!D4</f>
        <v>620128.84342465759</v>
      </c>
      <c r="K27" s="27">
        <f>K9/'Rate Class Customer Model'!E4</f>
        <v>667.80440860215049</v>
      </c>
      <c r="L27" s="27">
        <f>L9/'Rate Class Customer Model'!F4</f>
        <v>592.69659969088104</v>
      </c>
      <c r="M27" s="27">
        <f>M9/'Rate Class Customer Model'!G4</f>
        <v>6050.1785714285716</v>
      </c>
      <c r="N27" s="27">
        <f t="shared" si="5"/>
        <v>1051589.3999999999</v>
      </c>
    </row>
    <row r="28" spans="1:14" x14ac:dyDescent="0.2">
      <c r="A28">
        <f t="shared" si="4"/>
        <v>2009</v>
      </c>
      <c r="H28" s="27">
        <f>H10/'Rate Class Customer Model'!B5</f>
        <v>11111.63651814084</v>
      </c>
      <c r="I28" s="27">
        <f>I10/'Rate Class Customer Model'!C5</f>
        <v>32881.2081871345</v>
      </c>
      <c r="J28" s="27">
        <f>J10/'Rate Class Customer Model'!D5</f>
        <v>659350.80847222218</v>
      </c>
      <c r="K28" s="27">
        <f>K10/'Rate Class Customer Model'!E5</f>
        <v>632.23367875647671</v>
      </c>
      <c r="L28" s="27">
        <f>L10/'Rate Class Customer Model'!F5</f>
        <v>600.72822857142864</v>
      </c>
      <c r="M28" s="27">
        <f>M10/'Rate Class Customer Model'!G5</f>
        <v>5947.9518072289156</v>
      </c>
      <c r="N28" s="27">
        <f t="shared" si="5"/>
        <v>953373.4</v>
      </c>
    </row>
    <row r="29" spans="1:14" x14ac:dyDescent="0.2">
      <c r="A29">
        <f t="shared" si="4"/>
        <v>2010</v>
      </c>
      <c r="H29" s="27">
        <f>H11/'Rate Class Customer Model'!B6</f>
        <v>10866.629274778401</v>
      </c>
      <c r="I29" s="27">
        <f>I11/'Rate Class Customer Model'!C6</f>
        <v>33744.363005780346</v>
      </c>
      <c r="J29" s="27">
        <f>J11/'Rate Class Customer Model'!D6</f>
        <v>751893.69294117636</v>
      </c>
      <c r="K29" s="27">
        <f>K11/'Rate Class Customer Model'!E6</f>
        <v>580.61054726368161</v>
      </c>
      <c r="L29" s="27">
        <f>L11/'Rate Class Customer Model'!F6</f>
        <v>588.47597765363128</v>
      </c>
      <c r="M29" s="27">
        <f>M11/'Rate Class Customer Model'!G6</f>
        <v>6020.4878048780483</v>
      </c>
      <c r="N29" s="27">
        <f t="shared" si="5"/>
        <v>1026508.4</v>
      </c>
    </row>
    <row r="30" spans="1:14" x14ac:dyDescent="0.2">
      <c r="A30">
        <f t="shared" si="4"/>
        <v>2011</v>
      </c>
      <c r="H30" s="27">
        <f>H12/'Rate Class Customer Model'!B7</f>
        <v>10893.251293272371</v>
      </c>
      <c r="I30" s="27">
        <f>I12/'Rate Class Customer Model'!C7</f>
        <v>34094.526026785716</v>
      </c>
      <c r="J30" s="27">
        <f>J12/'Rate Class Customer Model'!D7</f>
        <v>745099.78283582092</v>
      </c>
      <c r="K30" s="27">
        <f>K12/'Rate Class Customer Model'!E7</f>
        <v>489.95920000000001</v>
      </c>
      <c r="L30" s="27">
        <f>L12/'Rate Class Customer Model'!F7</f>
        <v>534.22632331378293</v>
      </c>
      <c r="M30" s="27">
        <f>M12/'Rate Class Customer Model'!G7</f>
        <v>6040.8888888888887</v>
      </c>
      <c r="N30" s="27">
        <f t="shared" si="5"/>
        <v>976170.4</v>
      </c>
    </row>
    <row r="31" spans="1:14" x14ac:dyDescent="0.2">
      <c r="A31">
        <f t="shared" si="4"/>
        <v>2012</v>
      </c>
      <c r="H31" s="27">
        <f>H13/'Rate Class Customer Model'!B8</f>
        <v>10395.464483160506</v>
      </c>
      <c r="I31" s="27">
        <f>I13/'Rate Class Customer Model'!C8</f>
        <v>33623.417783857731</v>
      </c>
      <c r="J31" s="27">
        <f>J13/'Rate Class Customer Model'!D8</f>
        <v>752953.7668711656</v>
      </c>
      <c r="K31" s="27">
        <f>K13/'Rate Class Customer Model'!E8</f>
        <v>658.7497683901621</v>
      </c>
      <c r="L31" s="27">
        <f>L13/'Rate Class Customer Model'!F8</f>
        <v>575.40646645905156</v>
      </c>
      <c r="M31" s="27">
        <f>M13/'Rate Class Customer Model'!G8</f>
        <v>6080.421610169491</v>
      </c>
      <c r="N31" s="27">
        <f t="shared" si="5"/>
        <v>984206.4</v>
      </c>
    </row>
    <row r="32" spans="1:14" x14ac:dyDescent="0.2">
      <c r="A32">
        <f t="shared" si="4"/>
        <v>2013</v>
      </c>
      <c r="H32" s="27">
        <f>H14/'Rate Class Customer Model'!B9</f>
        <v>10433.981806642691</v>
      </c>
      <c r="I32" s="27">
        <f>I14/'Rate Class Customer Model'!C9</f>
        <v>32491.962075322623</v>
      </c>
      <c r="J32" s="27">
        <f>J14/'Rate Class Customer Model'!D9</f>
        <v>760025.70149253728</v>
      </c>
      <c r="K32" s="27">
        <f>K14/'Rate Class Customer Model'!E9</f>
        <v>606.21389345296177</v>
      </c>
      <c r="L32" s="27">
        <f>L14/'Rate Class Customer Model'!F9</f>
        <v>517.74944769198646</v>
      </c>
      <c r="M32" s="27">
        <f>M14/'Rate Class Customer Model'!G9</f>
        <v>6068.2698174006446</v>
      </c>
      <c r="N32" s="27">
        <f t="shared" si="5"/>
        <v>1072122.3999999999</v>
      </c>
    </row>
    <row r="33" spans="1:14" x14ac:dyDescent="0.2">
      <c r="A33">
        <f t="shared" si="4"/>
        <v>2014</v>
      </c>
      <c r="H33" s="27">
        <f>H15/'Rate Class Customer Model'!B10</f>
        <v>10502.185399115502</v>
      </c>
      <c r="I33" s="27">
        <f>I15/'Rate Class Customer Model'!C10</f>
        <v>32304.706380832286</v>
      </c>
      <c r="J33" s="27">
        <f>J15/'Rate Class Customer Model'!D10</f>
        <v>753234.74218362279</v>
      </c>
      <c r="K33" s="27">
        <f>K15/'Rate Class Customer Model'!E10</f>
        <v>637.36350221347766</v>
      </c>
      <c r="L33" s="27">
        <f>L15/'Rate Class Customer Model'!F10</f>
        <v>556.06160742222119</v>
      </c>
      <c r="M33" s="27">
        <f>M15/'Rate Class Customer Model'!G10</f>
        <v>6129.2176405733189</v>
      </c>
      <c r="N33" s="27">
        <f t="shared" si="5"/>
        <v>1158298.98</v>
      </c>
    </row>
    <row r="34" spans="1:14" x14ac:dyDescent="0.2">
      <c r="A34">
        <f t="shared" si="4"/>
        <v>2015</v>
      </c>
      <c r="H34" s="27">
        <f>H16/'Rate Class Customer Model'!B11</f>
        <v>10163.312993792721</v>
      </c>
      <c r="I34" s="27">
        <f>I16/'Rate Class Customer Model'!C11</f>
        <v>34198.725743316398</v>
      </c>
      <c r="J34" s="27">
        <f>J16/'Rate Class Customer Model'!D11</f>
        <v>764143.72027972026</v>
      </c>
      <c r="K34" s="27">
        <f>K16/'Rate Class Customer Model'!E11</f>
        <v>624.65158371040729</v>
      </c>
      <c r="L34" s="27">
        <f>L16/'Rate Class Customer Model'!F11</f>
        <v>381.83964109053261</v>
      </c>
      <c r="M34" s="27">
        <f>M16/'Rate Class Customer Model'!G11</f>
        <v>6093.3157894736842</v>
      </c>
      <c r="N34" s="27">
        <f t="shared" si="5"/>
        <v>1016031</v>
      </c>
    </row>
    <row r="35" spans="1:14" x14ac:dyDescent="0.2">
      <c r="A35">
        <f t="shared" si="4"/>
        <v>2016</v>
      </c>
      <c r="H35" s="27">
        <f>H17/'Rate Class Customer Model'!B12</f>
        <v>9783.5020634911925</v>
      </c>
      <c r="I35" s="27">
        <f>I17/'Rate Class Customer Model'!C12</f>
        <v>32711.479576875772</v>
      </c>
      <c r="J35" s="27">
        <f>J17/'Rate Class Customer Model'!D12</f>
        <v>767108.36745314219</v>
      </c>
      <c r="K35" s="27">
        <f>K17/'Rate Class Customer Model'!E12</f>
        <v>640.07241344706472</v>
      </c>
      <c r="L35" s="27">
        <f>L17/'Rate Class Customer Model'!F12</f>
        <v>187.39723616042843</v>
      </c>
      <c r="M35" s="27">
        <f>M17/'Rate Class Customer Model'!G12</f>
        <v>6213.0205752212396</v>
      </c>
      <c r="N35" s="27">
        <f t="shared" si="5"/>
        <v>957045</v>
      </c>
    </row>
    <row r="36" spans="1:14" x14ac:dyDescent="0.2">
      <c r="A36">
        <f t="shared" si="4"/>
        <v>2017</v>
      </c>
      <c r="H36" s="22">
        <f>H35*$H$48</f>
        <v>9783.5020634911925</v>
      </c>
      <c r="I36" s="22">
        <f>I35*$I$48</f>
        <v>32711.479576875772</v>
      </c>
      <c r="J36" s="22">
        <f>J35*$J$48</f>
        <v>767108.36745314219</v>
      </c>
      <c r="K36" s="22">
        <f>K35*$K$48</f>
        <v>640.07241344706472</v>
      </c>
      <c r="L36" s="22">
        <f>L35*$L$48</f>
        <v>187.39723616042843</v>
      </c>
      <c r="M36" s="22">
        <f>M35*$M$48</f>
        <v>6213.0205752212396</v>
      </c>
      <c r="N36" s="22">
        <f>N35*$N$48</f>
        <v>957045</v>
      </c>
    </row>
    <row r="38" spans="1:14" x14ac:dyDescent="0.2">
      <c r="A38" s="34">
        <v>2007</v>
      </c>
      <c r="D38" s="6"/>
      <c r="H38" s="25"/>
      <c r="I38" s="25"/>
      <c r="J38" s="25"/>
      <c r="K38" s="25"/>
      <c r="L38" s="25"/>
      <c r="M38" s="25"/>
      <c r="N38" s="25"/>
    </row>
    <row r="39" spans="1:14" x14ac:dyDescent="0.2">
      <c r="A39" s="34">
        <v>2008</v>
      </c>
      <c r="D39" s="6"/>
      <c r="H39" s="25">
        <f>H27/H26</f>
        <v>0.98681436237361264</v>
      </c>
      <c r="I39" s="25">
        <f t="shared" ref="I39:N39" si="6">I27/I26</f>
        <v>0.97747120936897935</v>
      </c>
      <c r="J39" s="25">
        <f t="shared" si="6"/>
        <v>1.1197484645606788</v>
      </c>
      <c r="K39" s="25">
        <f t="shared" si="6"/>
        <v>0.98291237704853174</v>
      </c>
      <c r="L39" s="25">
        <f t="shared" si="6"/>
        <v>0.98614579034591665</v>
      </c>
      <c r="M39" s="25">
        <f t="shared" si="6"/>
        <v>1.0361210498045827</v>
      </c>
      <c r="N39" s="25">
        <f t="shared" si="6"/>
        <v>1.0230057497958174</v>
      </c>
    </row>
    <row r="40" spans="1:14" x14ac:dyDescent="0.2">
      <c r="A40" s="34">
        <v>2009</v>
      </c>
      <c r="D40" s="6"/>
      <c r="H40" s="25">
        <f t="shared" ref="H40:N46" si="7">H28/H27</f>
        <v>0.983786257135838</v>
      </c>
      <c r="I40" s="25">
        <f t="shared" si="7"/>
        <v>0.96792249337041658</v>
      </c>
      <c r="J40" s="25">
        <f t="shared" si="7"/>
        <v>1.0632480902371215</v>
      </c>
      <c r="K40" s="25">
        <f t="shared" si="7"/>
        <v>0.94673480829494594</v>
      </c>
      <c r="L40" s="25">
        <f t="shared" si="7"/>
        <v>1.0135509953739172</v>
      </c>
      <c r="M40" s="25">
        <f t="shared" si="7"/>
        <v>0.98310351289755105</v>
      </c>
      <c r="N40" s="25">
        <f t="shared" si="7"/>
        <v>0.90660232976863409</v>
      </c>
    </row>
    <row r="41" spans="1:14" x14ac:dyDescent="0.2">
      <c r="A41" s="34">
        <v>2010</v>
      </c>
      <c r="D41" s="6"/>
      <c r="H41" s="25">
        <f t="shared" si="7"/>
        <v>0.9779503907491538</v>
      </c>
      <c r="I41" s="25">
        <f t="shared" si="7"/>
        <v>1.026250702642477</v>
      </c>
      <c r="J41" s="25">
        <f t="shared" si="7"/>
        <v>1.1403545476548134</v>
      </c>
      <c r="K41" s="25">
        <f t="shared" si="7"/>
        <v>0.91834802031690055</v>
      </c>
      <c r="L41" s="25">
        <f t="shared" si="7"/>
        <v>0.97960433631205579</v>
      </c>
      <c r="M41" s="25">
        <f t="shared" si="7"/>
        <v>1.0121951219512195</v>
      </c>
      <c r="N41" s="25">
        <f t="shared" si="7"/>
        <v>1.0767118109231912</v>
      </c>
    </row>
    <row r="42" spans="1:14" x14ac:dyDescent="0.2">
      <c r="A42" s="34">
        <v>2011</v>
      </c>
      <c r="D42" s="6"/>
      <c r="H42" s="25">
        <f t="shared" si="7"/>
        <v>1.002449887432505</v>
      </c>
      <c r="I42" s="25">
        <f t="shared" si="7"/>
        <v>1.0103769337991471</v>
      </c>
      <c r="J42" s="25">
        <f t="shared" si="7"/>
        <v>0.99096426772941826</v>
      </c>
      <c r="K42" s="25">
        <f t="shared" si="7"/>
        <v>0.84386892781933442</v>
      </c>
      <c r="L42" s="25">
        <f t="shared" si="7"/>
        <v>0.90781330691500384</v>
      </c>
      <c r="M42" s="25">
        <f t="shared" si="7"/>
        <v>1.0033886098057221</v>
      </c>
      <c r="N42" s="25">
        <f t="shared" si="7"/>
        <v>0.95096192101301846</v>
      </c>
    </row>
    <row r="43" spans="1:14" x14ac:dyDescent="0.2">
      <c r="A43" s="34">
        <v>2012</v>
      </c>
      <c r="D43" s="6"/>
      <c r="H43" s="25">
        <f t="shared" si="7"/>
        <v>0.95430319225084825</v>
      </c>
      <c r="I43" s="25">
        <f t="shared" si="7"/>
        <v>0.98618229088863507</v>
      </c>
      <c r="J43" s="25">
        <f t="shared" si="7"/>
        <v>1.0105408486437248</v>
      </c>
      <c r="K43" s="25">
        <f t="shared" si="7"/>
        <v>1.3444992325690834</v>
      </c>
      <c r="L43" s="25">
        <f t="shared" si="7"/>
        <v>1.0770837028206135</v>
      </c>
      <c r="M43" s="25">
        <f t="shared" si="7"/>
        <v>1.0065441894409473</v>
      </c>
      <c r="N43" s="25">
        <f t="shared" si="7"/>
        <v>1.0082321693015892</v>
      </c>
    </row>
    <row r="44" spans="1:14" x14ac:dyDescent="0.2">
      <c r="A44" s="34">
        <v>2013</v>
      </c>
      <c r="D44" s="6"/>
      <c r="H44" s="25">
        <f t="shared" si="7"/>
        <v>1.0037052046634933</v>
      </c>
      <c r="I44" s="25">
        <f t="shared" si="7"/>
        <v>0.96634917616619243</v>
      </c>
      <c r="J44" s="25">
        <f t="shared" si="7"/>
        <v>1.0093922561152173</v>
      </c>
      <c r="K44" s="25">
        <f t="shared" si="7"/>
        <v>0.92024911816578503</v>
      </c>
      <c r="L44" s="25">
        <f t="shared" si="7"/>
        <v>0.89979775666777595</v>
      </c>
      <c r="M44" s="25">
        <f t="shared" si="7"/>
        <v>0.9980014884578855</v>
      </c>
      <c r="N44" s="25">
        <f t="shared" si="7"/>
        <v>1.0893267916160674</v>
      </c>
    </row>
    <row r="45" spans="1:14" x14ac:dyDescent="0.2">
      <c r="A45" s="34">
        <v>2014</v>
      </c>
      <c r="D45" s="6"/>
      <c r="H45" s="25">
        <f t="shared" si="7"/>
        <v>1.0065366792598192</v>
      </c>
      <c r="I45" s="25">
        <f t="shared" si="7"/>
        <v>0.99423686097945574</v>
      </c>
      <c r="J45" s="25">
        <f t="shared" si="7"/>
        <v>0.99106482939250817</v>
      </c>
      <c r="K45" s="25">
        <f t="shared" si="7"/>
        <v>1.0513838582337489</v>
      </c>
      <c r="L45" s="25">
        <f t="shared" si="7"/>
        <v>1.0739974902938514</v>
      </c>
      <c r="M45" s="25">
        <f t="shared" si="7"/>
        <v>1.0100436903774297</v>
      </c>
      <c r="N45" s="25">
        <f t="shared" si="7"/>
        <v>1.0803794230957213</v>
      </c>
    </row>
    <row r="46" spans="1:14" x14ac:dyDescent="0.2">
      <c r="A46" s="34">
        <v>2015</v>
      </c>
      <c r="D46" s="6"/>
      <c r="E46" s="6"/>
      <c r="F46" s="6"/>
      <c r="H46" s="25">
        <f t="shared" si="7"/>
        <v>0.96773315339192911</v>
      </c>
      <c r="I46" s="25">
        <f t="shared" si="7"/>
        <v>1.0586298274980734</v>
      </c>
      <c r="J46" s="25">
        <f t="shared" si="7"/>
        <v>1.014482839791049</v>
      </c>
      <c r="K46" s="25">
        <f t="shared" si="7"/>
        <v>0.98005546527386089</v>
      </c>
      <c r="L46" s="25">
        <f t="shared" si="7"/>
        <v>0.68668585637598123</v>
      </c>
      <c r="M46" s="25">
        <f t="shared" si="7"/>
        <v>0.99414250672680038</v>
      </c>
      <c r="N46" s="25">
        <f t="shared" si="7"/>
        <v>0.87717507961545471</v>
      </c>
    </row>
    <row r="47" spans="1:14" x14ac:dyDescent="0.2">
      <c r="A47" s="34">
        <v>2016</v>
      </c>
      <c r="D47" s="179"/>
      <c r="E47" s="179"/>
      <c r="F47" s="179"/>
      <c r="G47" s="179"/>
      <c r="H47" s="25">
        <f>H35/H34</f>
        <v>0.96262922036018184</v>
      </c>
      <c r="I47" s="25">
        <f t="shared" ref="I47:N47" si="8">I35/I34</f>
        <v>0.95651164965609037</v>
      </c>
      <c r="J47" s="25">
        <f t="shared" si="8"/>
        <v>1.0038796984058662</v>
      </c>
      <c r="K47" s="25">
        <f t="shared" si="8"/>
        <v>1.0246870897934146</v>
      </c>
      <c r="L47" s="25">
        <f t="shared" si="8"/>
        <v>0.49077470224207892</v>
      </c>
      <c r="M47" s="25">
        <f t="shared" si="8"/>
        <v>1.019645262100866</v>
      </c>
      <c r="N47" s="25">
        <f t="shared" si="8"/>
        <v>0.94194468475863435</v>
      </c>
    </row>
    <row r="48" spans="1:14" x14ac:dyDescent="0.2">
      <c r="A48" t="s">
        <v>16</v>
      </c>
      <c r="D48" s="6"/>
      <c r="H48" s="25">
        <v>1</v>
      </c>
      <c r="I48" s="25">
        <v>1</v>
      </c>
      <c r="J48" s="25">
        <v>1</v>
      </c>
      <c r="K48" s="25">
        <v>1</v>
      </c>
      <c r="L48" s="25">
        <v>1</v>
      </c>
      <c r="M48" s="25">
        <v>1</v>
      </c>
      <c r="N48" s="25">
        <v>1</v>
      </c>
    </row>
    <row r="49" spans="1:25" x14ac:dyDescent="0.2">
      <c r="A49" s="3"/>
      <c r="D49" s="6"/>
      <c r="H49" s="13"/>
      <c r="I49" s="13"/>
      <c r="L49" s="11"/>
      <c r="M49" s="11"/>
      <c r="N49" s="11"/>
    </row>
    <row r="50" spans="1:25" x14ac:dyDescent="0.2">
      <c r="A50" t="s">
        <v>14</v>
      </c>
      <c r="D50" s="6"/>
      <c r="H50" s="25">
        <f>GEOMEAN(H39:H47)</f>
        <v>0.98271607150046048</v>
      </c>
      <c r="I50" s="25">
        <f t="shared" ref="I50:N50" si="9">GEOMEAN(I39:I47)</f>
        <v>0.99329315354295411</v>
      </c>
      <c r="J50" s="25">
        <f t="shared" si="9"/>
        <v>1.036863761210618</v>
      </c>
      <c r="K50" s="25">
        <f t="shared" si="9"/>
        <v>0.99339421318209598</v>
      </c>
      <c r="L50" s="25">
        <f t="shared" si="9"/>
        <v>0.87854404878515469</v>
      </c>
      <c r="M50" s="25">
        <f t="shared" si="9"/>
        <v>1.0069175247064177</v>
      </c>
      <c r="N50" s="25">
        <f t="shared" si="9"/>
        <v>0.99209116371092065</v>
      </c>
      <c r="O50" s="164"/>
    </row>
    <row r="51" spans="1:25" x14ac:dyDescent="0.2">
      <c r="D51" s="6"/>
      <c r="H51" s="25"/>
      <c r="I51" s="25"/>
      <c r="J51" s="25"/>
      <c r="K51" s="25"/>
      <c r="L51" s="25"/>
      <c r="M51" s="25"/>
    </row>
    <row r="52" spans="1:25" ht="38.25" x14ac:dyDescent="0.2">
      <c r="A52" s="20" t="s">
        <v>42</v>
      </c>
      <c r="S52" s="44" t="s">
        <v>56</v>
      </c>
      <c r="T52" s="45" t="s">
        <v>57</v>
      </c>
      <c r="U52" s="45" t="s">
        <v>58</v>
      </c>
      <c r="V52" s="45" t="s">
        <v>67</v>
      </c>
      <c r="W52" s="45" t="s">
        <v>61</v>
      </c>
      <c r="X52" s="46" t="s">
        <v>59</v>
      </c>
      <c r="Y52" s="46" t="s">
        <v>115</v>
      </c>
    </row>
    <row r="53" spans="1:25" x14ac:dyDescent="0.2">
      <c r="A53">
        <v>2017</v>
      </c>
      <c r="G53" s="33">
        <f>SUM(H53:N53)</f>
        <v>255217187.70015767</v>
      </c>
      <c r="H53" s="33">
        <f>H36*'Rate Class Customer Model'!B13</f>
        <v>152179928.72208962</v>
      </c>
      <c r="I53" s="33">
        <f>I36*'Rate Class Customer Model'!C13</f>
        <v>33837299.665646583</v>
      </c>
      <c r="J53" s="33">
        <f>J36*'Rate Class Customer Model'!D13</f>
        <v>67121982.152149945</v>
      </c>
      <c r="K53" s="33">
        <f>K36*'Rate Class Customer Model'!E13</f>
        <v>103051.65856497742</v>
      </c>
      <c r="L53" s="33">
        <f>L36*'Rate Class Customer Model'!F13</f>
        <v>561223.48942778981</v>
      </c>
      <c r="M53" s="33">
        <f>M36*'Rate Class Customer Model'!G13</f>
        <v>456657.01227876113</v>
      </c>
      <c r="N53" s="33">
        <f>N36</f>
        <v>957045</v>
      </c>
      <c r="O53" s="103">
        <f>SUM(H53:N53)</f>
        <v>255217187.70015767</v>
      </c>
      <c r="P53" s="103"/>
      <c r="S53" s="164">
        <f>H53/O53</f>
        <v>0.59627617596381655</v>
      </c>
      <c r="T53" s="164">
        <f>I53/O53</f>
        <v>0.13258237021795094</v>
      </c>
      <c r="U53" s="164">
        <f>J53/O53</f>
        <v>0.262999458449516</v>
      </c>
      <c r="V53" s="164">
        <f>K53/O53</f>
        <v>4.0378024494983398E-4</v>
      </c>
      <c r="W53" s="164">
        <f>L53/O53</f>
        <v>2.1990035016260117E-3</v>
      </c>
      <c r="X53" s="164">
        <f>M53/O53</f>
        <v>1.7892878469269295E-3</v>
      </c>
      <c r="Y53" s="164">
        <f>N53/O53</f>
        <v>3.7499237752137049E-3</v>
      </c>
    </row>
    <row r="54" spans="1:25" x14ac:dyDescent="0.2">
      <c r="G54" s="33"/>
      <c r="H54" s="162"/>
      <c r="I54" s="162"/>
      <c r="J54" s="162"/>
      <c r="K54" s="162"/>
      <c r="L54" s="162"/>
      <c r="M54" s="162"/>
      <c r="N54" s="162"/>
    </row>
    <row r="55" spans="1:25" x14ac:dyDescent="0.2">
      <c r="A55" s="20" t="s">
        <v>41</v>
      </c>
      <c r="G55" s="33"/>
      <c r="H55" s="33"/>
      <c r="I55" s="33"/>
      <c r="J55" s="33"/>
      <c r="K55" s="33"/>
      <c r="L55" s="33"/>
      <c r="M55" s="33"/>
      <c r="P55" t="s">
        <v>131</v>
      </c>
      <c r="Q55" s="1"/>
      <c r="R55" s="1"/>
    </row>
    <row r="56" spans="1:25" x14ac:dyDescent="0.2">
      <c r="A56">
        <v>2017</v>
      </c>
      <c r="G56" s="54">
        <f>G18</f>
        <v>242004217.45104995</v>
      </c>
      <c r="H56" s="33">
        <f t="shared" ref="H56:N56" si="10">H53+H63+H67</f>
        <v>143217770.04708877</v>
      </c>
      <c r="I56" s="33">
        <f t="shared" si="10"/>
        <v>31249540.178141017</v>
      </c>
      <c r="J56" s="33">
        <f t="shared" si="10"/>
        <v>63122597.065548651</v>
      </c>
      <c r="K56" s="33">
        <f t="shared" si="10"/>
        <v>103051.65856497742</v>
      </c>
      <c r="L56" s="33">
        <f t="shared" si="10"/>
        <v>561223.48942778981</v>
      </c>
      <c r="M56" s="33">
        <f t="shared" si="10"/>
        <v>456657.01227876113</v>
      </c>
      <c r="N56" s="33">
        <f t="shared" si="10"/>
        <v>957045</v>
      </c>
      <c r="O56" s="33">
        <f>SUM(H56:N56)</f>
        <v>239667884.45104998</v>
      </c>
      <c r="P56" s="103">
        <f>G56-O56</f>
        <v>2336332.9999999702</v>
      </c>
      <c r="Q56" s="103">
        <f>P56+G67</f>
        <v>-2.9802322387695313E-8</v>
      </c>
      <c r="R56" s="103"/>
      <c r="S56" s="164">
        <f>H56/O56</f>
        <v>0.59756763145434999</v>
      </c>
      <c r="T56" s="164">
        <f>I56/O56</f>
        <v>0.13038684865816244</v>
      </c>
      <c r="U56" s="164">
        <f>J56/O56</f>
        <v>0.26337528371866975</v>
      </c>
      <c r="V56" s="164">
        <f>K56/O56</f>
        <v>4.299769191062593E-4</v>
      </c>
      <c r="W56" s="164">
        <f>L56/O56</f>
        <v>2.3416716457995636E-3</v>
      </c>
      <c r="X56" s="164">
        <f>M56/O56</f>
        <v>1.9053742362048897E-3</v>
      </c>
      <c r="Y56" s="164">
        <f>N56/O56</f>
        <v>3.9932133677070443E-3</v>
      </c>
    </row>
    <row r="57" spans="1:25" x14ac:dyDescent="0.2">
      <c r="G57"/>
      <c r="H57" s="162"/>
      <c r="I57" s="162"/>
      <c r="J57" s="162"/>
      <c r="K57" s="162"/>
      <c r="L57" s="162"/>
      <c r="M57" s="162"/>
      <c r="N57" s="162"/>
      <c r="O57" s="33"/>
      <c r="P57" s="103"/>
      <c r="Q57" s="110"/>
      <c r="R57" s="103"/>
      <c r="S57" s="33"/>
    </row>
    <row r="58" spans="1:25" x14ac:dyDescent="0.2">
      <c r="G58" s="33"/>
      <c r="H58" s="33"/>
      <c r="I58" s="33"/>
      <c r="J58" s="33"/>
      <c r="K58" s="33"/>
      <c r="L58" s="33"/>
      <c r="M58" s="33"/>
    </row>
    <row r="59" spans="1:25" x14ac:dyDescent="0.2">
      <c r="A59" s="49" t="s">
        <v>43</v>
      </c>
      <c r="G59" s="33"/>
      <c r="H59" s="55">
        <f>(100%+J59)/2</f>
        <v>0.82499999999999996</v>
      </c>
      <c r="I59" s="55">
        <f>H59</f>
        <v>0.82499999999999996</v>
      </c>
      <c r="J59" s="55">
        <v>0.65</v>
      </c>
      <c r="K59" s="55"/>
      <c r="L59" s="55"/>
      <c r="M59" s="55"/>
      <c r="N59" s="55"/>
    </row>
    <row r="60" spans="1:25" x14ac:dyDescent="0.2">
      <c r="A60">
        <v>2017</v>
      </c>
      <c r="G60" s="33">
        <f>G56-G53</f>
        <v>-13212970.249107718</v>
      </c>
      <c r="H60" s="33">
        <f>H53*$H$59</f>
        <v>125548441.19572392</v>
      </c>
      <c r="I60" s="33">
        <f>I53*$I$59</f>
        <v>27915772.224158429</v>
      </c>
      <c r="J60" s="33">
        <f>J53*$J$59</f>
        <v>43629288.398897469</v>
      </c>
      <c r="K60" s="33">
        <f>K53*$K$59</f>
        <v>0</v>
      </c>
      <c r="L60" s="33">
        <f>L53*$L$59</f>
        <v>0</v>
      </c>
      <c r="M60" s="33">
        <f>M53*$M$59</f>
        <v>0</v>
      </c>
      <c r="N60" s="33">
        <f>N53*$N$59</f>
        <v>0</v>
      </c>
      <c r="O60" s="103">
        <f>SUM(H60:M60)</f>
        <v>197093501.81877983</v>
      </c>
    </row>
    <row r="61" spans="1:25" x14ac:dyDescent="0.2">
      <c r="G61" s="33"/>
      <c r="H61" s="33"/>
      <c r="I61" s="33"/>
      <c r="J61" s="33"/>
      <c r="K61" s="33"/>
      <c r="L61" s="33"/>
      <c r="M61" s="33"/>
      <c r="N61" s="33"/>
      <c r="O61" s="103"/>
    </row>
    <row r="62" spans="1:25" x14ac:dyDescent="0.2">
      <c r="A62" t="s">
        <v>44</v>
      </c>
      <c r="G62" s="33"/>
      <c r="H62" s="33"/>
      <c r="I62" s="33"/>
      <c r="J62" s="33"/>
      <c r="K62" s="33"/>
      <c r="L62" s="33"/>
      <c r="M62" s="33"/>
    </row>
    <row r="63" spans="1:25" x14ac:dyDescent="0.2">
      <c r="A63">
        <v>2017</v>
      </c>
      <c r="H63" s="33">
        <f t="shared" ref="H63:N63" si="11">H60/$O$60*$G$60</f>
        <v>-8416654.0400008596</v>
      </c>
      <c r="I63" s="33">
        <f t="shared" si="11"/>
        <v>-1871448.1425055661</v>
      </c>
      <c r="J63" s="33">
        <f t="shared" si="11"/>
        <v>-2924868.0666012922</v>
      </c>
      <c r="K63" s="33">
        <f t="shared" si="11"/>
        <v>0</v>
      </c>
      <c r="L63" s="33">
        <f t="shared" si="11"/>
        <v>0</v>
      </c>
      <c r="M63" s="33">
        <f t="shared" si="11"/>
        <v>0</v>
      </c>
      <c r="N63" s="33">
        <f t="shared" si="11"/>
        <v>0</v>
      </c>
      <c r="O63" s="103">
        <f>SUM(H63:M63)</f>
        <v>-13212970.249107718</v>
      </c>
    </row>
    <row r="64" spans="1:25" x14ac:dyDescent="0.2">
      <c r="G64" s="157"/>
      <c r="H64" s="33"/>
      <c r="I64" s="33"/>
      <c r="J64" s="33"/>
      <c r="K64" s="33"/>
      <c r="L64" s="33"/>
      <c r="M64" s="33"/>
      <c r="N64" s="33"/>
      <c r="O64" s="103"/>
    </row>
    <row r="65" spans="6:20" x14ac:dyDescent="0.2">
      <c r="G65" s="157"/>
      <c r="H65" s="33"/>
      <c r="I65" s="33"/>
      <c r="J65" s="33"/>
      <c r="K65" s="33"/>
      <c r="L65" s="33"/>
      <c r="M65" s="33"/>
      <c r="N65" s="33"/>
      <c r="O65" s="103"/>
    </row>
    <row r="66" spans="6:20" x14ac:dyDescent="0.2">
      <c r="F66" s="151" t="s">
        <v>131</v>
      </c>
      <c r="H66" s="108"/>
    </row>
    <row r="67" spans="6:20" x14ac:dyDescent="0.2">
      <c r="F67" s="1">
        <v>2017</v>
      </c>
      <c r="G67" s="108">
        <f>-(H73*0.5+H74*0.5)</f>
        <v>-2336333</v>
      </c>
      <c r="H67" s="108">
        <f>-(H78*0.5+H79*0.5)</f>
        <v>-545504.63500000001</v>
      </c>
      <c r="I67" s="108">
        <f>-(H83*0.5+H84*0.5)</f>
        <v>-716311.34499999997</v>
      </c>
      <c r="J67" s="108">
        <f>-(0.5*H88+H89*0.5)</f>
        <v>-1074517.02</v>
      </c>
      <c r="K67" s="108">
        <v>0</v>
      </c>
      <c r="L67" s="108">
        <v>0</v>
      </c>
      <c r="M67" s="108">
        <v>0</v>
      </c>
      <c r="N67" s="108">
        <v>0</v>
      </c>
      <c r="O67" s="103">
        <f>SUM(H67:M67)</f>
        <v>-2336333</v>
      </c>
      <c r="P67" s="157">
        <f>G67-O67</f>
        <v>0</v>
      </c>
      <c r="Q67" s="6"/>
      <c r="R67" s="6"/>
      <c r="S67" s="6"/>
      <c r="T67" s="6"/>
    </row>
    <row r="68" spans="6:20" x14ac:dyDescent="0.2">
      <c r="G68" s="108"/>
      <c r="H68" s="108"/>
      <c r="I68" s="108"/>
      <c r="J68" s="108"/>
      <c r="K68" s="108"/>
      <c r="L68" s="108"/>
      <c r="M68" s="108"/>
      <c r="N68" s="108"/>
      <c r="O68" s="110"/>
      <c r="P68" s="157"/>
      <c r="Q68" s="157"/>
      <c r="R68" s="157"/>
      <c r="S68" s="157"/>
      <c r="T68" s="157"/>
    </row>
    <row r="69" spans="6:20" ht="12" customHeight="1" x14ac:dyDescent="0.2">
      <c r="P69" s="6"/>
      <c r="Q69" s="6"/>
      <c r="R69" s="6"/>
      <c r="S69" s="6"/>
      <c r="T69" s="6"/>
    </row>
    <row r="71" spans="6:20" x14ac:dyDescent="0.2">
      <c r="G71" s="323" t="s">
        <v>136</v>
      </c>
      <c r="H71" s="323"/>
      <c r="I71"/>
      <c r="J71"/>
      <c r="K71"/>
      <c r="L71"/>
      <c r="M71"/>
    </row>
    <row r="72" spans="6:20" x14ac:dyDescent="0.2">
      <c r="G72" s="1">
        <v>2016</v>
      </c>
      <c r="H72" s="1">
        <v>2017</v>
      </c>
      <c r="I72"/>
      <c r="J72"/>
      <c r="K72"/>
      <c r="L72"/>
      <c r="M72"/>
    </row>
    <row r="73" spans="6:20" x14ac:dyDescent="0.2">
      <c r="F73" s="1" t="s">
        <v>133</v>
      </c>
      <c r="G73" s="27">
        <v>2593587</v>
      </c>
      <c r="H73" s="27">
        <v>2569466</v>
      </c>
      <c r="I73"/>
      <c r="J73"/>
      <c r="K73"/>
      <c r="L73"/>
      <c r="M73"/>
    </row>
    <row r="74" spans="6:20" x14ac:dyDescent="0.2">
      <c r="F74" s="1" t="s">
        <v>134</v>
      </c>
      <c r="G74" s="27"/>
      <c r="H74" s="27">
        <f>2103.2*1000</f>
        <v>2103200</v>
      </c>
      <c r="I74"/>
      <c r="J74"/>
      <c r="K74"/>
      <c r="L74"/>
      <c r="M74"/>
    </row>
    <row r="75" spans="6:20" x14ac:dyDescent="0.2">
      <c r="F75" s="1" t="s">
        <v>135</v>
      </c>
      <c r="G75" s="6">
        <f>G73</f>
        <v>2593587</v>
      </c>
      <c r="H75" s="6">
        <f>H74</f>
        <v>2103200</v>
      </c>
      <c r="I75"/>
      <c r="J75"/>
      <c r="K75"/>
      <c r="L75"/>
      <c r="M75"/>
    </row>
    <row r="76" spans="6:20" x14ac:dyDescent="0.2">
      <c r="I76"/>
      <c r="J76"/>
      <c r="K76"/>
      <c r="L76"/>
      <c r="M76"/>
    </row>
    <row r="77" spans="6:20" x14ac:dyDescent="0.2">
      <c r="F77"/>
      <c r="G77" s="323" t="s">
        <v>137</v>
      </c>
      <c r="H77" s="323"/>
      <c r="I77" s="323"/>
      <c r="J77"/>
      <c r="K77"/>
      <c r="L77"/>
      <c r="M77"/>
    </row>
    <row r="78" spans="6:20" x14ac:dyDescent="0.2">
      <c r="F78" s="1" t="s">
        <v>133</v>
      </c>
      <c r="G78" s="6">
        <v>780669.69</v>
      </c>
      <c r="H78" s="6">
        <v>773409.27</v>
      </c>
      <c r="I78"/>
      <c r="J78"/>
      <c r="K78"/>
      <c r="L78"/>
      <c r="M78"/>
    </row>
    <row r="79" spans="6:20" x14ac:dyDescent="0.2">
      <c r="F79" s="1" t="s">
        <v>134</v>
      </c>
      <c r="H79" s="6">
        <f>317.6*1000</f>
        <v>317600</v>
      </c>
      <c r="I79"/>
      <c r="J79"/>
      <c r="K79"/>
      <c r="L79"/>
      <c r="M79"/>
    </row>
    <row r="80" spans="6:20" x14ac:dyDescent="0.2">
      <c r="F80" s="1" t="s">
        <v>135</v>
      </c>
      <c r="G80" s="6">
        <f>G78</f>
        <v>780669.69</v>
      </c>
      <c r="H80" s="6">
        <f>H79</f>
        <v>317600</v>
      </c>
      <c r="I80"/>
      <c r="J80"/>
      <c r="K80"/>
      <c r="L80"/>
      <c r="M80"/>
    </row>
    <row r="81" spans="6:15" x14ac:dyDescent="0.2">
      <c r="I81"/>
      <c r="J81"/>
      <c r="K81"/>
      <c r="L81"/>
      <c r="M81"/>
    </row>
    <row r="82" spans="6:15" x14ac:dyDescent="0.2">
      <c r="G82" s="323" t="s">
        <v>138</v>
      </c>
      <c r="H82" s="323"/>
      <c r="I82" s="323"/>
      <c r="J82"/>
      <c r="K82"/>
      <c r="L82"/>
      <c r="M82"/>
    </row>
    <row r="83" spans="6:15" x14ac:dyDescent="0.2">
      <c r="F83" s="1" t="s">
        <v>133</v>
      </c>
      <c r="G83" s="6">
        <v>725166.93</v>
      </c>
      <c r="H83" s="6">
        <v>718422.69</v>
      </c>
      <c r="I83"/>
      <c r="J83"/>
      <c r="K83"/>
      <c r="L83"/>
      <c r="M83"/>
    </row>
    <row r="84" spans="6:15" x14ac:dyDescent="0.2">
      <c r="F84" s="1" t="s">
        <v>134</v>
      </c>
      <c r="H84" s="6">
        <f>714.2*1000</f>
        <v>714200</v>
      </c>
      <c r="I84"/>
      <c r="J84"/>
      <c r="K84"/>
      <c r="L84"/>
      <c r="M84"/>
    </row>
    <row r="85" spans="6:15" x14ac:dyDescent="0.2">
      <c r="F85" s="1" t="s">
        <v>135</v>
      </c>
      <c r="G85" s="6">
        <f>G83</f>
        <v>725166.93</v>
      </c>
      <c r="H85" s="6">
        <f>H84</f>
        <v>714200</v>
      </c>
      <c r="I85"/>
      <c r="J85"/>
      <c r="K85"/>
      <c r="L85"/>
      <c r="M85"/>
    </row>
    <row r="86" spans="6:15" x14ac:dyDescent="0.2">
      <c r="I86"/>
      <c r="J86"/>
      <c r="K86"/>
      <c r="L86"/>
      <c r="M86"/>
    </row>
    <row r="87" spans="6:15" x14ac:dyDescent="0.2">
      <c r="G87" s="323" t="s">
        <v>139</v>
      </c>
      <c r="H87" s="323"/>
      <c r="I87" s="323"/>
      <c r="J87"/>
      <c r="K87"/>
      <c r="M87"/>
    </row>
    <row r="88" spans="6:15" x14ac:dyDescent="0.2">
      <c r="F88" s="151" t="s">
        <v>133</v>
      </c>
      <c r="G88" s="27">
        <v>1087750.3899999999</v>
      </c>
      <c r="H88" s="179">
        <v>1077634.04</v>
      </c>
      <c r="I88"/>
      <c r="J88"/>
      <c r="K88"/>
      <c r="L88" t="s">
        <v>303</v>
      </c>
      <c r="M88"/>
    </row>
    <row r="89" spans="6:15" x14ac:dyDescent="0.2">
      <c r="F89" s="1" t="s">
        <v>134</v>
      </c>
      <c r="H89" s="6">
        <f>1071.4*1000</f>
        <v>1071400</v>
      </c>
      <c r="I89"/>
      <c r="J89"/>
      <c r="K89"/>
      <c r="L89"/>
      <c r="M89"/>
    </row>
    <row r="90" spans="6:15" x14ac:dyDescent="0.2">
      <c r="F90" s="1" t="s">
        <v>135</v>
      </c>
      <c r="G90" s="179">
        <f>G88</f>
        <v>1087750.3899999999</v>
      </c>
      <c r="H90" s="179">
        <f>H89</f>
        <v>1071400</v>
      </c>
      <c r="I90"/>
      <c r="J90"/>
      <c r="K90"/>
      <c r="L90"/>
      <c r="M90"/>
    </row>
    <row r="91" spans="6:15" x14ac:dyDescent="0.2">
      <c r="I91"/>
      <c r="J91"/>
      <c r="K91"/>
      <c r="L91"/>
      <c r="M91"/>
    </row>
    <row r="92" spans="6:15" x14ac:dyDescent="0.2">
      <c r="I92"/>
      <c r="J92"/>
      <c r="K92"/>
      <c r="L92"/>
      <c r="M92"/>
      <c r="O92" s="160">
        <f>N92-M92</f>
        <v>0</v>
      </c>
    </row>
    <row r="93" spans="6:15" x14ac:dyDescent="0.2">
      <c r="I93"/>
      <c r="J93"/>
      <c r="K93"/>
      <c r="L93"/>
      <c r="M93"/>
    </row>
    <row r="94" spans="6:15" x14ac:dyDescent="0.2">
      <c r="I94"/>
      <c r="J94"/>
      <c r="K94"/>
      <c r="L94"/>
      <c r="M94"/>
    </row>
    <row r="95" spans="6:15" x14ac:dyDescent="0.2">
      <c r="F95" s="1" t="s">
        <v>133</v>
      </c>
      <c r="G95" s="27">
        <f>G78+G83+G88</f>
        <v>2593587.0099999998</v>
      </c>
      <c r="H95" s="27">
        <f>H78+H83+H88</f>
        <v>2569466</v>
      </c>
      <c r="I95"/>
      <c r="J95"/>
      <c r="K95"/>
      <c r="L95"/>
      <c r="M95"/>
    </row>
    <row r="96" spans="6:15" x14ac:dyDescent="0.2">
      <c r="F96" s="1" t="s">
        <v>134</v>
      </c>
      <c r="G96" s="27"/>
      <c r="H96" s="27">
        <f>H79+H84+H89</f>
        <v>2103200</v>
      </c>
      <c r="I96"/>
      <c r="J96"/>
      <c r="K96"/>
      <c r="L96"/>
      <c r="M96"/>
    </row>
    <row r="97" spans="6:13" x14ac:dyDescent="0.2">
      <c r="I97"/>
      <c r="J97"/>
      <c r="K97"/>
      <c r="L97"/>
      <c r="M97"/>
    </row>
    <row r="98" spans="6:13" x14ac:dyDescent="0.2">
      <c r="F98" s="151" t="s">
        <v>143</v>
      </c>
      <c r="G98" s="157">
        <f>G73-G95</f>
        <v>-9.9999997764825821E-3</v>
      </c>
      <c r="H98" s="157">
        <f>H73-H95</f>
        <v>0</v>
      </c>
      <c r="I98"/>
      <c r="J98"/>
      <c r="K98"/>
      <c r="L98"/>
      <c r="M98"/>
    </row>
    <row r="99" spans="6:13" x14ac:dyDescent="0.2">
      <c r="H99" s="157">
        <f>H74-H96</f>
        <v>0</v>
      </c>
      <c r="I99"/>
      <c r="J99"/>
      <c r="K99"/>
      <c r="L99"/>
      <c r="M99"/>
    </row>
    <row r="100" spans="6:13" x14ac:dyDescent="0.2">
      <c r="J100"/>
      <c r="K100"/>
      <c r="L100"/>
      <c r="M100"/>
    </row>
    <row r="101" spans="6:13" x14ac:dyDescent="0.2">
      <c r="J101"/>
      <c r="K101"/>
      <c r="L101"/>
      <c r="M101"/>
    </row>
    <row r="102" spans="6:13" x14ac:dyDescent="0.2">
      <c r="J102"/>
      <c r="K102"/>
      <c r="L102"/>
      <c r="M102"/>
    </row>
    <row r="103" spans="6:13" x14ac:dyDescent="0.2">
      <c r="J103"/>
      <c r="K103"/>
      <c r="L103"/>
      <c r="M103"/>
    </row>
    <row r="104" spans="6:13" x14ac:dyDescent="0.2">
      <c r="J104"/>
      <c r="K104"/>
      <c r="L104"/>
      <c r="M104"/>
    </row>
    <row r="105" spans="6:13" x14ac:dyDescent="0.2">
      <c r="J105"/>
      <c r="K105"/>
      <c r="L105"/>
      <c r="M105"/>
    </row>
    <row r="106" spans="6:13" x14ac:dyDescent="0.2">
      <c r="J106"/>
      <c r="K106"/>
      <c r="L106"/>
      <c r="M106"/>
    </row>
    <row r="107" spans="6:13" x14ac:dyDescent="0.2">
      <c r="J107"/>
      <c r="K107"/>
      <c r="L107"/>
      <c r="M107"/>
    </row>
  </sheetData>
  <phoneticPr fontId="0" type="noConversion"/>
  <printOptions horizontalCentered="1"/>
  <pageMargins left="0.19685039370078741" right="0.19685039370078741" top="0.31496062992125984" bottom="0.35433070866141736" header="0.51181102362204722" footer="0.15748031496062992"/>
  <pageSetup paperSize="17" scale="65" fitToHeight="3" orientation="landscape" verticalDpi="300" r:id="rId1"/>
  <headerFooter alignWithMargins="0">
    <oddFooter>&amp;L&amp;A&amp;R&amp;P</oddFooter>
  </headerFooter>
  <rowBreaks count="1" manualBreakCount="1">
    <brk id="61" max="2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4"/>
  <sheetViews>
    <sheetView topLeftCell="A7" workbookViewId="0">
      <selection activeCell="B19" sqref="B19:D19"/>
    </sheetView>
  </sheetViews>
  <sheetFormatPr defaultRowHeight="12.75" x14ac:dyDescent="0.2"/>
  <cols>
    <col min="1" max="1" width="11" customWidth="1"/>
    <col min="2" max="2" width="15" style="6" customWidth="1"/>
    <col min="3" max="4" width="14.140625" style="6" bestFit="1" customWidth="1"/>
    <col min="5" max="5" width="14.140625" style="6" customWidth="1"/>
    <col min="6" max="6" width="17.5703125" style="6" customWidth="1"/>
    <col min="7" max="7" width="12.5703125" style="6" customWidth="1"/>
    <col min="8" max="8" width="12.7109375" style="6" bestFit="1" customWidth="1"/>
    <col min="9" max="9" width="4.7109375" style="6" customWidth="1"/>
    <col min="10" max="10" width="11.7109375" style="6" bestFit="1" customWidth="1"/>
    <col min="11" max="11" width="10.7109375" style="6" bestFit="1" customWidth="1"/>
    <col min="12" max="13" width="9.140625" style="6"/>
  </cols>
  <sheetData>
    <row r="2" spans="1:14" ht="54.6" customHeight="1" x14ac:dyDescent="0.2">
      <c r="B2" s="9" t="str">
        <f>'Rate Class Energy Model'!H3</f>
        <v>Residential</v>
      </c>
      <c r="C2" s="9" t="str">
        <f>'Rate Class Energy Model'!I3</f>
        <v>GS&lt;50</v>
      </c>
      <c r="D2" s="9" t="str">
        <f>'Rate Class Energy Model'!J3</f>
        <v>GS&gt;50</v>
      </c>
      <c r="E2" s="9" t="str">
        <f>'Rate Class Energy Model'!K3</f>
        <v>Sentinels</v>
      </c>
      <c r="F2" s="9" t="str">
        <f>'Rate Class Energy Model'!L3</f>
        <v>Streetlights</v>
      </c>
      <c r="G2" s="9" t="str">
        <f>'Rate Class Energy Model'!M3</f>
        <v>USL</v>
      </c>
      <c r="H2" s="6" t="s">
        <v>9</v>
      </c>
      <c r="J2" s="79" t="s">
        <v>70</v>
      </c>
    </row>
    <row r="3" spans="1:14" x14ac:dyDescent="0.2">
      <c r="A3" s="4">
        <v>2007</v>
      </c>
      <c r="B3" s="36">
        <f>'[5]Consumption Data '!$F$71</f>
        <v>12991</v>
      </c>
      <c r="C3" s="36">
        <f>'[5]Consumption Data '!$J$71</f>
        <v>819</v>
      </c>
      <c r="D3" s="36">
        <f>'[5]Consumption Data '!$O$71</f>
        <v>71</v>
      </c>
      <c r="E3" s="36">
        <f>'[5]Consumption Data '!$Y$71</f>
        <v>186</v>
      </c>
      <c r="F3" s="36">
        <f>'[5]Consumption Data '!$T$71</f>
        <v>2489</v>
      </c>
      <c r="G3" s="36">
        <f>'[5]Consumption Data '!$AC$71</f>
        <v>89</v>
      </c>
      <c r="H3" s="35">
        <f t="shared" ref="H3:H13" si="0">SUM(B3:G3)</f>
        <v>16645</v>
      </c>
      <c r="J3" s="157">
        <f t="shared" ref="J3:J13" si="1">B3+C3+D3</f>
        <v>13881</v>
      </c>
      <c r="K3" s="157"/>
      <c r="L3" s="157"/>
      <c r="M3" s="157"/>
      <c r="N3" s="157"/>
    </row>
    <row r="4" spans="1:14" x14ac:dyDescent="0.2">
      <c r="A4" s="4">
        <v>2008</v>
      </c>
      <c r="B4" s="36">
        <f>'[5]Consumption Data '!$F$83</f>
        <v>13277</v>
      </c>
      <c r="C4" s="36">
        <f>'[5]Consumption Data '!$J$83</f>
        <v>836</v>
      </c>
      <c r="D4" s="36">
        <f>'[5]Consumption Data '!$O$83</f>
        <v>73</v>
      </c>
      <c r="E4" s="36">
        <f>'[5]Consumption Data '!$Y$83</f>
        <v>186</v>
      </c>
      <c r="F4" s="36">
        <f>'[5]Consumption Data '!$T$83</f>
        <v>2588</v>
      </c>
      <c r="G4" s="36">
        <f>'[5]Consumption Data '!$AC$83</f>
        <v>84</v>
      </c>
      <c r="H4" s="35">
        <f t="shared" si="0"/>
        <v>17044</v>
      </c>
      <c r="J4" s="157">
        <f t="shared" si="1"/>
        <v>14186</v>
      </c>
      <c r="K4" s="157"/>
      <c r="L4" s="157"/>
      <c r="M4" s="157"/>
      <c r="N4" s="157"/>
    </row>
    <row r="5" spans="1:14" x14ac:dyDescent="0.2">
      <c r="A5" s="4">
        <v>2009</v>
      </c>
      <c r="B5" s="36">
        <f>'[5]Consumption Data '!$F$95</f>
        <v>13533</v>
      </c>
      <c r="C5" s="36">
        <f>'[5]Consumption Data '!$J$95</f>
        <v>855</v>
      </c>
      <c r="D5" s="36">
        <f>'[5]Consumption Data '!$O$95</f>
        <v>72</v>
      </c>
      <c r="E5" s="36">
        <f>'[5]Consumption Data '!$Y$95</f>
        <v>193</v>
      </c>
      <c r="F5" s="36">
        <f>'[5]Consumption Data '!$T$95</f>
        <v>2625</v>
      </c>
      <c r="G5" s="36">
        <f>'[5]Consumption Data '!$AC$95</f>
        <v>83</v>
      </c>
      <c r="H5" s="35">
        <f t="shared" si="0"/>
        <v>17361</v>
      </c>
      <c r="J5" s="157">
        <f t="shared" si="1"/>
        <v>14460</v>
      </c>
      <c r="K5" s="157"/>
      <c r="L5" s="157"/>
      <c r="M5" s="157"/>
      <c r="N5" s="157"/>
    </row>
    <row r="6" spans="1:14" x14ac:dyDescent="0.2">
      <c r="A6" s="4">
        <v>2010</v>
      </c>
      <c r="B6" s="36">
        <f>'[5]Consumption Data '!$F$107</f>
        <v>13651</v>
      </c>
      <c r="C6" s="36">
        <f>'[5]Consumption Data '!$J$107</f>
        <v>865</v>
      </c>
      <c r="D6" s="36">
        <f>'[5]Consumption Data '!$O$107</f>
        <v>68</v>
      </c>
      <c r="E6" s="36">
        <f>'[5]Consumption Data '!$Y$107</f>
        <v>201</v>
      </c>
      <c r="F6" s="36">
        <f>'[5]Consumption Data '!$T$107</f>
        <v>2685</v>
      </c>
      <c r="G6" s="36">
        <f>'[5]Consumption Data '!$AC$107</f>
        <v>82</v>
      </c>
      <c r="H6" s="35">
        <f t="shared" si="0"/>
        <v>17552</v>
      </c>
      <c r="J6" s="157">
        <f t="shared" si="1"/>
        <v>14584</v>
      </c>
      <c r="K6" s="157"/>
      <c r="L6" s="157"/>
      <c r="M6" s="157"/>
      <c r="N6" s="157"/>
    </row>
    <row r="7" spans="1:14" x14ac:dyDescent="0.2">
      <c r="A7" s="4">
        <v>2011</v>
      </c>
      <c r="B7" s="36">
        <f>'[5]Consumption Data '!$F$119</f>
        <v>13779</v>
      </c>
      <c r="C7" s="36">
        <f>'[5]Consumption Data '!$J$119</f>
        <v>896</v>
      </c>
      <c r="D7" s="36">
        <f>'[5]Consumption Data '!$O$119</f>
        <v>67</v>
      </c>
      <c r="E7" s="36">
        <f>'[5]Consumption Data '!$Y$119</f>
        <v>225</v>
      </c>
      <c r="F7" s="36">
        <f>'[5]Consumption Data '!$T$119</f>
        <v>2728</v>
      </c>
      <c r="G7" s="36">
        <f>'[5]Consumption Data '!$AC$119</f>
        <v>81</v>
      </c>
      <c r="H7" s="35">
        <f t="shared" si="0"/>
        <v>17776</v>
      </c>
      <c r="J7" s="157">
        <f t="shared" si="1"/>
        <v>14742</v>
      </c>
      <c r="K7" s="157"/>
      <c r="L7" s="157"/>
      <c r="M7" s="157"/>
      <c r="N7" s="157"/>
    </row>
    <row r="8" spans="1:14" x14ac:dyDescent="0.2">
      <c r="A8" s="4">
        <v>2012</v>
      </c>
      <c r="B8" s="36">
        <f>'[6]Customer Numbers'!$B$18</f>
        <v>13942.916666666666</v>
      </c>
      <c r="C8" s="36">
        <f>'[6]Customer Numbers'!$C$18</f>
        <v>913.75</v>
      </c>
      <c r="D8" s="36">
        <f>'[6]Customer Numbers'!$E$18</f>
        <v>67.916666666666671</v>
      </c>
      <c r="E8" s="36">
        <f>'[6]Customer Numbers'!$F$18</f>
        <v>172.08333333333334</v>
      </c>
      <c r="F8" s="36">
        <f>'[6]Customer Numbers'!$G$18</f>
        <v>2728</v>
      </c>
      <c r="G8" s="36">
        <f>'[6]Customer Numbers'!$D$18</f>
        <v>78.666666666666671</v>
      </c>
      <c r="H8" s="35">
        <f t="shared" si="0"/>
        <v>17903.333333333332</v>
      </c>
      <c r="J8" s="157">
        <f t="shared" si="1"/>
        <v>14924.583333333332</v>
      </c>
      <c r="K8" s="157"/>
      <c r="L8" s="157"/>
      <c r="M8" s="157"/>
      <c r="N8" s="157"/>
    </row>
    <row r="9" spans="1:14" x14ac:dyDescent="0.2">
      <c r="A9" s="4">
        <v>2013</v>
      </c>
      <c r="B9" s="36">
        <f>'[6]Customer Numbers'!$B$36</f>
        <v>14181</v>
      </c>
      <c r="C9" s="36">
        <f>'[6]Customer Numbers'!$C$36</f>
        <v>949.25</v>
      </c>
      <c r="D9" s="36">
        <f>'[6]Customer Numbers'!$E$36</f>
        <v>67</v>
      </c>
      <c r="E9" s="36">
        <f>'[6]Customer Numbers'!$F$36</f>
        <v>168</v>
      </c>
      <c r="F9" s="36">
        <f>'[6]Customer Numbers'!$G$36</f>
        <v>2843.3333333333335</v>
      </c>
      <c r="G9" s="36">
        <f>'[6]Customer Numbers'!$D$36</f>
        <v>77.583333333333329</v>
      </c>
      <c r="H9" s="35">
        <f t="shared" si="0"/>
        <v>18286.166666666664</v>
      </c>
      <c r="J9" s="157">
        <f t="shared" si="1"/>
        <v>15197.25</v>
      </c>
      <c r="K9" s="157"/>
      <c r="L9" s="157"/>
      <c r="M9" s="157"/>
      <c r="N9" s="157"/>
    </row>
    <row r="10" spans="1:14" x14ac:dyDescent="0.2">
      <c r="A10" s="4">
        <v>2014</v>
      </c>
      <c r="B10" s="36">
        <f>'[6]Customer Numbers'!$B$54</f>
        <v>14509.166666666666</v>
      </c>
      <c r="C10" s="36">
        <f>'[6]Customer Numbers'!$C$54</f>
        <v>991.25</v>
      </c>
      <c r="D10" s="36">
        <f>'[6]Customer Numbers'!$E$54</f>
        <v>67.166666666666671</v>
      </c>
      <c r="E10" s="36">
        <f>'[6]Customer Numbers'!$F$54</f>
        <v>169.41666666666666</v>
      </c>
      <c r="F10" s="36">
        <f>'[6]Customer Numbers'!$G$54</f>
        <v>2923.3333333333335</v>
      </c>
      <c r="G10" s="36">
        <f>'[6]Customer Numbers'!$D$54</f>
        <v>75.583333333333329</v>
      </c>
      <c r="H10" s="35">
        <f t="shared" si="0"/>
        <v>18735.916666666664</v>
      </c>
      <c r="J10" s="157">
        <f t="shared" si="1"/>
        <v>15567.583333333332</v>
      </c>
      <c r="K10" s="157"/>
      <c r="L10" s="157"/>
      <c r="M10" s="157"/>
      <c r="N10" s="157"/>
    </row>
    <row r="11" spans="1:14" x14ac:dyDescent="0.2">
      <c r="A11" s="4">
        <v>2015</v>
      </c>
      <c r="B11" s="36">
        <f>'[6]Customer Numbers'!$B$72</f>
        <v>14861.583333333334</v>
      </c>
      <c r="C11" s="36">
        <f>'[6]Customer Numbers'!$C$72</f>
        <v>1000.5833333333334</v>
      </c>
      <c r="D11" s="36">
        <f>'[6]Customer Numbers'!$E$72</f>
        <v>71.5</v>
      </c>
      <c r="E11" s="36">
        <f>'[6]Customer Numbers'!$F$72</f>
        <v>165.75</v>
      </c>
      <c r="F11" s="36">
        <f>'[6]Customer Numbers'!$G$72</f>
        <v>2897.6666666666665</v>
      </c>
      <c r="G11" s="36">
        <f>'[6]Customer Numbers'!$D$72</f>
        <v>76</v>
      </c>
      <c r="H11" s="35">
        <f t="shared" si="0"/>
        <v>19073.083333333336</v>
      </c>
      <c r="J11" s="157">
        <f t="shared" si="1"/>
        <v>15933.666666666668</v>
      </c>
      <c r="K11" s="157"/>
      <c r="L11" s="157"/>
      <c r="M11" s="157"/>
      <c r="N11" s="157"/>
    </row>
    <row r="12" spans="1:14" x14ac:dyDescent="0.2">
      <c r="A12" s="4">
        <v>2016</v>
      </c>
      <c r="B12" s="36">
        <f>'[7]Mthly Stats'!$L$68</f>
        <v>15201.583333333334</v>
      </c>
      <c r="C12" s="36">
        <f>'[7]Mthly Stats'!$M$68</f>
        <v>1016.25</v>
      </c>
      <c r="D12" s="36">
        <f>'[7]Mthly Stats'!$O$68</f>
        <v>75.583333333333329</v>
      </c>
      <c r="E12" s="36">
        <f>'[7]Mthly Stats'!$P$68</f>
        <v>166.08333333333334</v>
      </c>
      <c r="F12" s="36">
        <f>'[7]Mthly Stats'!$Q$68</f>
        <v>2863.1666666666665</v>
      </c>
      <c r="G12" s="36">
        <f>'[7]Mthly Stats'!$N$68</f>
        <v>75.333333333333329</v>
      </c>
      <c r="H12" s="35">
        <f t="shared" si="0"/>
        <v>19398</v>
      </c>
      <c r="I12" s="174"/>
      <c r="J12" s="157">
        <f t="shared" si="1"/>
        <v>16293.416666666668</v>
      </c>
      <c r="M12" s="157"/>
    </row>
    <row r="13" spans="1:14" x14ac:dyDescent="0.2">
      <c r="A13" s="4">
        <v>2017</v>
      </c>
      <c r="B13" s="22">
        <f>B32</f>
        <v>15554.75</v>
      </c>
      <c r="C13" s="22">
        <f>C32</f>
        <v>1034.4166666666667</v>
      </c>
      <c r="D13" s="22">
        <f>E32</f>
        <v>87.5</v>
      </c>
      <c r="E13" s="22">
        <f>F32</f>
        <v>161</v>
      </c>
      <c r="F13" s="22">
        <f>G32</f>
        <v>2994.8333333333335</v>
      </c>
      <c r="G13" s="22">
        <f>D32</f>
        <v>73.5</v>
      </c>
      <c r="H13" s="22">
        <f t="shared" si="0"/>
        <v>19906</v>
      </c>
      <c r="I13" s="174"/>
      <c r="J13" s="157">
        <f t="shared" si="1"/>
        <v>16676.666666666668</v>
      </c>
      <c r="K13" s="6">
        <f>AVERAGE('Purchased Power Model '!G124:G135)</f>
        <v>16677.000000000044</v>
      </c>
      <c r="L13" s="6">
        <v>38.769230769236763</v>
      </c>
      <c r="M13" s="157"/>
    </row>
    <row r="14" spans="1:14" x14ac:dyDescent="0.2">
      <c r="A14" s="21"/>
    </row>
    <row r="15" spans="1:14" x14ac:dyDescent="0.2">
      <c r="A15" s="4"/>
      <c r="B15" s="25"/>
      <c r="C15" s="25"/>
      <c r="D15" s="25"/>
      <c r="E15" s="25"/>
      <c r="F15" s="25"/>
      <c r="G15" s="25"/>
    </row>
    <row r="16" spans="1:14" x14ac:dyDescent="0.2">
      <c r="A16" s="4"/>
      <c r="B16" s="25"/>
      <c r="C16" s="25"/>
      <c r="D16" s="25"/>
      <c r="E16" s="25"/>
      <c r="F16" s="25"/>
      <c r="G16" s="25"/>
    </row>
    <row r="17" spans="1:15" s="114" customFormat="1" x14ac:dyDescent="0.2">
      <c r="A17" s="344" t="s">
        <v>280</v>
      </c>
      <c r="B17" s="345" t="s">
        <v>281</v>
      </c>
      <c r="C17" s="345" t="s">
        <v>282</v>
      </c>
      <c r="D17" s="345"/>
      <c r="E17" s="345" t="s">
        <v>283</v>
      </c>
      <c r="F17" s="345" t="s">
        <v>284</v>
      </c>
      <c r="G17" s="345" t="s">
        <v>285</v>
      </c>
      <c r="H17" s="345"/>
      <c r="I17" s="346"/>
      <c r="J17" s="346"/>
      <c r="K17" s="346"/>
      <c r="L17" s="346"/>
      <c r="M17" s="346"/>
      <c r="N17" s="346"/>
      <c r="O17" s="346"/>
    </row>
    <row r="18" spans="1:15" s="114" customFormat="1" x14ac:dyDescent="0.2">
      <c r="A18" s="346">
        <v>2017</v>
      </c>
      <c r="B18" s="345" t="s">
        <v>286</v>
      </c>
      <c r="C18" s="347" t="s">
        <v>57</v>
      </c>
      <c r="D18" s="345" t="s">
        <v>59</v>
      </c>
      <c r="E18" s="345" t="s">
        <v>58</v>
      </c>
      <c r="F18" s="345" t="s">
        <v>287</v>
      </c>
      <c r="G18" s="345" t="s">
        <v>288</v>
      </c>
      <c r="H18" s="345" t="s">
        <v>9</v>
      </c>
      <c r="I18" s="346"/>
      <c r="J18" s="345" t="s">
        <v>286</v>
      </c>
      <c r="K18" s="347" t="s">
        <v>57</v>
      </c>
      <c r="L18" s="345" t="s">
        <v>59</v>
      </c>
      <c r="M18" s="345" t="s">
        <v>58</v>
      </c>
      <c r="N18" s="345" t="s">
        <v>287</v>
      </c>
      <c r="O18" s="345" t="s">
        <v>288</v>
      </c>
    </row>
    <row r="19" spans="1:15" s="114" customFormat="1" x14ac:dyDescent="0.2">
      <c r="A19" s="346" t="s">
        <v>289</v>
      </c>
      <c r="B19" s="348">
        <v>15377</v>
      </c>
      <c r="C19" s="348">
        <v>1023</v>
      </c>
      <c r="D19" s="348">
        <v>75</v>
      </c>
      <c r="E19" s="348">
        <v>78</v>
      </c>
      <c r="F19" s="348">
        <v>165</v>
      </c>
      <c r="G19" s="348">
        <v>2884</v>
      </c>
      <c r="H19" s="349">
        <f>SUM(B19:G19)</f>
        <v>19602</v>
      </c>
      <c r="I19" s="346"/>
      <c r="J19" s="421" t="s">
        <v>290</v>
      </c>
      <c r="K19" s="421"/>
      <c r="L19" s="421"/>
      <c r="M19" s="421"/>
      <c r="N19" s="421"/>
      <c r="O19" s="421"/>
    </row>
    <row r="20" spans="1:15" s="114" customFormat="1" x14ac:dyDescent="0.2">
      <c r="A20" s="346" t="s">
        <v>291</v>
      </c>
      <c r="B20" s="348">
        <v>15382</v>
      </c>
      <c r="C20" s="348">
        <v>1022</v>
      </c>
      <c r="D20" s="348">
        <v>75</v>
      </c>
      <c r="E20" s="348">
        <v>78</v>
      </c>
      <c r="F20" s="348">
        <v>165</v>
      </c>
      <c r="G20" s="348">
        <v>2909</v>
      </c>
      <c r="H20" s="349">
        <f t="shared" ref="H20:H30" si="2">SUM(B20:G20)</f>
        <v>19631</v>
      </c>
      <c r="I20" s="346"/>
      <c r="J20" s="348">
        <f>B20-B19</f>
        <v>5</v>
      </c>
      <c r="K20" s="348">
        <f t="shared" ref="K20:O26" si="3">C20-C19</f>
        <v>-1</v>
      </c>
      <c r="L20" s="348">
        <f t="shared" si="3"/>
        <v>0</v>
      </c>
      <c r="M20" s="348">
        <f t="shared" si="3"/>
        <v>0</v>
      </c>
      <c r="N20" s="348">
        <f t="shared" si="3"/>
        <v>0</v>
      </c>
      <c r="O20" s="348">
        <f t="shared" si="3"/>
        <v>25</v>
      </c>
    </row>
    <row r="21" spans="1:15" s="114" customFormat="1" x14ac:dyDescent="0.2">
      <c r="A21" s="346" t="s">
        <v>292</v>
      </c>
      <c r="B21" s="348">
        <v>15396</v>
      </c>
      <c r="C21" s="348">
        <v>1015</v>
      </c>
      <c r="D21" s="348">
        <v>74</v>
      </c>
      <c r="E21" s="348">
        <v>85</v>
      </c>
      <c r="F21" s="348">
        <v>162</v>
      </c>
      <c r="G21" s="348">
        <v>2909</v>
      </c>
      <c r="H21" s="349">
        <f t="shared" si="2"/>
        <v>19641</v>
      </c>
      <c r="I21" s="346"/>
      <c r="J21" s="348">
        <f t="shared" ref="J21:J26" si="4">B21-B20</f>
        <v>14</v>
      </c>
      <c r="K21" s="348">
        <f t="shared" si="3"/>
        <v>-7</v>
      </c>
      <c r="L21" s="348">
        <f t="shared" si="3"/>
        <v>-1</v>
      </c>
      <c r="M21" s="348">
        <f t="shared" si="3"/>
        <v>7</v>
      </c>
      <c r="N21" s="348">
        <f t="shared" si="3"/>
        <v>-3</v>
      </c>
      <c r="O21" s="348">
        <f t="shared" si="3"/>
        <v>0</v>
      </c>
    </row>
    <row r="22" spans="1:15" s="114" customFormat="1" x14ac:dyDescent="0.2">
      <c r="A22" s="346" t="s">
        <v>293</v>
      </c>
      <c r="B22" s="348">
        <v>15409</v>
      </c>
      <c r="C22" s="348">
        <v>1015</v>
      </c>
      <c r="D22" s="348">
        <v>74</v>
      </c>
      <c r="E22" s="348">
        <v>85</v>
      </c>
      <c r="F22" s="348">
        <v>162</v>
      </c>
      <c r="G22" s="348">
        <v>2916</v>
      </c>
      <c r="H22" s="349">
        <f t="shared" si="2"/>
        <v>19661</v>
      </c>
      <c r="I22" s="346"/>
      <c r="J22" s="348">
        <f t="shared" si="4"/>
        <v>13</v>
      </c>
      <c r="K22" s="348">
        <f t="shared" si="3"/>
        <v>0</v>
      </c>
      <c r="L22" s="348">
        <f t="shared" si="3"/>
        <v>0</v>
      </c>
      <c r="M22" s="348">
        <f t="shared" si="3"/>
        <v>0</v>
      </c>
      <c r="N22" s="348">
        <f t="shared" si="3"/>
        <v>0</v>
      </c>
      <c r="O22" s="348">
        <f t="shared" si="3"/>
        <v>7</v>
      </c>
    </row>
    <row r="23" spans="1:15" s="114" customFormat="1" x14ac:dyDescent="0.2">
      <c r="A23" s="346" t="s">
        <v>78</v>
      </c>
      <c r="B23" s="348">
        <v>15441</v>
      </c>
      <c r="C23" s="348">
        <v>1023</v>
      </c>
      <c r="D23" s="348">
        <v>73</v>
      </c>
      <c r="E23" s="349">
        <v>85</v>
      </c>
      <c r="F23" s="349">
        <v>161</v>
      </c>
      <c r="G23" s="349">
        <v>2985</v>
      </c>
      <c r="H23" s="349">
        <f t="shared" si="2"/>
        <v>19768</v>
      </c>
      <c r="I23" s="346"/>
      <c r="J23" s="348">
        <f t="shared" si="4"/>
        <v>32</v>
      </c>
      <c r="K23" s="348">
        <f t="shared" si="3"/>
        <v>8</v>
      </c>
      <c r="L23" s="348">
        <f t="shared" si="3"/>
        <v>-1</v>
      </c>
      <c r="M23" s="348">
        <f t="shared" si="3"/>
        <v>0</v>
      </c>
      <c r="N23" s="348">
        <f t="shared" si="3"/>
        <v>-1</v>
      </c>
      <c r="O23" s="348">
        <f t="shared" si="3"/>
        <v>69</v>
      </c>
    </row>
    <row r="24" spans="1:15" s="114" customFormat="1" x14ac:dyDescent="0.2">
      <c r="A24" s="346" t="s">
        <v>294</v>
      </c>
      <c r="B24" s="348">
        <v>15475</v>
      </c>
      <c r="C24" s="348">
        <v>1028</v>
      </c>
      <c r="D24" s="348">
        <v>73</v>
      </c>
      <c r="E24" s="349">
        <v>85</v>
      </c>
      <c r="F24" s="349">
        <v>161</v>
      </c>
      <c r="G24" s="349">
        <v>2985</v>
      </c>
      <c r="H24" s="349">
        <f t="shared" si="2"/>
        <v>19807</v>
      </c>
      <c r="I24" s="346"/>
      <c r="J24" s="348">
        <f t="shared" si="4"/>
        <v>34</v>
      </c>
      <c r="K24" s="348">
        <f t="shared" si="3"/>
        <v>5</v>
      </c>
      <c r="L24" s="348">
        <f t="shared" si="3"/>
        <v>0</v>
      </c>
      <c r="M24" s="348">
        <f t="shared" si="3"/>
        <v>0</v>
      </c>
      <c r="N24" s="348">
        <f t="shared" si="3"/>
        <v>0</v>
      </c>
      <c r="O24" s="348">
        <f t="shared" si="3"/>
        <v>0</v>
      </c>
    </row>
    <row r="25" spans="1:15" s="114" customFormat="1" x14ac:dyDescent="0.2">
      <c r="A25" s="346" t="s">
        <v>295</v>
      </c>
      <c r="B25" s="348">
        <v>15592</v>
      </c>
      <c r="C25" s="348">
        <v>1037</v>
      </c>
      <c r="D25" s="348">
        <v>73</v>
      </c>
      <c r="E25" s="349">
        <v>89</v>
      </c>
      <c r="F25" s="349">
        <v>161</v>
      </c>
      <c r="G25" s="349">
        <v>3025</v>
      </c>
      <c r="H25" s="349">
        <f t="shared" si="2"/>
        <v>19977</v>
      </c>
      <c r="I25" s="346"/>
      <c r="J25" s="348">
        <f t="shared" si="4"/>
        <v>117</v>
      </c>
      <c r="K25" s="348">
        <f t="shared" si="3"/>
        <v>9</v>
      </c>
      <c r="L25" s="348">
        <f t="shared" si="3"/>
        <v>0</v>
      </c>
      <c r="M25" s="348">
        <f t="shared" si="3"/>
        <v>4</v>
      </c>
      <c r="N25" s="348">
        <f t="shared" si="3"/>
        <v>0</v>
      </c>
      <c r="O25" s="348">
        <f t="shared" si="3"/>
        <v>40</v>
      </c>
    </row>
    <row r="26" spans="1:15" s="114" customFormat="1" x14ac:dyDescent="0.2">
      <c r="A26" s="346" t="s">
        <v>296</v>
      </c>
      <c r="B26" s="348">
        <v>15641</v>
      </c>
      <c r="C26" s="348">
        <v>1044</v>
      </c>
      <c r="D26" s="348">
        <v>73</v>
      </c>
      <c r="E26" s="349">
        <v>89</v>
      </c>
      <c r="F26" s="349">
        <v>161</v>
      </c>
      <c r="G26" s="349">
        <v>3025</v>
      </c>
      <c r="H26" s="349">
        <f t="shared" si="2"/>
        <v>20033</v>
      </c>
      <c r="I26" s="346"/>
      <c r="J26" s="348">
        <f t="shared" si="4"/>
        <v>49</v>
      </c>
      <c r="K26" s="348">
        <f t="shared" si="3"/>
        <v>7</v>
      </c>
      <c r="L26" s="348">
        <f t="shared" si="3"/>
        <v>0</v>
      </c>
      <c r="M26" s="348">
        <f t="shared" si="3"/>
        <v>0</v>
      </c>
      <c r="N26" s="348">
        <f t="shared" si="3"/>
        <v>0</v>
      </c>
      <c r="O26" s="348">
        <f t="shared" si="3"/>
        <v>0</v>
      </c>
    </row>
    <row r="27" spans="1:15" s="114" customFormat="1" x14ac:dyDescent="0.2">
      <c r="A27" s="346" t="s">
        <v>297</v>
      </c>
      <c r="B27" s="350">
        <f>B26+$J$27</f>
        <v>15679</v>
      </c>
      <c r="C27" s="350">
        <f>C26+$K$27</f>
        <v>1047</v>
      </c>
      <c r="D27" s="350">
        <f>D26+$L$27</f>
        <v>73</v>
      </c>
      <c r="E27" s="350">
        <f>E26+$M$27</f>
        <v>91</v>
      </c>
      <c r="F27" s="350">
        <f>F26+$N$27</f>
        <v>160</v>
      </c>
      <c r="G27" s="350">
        <f>G26+$O$27</f>
        <v>3045</v>
      </c>
      <c r="H27" s="349">
        <f t="shared" si="2"/>
        <v>20095</v>
      </c>
      <c r="I27" s="351" t="s">
        <v>298</v>
      </c>
      <c r="J27" s="348">
        <f>ROUND(AVERAGE(J20:J26),0)</f>
        <v>38</v>
      </c>
      <c r="K27" s="348">
        <f t="shared" ref="K27:O27" si="5">ROUND(AVERAGE(K20:K26),0)</f>
        <v>3</v>
      </c>
      <c r="L27" s="348">
        <f t="shared" si="5"/>
        <v>0</v>
      </c>
      <c r="M27" s="348">
        <f t="shared" si="5"/>
        <v>2</v>
      </c>
      <c r="N27" s="348">
        <f t="shared" si="5"/>
        <v>-1</v>
      </c>
      <c r="O27" s="348">
        <f t="shared" si="5"/>
        <v>20</v>
      </c>
    </row>
    <row r="28" spans="1:15" s="114" customFormat="1" x14ac:dyDescent="0.2">
      <c r="A28" s="346" t="s">
        <v>299</v>
      </c>
      <c r="B28" s="350">
        <f t="shared" ref="B28:B30" si="6">B27+$J$27</f>
        <v>15717</v>
      </c>
      <c r="C28" s="350">
        <f t="shared" ref="C28:C30" si="7">C27+$K$27</f>
        <v>1050</v>
      </c>
      <c r="D28" s="350">
        <f t="shared" ref="D28:D30" si="8">D27+$L$27</f>
        <v>73</v>
      </c>
      <c r="E28" s="350">
        <f t="shared" ref="E28:E30" si="9">E27+$M$27</f>
        <v>93</v>
      </c>
      <c r="F28" s="350">
        <f t="shared" ref="F28:F30" si="10">F27+$N$27</f>
        <v>159</v>
      </c>
      <c r="G28" s="350">
        <f t="shared" ref="G28:G30" si="11">G27+$O$27</f>
        <v>3065</v>
      </c>
      <c r="H28" s="349">
        <f t="shared" si="2"/>
        <v>20157</v>
      </c>
      <c r="I28" s="346"/>
      <c r="J28" s="346"/>
      <c r="K28" s="346"/>
      <c r="L28" s="346"/>
      <c r="M28" s="346"/>
      <c r="N28" s="346"/>
      <c r="O28" s="346"/>
    </row>
    <row r="29" spans="1:15" s="114" customFormat="1" x14ac:dyDescent="0.2">
      <c r="A29" s="346" t="s">
        <v>300</v>
      </c>
      <c r="B29" s="350">
        <f t="shared" si="6"/>
        <v>15755</v>
      </c>
      <c r="C29" s="350">
        <f t="shared" si="7"/>
        <v>1053</v>
      </c>
      <c r="D29" s="350">
        <f t="shared" si="8"/>
        <v>73</v>
      </c>
      <c r="E29" s="350">
        <f t="shared" si="9"/>
        <v>95</v>
      </c>
      <c r="F29" s="350">
        <f t="shared" si="10"/>
        <v>158</v>
      </c>
      <c r="G29" s="350">
        <f t="shared" si="11"/>
        <v>3085</v>
      </c>
      <c r="H29" s="349">
        <f t="shared" si="2"/>
        <v>20219</v>
      </c>
      <c r="I29" s="346"/>
      <c r="J29" s="346"/>
      <c r="K29" s="346"/>
      <c r="L29" s="346"/>
      <c r="M29" s="346"/>
      <c r="N29" s="346"/>
      <c r="O29" s="346"/>
    </row>
    <row r="30" spans="1:15" s="114" customFormat="1" x14ac:dyDescent="0.2">
      <c r="A30" s="346" t="s">
        <v>301</v>
      </c>
      <c r="B30" s="350">
        <f t="shared" si="6"/>
        <v>15793</v>
      </c>
      <c r="C30" s="350">
        <f t="shared" si="7"/>
        <v>1056</v>
      </c>
      <c r="D30" s="350">
        <f t="shared" si="8"/>
        <v>73</v>
      </c>
      <c r="E30" s="350">
        <f t="shared" si="9"/>
        <v>97</v>
      </c>
      <c r="F30" s="350">
        <f t="shared" si="10"/>
        <v>157</v>
      </c>
      <c r="G30" s="350">
        <f t="shared" si="11"/>
        <v>3105</v>
      </c>
      <c r="H30" s="349">
        <f t="shared" si="2"/>
        <v>20281</v>
      </c>
      <c r="I30" s="346"/>
      <c r="J30" s="346"/>
      <c r="K30" s="346"/>
      <c r="L30" s="346"/>
      <c r="M30" s="346"/>
      <c r="N30" s="346"/>
      <c r="O30" s="346"/>
    </row>
    <row r="31" spans="1:15" s="114" customFormat="1" x14ac:dyDescent="0.2">
      <c r="A31" s="346" t="s">
        <v>302</v>
      </c>
      <c r="B31" s="348">
        <f>SUM(B19:B30)</f>
        <v>186657</v>
      </c>
      <c r="C31" s="348">
        <f t="shared" ref="C31:G31" si="12">SUM(C19:C30)</f>
        <v>12413</v>
      </c>
      <c r="D31" s="348">
        <f t="shared" si="12"/>
        <v>882</v>
      </c>
      <c r="E31" s="348">
        <f t="shared" si="12"/>
        <v>1050</v>
      </c>
      <c r="F31" s="348">
        <f t="shared" si="12"/>
        <v>1932</v>
      </c>
      <c r="G31" s="348">
        <f t="shared" si="12"/>
        <v>35938</v>
      </c>
      <c r="H31" s="348">
        <f>SUM(H19:H30)</f>
        <v>238872</v>
      </c>
      <c r="I31" s="346"/>
      <c r="J31" s="346"/>
      <c r="K31" s="346"/>
      <c r="L31" s="346"/>
      <c r="M31" s="346"/>
      <c r="N31" s="346"/>
      <c r="O31" s="346"/>
    </row>
    <row r="32" spans="1:15" s="114" customFormat="1" x14ac:dyDescent="0.2">
      <c r="A32" s="346" t="s">
        <v>13</v>
      </c>
      <c r="B32" s="350">
        <f>B31/12</f>
        <v>15554.75</v>
      </c>
      <c r="C32" s="350">
        <f t="shared" ref="C32:G32" si="13">C31/12</f>
        <v>1034.4166666666667</v>
      </c>
      <c r="D32" s="350">
        <f t="shared" si="13"/>
        <v>73.5</v>
      </c>
      <c r="E32" s="350">
        <f t="shared" si="13"/>
        <v>87.5</v>
      </c>
      <c r="F32" s="350">
        <f t="shared" si="13"/>
        <v>161</v>
      </c>
      <c r="G32" s="350">
        <f t="shared" si="13"/>
        <v>2994.8333333333335</v>
      </c>
      <c r="H32" s="346"/>
      <c r="I32" s="346"/>
      <c r="J32" s="346"/>
      <c r="K32" s="346"/>
      <c r="L32" s="346"/>
      <c r="M32" s="346"/>
      <c r="N32" s="346"/>
      <c r="O32" s="346"/>
    </row>
    <row r="33" spans="2:7" x14ac:dyDescent="0.2">
      <c r="B33" s="25"/>
      <c r="C33" s="25"/>
      <c r="D33" s="25"/>
      <c r="E33" s="25"/>
      <c r="F33" s="25"/>
      <c r="G33" s="25"/>
    </row>
    <row r="34" spans="2:7" x14ac:dyDescent="0.2">
      <c r="B34" s="25"/>
      <c r="C34" s="25"/>
      <c r="D34" s="25"/>
      <c r="E34" s="25"/>
      <c r="F34" s="25"/>
      <c r="G34" s="25"/>
    </row>
    <row r="35" spans="2:7" x14ac:dyDescent="0.2">
      <c r="B35" s="25"/>
      <c r="C35" s="25"/>
      <c r="D35" s="25"/>
      <c r="E35" s="25"/>
      <c r="F35" s="25"/>
      <c r="G35" s="25"/>
    </row>
    <row r="36" spans="2:7" x14ac:dyDescent="0.2">
      <c r="B36" s="25"/>
      <c r="C36" s="25"/>
      <c r="F36" s="25"/>
      <c r="G36" s="25"/>
    </row>
    <row r="42" spans="2:7" x14ac:dyDescent="0.2">
      <c r="D42" s="26"/>
      <c r="E42" s="26"/>
    </row>
    <row r="43" spans="2:7" x14ac:dyDescent="0.2">
      <c r="B43" s="26"/>
      <c r="C43" s="26"/>
      <c r="D43" s="26"/>
      <c r="E43" s="26"/>
      <c r="F43" s="26"/>
      <c r="G43" s="26"/>
    </row>
    <row r="44" spans="2:7" x14ac:dyDescent="0.2">
      <c r="B44" s="26"/>
      <c r="C44" s="26"/>
      <c r="F44" s="26"/>
      <c r="G44" s="26"/>
    </row>
    <row r="62" spans="2:7" x14ac:dyDescent="0.2">
      <c r="D62" s="16"/>
      <c r="E62" s="16"/>
    </row>
    <row r="63" spans="2:7" x14ac:dyDescent="0.2">
      <c r="B63" s="16"/>
      <c r="C63" s="16"/>
      <c r="D63" s="16"/>
      <c r="E63" s="16"/>
      <c r="F63" s="16"/>
      <c r="G63" s="16"/>
    </row>
    <row r="64" spans="2:7" x14ac:dyDescent="0.2">
      <c r="B64" s="16"/>
      <c r="C64" s="16"/>
      <c r="F64" s="16"/>
      <c r="G64" s="16"/>
    </row>
  </sheetData>
  <mergeCells count="1">
    <mergeCell ref="J19:O19"/>
  </mergeCells>
  <phoneticPr fontId="0" type="noConversion"/>
  <pageMargins left="0.39370078740157483" right="0.74803149606299213" top="0.74803149606299213" bottom="0.74803149606299213" header="0.51181102362204722" footer="0.51181102362204722"/>
  <pageSetup scale="83" orientation="landscape" verticalDpi="300" r:id="rId1"/>
  <headerFooter alignWithMargins="0">
    <oddFooter>&amp;L&amp;A&amp;R&amp;P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workbookViewId="0">
      <selection activeCell="H18" sqref="H18"/>
    </sheetView>
  </sheetViews>
  <sheetFormatPr defaultRowHeight="12.75" x14ac:dyDescent="0.2"/>
  <cols>
    <col min="1" max="1" width="11" customWidth="1"/>
    <col min="2" max="2" width="14.140625" style="6" bestFit="1" customWidth="1"/>
    <col min="3" max="3" width="14.140625" style="6" customWidth="1"/>
    <col min="4" max="4" width="17.7109375" style="6" customWidth="1"/>
    <col min="5" max="6" width="12.7109375" style="6" bestFit="1" customWidth="1"/>
    <col min="7" max="7" width="11.7109375" bestFit="1" customWidth="1"/>
    <col min="8" max="8" width="10.7109375" bestFit="1" customWidth="1"/>
  </cols>
  <sheetData>
    <row r="1" spans="1:5" ht="42" customHeight="1" x14ac:dyDescent="0.2">
      <c r="B1" s="8" t="str">
        <f>'Rate Class Customer Model'!D2</f>
        <v>GS&gt;50</v>
      </c>
      <c r="C1" s="8" t="str">
        <f>'Rate Class Customer Model'!E2</f>
        <v>Sentinels</v>
      </c>
      <c r="D1" s="8" t="str">
        <f>'Rate Class Customer Model'!F2</f>
        <v>Streetlights</v>
      </c>
      <c r="E1" s="6" t="s">
        <v>9</v>
      </c>
    </row>
    <row r="2" spans="1:5" x14ac:dyDescent="0.2">
      <c r="A2" s="29">
        <v>2007</v>
      </c>
      <c r="B2" s="43">
        <f>SUM('[5]Consumption Data '!$N$66:$N$77)</f>
        <v>116956</v>
      </c>
      <c r="C2" s="58">
        <v>351</v>
      </c>
      <c r="D2" s="43">
        <v>4153</v>
      </c>
      <c r="E2" s="6">
        <f t="shared" ref="E2:E12" si="0">SUM(B2:D2)</f>
        <v>121460</v>
      </c>
    </row>
    <row r="3" spans="1:5" x14ac:dyDescent="0.2">
      <c r="A3" s="29">
        <v>2008</v>
      </c>
      <c r="B3" s="43">
        <f>SUM('[5]Consumption Data '!$N$78:$N$89)</f>
        <v>134692.85</v>
      </c>
      <c r="C3" s="58">
        <v>345.03227777777778</v>
      </c>
      <c r="D3" s="43">
        <v>4260.83</v>
      </c>
      <c r="E3" s="6">
        <f t="shared" si="0"/>
        <v>139298.71227777778</v>
      </c>
    </row>
    <row r="4" spans="1:5" x14ac:dyDescent="0.2">
      <c r="A4" s="29">
        <v>2009</v>
      </c>
      <c r="B4" s="43">
        <f>SUM('[5]Consumption Data '!$N$90:$N$101)</f>
        <v>136122.29</v>
      </c>
      <c r="C4" s="58">
        <v>338.94749999999999</v>
      </c>
      <c r="D4" s="43">
        <v>4370.32</v>
      </c>
      <c r="E4" s="6">
        <f t="shared" si="0"/>
        <v>140831.55750000002</v>
      </c>
    </row>
    <row r="5" spans="1:5" x14ac:dyDescent="0.2">
      <c r="A5" s="29">
        <v>2010</v>
      </c>
      <c r="B5" s="43">
        <f>SUM('[5]Consumption Data '!$N$102:$N$113)</f>
        <v>144502.21</v>
      </c>
      <c r="C5" s="58">
        <v>324.17422222222223</v>
      </c>
      <c r="D5" s="43">
        <v>4389.05</v>
      </c>
      <c r="E5" s="163">
        <f t="shared" si="0"/>
        <v>149215.43422222219</v>
      </c>
    </row>
    <row r="6" spans="1:5" x14ac:dyDescent="0.2">
      <c r="A6" s="29">
        <v>2011</v>
      </c>
      <c r="B6" s="43">
        <f>SUM('[5]Consumption Data '!$N$114:$N$125)</f>
        <v>139425.35999999999</v>
      </c>
      <c r="C6" s="58">
        <v>306.31894444444447</v>
      </c>
      <c r="D6" s="43">
        <v>4416</v>
      </c>
      <c r="E6" s="163">
        <f t="shared" si="0"/>
        <v>144147.67894444443</v>
      </c>
    </row>
    <row r="7" spans="1:5" x14ac:dyDescent="0.2">
      <c r="A7" s="29">
        <v>2012</v>
      </c>
      <c r="B7" s="43">
        <f>[6]KW!$B$66</f>
        <v>144982</v>
      </c>
      <c r="C7" s="58">
        <f>[6]KW!$C$66</f>
        <v>315</v>
      </c>
      <c r="D7" s="43">
        <f>[6]KW!$D$66</f>
        <v>4424</v>
      </c>
      <c r="E7" s="163">
        <f t="shared" si="0"/>
        <v>149721</v>
      </c>
    </row>
    <row r="8" spans="1:5" x14ac:dyDescent="0.2">
      <c r="A8" s="29">
        <v>2013</v>
      </c>
      <c r="B8" s="43">
        <f>[6]KW!$B$49</f>
        <v>130935</v>
      </c>
      <c r="C8" s="58">
        <f>[6]KW!$C$49</f>
        <v>283</v>
      </c>
      <c r="D8" s="43">
        <f>[6]KW!$D$49</f>
        <v>4149</v>
      </c>
      <c r="E8" s="163">
        <f t="shared" si="0"/>
        <v>135367</v>
      </c>
    </row>
    <row r="9" spans="1:5" x14ac:dyDescent="0.2">
      <c r="A9" s="29">
        <v>2014</v>
      </c>
      <c r="B9" s="43">
        <f>[6]KW!$B$32</f>
        <v>135393.63999999998</v>
      </c>
      <c r="C9" s="58">
        <f>[6]KW!$C$32</f>
        <v>299.94344444444442</v>
      </c>
      <c r="D9" s="43">
        <f>[6]KW!$D$32</f>
        <v>4581.3899999999994</v>
      </c>
      <c r="E9" s="163">
        <f t="shared" si="0"/>
        <v>140274.97344444442</v>
      </c>
    </row>
    <row r="10" spans="1:5" x14ac:dyDescent="0.2">
      <c r="A10" s="29">
        <v>2015</v>
      </c>
      <c r="B10" s="146">
        <f>[6]KW!$B$15</f>
        <v>141986.79999999999</v>
      </c>
      <c r="C10" s="58">
        <f>[6]KW!$C$15</f>
        <v>287.601</v>
      </c>
      <c r="D10" s="43">
        <f>[6]KW!$D$15</f>
        <v>3139.7699999999995</v>
      </c>
      <c r="E10" s="163">
        <f t="shared" si="0"/>
        <v>145414.17099999997</v>
      </c>
    </row>
    <row r="11" spans="1:5" x14ac:dyDescent="0.2">
      <c r="A11" s="29">
        <v>2016</v>
      </c>
      <c r="B11" s="146">
        <v>150801.71</v>
      </c>
      <c r="C11" s="58">
        <v>295.29266666666666</v>
      </c>
      <c r="D11" s="43">
        <v>1641.29</v>
      </c>
      <c r="E11" s="179">
        <f t="shared" si="0"/>
        <v>152738.29266666668</v>
      </c>
    </row>
    <row r="12" spans="1:5" x14ac:dyDescent="0.2">
      <c r="A12" s="29">
        <v>2017</v>
      </c>
      <c r="B12" s="30">
        <f>'Rate Class Energy Model'!J56*'Rate Class Load Model'!$B$26</f>
        <v>174966.34292758067</v>
      </c>
      <c r="C12" s="30">
        <f>'Rate Class Energy Model'!K56*'Rate Class Load Model'!$C$26</f>
        <v>286.28122226821648</v>
      </c>
      <c r="D12" s="30">
        <f>'Rate Class Energy Model'!L56*'Rate Class Load Model'!$D$26</f>
        <v>1598.6472960042561</v>
      </c>
      <c r="E12" s="179">
        <f t="shared" si="0"/>
        <v>176851.27144585314</v>
      </c>
    </row>
    <row r="13" spans="1:5" x14ac:dyDescent="0.2">
      <c r="A13" s="21"/>
    </row>
    <row r="14" spans="1:5" x14ac:dyDescent="0.2">
      <c r="A14" s="20" t="s">
        <v>54</v>
      </c>
      <c r="B14" s="5"/>
      <c r="C14" s="5"/>
      <c r="D14" s="5"/>
    </row>
    <row r="15" spans="1:5" x14ac:dyDescent="0.2">
      <c r="A15" s="4">
        <v>2007</v>
      </c>
      <c r="B15" s="28">
        <f>B2/'Rate Class Energy Model'!J8</f>
        <v>2.9744228021109562E-3</v>
      </c>
      <c r="C15" s="28">
        <f>C2/'Rate Class Energy Model'!K8</f>
        <v>2.7775359853130861E-3</v>
      </c>
      <c r="D15" s="28">
        <f>D2/'Rate Class Energy Model'!L8</f>
        <v>2.7761678722575066E-3</v>
      </c>
    </row>
    <row r="16" spans="1:5" x14ac:dyDescent="0.2">
      <c r="A16" s="4">
        <v>2008</v>
      </c>
      <c r="B16" s="28">
        <f>B3/'Rate Class Energy Model'!J9</f>
        <v>2.9753615781794329E-3</v>
      </c>
      <c r="C16" s="28">
        <f>C3/'Rate Class Energy Model'!K9</f>
        <v>2.7777777777777779E-3</v>
      </c>
      <c r="D16" s="28">
        <f>D3/'Rate Class Energy Model'!L9</f>
        <v>2.7777777777777775E-3</v>
      </c>
    </row>
    <row r="17" spans="1:6" x14ac:dyDescent="0.2">
      <c r="A17" s="4">
        <v>2009</v>
      </c>
      <c r="B17" s="28">
        <f>B4/'Rate Class Energy Model'!J10</f>
        <v>2.8673466943822815E-3</v>
      </c>
      <c r="C17" s="28">
        <f>C4/'Rate Class Energy Model'!K10</f>
        <v>2.7777777777777775E-3</v>
      </c>
      <c r="D17" s="28">
        <f>D4/'Rate Class Energy Model'!L10</f>
        <v>2.7714426097188959E-3</v>
      </c>
    </row>
    <row r="18" spans="1:6" x14ac:dyDescent="0.2">
      <c r="A18" s="4">
        <v>2010</v>
      </c>
      <c r="B18" s="28">
        <f>B5/'Rate Class Energy Model'!J11</f>
        <v>2.8262406241067509E-3</v>
      </c>
      <c r="C18" s="28">
        <f>C5/'Rate Class Energy Model'!K11</f>
        <v>2.7777777777777779E-3</v>
      </c>
      <c r="D18" s="28">
        <f>D5/'Rate Class Energy Model'!L11</f>
        <v>2.7777777777777779E-3</v>
      </c>
    </row>
    <row r="19" spans="1:6" x14ac:dyDescent="0.2">
      <c r="A19" s="4">
        <v>2011</v>
      </c>
      <c r="B19" s="28">
        <f>B6/'Rate Class Energy Model'!J12</f>
        <v>2.7928816654166065E-3</v>
      </c>
      <c r="C19" s="28">
        <f>C6/'Rate Class Energy Model'!K12</f>
        <v>2.7786344880638991E-3</v>
      </c>
      <c r="D19" s="28">
        <f>D6/'Rate Class Energy Model'!L12</f>
        <v>3.0301171204080647E-3</v>
      </c>
    </row>
    <row r="20" spans="1:6" x14ac:dyDescent="0.2">
      <c r="A20" s="4">
        <v>2012</v>
      </c>
      <c r="B20" s="28">
        <f>B7/'Rate Class Energy Model'!J13</f>
        <v>2.8351067335104876E-3</v>
      </c>
      <c r="C20" s="28">
        <f>C7/'Rate Class Energy Model'!K13</f>
        <v>2.7787614696998322E-3</v>
      </c>
      <c r="D20" s="28">
        <f>D7/'Rate Class Energy Model'!L13</f>
        <v>2.8183570646069605E-3</v>
      </c>
    </row>
    <row r="21" spans="1:6" x14ac:dyDescent="0.2">
      <c r="A21" s="4">
        <v>2013</v>
      </c>
      <c r="B21" s="28">
        <f>B8/'Rate Class Energy Model'!J14</f>
        <v>2.5712995330362158E-3</v>
      </c>
      <c r="C21" s="28">
        <f>C8/'Rate Class Energy Model'!K14</f>
        <v>2.7787614696998322E-3</v>
      </c>
      <c r="D21" s="28">
        <f>D8/'Rate Class Energy Model'!L14</f>
        <v>2.8183570646069605E-3</v>
      </c>
    </row>
    <row r="22" spans="1:6" x14ac:dyDescent="0.2">
      <c r="A22" s="4">
        <v>2014</v>
      </c>
      <c r="B22" s="28">
        <f>B9/'Rate Class Energy Model'!J15</f>
        <v>2.6761726332885198E-3</v>
      </c>
      <c r="C22" s="28">
        <f>C9/'Rate Class Energy Model'!K15</f>
        <v>2.7777685168035231E-3</v>
      </c>
      <c r="D22" s="28">
        <f>D9/'Rate Class Energy Model'!L15</f>
        <v>2.8183570646069605E-3</v>
      </c>
    </row>
    <row r="23" spans="1:6" x14ac:dyDescent="0.2">
      <c r="A23" s="4">
        <v>2015</v>
      </c>
      <c r="B23" s="28">
        <f>B10/'Rate Class Energy Model'!J16</f>
        <v>2.598764234956277E-3</v>
      </c>
      <c r="C23" s="28">
        <f>C10/'Rate Class Energy Model'!K16</f>
        <v>2.7777874362540566E-3</v>
      </c>
      <c r="D23" s="28">
        <f>D10/'Rate Class Energy Model'!L16</f>
        <v>2.8377125277013562E-3</v>
      </c>
    </row>
    <row r="24" spans="1:6" x14ac:dyDescent="0.2">
      <c r="A24" s="4">
        <v>2016</v>
      </c>
      <c r="B24" s="28">
        <f>B11/'Rate Class Energy Model'!J17</f>
        <v>2.6008991050335915E-3</v>
      </c>
      <c r="C24" s="28">
        <f>C11/'Rate Class Energy Model'!K17</f>
        <v>2.7777777777777779E-3</v>
      </c>
      <c r="D24" s="28">
        <f>D11/'Rate Class Energy Model'!L17</f>
        <v>3.0589720777310543E-3</v>
      </c>
      <c r="E24" s="179"/>
      <c r="F24" s="179"/>
    </row>
    <row r="26" spans="1:6" x14ac:dyDescent="0.2">
      <c r="A26" t="s">
        <v>13</v>
      </c>
      <c r="B26" s="28">
        <f>AVERAGE(B15:B24)</f>
        <v>2.7718495604021121E-3</v>
      </c>
      <c r="C26" s="28">
        <f>AVERAGE(C15:C24)</f>
        <v>2.7780360476945343E-3</v>
      </c>
      <c r="D26" s="28">
        <f>AVERAGE(D15:D24)</f>
        <v>2.8485038957193312E-3</v>
      </c>
    </row>
    <row r="33" spans="2:4" x14ac:dyDescent="0.2">
      <c r="B33" s="26"/>
      <c r="C33" s="26"/>
      <c r="D33" s="26"/>
    </row>
    <row r="34" spans="2:4" x14ac:dyDescent="0.2">
      <c r="B34" s="26"/>
      <c r="C34" s="26"/>
      <c r="D34" s="26"/>
    </row>
    <row r="53" spans="2:4" x14ac:dyDescent="0.2">
      <c r="B53" s="16"/>
      <c r="C53" s="16"/>
      <c r="D53" s="16"/>
    </row>
    <row r="54" spans="2:4" x14ac:dyDescent="0.2">
      <c r="B54" s="16"/>
      <c r="C54" s="16"/>
      <c r="D54" s="16"/>
    </row>
  </sheetData>
  <phoneticPr fontId="0" type="noConversion"/>
  <pageMargins left="0.39370078740157483" right="0.74803149606299213" top="0.74803149606299213" bottom="0.74803149606299213" header="0.51181102362204722" footer="0.51181102362204722"/>
  <pageSetup orientation="portrait" verticalDpi="300" r:id="rId1"/>
  <headerFooter alignWithMargins="0">
    <oddFooter>&amp;L&amp;A&amp;R&amp;P</oddFooter>
  </headerFooter>
  <ignoredErrors>
    <ignoredError sqref="E1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workbookViewId="0">
      <selection activeCell="A26" sqref="A26"/>
    </sheetView>
  </sheetViews>
  <sheetFormatPr defaultRowHeight="12.75" x14ac:dyDescent="0.2"/>
  <cols>
    <col min="2" max="2" width="9.5703125" style="65" customWidth="1"/>
    <col min="22" max="22" width="9.85546875" bestFit="1" customWidth="1"/>
    <col min="23" max="23" width="11" bestFit="1" customWidth="1"/>
  </cols>
  <sheetData>
    <row r="1" spans="1:23" x14ac:dyDescent="0.2">
      <c r="A1" s="20" t="s">
        <v>71</v>
      </c>
      <c r="B1" s="20" t="s">
        <v>114</v>
      </c>
      <c r="C1" s="20"/>
      <c r="D1" s="20"/>
      <c r="E1" s="20"/>
    </row>
    <row r="2" spans="1:23" x14ac:dyDescent="0.2">
      <c r="A2" s="66"/>
    </row>
    <row r="3" spans="1:23" x14ac:dyDescent="0.2">
      <c r="A3" s="67" t="s">
        <v>72</v>
      </c>
      <c r="B3" s="68"/>
    </row>
    <row r="4" spans="1:23" x14ac:dyDescent="0.2">
      <c r="A4" s="69"/>
      <c r="B4" s="70"/>
    </row>
    <row r="5" spans="1:23" x14ac:dyDescent="0.2">
      <c r="A5" s="71" t="s">
        <v>73</v>
      </c>
      <c r="B5" s="71">
        <v>1997</v>
      </c>
      <c r="C5" s="71">
        <v>1998</v>
      </c>
      <c r="D5" s="71">
        <v>1999</v>
      </c>
      <c r="E5" s="71">
        <v>2000</v>
      </c>
      <c r="F5" s="71">
        <f t="shared" ref="F5:L5" si="0">F25</f>
        <v>2001</v>
      </c>
      <c r="G5" s="71">
        <f t="shared" si="0"/>
        <v>2002</v>
      </c>
      <c r="H5" s="71">
        <f t="shared" si="0"/>
        <v>2003</v>
      </c>
      <c r="I5" s="71">
        <f t="shared" si="0"/>
        <v>2004</v>
      </c>
      <c r="J5" s="71">
        <f t="shared" si="0"/>
        <v>2005</v>
      </c>
      <c r="K5" s="71">
        <f t="shared" si="0"/>
        <v>2006</v>
      </c>
      <c r="L5" s="71">
        <f t="shared" si="0"/>
        <v>2007</v>
      </c>
      <c r="M5" s="71">
        <v>2008</v>
      </c>
      <c r="N5" s="71">
        <v>2009</v>
      </c>
      <c r="O5" s="71">
        <v>2010</v>
      </c>
      <c r="P5" s="71">
        <v>2011</v>
      </c>
      <c r="Q5" s="71">
        <v>2012</v>
      </c>
      <c r="R5" s="71">
        <v>2013</v>
      </c>
      <c r="S5" s="71">
        <v>2014</v>
      </c>
      <c r="T5" s="71">
        <v>2015</v>
      </c>
      <c r="U5" s="71">
        <v>2016</v>
      </c>
      <c r="V5" s="76" t="s">
        <v>87</v>
      </c>
      <c r="W5" s="322" t="s">
        <v>88</v>
      </c>
    </row>
    <row r="6" spans="1:23" x14ac:dyDescent="0.2">
      <c r="A6" s="69"/>
      <c r="B6" s="68"/>
      <c r="W6" s="71">
        <v>2017</v>
      </c>
    </row>
    <row r="7" spans="1:23" x14ac:dyDescent="0.2">
      <c r="A7" s="72"/>
      <c r="B7" s="68"/>
      <c r="C7" s="68"/>
      <c r="D7" s="68"/>
    </row>
    <row r="8" spans="1:23" x14ac:dyDescent="0.2">
      <c r="A8" s="72" t="s">
        <v>74</v>
      </c>
      <c r="B8" s="73">
        <v>756.6</v>
      </c>
      <c r="C8" s="73">
        <v>624.79999999999995</v>
      </c>
      <c r="D8" s="73">
        <v>749.8</v>
      </c>
      <c r="E8" s="73">
        <v>738.9</v>
      </c>
      <c r="F8" s="73">
        <v>684.9</v>
      </c>
      <c r="G8" s="73">
        <v>572.20000000000005</v>
      </c>
      <c r="H8" s="73">
        <v>814.5</v>
      </c>
      <c r="I8" s="73">
        <v>849.1</v>
      </c>
      <c r="J8" s="73">
        <v>770</v>
      </c>
      <c r="K8" s="73">
        <v>551.79999999999995</v>
      </c>
      <c r="L8" s="73">
        <v>647.1</v>
      </c>
      <c r="M8" s="73">
        <v>623.5</v>
      </c>
      <c r="N8" s="73">
        <v>830.2</v>
      </c>
      <c r="O8" s="73">
        <v>720</v>
      </c>
      <c r="P8" s="73">
        <v>775.3</v>
      </c>
      <c r="Q8" s="73">
        <v>611.1</v>
      </c>
      <c r="R8" s="73">
        <f>'[8]eng-daily-01012013-12312013'!$M$57</f>
        <v>624.40000000000009</v>
      </c>
      <c r="S8" s="73">
        <f>'[9]eng-daily-01012014-12312014'!$M$57</f>
        <v>825.90000000000009</v>
      </c>
      <c r="T8" s="73">
        <f>'[10]eng-daily-01012015-12312015'!$M$57</f>
        <v>792.39999999999975</v>
      </c>
      <c r="U8" s="73">
        <v>670.4</v>
      </c>
      <c r="V8" s="74">
        <f>AVERAGE(L8:U8)</f>
        <v>712.03</v>
      </c>
      <c r="W8" s="75">
        <f>TREND(B8:U8,$B$25:$U$25,2017)</f>
        <v>717.80526315789461</v>
      </c>
    </row>
    <row r="9" spans="1:23" x14ac:dyDescent="0.2">
      <c r="A9" s="72" t="s">
        <v>75</v>
      </c>
      <c r="B9" s="73">
        <v>593</v>
      </c>
      <c r="C9" s="73">
        <v>512.20000000000005</v>
      </c>
      <c r="D9" s="73">
        <v>548.1</v>
      </c>
      <c r="E9" s="73">
        <v>612.70000000000005</v>
      </c>
      <c r="F9" s="73">
        <v>587.6</v>
      </c>
      <c r="G9" s="73">
        <v>540.20000000000005</v>
      </c>
      <c r="H9" s="73">
        <v>699</v>
      </c>
      <c r="I9" s="73">
        <v>631.70000000000005</v>
      </c>
      <c r="J9" s="73">
        <v>616.4</v>
      </c>
      <c r="K9" s="73">
        <v>604.29999999999995</v>
      </c>
      <c r="L9" s="73">
        <v>740.1</v>
      </c>
      <c r="M9" s="73">
        <v>674.7</v>
      </c>
      <c r="N9" s="73">
        <v>606.4</v>
      </c>
      <c r="O9" s="73">
        <v>598.29999999999995</v>
      </c>
      <c r="P9" s="73">
        <v>654.20000000000005</v>
      </c>
      <c r="Q9" s="73">
        <v>531.70000000000005</v>
      </c>
      <c r="R9" s="73">
        <f>'[8]eng-daily-01012013-12312013'!$M$86</f>
        <v>631.49999999999989</v>
      </c>
      <c r="S9" s="73">
        <f>'[9]eng-daily-01012014-12312014'!$M$86</f>
        <v>737.09999999999991</v>
      </c>
      <c r="T9" s="73">
        <f>'[10]eng-daily-01012015-12312015'!$M$86</f>
        <v>856.8</v>
      </c>
      <c r="U9" s="73">
        <v>588.4</v>
      </c>
      <c r="V9" s="74">
        <f t="shared" ref="V9:V19" si="1">AVERAGE(L9:U9)</f>
        <v>661.92</v>
      </c>
      <c r="W9" s="75">
        <f t="shared" ref="W9:W19" si="2">TREND(B9:U9,$B$25:$U$25,2017)</f>
        <v>697.2247368421049</v>
      </c>
    </row>
    <row r="10" spans="1:23" x14ac:dyDescent="0.2">
      <c r="A10" s="72" t="s">
        <v>76</v>
      </c>
      <c r="B10" s="73">
        <v>600</v>
      </c>
      <c r="C10" s="73">
        <v>492.3</v>
      </c>
      <c r="D10" s="73">
        <v>550.6</v>
      </c>
      <c r="E10" s="73">
        <v>418.6</v>
      </c>
      <c r="F10" s="73">
        <v>566.6</v>
      </c>
      <c r="G10" s="73">
        <v>545.6</v>
      </c>
      <c r="H10" s="73">
        <v>581.1</v>
      </c>
      <c r="I10" s="73">
        <v>487.3</v>
      </c>
      <c r="J10" s="73">
        <v>608.6</v>
      </c>
      <c r="K10" s="73">
        <v>516.6</v>
      </c>
      <c r="L10" s="73">
        <v>546.70000000000005</v>
      </c>
      <c r="M10" s="73">
        <v>610.20000000000005</v>
      </c>
      <c r="N10" s="73">
        <v>533.79999999999995</v>
      </c>
      <c r="O10" s="73">
        <v>422.8</v>
      </c>
      <c r="P10" s="73">
        <v>572.79999999999995</v>
      </c>
      <c r="Q10" s="73">
        <v>349.40000000000009</v>
      </c>
      <c r="R10" s="73">
        <f>'[8]eng-daily-01012013-12312013'!$M$117</f>
        <v>554.79999999999995</v>
      </c>
      <c r="S10" s="73">
        <f>'[9]eng-daily-01012014-12312014'!$M$117</f>
        <v>690.6</v>
      </c>
      <c r="T10" s="73">
        <f>'[10]eng-daily-01012015-12312015'!$M$117</f>
        <v>615.49999999999989</v>
      </c>
      <c r="U10" s="73">
        <v>476.0999999999998</v>
      </c>
      <c r="V10" s="74">
        <f t="shared" si="1"/>
        <v>537.27</v>
      </c>
      <c r="W10" s="75">
        <f t="shared" si="2"/>
        <v>541.9405263157895</v>
      </c>
    </row>
    <row r="11" spans="1:23" x14ac:dyDescent="0.2">
      <c r="A11" s="72" t="s">
        <v>77</v>
      </c>
      <c r="B11" s="73">
        <v>366.8</v>
      </c>
      <c r="C11" s="73">
        <v>282</v>
      </c>
      <c r="D11" s="73">
        <v>296.7</v>
      </c>
      <c r="E11" s="73">
        <v>339.2</v>
      </c>
      <c r="F11" s="73">
        <v>293.8</v>
      </c>
      <c r="G11" s="73">
        <v>329.5</v>
      </c>
      <c r="H11" s="73">
        <v>372.5</v>
      </c>
      <c r="I11" s="73">
        <v>331.5</v>
      </c>
      <c r="J11" s="73">
        <v>306.8</v>
      </c>
      <c r="K11" s="73">
        <v>293.3</v>
      </c>
      <c r="L11" s="73">
        <v>356.4</v>
      </c>
      <c r="M11" s="73">
        <v>253.9</v>
      </c>
      <c r="N11" s="73">
        <v>305.8</v>
      </c>
      <c r="O11" s="73">
        <v>225.1</v>
      </c>
      <c r="P11" s="73">
        <v>332.3</v>
      </c>
      <c r="Q11" s="73">
        <v>321.70000000000005</v>
      </c>
      <c r="R11" s="73">
        <f>'[8]eng-daily-01012013-12312013'!$M$147</f>
        <v>358.6</v>
      </c>
      <c r="S11" s="73">
        <f>'[9]eng-daily-01012014-12312014'!$M$147</f>
        <v>356.90000000000003</v>
      </c>
      <c r="T11" s="73">
        <f>'[10]eng-daily-01012015-12312015'!$M$147</f>
        <v>313.7</v>
      </c>
      <c r="U11" s="73">
        <v>394.8</v>
      </c>
      <c r="V11" s="74">
        <f t="shared" si="1"/>
        <v>321.91999999999996</v>
      </c>
      <c r="W11" s="75">
        <f t="shared" si="2"/>
        <v>331.84631578947392</v>
      </c>
    </row>
    <row r="12" spans="1:23" x14ac:dyDescent="0.2">
      <c r="A12" s="72" t="s">
        <v>78</v>
      </c>
      <c r="B12" s="73">
        <v>260.8</v>
      </c>
      <c r="C12" s="73">
        <v>59.1</v>
      </c>
      <c r="D12" s="73">
        <v>97.1</v>
      </c>
      <c r="E12" s="73">
        <v>139.6</v>
      </c>
      <c r="F12" s="73">
        <v>111.5</v>
      </c>
      <c r="G12" s="73">
        <v>227.5</v>
      </c>
      <c r="H12" s="73">
        <v>177.9</v>
      </c>
      <c r="I12" s="73">
        <v>158.9</v>
      </c>
      <c r="J12" s="73">
        <v>189.4</v>
      </c>
      <c r="K12" s="73">
        <v>136.9</v>
      </c>
      <c r="L12" s="73">
        <v>136.4</v>
      </c>
      <c r="M12" s="73">
        <v>193.5</v>
      </c>
      <c r="N12" s="73">
        <v>158.80000000000001</v>
      </c>
      <c r="O12" s="73">
        <v>107.9</v>
      </c>
      <c r="P12" s="73">
        <v>134.1</v>
      </c>
      <c r="Q12" s="73">
        <v>80.7</v>
      </c>
      <c r="R12" s="73">
        <f>'[8]eng-daily-01012013-12312013'!$M$178</f>
        <v>109.10000000000001</v>
      </c>
      <c r="S12" s="73">
        <f>'[9]eng-daily-01012014-12312014'!$M$178</f>
        <v>132.10000000000005</v>
      </c>
      <c r="T12" s="73">
        <f>'[10]eng-daily-01012015-12312015'!$M$178</f>
        <v>89.3</v>
      </c>
      <c r="U12" s="73">
        <v>142.50000000000003</v>
      </c>
      <c r="V12" s="74">
        <f t="shared" si="1"/>
        <v>128.44</v>
      </c>
      <c r="W12" s="75">
        <f t="shared" si="2"/>
        <v>116.38736842105209</v>
      </c>
    </row>
    <row r="13" spans="1:23" x14ac:dyDescent="0.2">
      <c r="A13" s="72" t="s">
        <v>79</v>
      </c>
      <c r="B13" s="73">
        <v>20.6</v>
      </c>
      <c r="C13" s="73">
        <v>54.7</v>
      </c>
      <c r="D13" s="73">
        <v>25</v>
      </c>
      <c r="E13" s="73">
        <v>34.5</v>
      </c>
      <c r="F13" s="73">
        <v>29.8</v>
      </c>
      <c r="G13" s="73">
        <v>36.200000000000003</v>
      </c>
      <c r="H13" s="73">
        <v>43.4</v>
      </c>
      <c r="I13" s="73">
        <v>44.2</v>
      </c>
      <c r="J13" s="73">
        <v>8.9</v>
      </c>
      <c r="K13" s="73">
        <v>19.5</v>
      </c>
      <c r="L13" s="73">
        <v>16.5</v>
      </c>
      <c r="M13" s="73">
        <v>22.7</v>
      </c>
      <c r="N13" s="73">
        <v>49.3</v>
      </c>
      <c r="O13" s="73">
        <v>21.7</v>
      </c>
      <c r="P13" s="73">
        <v>19</v>
      </c>
      <c r="Q13" s="73">
        <v>23.2</v>
      </c>
      <c r="R13" s="73">
        <f>'[8]eng-daily-01012013-12312013'!$M$208</f>
        <v>32.999999999999993</v>
      </c>
      <c r="S13" s="73">
        <f>'[9]eng-daily-01012014-12312014'!$M$208</f>
        <v>14.1</v>
      </c>
      <c r="T13" s="73">
        <f>'[10]eng-daily-01012015-12312015'!$M$208</f>
        <v>33.800000000000004</v>
      </c>
      <c r="U13" s="73">
        <v>24.200000000000003</v>
      </c>
      <c r="V13" s="74">
        <f t="shared" si="1"/>
        <v>25.75</v>
      </c>
      <c r="W13" s="75">
        <f t="shared" si="2"/>
        <v>22.515263157894651</v>
      </c>
    </row>
    <row r="14" spans="1:23" x14ac:dyDescent="0.2">
      <c r="A14" s="72" t="s">
        <v>80</v>
      </c>
      <c r="B14" s="73">
        <v>12.4</v>
      </c>
      <c r="C14" s="73">
        <v>1</v>
      </c>
      <c r="D14" s="73">
        <v>0</v>
      </c>
      <c r="E14" s="73">
        <v>6.6</v>
      </c>
      <c r="F14" s="73">
        <v>9.3000000000000007</v>
      </c>
      <c r="G14" s="73">
        <v>0</v>
      </c>
      <c r="H14" s="73">
        <v>0.2</v>
      </c>
      <c r="I14" s="73">
        <v>3.6</v>
      </c>
      <c r="J14" s="73">
        <v>0</v>
      </c>
      <c r="K14" s="73">
        <v>0</v>
      </c>
      <c r="L14" s="73">
        <v>3.2</v>
      </c>
      <c r="M14" s="73">
        <v>1</v>
      </c>
      <c r="N14" s="73">
        <v>6.2</v>
      </c>
      <c r="O14" s="73">
        <v>1.8</v>
      </c>
      <c r="P14" s="73">
        <v>0</v>
      </c>
      <c r="Q14" s="73">
        <v>0</v>
      </c>
      <c r="R14" s="73">
        <f>'[8]eng-daily-01012013-12312013'!$M$239</f>
        <v>1.2999999999999998</v>
      </c>
      <c r="S14" s="73">
        <f>'[9]eng-daily-01012014-12312014'!$M$239</f>
        <v>4</v>
      </c>
      <c r="T14" s="73">
        <f>'[10]eng-daily-01012015-12312015'!$M$239</f>
        <v>4</v>
      </c>
      <c r="U14" s="73">
        <v>0</v>
      </c>
      <c r="V14" s="74">
        <f t="shared" si="1"/>
        <v>2.15</v>
      </c>
      <c r="W14" s="75">
        <f t="shared" si="2"/>
        <v>0.63473684210526926</v>
      </c>
    </row>
    <row r="15" spans="1:23" x14ac:dyDescent="0.2">
      <c r="A15" s="72" t="s">
        <v>81</v>
      </c>
      <c r="B15" s="73">
        <v>17</v>
      </c>
      <c r="C15" s="73">
        <v>3.4</v>
      </c>
      <c r="D15" s="73">
        <v>8.4</v>
      </c>
      <c r="E15" s="73">
        <v>11.5</v>
      </c>
      <c r="F15" s="73">
        <v>0</v>
      </c>
      <c r="G15" s="73">
        <v>0.2</v>
      </c>
      <c r="H15" s="73">
        <v>2</v>
      </c>
      <c r="I15" s="73">
        <v>12.8</v>
      </c>
      <c r="J15" s="73">
        <v>0.2</v>
      </c>
      <c r="K15" s="73">
        <v>4.2</v>
      </c>
      <c r="L15" s="73">
        <v>5.2</v>
      </c>
      <c r="M15" s="73">
        <v>12.7</v>
      </c>
      <c r="N15" s="73">
        <v>9.8000000000000007</v>
      </c>
      <c r="O15" s="73">
        <v>2.1</v>
      </c>
      <c r="P15" s="73">
        <v>0</v>
      </c>
      <c r="Q15" s="73">
        <v>2</v>
      </c>
      <c r="R15" s="73">
        <f>'[8]eng-daily-01012013-12312013'!$M$270</f>
        <v>4.4000000000000004</v>
      </c>
      <c r="S15" s="73">
        <f>'[9]eng-daily-01012014-12312014'!$M$270</f>
        <v>8.7999999999999989</v>
      </c>
      <c r="T15" s="73">
        <f>'[10]eng-daily-01012015-12312015'!$M$270</f>
        <v>4.4000000000000004</v>
      </c>
      <c r="U15" s="73">
        <v>0</v>
      </c>
      <c r="V15" s="74">
        <f t="shared" si="1"/>
        <v>4.9399999999999995</v>
      </c>
      <c r="W15" s="75">
        <f t="shared" si="2"/>
        <v>2.7084210526315928</v>
      </c>
    </row>
    <row r="16" spans="1:23" x14ac:dyDescent="0.2">
      <c r="A16" s="72" t="s">
        <v>82</v>
      </c>
      <c r="B16" s="73">
        <v>87.1</v>
      </c>
      <c r="C16" s="73">
        <v>39.700000000000003</v>
      </c>
      <c r="D16" s="73">
        <v>49.3</v>
      </c>
      <c r="E16" s="73">
        <v>99.5</v>
      </c>
      <c r="F16" s="73">
        <v>73.599999999999994</v>
      </c>
      <c r="G16" s="73">
        <v>21.8</v>
      </c>
      <c r="H16" s="73">
        <v>54.9</v>
      </c>
      <c r="I16" s="73">
        <v>30</v>
      </c>
      <c r="J16" s="73">
        <v>22.6</v>
      </c>
      <c r="K16" s="73">
        <v>80.900000000000006</v>
      </c>
      <c r="L16" s="73">
        <v>36.9</v>
      </c>
      <c r="M16" s="73">
        <v>59</v>
      </c>
      <c r="N16" s="73">
        <v>55.2</v>
      </c>
      <c r="O16" s="73">
        <v>78.099999999999994</v>
      </c>
      <c r="P16" s="73">
        <v>48.2</v>
      </c>
      <c r="Q16" s="73">
        <v>85</v>
      </c>
      <c r="R16" s="73">
        <f>'[8]eng-daily-01012013-12312013'!$M$300</f>
        <v>82.999999999999986</v>
      </c>
      <c r="S16" s="73">
        <f>'[9]eng-daily-01012014-12312014'!$M$300</f>
        <v>69.700000000000017</v>
      </c>
      <c r="T16" s="73">
        <f>'[10]eng-daily-01012015-12312015'!$M$300</f>
        <v>31.099999999999994</v>
      </c>
      <c r="U16" s="73">
        <v>25.900000000000006</v>
      </c>
      <c r="V16" s="74">
        <f t="shared" si="1"/>
        <v>57.21</v>
      </c>
      <c r="W16" s="75">
        <f t="shared" si="2"/>
        <v>52.620526315789562</v>
      </c>
    </row>
    <row r="17" spans="1:23" x14ac:dyDescent="0.2">
      <c r="A17" s="72" t="s">
        <v>83</v>
      </c>
      <c r="B17" s="73">
        <v>266.89999999999998</v>
      </c>
      <c r="C17" s="73">
        <v>223.4</v>
      </c>
      <c r="D17" s="73">
        <v>267.60000000000002</v>
      </c>
      <c r="E17" s="73">
        <v>212.7</v>
      </c>
      <c r="F17" s="73">
        <v>232.5</v>
      </c>
      <c r="G17" s="73">
        <v>292.2</v>
      </c>
      <c r="H17" s="73">
        <v>276</v>
      </c>
      <c r="I17" s="73">
        <v>226.3</v>
      </c>
      <c r="J17" s="73">
        <v>220.2</v>
      </c>
      <c r="K17" s="73">
        <v>288.3</v>
      </c>
      <c r="L17" s="73">
        <v>137.69999999999999</v>
      </c>
      <c r="M17" s="73">
        <v>278.60000000000002</v>
      </c>
      <c r="N17" s="73">
        <v>287.8</v>
      </c>
      <c r="O17" s="73">
        <v>241.6</v>
      </c>
      <c r="P17" s="73">
        <v>235.5</v>
      </c>
      <c r="Q17" s="73">
        <v>242.50000000000003</v>
      </c>
      <c r="R17" s="73">
        <f>'[8]eng-daily-01012013-12312013'!$M$331</f>
        <v>208.5</v>
      </c>
      <c r="S17" s="73">
        <f>'[9]eng-daily-01012014-12312014'!$M$331</f>
        <v>224.30000000000004</v>
      </c>
      <c r="T17" s="73">
        <f>'[10]eng-daily-01012015-12312015'!$M$331</f>
        <v>249.8</v>
      </c>
      <c r="U17" s="73">
        <v>194.20000000000002</v>
      </c>
      <c r="V17" s="74">
        <f t="shared" si="1"/>
        <v>230.05</v>
      </c>
      <c r="W17" s="75">
        <f t="shared" si="2"/>
        <v>224.9699999999998</v>
      </c>
    </row>
    <row r="18" spans="1:23" x14ac:dyDescent="0.2">
      <c r="A18" s="72" t="s">
        <v>84</v>
      </c>
      <c r="B18" s="73">
        <v>466.5</v>
      </c>
      <c r="C18" s="73">
        <v>392.6</v>
      </c>
      <c r="D18" s="73">
        <v>367.5</v>
      </c>
      <c r="E18" s="73">
        <v>432</v>
      </c>
      <c r="F18" s="73">
        <v>325.8</v>
      </c>
      <c r="G18" s="73">
        <v>445</v>
      </c>
      <c r="H18" s="73">
        <v>398.5</v>
      </c>
      <c r="I18" s="73">
        <v>379.1</v>
      </c>
      <c r="J18" s="73">
        <v>388.4</v>
      </c>
      <c r="K18" s="73">
        <v>382.2</v>
      </c>
      <c r="L18" s="73">
        <v>462.5</v>
      </c>
      <c r="M18" s="73">
        <v>451.6</v>
      </c>
      <c r="N18" s="73">
        <v>361.2</v>
      </c>
      <c r="O18" s="73">
        <v>405.3</v>
      </c>
      <c r="P18" s="73">
        <v>342.1</v>
      </c>
      <c r="Q18" s="73">
        <v>433.99999999999994</v>
      </c>
      <c r="R18" s="73">
        <f>'[8]eng-daily-01012013-12312013'!$M$361</f>
        <v>478.20000000000005</v>
      </c>
      <c r="S18" s="73">
        <f>'[9]eng-daily-01012014-12312014'!$M$361</f>
        <v>482.1</v>
      </c>
      <c r="T18" s="73">
        <f>'[10]eng-daily-01012015-12312015'!$M$361</f>
        <v>345</v>
      </c>
      <c r="U18" s="73">
        <v>337.80000000000007</v>
      </c>
      <c r="V18" s="74">
        <f t="shared" si="1"/>
        <v>409.9799999999999</v>
      </c>
      <c r="W18" s="75">
        <f t="shared" si="2"/>
        <v>400.37421052631578</v>
      </c>
    </row>
    <row r="19" spans="1:23" x14ac:dyDescent="0.2">
      <c r="A19" s="72" t="s">
        <v>85</v>
      </c>
      <c r="B19" s="73">
        <v>586.20000000000005</v>
      </c>
      <c r="C19" s="73">
        <v>535.1</v>
      </c>
      <c r="D19" s="73">
        <v>579.29999999999995</v>
      </c>
      <c r="E19" s="73">
        <v>780.3</v>
      </c>
      <c r="F19" s="73">
        <v>505</v>
      </c>
      <c r="G19" s="73">
        <v>619.4</v>
      </c>
      <c r="H19" s="73">
        <v>561.5</v>
      </c>
      <c r="I19" s="73">
        <v>643.4</v>
      </c>
      <c r="J19" s="73">
        <v>665.3</v>
      </c>
      <c r="K19" s="73">
        <v>500.5</v>
      </c>
      <c r="L19" s="73">
        <v>630.70000000000005</v>
      </c>
      <c r="M19" s="73">
        <v>654.6</v>
      </c>
      <c r="N19" s="73">
        <v>631.29999999999995</v>
      </c>
      <c r="O19" s="73">
        <v>676.2</v>
      </c>
      <c r="P19" s="73">
        <v>534</v>
      </c>
      <c r="Q19" s="73">
        <v>533.50000000000011</v>
      </c>
      <c r="R19" s="73">
        <f>'[8]eng-daily-01012013-12312013'!$M$392</f>
        <v>687.9</v>
      </c>
      <c r="S19" s="73">
        <f>'[9]eng-daily-01012014-12312014'!$M$392</f>
        <v>557.29999999999995</v>
      </c>
      <c r="T19" s="73">
        <f>'[10]eng-daily-01012015-12312015'!$M$392</f>
        <v>429.70000000000005</v>
      </c>
      <c r="U19" s="73">
        <v>607.99999999999989</v>
      </c>
      <c r="V19" s="74">
        <f t="shared" si="1"/>
        <v>594.31999999999994</v>
      </c>
      <c r="W19" s="75">
        <f t="shared" si="2"/>
        <v>576.0384210526322</v>
      </c>
    </row>
    <row r="20" spans="1:23" x14ac:dyDescent="0.2">
      <c r="A20" s="72"/>
      <c r="B20" s="72"/>
      <c r="M20" s="72"/>
      <c r="N20" s="72"/>
      <c r="O20" s="72"/>
      <c r="P20" s="72"/>
      <c r="Q20" s="72"/>
      <c r="R20" s="72"/>
      <c r="S20" s="72"/>
      <c r="T20" s="72"/>
      <c r="U20" s="72"/>
    </row>
    <row r="21" spans="1:23" x14ac:dyDescent="0.2">
      <c r="A21" s="72" t="s">
        <v>9</v>
      </c>
      <c r="B21" s="73">
        <f t="shared" ref="B21:V21" si="3">SUM(B8:B19)</f>
        <v>4033.9000000000005</v>
      </c>
      <c r="C21" s="73">
        <f t="shared" si="3"/>
        <v>3220.2999999999997</v>
      </c>
      <c r="D21" s="73">
        <f t="shared" si="3"/>
        <v>3539.3999999999996</v>
      </c>
      <c r="E21" s="73">
        <f t="shared" si="3"/>
        <v>3826.0999999999995</v>
      </c>
      <c r="F21" s="73">
        <f t="shared" si="3"/>
        <v>3420.4000000000005</v>
      </c>
      <c r="G21" s="73">
        <f t="shared" si="3"/>
        <v>3629.7999999999997</v>
      </c>
      <c r="H21" s="73">
        <f t="shared" si="3"/>
        <v>3981.5</v>
      </c>
      <c r="I21" s="73">
        <f t="shared" si="3"/>
        <v>3797.9000000000005</v>
      </c>
      <c r="J21" s="73">
        <f t="shared" si="3"/>
        <v>3796.8</v>
      </c>
      <c r="K21" s="73">
        <f t="shared" si="3"/>
        <v>3378.4999999999995</v>
      </c>
      <c r="L21" s="73">
        <f t="shared" si="3"/>
        <v>3719.3999999999996</v>
      </c>
      <c r="M21" s="73">
        <f t="shared" si="3"/>
        <v>3835.9999999999995</v>
      </c>
      <c r="N21" s="73">
        <f t="shared" si="3"/>
        <v>3835.8</v>
      </c>
      <c r="O21" s="73">
        <f t="shared" si="3"/>
        <v>3500.8999999999996</v>
      </c>
      <c r="P21" s="73">
        <f t="shared" si="3"/>
        <v>3647.4999999999995</v>
      </c>
      <c r="Q21" s="73">
        <f t="shared" si="3"/>
        <v>3214.8000000000006</v>
      </c>
      <c r="R21" s="73">
        <f t="shared" si="3"/>
        <v>3774.7000000000003</v>
      </c>
      <c r="S21" s="73">
        <f t="shared" si="3"/>
        <v>4102.8999999999996</v>
      </c>
      <c r="T21" s="73">
        <f t="shared" si="3"/>
        <v>3765.5</v>
      </c>
      <c r="U21" s="73">
        <f t="shared" si="3"/>
        <v>3462.2999999999997</v>
      </c>
      <c r="V21" s="73">
        <f t="shared" si="3"/>
        <v>3685.9800000000005</v>
      </c>
    </row>
    <row r="22" spans="1:23" x14ac:dyDescent="0.2">
      <c r="A22" s="67"/>
      <c r="B22" s="68"/>
    </row>
    <row r="23" spans="1:23" x14ac:dyDescent="0.2">
      <c r="A23" s="67" t="s">
        <v>86</v>
      </c>
      <c r="B23" s="68"/>
    </row>
    <row r="24" spans="1:23" x14ac:dyDescent="0.2">
      <c r="A24" s="69"/>
      <c r="B24" s="70"/>
    </row>
    <row r="25" spans="1:23" x14ac:dyDescent="0.2">
      <c r="A25" s="71" t="s">
        <v>73</v>
      </c>
      <c r="B25" s="71">
        <v>1997</v>
      </c>
      <c r="C25" s="71">
        <v>1998</v>
      </c>
      <c r="D25" s="71">
        <v>1999</v>
      </c>
      <c r="E25" s="71">
        <v>2000</v>
      </c>
      <c r="F25" s="71">
        <v>2001</v>
      </c>
      <c r="G25" s="71">
        <v>2002</v>
      </c>
      <c r="H25" s="71">
        <v>2003</v>
      </c>
      <c r="I25" s="71">
        <v>2004</v>
      </c>
      <c r="J25" s="71">
        <v>2005</v>
      </c>
      <c r="K25" s="71">
        <v>2006</v>
      </c>
      <c r="L25" s="71">
        <v>2007</v>
      </c>
      <c r="M25" s="71">
        <v>2008</v>
      </c>
      <c r="N25" s="71">
        <v>2009</v>
      </c>
      <c r="O25" s="71">
        <v>2010</v>
      </c>
      <c r="P25" s="71">
        <v>2011</v>
      </c>
      <c r="Q25" s="71">
        <v>2012</v>
      </c>
      <c r="R25" s="71">
        <v>2013</v>
      </c>
      <c r="S25" s="71">
        <v>2014</v>
      </c>
      <c r="T25" s="71">
        <v>2015</v>
      </c>
      <c r="U25" s="71">
        <v>2016</v>
      </c>
      <c r="V25" s="76" t="s">
        <v>87</v>
      </c>
      <c r="W25" s="322" t="s">
        <v>88</v>
      </c>
    </row>
    <row r="26" spans="1:23" x14ac:dyDescent="0.2">
      <c r="A26" s="69"/>
      <c r="B26" s="68"/>
      <c r="W26" s="71">
        <v>2017</v>
      </c>
    </row>
    <row r="27" spans="1:23" x14ac:dyDescent="0.2">
      <c r="B27" s="68"/>
    </row>
    <row r="28" spans="1:23" x14ac:dyDescent="0.2">
      <c r="A28" s="72" t="s">
        <v>74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f>'[8]eng-daily-01012013-12312013'!$O$57</f>
        <v>0</v>
      </c>
      <c r="S28" s="73">
        <f>'[9]eng-daily-01012014-12312014'!$O$57</f>
        <v>0</v>
      </c>
      <c r="T28" s="73">
        <f>'[10]eng-daily-01012015-12312015'!$O$57</f>
        <v>0</v>
      </c>
      <c r="U28" s="73">
        <v>0</v>
      </c>
      <c r="V28" s="74">
        <f>AVERAGE(L28:U28)</f>
        <v>0</v>
      </c>
      <c r="W28" s="75">
        <f>TREND(B28:U28,$B$25:$U$25,2017)</f>
        <v>0</v>
      </c>
    </row>
    <row r="29" spans="1:23" x14ac:dyDescent="0.2">
      <c r="A29" s="72" t="s">
        <v>75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0</v>
      </c>
      <c r="K29" s="73">
        <v>0</v>
      </c>
      <c r="L29" s="73">
        <v>0</v>
      </c>
      <c r="M29" s="73">
        <v>0</v>
      </c>
      <c r="N29" s="73">
        <v>0</v>
      </c>
      <c r="O29" s="73">
        <v>0</v>
      </c>
      <c r="P29" s="73">
        <v>0</v>
      </c>
      <c r="Q29" s="73">
        <v>0</v>
      </c>
      <c r="R29" s="73">
        <f>'[8]eng-daily-01012013-12312013'!$O$86</f>
        <v>0</v>
      </c>
      <c r="S29" s="73">
        <f>'[9]eng-daily-01012014-12312014'!$O$86</f>
        <v>0</v>
      </c>
      <c r="T29" s="73">
        <f>'[10]eng-daily-01012015-12312015'!$O$86</f>
        <v>0</v>
      </c>
      <c r="U29" s="73">
        <v>0</v>
      </c>
      <c r="V29" s="74">
        <f t="shared" ref="V29:V39" si="4">AVERAGE(L29:U29)</f>
        <v>0</v>
      </c>
      <c r="W29" s="75">
        <f t="shared" ref="W29:W39" si="5">TREND(B29:U29,$B$25:$U$25,2017)</f>
        <v>0</v>
      </c>
    </row>
    <row r="30" spans="1:23" x14ac:dyDescent="0.2">
      <c r="A30" s="72" t="s">
        <v>76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0.2</v>
      </c>
      <c r="R30" s="73">
        <f>'[8]eng-daily-01012013-12312013'!$O$117</f>
        <v>0</v>
      </c>
      <c r="S30" s="73">
        <f>'[9]eng-daily-01012014-12312014'!$O$117</f>
        <v>0</v>
      </c>
      <c r="T30" s="73">
        <f>'[10]eng-daily-01012015-12312015'!$O$117</f>
        <v>0</v>
      </c>
      <c r="U30" s="73">
        <v>0</v>
      </c>
      <c r="V30" s="74">
        <f t="shared" si="4"/>
        <v>0.02</v>
      </c>
      <c r="W30" s="75">
        <f t="shared" si="5"/>
        <v>2.7368421052631486E-2</v>
      </c>
    </row>
    <row r="31" spans="1:23" x14ac:dyDescent="0.2">
      <c r="A31" s="72" t="s">
        <v>77</v>
      </c>
      <c r="B31" s="73">
        <v>0</v>
      </c>
      <c r="C31" s="73">
        <v>0</v>
      </c>
      <c r="D31" s="73">
        <v>0</v>
      </c>
      <c r="E31" s="73">
        <v>0</v>
      </c>
      <c r="F31" s="73">
        <v>1.4</v>
      </c>
      <c r="G31" s="73">
        <v>8.3000000000000007</v>
      </c>
      <c r="H31" s="73">
        <v>2.4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1.2</v>
      </c>
      <c r="O31" s="73">
        <v>0</v>
      </c>
      <c r="P31" s="73">
        <v>0</v>
      </c>
      <c r="Q31" s="73">
        <v>0</v>
      </c>
      <c r="R31" s="73">
        <f>'[8]eng-daily-01012013-12312013'!$O$147</f>
        <v>0</v>
      </c>
      <c r="S31" s="73">
        <f>'[9]eng-daily-01012014-12312014'!$O$147</f>
        <v>0</v>
      </c>
      <c r="T31" s="73">
        <f>'[10]eng-daily-01012015-12312015'!$O$147</f>
        <v>0</v>
      </c>
      <c r="U31" s="73">
        <v>0</v>
      </c>
      <c r="V31" s="74">
        <f t="shared" si="4"/>
        <v>0.12</v>
      </c>
      <c r="W31" s="75">
        <f t="shared" si="5"/>
        <v>-0.13157894736841058</v>
      </c>
    </row>
    <row r="32" spans="1:23" x14ac:dyDescent="0.2">
      <c r="A32" s="72" t="s">
        <v>78</v>
      </c>
      <c r="B32" s="73">
        <v>0</v>
      </c>
      <c r="C32" s="73">
        <v>28.6</v>
      </c>
      <c r="D32" s="73">
        <v>19.399999999999999</v>
      </c>
      <c r="E32" s="73">
        <v>23.7</v>
      </c>
      <c r="F32" s="73">
        <v>12.2</v>
      </c>
      <c r="G32" s="73">
        <v>7.8</v>
      </c>
      <c r="H32" s="73">
        <v>0</v>
      </c>
      <c r="I32" s="73">
        <v>8.6</v>
      </c>
      <c r="J32" s="73">
        <v>0.8</v>
      </c>
      <c r="K32" s="73">
        <v>26</v>
      </c>
      <c r="L32" s="73">
        <v>22.4</v>
      </c>
      <c r="M32" s="73">
        <v>2.5</v>
      </c>
      <c r="N32" s="73">
        <v>6.9</v>
      </c>
      <c r="O32" s="73">
        <v>45.7</v>
      </c>
      <c r="P32" s="73">
        <v>13</v>
      </c>
      <c r="Q32" s="73">
        <v>36.700000000000003</v>
      </c>
      <c r="R32" s="73">
        <f>'[8]eng-daily-01012013-12312013'!$O$178</f>
        <v>23.1</v>
      </c>
      <c r="S32" s="73">
        <f>'[9]eng-daily-01012014-12312014'!$O$178</f>
        <v>11.9</v>
      </c>
      <c r="T32" s="73">
        <f>'[10]eng-daily-01012015-12312015'!$O$178</f>
        <v>34.1</v>
      </c>
      <c r="U32" s="73">
        <v>36.9</v>
      </c>
      <c r="V32" s="74">
        <f t="shared" si="4"/>
        <v>23.32</v>
      </c>
      <c r="W32" s="75">
        <f t="shared" si="5"/>
        <v>28.305789473684399</v>
      </c>
    </row>
    <row r="33" spans="1:23" x14ac:dyDescent="0.2">
      <c r="A33" s="72" t="s">
        <v>79</v>
      </c>
      <c r="B33" s="73">
        <v>73.2</v>
      </c>
      <c r="C33" s="73">
        <v>82.4</v>
      </c>
      <c r="D33" s="73">
        <v>96</v>
      </c>
      <c r="E33" s="73">
        <v>41.1</v>
      </c>
      <c r="F33" s="73">
        <v>79.7</v>
      </c>
      <c r="G33" s="73">
        <v>70</v>
      </c>
      <c r="H33" s="73">
        <v>52.9</v>
      </c>
      <c r="I33" s="73">
        <v>31.6</v>
      </c>
      <c r="J33" s="73">
        <v>146.30000000000001</v>
      </c>
      <c r="K33" s="73">
        <v>73.599999999999994</v>
      </c>
      <c r="L33" s="73">
        <v>99.2</v>
      </c>
      <c r="M33" s="73">
        <v>71.5</v>
      </c>
      <c r="N33" s="73">
        <v>34.200000000000003</v>
      </c>
      <c r="O33" s="73">
        <v>58.7</v>
      </c>
      <c r="P33" s="73">
        <v>52.2</v>
      </c>
      <c r="Q33" s="73">
        <v>101.60000000000001</v>
      </c>
      <c r="R33" s="73">
        <f>'[8]eng-daily-01012013-12312013'!$O$208</f>
        <v>59.6</v>
      </c>
      <c r="S33" s="73">
        <f>'[9]eng-daily-01012014-12312014'!$O$208</f>
        <v>68.099999999999994</v>
      </c>
      <c r="T33" s="73">
        <f>'[10]eng-daily-01012015-12312015'!$O$208</f>
        <v>32.299999999999997</v>
      </c>
      <c r="U33" s="73">
        <v>83.7</v>
      </c>
      <c r="V33" s="74">
        <f t="shared" si="4"/>
        <v>66.11</v>
      </c>
      <c r="W33" s="75">
        <f t="shared" si="5"/>
        <v>63.331578947368371</v>
      </c>
    </row>
    <row r="34" spans="1:23" x14ac:dyDescent="0.2">
      <c r="A34" s="72" t="s">
        <v>80</v>
      </c>
      <c r="B34" s="73">
        <v>103</v>
      </c>
      <c r="C34" s="73">
        <v>101.3</v>
      </c>
      <c r="D34" s="73">
        <v>196.5</v>
      </c>
      <c r="E34" s="73">
        <v>71.8</v>
      </c>
      <c r="F34" s="73">
        <v>100.9</v>
      </c>
      <c r="G34" s="73">
        <v>192.4</v>
      </c>
      <c r="H34" s="73">
        <v>118.3</v>
      </c>
      <c r="I34" s="73">
        <v>86.4</v>
      </c>
      <c r="J34" s="73">
        <v>188.7</v>
      </c>
      <c r="K34" s="73">
        <v>167.3</v>
      </c>
      <c r="L34" s="73">
        <v>106.1</v>
      </c>
      <c r="M34" s="73">
        <v>111</v>
      </c>
      <c r="N34" s="73">
        <v>43.7</v>
      </c>
      <c r="O34" s="73">
        <v>164.9</v>
      </c>
      <c r="P34" s="73">
        <v>198.5</v>
      </c>
      <c r="Q34" s="73">
        <v>195.39999999999998</v>
      </c>
      <c r="R34" s="73">
        <f>'[8]eng-daily-01012013-12312013'!$O$239</f>
        <v>120.80000000000003</v>
      </c>
      <c r="S34" s="73">
        <f>'[9]eng-daily-01012014-12312014'!$O$239</f>
        <v>71</v>
      </c>
      <c r="T34" s="73">
        <f>'[10]eng-daily-01012015-12312015'!$O$239</f>
        <v>114.29999999999998</v>
      </c>
      <c r="U34" s="73">
        <v>176.89999999999998</v>
      </c>
      <c r="V34" s="74">
        <f t="shared" si="4"/>
        <v>130.26</v>
      </c>
      <c r="W34" s="75">
        <f t="shared" si="5"/>
        <v>141.66315789473697</v>
      </c>
    </row>
    <row r="35" spans="1:23" x14ac:dyDescent="0.2">
      <c r="A35" s="72" t="s">
        <v>81</v>
      </c>
      <c r="B35" s="73">
        <v>46.8</v>
      </c>
      <c r="C35" s="73">
        <v>117.7</v>
      </c>
      <c r="D35" s="73">
        <v>79.099999999999994</v>
      </c>
      <c r="E35" s="73">
        <v>92.5</v>
      </c>
      <c r="F35" s="73">
        <v>160</v>
      </c>
      <c r="G35" s="73">
        <v>142.69999999999999</v>
      </c>
      <c r="H35" s="73">
        <v>128</v>
      </c>
      <c r="I35" s="73">
        <v>59.6</v>
      </c>
      <c r="J35" s="73">
        <v>140.69999999999999</v>
      </c>
      <c r="K35" s="73">
        <v>101.6</v>
      </c>
      <c r="L35" s="73">
        <v>141</v>
      </c>
      <c r="M35" s="73">
        <v>64</v>
      </c>
      <c r="N35" s="73">
        <v>91</v>
      </c>
      <c r="O35" s="73">
        <v>138.80000000000001</v>
      </c>
      <c r="P35" s="73">
        <v>122.2</v>
      </c>
      <c r="Q35" s="73">
        <v>112.10000000000001</v>
      </c>
      <c r="R35" s="73">
        <f>'[8]eng-daily-01012013-12312013'!$O$270</f>
        <v>93.799999999999983</v>
      </c>
      <c r="S35" s="73">
        <f>'[9]eng-daily-01012014-12312014'!$O$270</f>
        <v>81.799999999999983</v>
      </c>
      <c r="T35" s="73">
        <f>'[10]eng-daily-01012015-12312015'!$O$270</f>
        <v>88.6</v>
      </c>
      <c r="U35" s="73">
        <v>195.4</v>
      </c>
      <c r="V35" s="74">
        <f t="shared" si="4"/>
        <v>112.87</v>
      </c>
      <c r="W35" s="75">
        <f t="shared" si="5"/>
        <v>123.42210526315785</v>
      </c>
    </row>
    <row r="36" spans="1:23" x14ac:dyDescent="0.2">
      <c r="A36" s="72" t="s">
        <v>82</v>
      </c>
      <c r="B36" s="73">
        <v>11.7</v>
      </c>
      <c r="C36" s="73">
        <v>45</v>
      </c>
      <c r="D36" s="73">
        <v>48.9</v>
      </c>
      <c r="E36" s="73">
        <v>35.200000000000003</v>
      </c>
      <c r="F36" s="73">
        <v>35.700000000000003</v>
      </c>
      <c r="G36" s="73">
        <v>87.6</v>
      </c>
      <c r="H36" s="73">
        <v>24</v>
      </c>
      <c r="I36" s="73">
        <v>41.2</v>
      </c>
      <c r="J36" s="73">
        <v>52.1</v>
      </c>
      <c r="K36" s="73">
        <v>12.9</v>
      </c>
      <c r="L36" s="73">
        <v>47.5</v>
      </c>
      <c r="M36" s="73">
        <v>26.7</v>
      </c>
      <c r="N36" s="73">
        <v>20.9</v>
      </c>
      <c r="O36" s="73">
        <v>31.5</v>
      </c>
      <c r="P36" s="73">
        <v>39.700000000000003</v>
      </c>
      <c r="Q36" s="73">
        <v>35.6</v>
      </c>
      <c r="R36" s="73">
        <f>'[8]eng-daily-01012013-12312013'!$O$300</f>
        <v>28.099999999999998</v>
      </c>
      <c r="S36" s="73">
        <f>'[9]eng-daily-01012014-12312014'!$O$300</f>
        <v>30.099999999999998</v>
      </c>
      <c r="T36" s="73">
        <f>'[10]eng-daily-01012015-12312015'!$O$300</f>
        <v>81.900000000000006</v>
      </c>
      <c r="U36" s="73">
        <v>69.400000000000006</v>
      </c>
      <c r="V36" s="74">
        <f t="shared" si="4"/>
        <v>41.14</v>
      </c>
      <c r="W36" s="75">
        <f t="shared" si="5"/>
        <v>46.809999999999945</v>
      </c>
    </row>
    <row r="37" spans="1:23" x14ac:dyDescent="0.2">
      <c r="A37" s="72" t="s">
        <v>83</v>
      </c>
      <c r="B37" s="73">
        <v>2.8</v>
      </c>
      <c r="C37" s="73">
        <v>0</v>
      </c>
      <c r="D37" s="73">
        <v>0</v>
      </c>
      <c r="E37" s="73">
        <v>1.2</v>
      </c>
      <c r="F37" s="73">
        <v>2</v>
      </c>
      <c r="G37" s="73">
        <v>10</v>
      </c>
      <c r="H37" s="73">
        <v>0</v>
      </c>
      <c r="I37" s="73">
        <v>1.5</v>
      </c>
      <c r="J37" s="73">
        <v>7.6</v>
      </c>
      <c r="K37" s="73">
        <v>1.1000000000000001</v>
      </c>
      <c r="L37" s="73">
        <v>19.8</v>
      </c>
      <c r="M37" s="73">
        <v>0</v>
      </c>
      <c r="N37" s="73">
        <v>0</v>
      </c>
      <c r="O37" s="73">
        <v>0</v>
      </c>
      <c r="P37" s="73">
        <v>2.4</v>
      </c>
      <c r="Q37" s="73">
        <v>1.1000000000000001</v>
      </c>
      <c r="R37" s="73">
        <f>'[8]eng-daily-01012013-12312013'!$O$331</f>
        <v>0.4</v>
      </c>
      <c r="S37" s="73">
        <f>'[9]eng-daily-01012014-12312014'!$O$331</f>
        <v>1.3</v>
      </c>
      <c r="T37" s="73">
        <f>'[10]eng-daily-01012015-12312015'!$O$331</f>
        <v>0</v>
      </c>
      <c r="U37" s="73">
        <v>4.0999999999999996</v>
      </c>
      <c r="V37" s="74">
        <f t="shared" si="4"/>
        <v>2.91</v>
      </c>
      <c r="W37" s="75">
        <f t="shared" si="5"/>
        <v>2.3221052631578942</v>
      </c>
    </row>
    <row r="38" spans="1:23" x14ac:dyDescent="0.2">
      <c r="A38" s="72" t="s">
        <v>84</v>
      </c>
      <c r="B38" s="73">
        <v>0</v>
      </c>
      <c r="C38" s="73">
        <v>0</v>
      </c>
      <c r="D38" s="73">
        <v>0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73">
        <v>0</v>
      </c>
      <c r="Q38" s="73">
        <v>0</v>
      </c>
      <c r="R38" s="73">
        <f>'[8]eng-daily-01012013-12312013'!$O$361</f>
        <v>0</v>
      </c>
      <c r="S38" s="73">
        <f>'[9]eng-daily-01012014-12312014'!$O$361</f>
        <v>0</v>
      </c>
      <c r="T38" s="73">
        <f>'[10]eng-daily-01012015-12312015'!$O$361</f>
        <v>0</v>
      </c>
      <c r="U38" s="73">
        <v>0</v>
      </c>
      <c r="V38" s="74">
        <f t="shared" si="4"/>
        <v>0</v>
      </c>
      <c r="W38" s="75">
        <f t="shared" si="5"/>
        <v>0</v>
      </c>
    </row>
    <row r="39" spans="1:23" x14ac:dyDescent="0.2">
      <c r="A39" s="72" t="s">
        <v>85</v>
      </c>
      <c r="B39" s="73">
        <v>0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v>0</v>
      </c>
      <c r="I39" s="73">
        <v>0</v>
      </c>
      <c r="J39" s="73">
        <v>0</v>
      </c>
      <c r="K39" s="73">
        <v>0</v>
      </c>
      <c r="L39" s="73">
        <v>0</v>
      </c>
      <c r="M39" s="73">
        <v>0</v>
      </c>
      <c r="N39" s="73">
        <v>0</v>
      </c>
      <c r="O39" s="73">
        <v>0</v>
      </c>
      <c r="P39" s="73">
        <v>0</v>
      </c>
      <c r="Q39" s="73">
        <v>0</v>
      </c>
      <c r="R39" s="73">
        <f>'[8]eng-daily-01012013-12312013'!$O$392</f>
        <v>0</v>
      </c>
      <c r="S39" s="73">
        <f>'[9]eng-daily-01012014-12312014'!$O$392</f>
        <v>0</v>
      </c>
      <c r="T39" s="73">
        <f>'[10]eng-daily-01012015-12312015'!$O$392</f>
        <v>0</v>
      </c>
      <c r="U39" s="73">
        <v>0</v>
      </c>
      <c r="V39" s="74">
        <f t="shared" si="4"/>
        <v>0</v>
      </c>
      <c r="W39" s="75">
        <f t="shared" si="5"/>
        <v>0</v>
      </c>
    </row>
    <row r="40" spans="1:23" x14ac:dyDescent="0.2">
      <c r="A40" s="72"/>
      <c r="B40" s="72"/>
      <c r="C40" s="68"/>
      <c r="D40" s="68"/>
      <c r="M40" s="72"/>
      <c r="N40" s="72"/>
      <c r="O40" s="72"/>
      <c r="P40" s="72"/>
      <c r="Q40" s="72"/>
      <c r="R40" s="72"/>
      <c r="S40" s="72"/>
      <c r="T40" s="72"/>
      <c r="U40" s="72"/>
    </row>
    <row r="41" spans="1:23" x14ac:dyDescent="0.2">
      <c r="A41" s="72" t="s">
        <v>9</v>
      </c>
      <c r="B41" s="73">
        <f t="shared" ref="B41:R41" si="6">SUM(B28:B39)</f>
        <v>237.5</v>
      </c>
      <c r="C41" s="73">
        <f t="shared" si="6"/>
        <v>375</v>
      </c>
      <c r="D41" s="73">
        <f t="shared" si="6"/>
        <v>439.9</v>
      </c>
      <c r="E41" s="73">
        <f t="shared" si="6"/>
        <v>265.5</v>
      </c>
      <c r="F41" s="73">
        <f t="shared" si="6"/>
        <v>391.9</v>
      </c>
      <c r="G41" s="73">
        <f t="shared" si="6"/>
        <v>518.79999999999995</v>
      </c>
      <c r="H41" s="73">
        <f t="shared" si="6"/>
        <v>325.60000000000002</v>
      </c>
      <c r="I41" s="73">
        <f t="shared" si="6"/>
        <v>228.90000000000003</v>
      </c>
      <c r="J41" s="73">
        <f t="shared" si="6"/>
        <v>536.20000000000005</v>
      </c>
      <c r="K41" s="73">
        <f t="shared" si="6"/>
        <v>382.5</v>
      </c>
      <c r="L41" s="73">
        <f t="shared" si="6"/>
        <v>436</v>
      </c>
      <c r="M41" s="73">
        <f t="shared" si="6"/>
        <v>275.7</v>
      </c>
      <c r="N41" s="73">
        <f t="shared" si="6"/>
        <v>197.9</v>
      </c>
      <c r="O41" s="73">
        <f t="shared" si="6"/>
        <v>439.6</v>
      </c>
      <c r="P41" s="73">
        <f t="shared" si="6"/>
        <v>427.99999999999994</v>
      </c>
      <c r="Q41" s="73">
        <f t="shared" si="6"/>
        <v>482.70000000000005</v>
      </c>
      <c r="R41" s="73">
        <f t="shared" si="6"/>
        <v>325.8</v>
      </c>
      <c r="S41" s="73">
        <f>SUM(S28:S39)</f>
        <v>264.2</v>
      </c>
      <c r="T41" s="73">
        <f>SUM(T28:T39)</f>
        <v>351.19999999999993</v>
      </c>
      <c r="U41" s="73">
        <f>SUM(U28:U39)</f>
        <v>566.4</v>
      </c>
      <c r="V41" s="73">
        <f>SUM(V28:V39)</f>
        <v>376.75</v>
      </c>
      <c r="W41" s="77"/>
    </row>
    <row r="42" spans="1:23" x14ac:dyDescent="0.2">
      <c r="A42" s="72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</row>
    <row r="43" spans="1:23" x14ac:dyDescent="0.2">
      <c r="A43" s="72"/>
      <c r="B43" s="68"/>
      <c r="C43" s="68"/>
      <c r="D43" s="68"/>
    </row>
    <row r="44" spans="1:23" x14ac:dyDescent="0.2">
      <c r="A44" s="67"/>
      <c r="B44" s="68"/>
    </row>
  </sheetData>
  <phoneticPr fontId="8" type="noConversion"/>
  <pageMargins left="0.51181102362204722" right="0.51181102362204722" top="0.74803149606299213" bottom="0.74803149606299213" header="0.51181102362204722" footer="0.51181102362204722"/>
  <pageSetup paperSize="17" scale="85" orientation="landscape" r:id="rId1"/>
  <headerFooter alignWithMargins="0">
    <oddFooter>&amp;L&amp;8&amp;A&amp;R&amp;P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showGridLines="0" tabSelected="1" topLeftCell="A4" zoomScaleNormal="100" workbookViewId="0">
      <selection activeCell="D96" sqref="D96"/>
    </sheetView>
  </sheetViews>
  <sheetFormatPr defaultRowHeight="12.75" x14ac:dyDescent="0.2"/>
  <cols>
    <col min="1" max="1" width="31.42578125" bestFit="1" customWidth="1"/>
    <col min="2" max="2" width="12.7109375" customWidth="1"/>
    <col min="3" max="3" width="11.7109375" customWidth="1"/>
    <col min="4" max="4" width="12.7109375" customWidth="1"/>
    <col min="5" max="5" width="11" customWidth="1"/>
    <col min="6" max="6" width="12.7109375" customWidth="1"/>
    <col min="7" max="7" width="13.140625" customWidth="1"/>
    <col min="8" max="8" width="13" customWidth="1"/>
  </cols>
  <sheetData>
    <row r="1" spans="1:6" ht="15.95" customHeight="1" x14ac:dyDescent="0.2">
      <c r="A1" s="116" t="s">
        <v>128</v>
      </c>
      <c r="B1" s="121" t="s">
        <v>89</v>
      </c>
      <c r="C1" s="121" t="s">
        <v>90</v>
      </c>
      <c r="D1" s="121" t="s">
        <v>132</v>
      </c>
    </row>
    <row r="2" spans="1:6" x14ac:dyDescent="0.2">
      <c r="A2" s="101" t="s">
        <v>91</v>
      </c>
      <c r="B2" s="94">
        <f>Summary!L15</f>
        <v>144001990.04708877</v>
      </c>
      <c r="C2" s="95"/>
      <c r="D2" s="147">
        <v>0.94</v>
      </c>
    </row>
    <row r="3" spans="1:6" x14ac:dyDescent="0.2">
      <c r="A3" s="101" t="s">
        <v>92</v>
      </c>
      <c r="B3" s="94">
        <f>Summary!L19</f>
        <v>31418007.178141017</v>
      </c>
      <c r="C3" s="95"/>
      <c r="D3" s="147">
        <v>0.83</v>
      </c>
    </row>
    <row r="4" spans="1:6" x14ac:dyDescent="0.2">
      <c r="A4" s="101" t="s">
        <v>93</v>
      </c>
      <c r="B4" s="94">
        <f>Summary!L23</f>
        <v>63122597.065548651</v>
      </c>
      <c r="C4" s="102">
        <f>Summary!L24</f>
        <v>174966.34292758067</v>
      </c>
      <c r="D4" s="147">
        <v>0.04</v>
      </c>
    </row>
    <row r="5" spans="1:6" x14ac:dyDescent="0.2">
      <c r="A5" s="101" t="s">
        <v>94</v>
      </c>
      <c r="B5" s="94">
        <f>Summary!L33</f>
        <v>561223.48942778981</v>
      </c>
      <c r="C5" s="102">
        <f>Summary!L34</f>
        <v>1598.6472960042561</v>
      </c>
      <c r="D5" s="147">
        <v>0</v>
      </c>
    </row>
    <row r="6" spans="1:6" x14ac:dyDescent="0.2">
      <c r="A6" s="101" t="s">
        <v>95</v>
      </c>
      <c r="B6" s="94">
        <f>Summary!L28</f>
        <v>103051.65856497742</v>
      </c>
      <c r="C6" s="102">
        <f>Summary!L29</f>
        <v>286.28122226821648</v>
      </c>
      <c r="D6" s="147">
        <v>0.84</v>
      </c>
    </row>
    <row r="7" spans="1:6" x14ac:dyDescent="0.2">
      <c r="A7" s="101" t="s">
        <v>96</v>
      </c>
      <c r="B7" s="94">
        <f>Summary!L38</f>
        <v>461015.01227876113</v>
      </c>
      <c r="C7" s="95"/>
      <c r="D7" s="147">
        <v>0.94</v>
      </c>
    </row>
    <row r="8" spans="1:6" x14ac:dyDescent="0.2">
      <c r="A8" s="122" t="s">
        <v>97</v>
      </c>
      <c r="B8" s="123">
        <f>SUM(B2:B7)</f>
        <v>239667884.45104998</v>
      </c>
      <c r="C8" s="123">
        <f>SUM(C2:C7)</f>
        <v>176851.27144585314</v>
      </c>
      <c r="D8" s="123"/>
    </row>
    <row r="11" spans="1:6" x14ac:dyDescent="0.2">
      <c r="A11" s="116" t="s">
        <v>98</v>
      </c>
      <c r="B11" s="430" t="s">
        <v>129</v>
      </c>
      <c r="C11" s="422" t="s">
        <v>130</v>
      </c>
      <c r="D11" s="117"/>
      <c r="E11" s="118"/>
      <c r="F11" s="119"/>
    </row>
    <row r="12" spans="1:6" x14ac:dyDescent="0.2">
      <c r="A12" s="120" t="s">
        <v>99</v>
      </c>
      <c r="B12" s="431"/>
      <c r="C12" s="423"/>
      <c r="D12" s="424">
        <v>2017</v>
      </c>
      <c r="E12" s="425"/>
      <c r="F12" s="426"/>
    </row>
    <row r="13" spans="1:6" x14ac:dyDescent="0.2">
      <c r="A13" s="84" t="s">
        <v>91</v>
      </c>
      <c r="B13" s="94">
        <f t="shared" ref="B13:B18" si="0">B2*D2</f>
        <v>135361870.64426345</v>
      </c>
      <c r="C13" s="148">
        <v>1.0678000000000001</v>
      </c>
      <c r="D13" s="96">
        <f t="shared" ref="D13:D18" si="1">B13*C13</f>
        <v>144539405.47394451</v>
      </c>
      <c r="E13" s="149">
        <v>0.10728</v>
      </c>
      <c r="F13" s="97">
        <f t="shared" ref="F13:F18" si="2">D13*E13</f>
        <v>15506187.419244768</v>
      </c>
    </row>
    <row r="14" spans="1:6" x14ac:dyDescent="0.2">
      <c r="A14" s="84" t="s">
        <v>92</v>
      </c>
      <c r="B14" s="94">
        <f t="shared" si="0"/>
        <v>26076945.957857043</v>
      </c>
      <c r="C14" s="148">
        <v>1.0678000000000001</v>
      </c>
      <c r="D14" s="96">
        <f t="shared" si="1"/>
        <v>27844962.893799752</v>
      </c>
      <c r="E14" s="149">
        <v>0.10728</v>
      </c>
      <c r="F14" s="97">
        <f t="shared" si="2"/>
        <v>2987207.6192468372</v>
      </c>
    </row>
    <row r="15" spans="1:6" x14ac:dyDescent="0.2">
      <c r="A15" s="84" t="s">
        <v>93</v>
      </c>
      <c r="B15" s="94">
        <f t="shared" si="0"/>
        <v>2524903.8826219463</v>
      </c>
      <c r="C15" s="148">
        <v>1.0678000000000001</v>
      </c>
      <c r="D15" s="96">
        <f t="shared" si="1"/>
        <v>2696092.3658637144</v>
      </c>
      <c r="E15" s="149">
        <v>0.10728</v>
      </c>
      <c r="F15" s="97">
        <f t="shared" si="2"/>
        <v>289236.78900985926</v>
      </c>
    </row>
    <row r="16" spans="1:6" x14ac:dyDescent="0.2">
      <c r="A16" s="84" t="s">
        <v>94</v>
      </c>
      <c r="B16" s="94">
        <f t="shared" si="0"/>
        <v>0</v>
      </c>
      <c r="C16" s="148">
        <v>1.0678000000000001</v>
      </c>
      <c r="D16" s="96">
        <f t="shared" si="1"/>
        <v>0</v>
      </c>
      <c r="E16" s="149">
        <v>0.10728</v>
      </c>
      <c r="F16" s="97">
        <f t="shared" si="2"/>
        <v>0</v>
      </c>
    </row>
    <row r="17" spans="1:6" x14ac:dyDescent="0.2">
      <c r="A17" s="84" t="s">
        <v>95</v>
      </c>
      <c r="B17" s="94">
        <f t="shared" si="0"/>
        <v>86563.393194581033</v>
      </c>
      <c r="C17" s="148">
        <v>1.0678000000000001</v>
      </c>
      <c r="D17" s="96">
        <f t="shared" si="1"/>
        <v>92432.391253173628</v>
      </c>
      <c r="E17" s="149">
        <v>0.10728</v>
      </c>
      <c r="F17" s="97">
        <f t="shared" si="2"/>
        <v>9916.1469336404662</v>
      </c>
    </row>
    <row r="18" spans="1:6" x14ac:dyDescent="0.2">
      <c r="A18" s="84" t="s">
        <v>96</v>
      </c>
      <c r="B18" s="94">
        <f t="shared" si="0"/>
        <v>433354.11154203542</v>
      </c>
      <c r="C18" s="148">
        <v>1.0678000000000001</v>
      </c>
      <c r="D18" s="96">
        <f t="shared" si="1"/>
        <v>462735.52030458546</v>
      </c>
      <c r="E18" s="149">
        <v>0.10728</v>
      </c>
      <c r="F18" s="97">
        <f t="shared" si="2"/>
        <v>49642.266618275928</v>
      </c>
    </row>
    <row r="19" spans="1:6" x14ac:dyDescent="0.2">
      <c r="A19" s="122" t="s">
        <v>97</v>
      </c>
      <c r="B19" s="123">
        <f>SUM(B13:B18)</f>
        <v>164483637.98947906</v>
      </c>
      <c r="C19" s="120"/>
      <c r="D19" s="123">
        <f>SUM(D13:D18)</f>
        <v>175635628.64516574</v>
      </c>
      <c r="E19" s="124"/>
      <c r="F19" s="125">
        <f>SUM(F13:F18)</f>
        <v>18842190.24105338</v>
      </c>
    </row>
    <row r="20" spans="1:6" x14ac:dyDescent="0.2">
      <c r="A20" s="85"/>
      <c r="B20" s="86"/>
      <c r="C20" s="87"/>
      <c r="D20" s="86"/>
      <c r="E20" s="88"/>
      <c r="F20" s="89"/>
    </row>
    <row r="21" spans="1:6" x14ac:dyDescent="0.2">
      <c r="A21" s="116" t="s">
        <v>100</v>
      </c>
      <c r="B21" s="430" t="s">
        <v>129</v>
      </c>
      <c r="C21" s="422" t="s">
        <v>130</v>
      </c>
      <c r="D21" s="117"/>
      <c r="E21" s="118"/>
      <c r="F21" s="119"/>
    </row>
    <row r="22" spans="1:6" x14ac:dyDescent="0.2">
      <c r="A22" s="120" t="s">
        <v>101</v>
      </c>
      <c r="B22" s="431"/>
      <c r="C22" s="423"/>
      <c r="D22" s="424">
        <v>2017</v>
      </c>
      <c r="E22" s="425"/>
      <c r="F22" s="426"/>
    </row>
    <row r="23" spans="1:6" x14ac:dyDescent="0.2">
      <c r="A23" s="84" t="s">
        <v>91</v>
      </c>
      <c r="B23" s="94">
        <f t="shared" ref="B23:B28" si="3">B2-B13</f>
        <v>8640119.4028253257</v>
      </c>
      <c r="C23" s="95">
        <f>C13</f>
        <v>1.0678000000000001</v>
      </c>
      <c r="D23" s="96">
        <f t="shared" ref="D23:D28" si="4">B23*C23</f>
        <v>9225919.4983368833</v>
      </c>
      <c r="E23" s="149">
        <v>0.1067</v>
      </c>
      <c r="F23" s="97">
        <f t="shared" ref="F23:F28" si="5">D23*E23</f>
        <v>984405.61047254549</v>
      </c>
    </row>
    <row r="24" spans="1:6" x14ac:dyDescent="0.2">
      <c r="A24" s="84" t="s">
        <v>92</v>
      </c>
      <c r="B24" s="94">
        <f t="shared" si="3"/>
        <v>5341061.220283974</v>
      </c>
      <c r="C24" s="95">
        <f>C23</f>
        <v>1.0678000000000001</v>
      </c>
      <c r="D24" s="96">
        <f t="shared" si="4"/>
        <v>5703185.1710192282</v>
      </c>
      <c r="E24" s="149">
        <v>0.1067</v>
      </c>
      <c r="F24" s="97">
        <f t="shared" si="5"/>
        <v>608529.85774775164</v>
      </c>
    </row>
    <row r="25" spans="1:6" x14ac:dyDescent="0.2">
      <c r="A25" s="84" t="s">
        <v>93</v>
      </c>
      <c r="B25" s="94">
        <f>B4-B15</f>
        <v>60597693.182926707</v>
      </c>
      <c r="C25" s="95">
        <f>C24</f>
        <v>1.0678000000000001</v>
      </c>
      <c r="D25" s="96">
        <f t="shared" si="4"/>
        <v>64706216.780729145</v>
      </c>
      <c r="E25" s="149">
        <v>0.1067</v>
      </c>
      <c r="F25" s="97">
        <f t="shared" si="5"/>
        <v>6904153.3305038</v>
      </c>
    </row>
    <row r="26" spans="1:6" x14ac:dyDescent="0.2">
      <c r="A26" s="84" t="s">
        <v>94</v>
      </c>
      <c r="B26" s="94">
        <f t="shared" si="3"/>
        <v>561223.48942778981</v>
      </c>
      <c r="C26" s="95">
        <f>C25</f>
        <v>1.0678000000000001</v>
      </c>
      <c r="D26" s="96">
        <f t="shared" si="4"/>
        <v>599274.44201099395</v>
      </c>
      <c r="E26" s="149">
        <v>0.1067</v>
      </c>
      <c r="F26" s="97">
        <f t="shared" si="5"/>
        <v>63942.582962573055</v>
      </c>
    </row>
    <row r="27" spans="1:6" x14ac:dyDescent="0.2">
      <c r="A27" s="84" t="s">
        <v>95</v>
      </c>
      <c r="B27" s="94">
        <f t="shared" si="3"/>
        <v>16488.265370396388</v>
      </c>
      <c r="C27" s="95">
        <f>C26</f>
        <v>1.0678000000000001</v>
      </c>
      <c r="D27" s="96">
        <f t="shared" si="4"/>
        <v>17606.169762509264</v>
      </c>
      <c r="E27" s="149">
        <v>0.1067</v>
      </c>
      <c r="F27" s="97">
        <f t="shared" si="5"/>
        <v>1878.5783136597386</v>
      </c>
    </row>
    <row r="28" spans="1:6" x14ac:dyDescent="0.2">
      <c r="A28" s="84" t="s">
        <v>96</v>
      </c>
      <c r="B28" s="94">
        <f t="shared" si="3"/>
        <v>27660.900736725715</v>
      </c>
      <c r="C28" s="95">
        <f>C27</f>
        <v>1.0678000000000001</v>
      </c>
      <c r="D28" s="96">
        <f t="shared" si="4"/>
        <v>29536.309806675719</v>
      </c>
      <c r="E28" s="149">
        <v>0.1067</v>
      </c>
      <c r="F28" s="97">
        <f t="shared" si="5"/>
        <v>3151.5242563722995</v>
      </c>
    </row>
    <row r="29" spans="1:6" x14ac:dyDescent="0.2">
      <c r="A29" s="122" t="s">
        <v>97</v>
      </c>
      <c r="B29" s="123">
        <f>SUM(B23:B28)</f>
        <v>75184246.461570919</v>
      </c>
      <c r="C29" s="120"/>
      <c r="D29" s="123">
        <f>SUM(D23:D28)</f>
        <v>80281738.371665433</v>
      </c>
      <c r="E29" s="124"/>
      <c r="F29" s="125">
        <f>SUM(F23:F28)</f>
        <v>8566061.4842567015</v>
      </c>
    </row>
    <row r="31" spans="1:6" x14ac:dyDescent="0.2">
      <c r="A31" s="126" t="s">
        <v>102</v>
      </c>
      <c r="B31" s="127"/>
      <c r="C31" s="128" t="s">
        <v>103</v>
      </c>
      <c r="D31" s="129"/>
      <c r="E31" s="130"/>
      <c r="F31" s="127"/>
    </row>
    <row r="32" spans="1:6" x14ac:dyDescent="0.2">
      <c r="A32" s="120" t="s">
        <v>101</v>
      </c>
      <c r="B32" s="131"/>
      <c r="C32" s="132" t="s">
        <v>104</v>
      </c>
      <c r="D32" s="432">
        <v>2017</v>
      </c>
      <c r="E32" s="428"/>
      <c r="F32" s="429"/>
    </row>
    <row r="33" spans="1:6" x14ac:dyDescent="0.2">
      <c r="A33" s="81" t="s">
        <v>91</v>
      </c>
      <c r="B33" s="96"/>
      <c r="C33" s="99" t="s">
        <v>89</v>
      </c>
      <c r="D33" s="96">
        <f>D13+D23</f>
        <v>153765324.9722814</v>
      </c>
      <c r="E33" s="150">
        <v>5.7000000000000002E-3</v>
      </c>
      <c r="F33" s="97">
        <f t="shared" ref="F33:F38" si="6">D33*E33</f>
        <v>876462.35234200396</v>
      </c>
    </row>
    <row r="34" spans="1:6" x14ac:dyDescent="0.2">
      <c r="A34" s="81" t="s">
        <v>92</v>
      </c>
      <c r="B34" s="96"/>
      <c r="C34" s="99" t="s">
        <v>90</v>
      </c>
      <c r="D34" s="96">
        <f>D14+D24</f>
        <v>33548148.064818978</v>
      </c>
      <c r="E34" s="150">
        <v>5.1999999999999998E-3</v>
      </c>
      <c r="F34" s="97">
        <f t="shared" si="6"/>
        <v>174450.36993705868</v>
      </c>
    </row>
    <row r="35" spans="1:6" x14ac:dyDescent="0.2">
      <c r="A35" s="81" t="s">
        <v>93</v>
      </c>
      <c r="B35" s="96"/>
      <c r="C35" s="99" t="s">
        <v>90</v>
      </c>
      <c r="D35" s="96">
        <f>C4</f>
        <v>174966.34292758067</v>
      </c>
      <c r="E35" s="150">
        <v>2.1046999999999998</v>
      </c>
      <c r="F35" s="97">
        <f t="shared" si="6"/>
        <v>368251.66195967898</v>
      </c>
    </row>
    <row r="36" spans="1:6" x14ac:dyDescent="0.2">
      <c r="A36" s="81" t="s">
        <v>94</v>
      </c>
      <c r="B36" s="96"/>
      <c r="C36" s="99" t="s">
        <v>89</v>
      </c>
      <c r="D36" s="96">
        <f>C5</f>
        <v>1598.6472960042561</v>
      </c>
      <c r="E36" s="150">
        <v>1.5872999999999999</v>
      </c>
      <c r="F36" s="97">
        <f t="shared" si="6"/>
        <v>2537.5328529475555</v>
      </c>
    </row>
    <row r="37" spans="1:6" x14ac:dyDescent="0.2">
      <c r="A37" s="81" t="s">
        <v>95</v>
      </c>
      <c r="B37" s="96"/>
      <c r="C37" s="99" t="s">
        <v>90</v>
      </c>
      <c r="D37" s="96">
        <f>C6</f>
        <v>286.28122226821648</v>
      </c>
      <c r="E37" s="150">
        <v>1.5953999999999999</v>
      </c>
      <c r="F37" s="97">
        <f t="shared" si="6"/>
        <v>456.73306200671254</v>
      </c>
    </row>
    <row r="38" spans="1:6" x14ac:dyDescent="0.2">
      <c r="A38" s="81" t="s">
        <v>96</v>
      </c>
      <c r="B38" s="96"/>
      <c r="C38" s="99" t="s">
        <v>90</v>
      </c>
      <c r="D38" s="96">
        <f>D18+D28</f>
        <v>492271.83011126117</v>
      </c>
      <c r="E38" s="150">
        <v>5.1999999999999998E-3</v>
      </c>
      <c r="F38" s="97">
        <f t="shared" si="6"/>
        <v>2559.8135165785579</v>
      </c>
    </row>
    <row r="39" spans="1:6" x14ac:dyDescent="0.2">
      <c r="A39" s="122" t="s">
        <v>97</v>
      </c>
      <c r="B39" s="123"/>
      <c r="C39" s="120"/>
      <c r="D39" s="123"/>
      <c r="E39" s="124"/>
      <c r="F39" s="125">
        <f>SUM(F33:F38)</f>
        <v>1424718.4636702747</v>
      </c>
    </row>
    <row r="41" spans="1:6" x14ac:dyDescent="0.2">
      <c r="A41" s="126" t="s">
        <v>105</v>
      </c>
      <c r="B41" s="127"/>
      <c r="C41" s="133" t="s">
        <v>103</v>
      </c>
      <c r="D41" s="129"/>
      <c r="E41" s="130"/>
      <c r="F41" s="127"/>
    </row>
    <row r="42" spans="1:6" x14ac:dyDescent="0.2">
      <c r="A42" s="120" t="s">
        <v>101</v>
      </c>
      <c r="B42" s="131"/>
      <c r="C42" s="134" t="s">
        <v>104</v>
      </c>
      <c r="D42" s="432">
        <v>2017</v>
      </c>
      <c r="E42" s="428"/>
      <c r="F42" s="429"/>
    </row>
    <row r="43" spans="1:6" x14ac:dyDescent="0.2">
      <c r="A43" s="81" t="s">
        <v>91</v>
      </c>
      <c r="B43" s="96"/>
      <c r="C43" s="99" t="s">
        <v>89</v>
      </c>
      <c r="D43" s="96">
        <f t="shared" ref="D43:D48" si="7">D33</f>
        <v>153765324.9722814</v>
      </c>
      <c r="E43" s="150">
        <v>4.1000000000000003E-3</v>
      </c>
      <c r="F43" s="97">
        <f t="shared" ref="F43:F48" si="8">D43*E43</f>
        <v>630437.83238635375</v>
      </c>
    </row>
    <row r="44" spans="1:6" x14ac:dyDescent="0.2">
      <c r="A44" s="81" t="s">
        <v>92</v>
      </c>
      <c r="B44" s="96"/>
      <c r="C44" s="99" t="s">
        <v>89</v>
      </c>
      <c r="D44" s="96">
        <f t="shared" si="7"/>
        <v>33548148.064818978</v>
      </c>
      <c r="E44" s="150">
        <v>3.8999999999999998E-3</v>
      </c>
      <c r="F44" s="97">
        <f t="shared" si="8"/>
        <v>130837.77745279401</v>
      </c>
    </row>
    <row r="45" spans="1:6" x14ac:dyDescent="0.2">
      <c r="A45" s="81" t="s">
        <v>93</v>
      </c>
      <c r="B45" s="96"/>
      <c r="C45" s="99" t="s">
        <v>90</v>
      </c>
      <c r="D45" s="96">
        <f t="shared" si="7"/>
        <v>174966.34292758067</v>
      </c>
      <c r="E45" s="150">
        <v>1.4837</v>
      </c>
      <c r="F45" s="97">
        <f t="shared" si="8"/>
        <v>259597.56300165143</v>
      </c>
    </row>
    <row r="46" spans="1:6" x14ac:dyDescent="0.2">
      <c r="A46" s="81" t="s">
        <v>94</v>
      </c>
      <c r="B46" s="96"/>
      <c r="C46" s="99" t="s">
        <v>90</v>
      </c>
      <c r="D46" s="96">
        <f t="shared" si="7"/>
        <v>1598.6472960042561</v>
      </c>
      <c r="E46" s="150">
        <v>1.1469</v>
      </c>
      <c r="F46" s="97">
        <f t="shared" si="8"/>
        <v>1833.4885837872814</v>
      </c>
    </row>
    <row r="47" spans="1:6" x14ac:dyDescent="0.2">
      <c r="A47" s="81" t="s">
        <v>95</v>
      </c>
      <c r="B47" s="96"/>
      <c r="C47" s="99" t="s">
        <v>90</v>
      </c>
      <c r="D47" s="96">
        <f t="shared" si="7"/>
        <v>286.28122226821648</v>
      </c>
      <c r="E47" s="150">
        <v>1.7003999999999999</v>
      </c>
      <c r="F47" s="97">
        <f t="shared" si="8"/>
        <v>486.79259034487529</v>
      </c>
    </row>
    <row r="48" spans="1:6" x14ac:dyDescent="0.2">
      <c r="A48" s="81" t="s">
        <v>96</v>
      </c>
      <c r="B48" s="96"/>
      <c r="C48" s="99" t="s">
        <v>89</v>
      </c>
      <c r="D48" s="96">
        <f t="shared" si="7"/>
        <v>492271.83011126117</v>
      </c>
      <c r="E48" s="150">
        <v>3.8999999999999998E-3</v>
      </c>
      <c r="F48" s="97">
        <f t="shared" si="8"/>
        <v>1919.8601374339185</v>
      </c>
    </row>
    <row r="49" spans="1:6" x14ac:dyDescent="0.2">
      <c r="A49" s="122" t="s">
        <v>97</v>
      </c>
      <c r="B49" s="123"/>
      <c r="C49" s="120"/>
      <c r="D49" s="123"/>
      <c r="E49" s="124"/>
      <c r="F49" s="125">
        <f>SUM(F43:F48)</f>
        <v>1025113.3141523652</v>
      </c>
    </row>
    <row r="51" spans="1:6" x14ac:dyDescent="0.2">
      <c r="A51" s="126" t="s">
        <v>106</v>
      </c>
      <c r="B51" s="127"/>
      <c r="C51" s="133" t="s">
        <v>103</v>
      </c>
      <c r="D51" s="129"/>
      <c r="E51" s="130"/>
      <c r="F51" s="127"/>
    </row>
    <row r="52" spans="1:6" x14ac:dyDescent="0.2">
      <c r="A52" s="120" t="s">
        <v>101</v>
      </c>
      <c r="B52" s="131"/>
      <c r="C52" s="134" t="s">
        <v>104</v>
      </c>
      <c r="D52" s="432">
        <v>2017</v>
      </c>
      <c r="E52" s="428"/>
      <c r="F52" s="433"/>
    </row>
    <row r="53" spans="1:6" x14ac:dyDescent="0.2">
      <c r="A53" s="81" t="s">
        <v>91</v>
      </c>
      <c r="B53" s="96"/>
      <c r="C53" s="99" t="s">
        <v>89</v>
      </c>
      <c r="D53" s="96">
        <f t="shared" ref="D53:D58" si="9">D13+D23</f>
        <v>153765324.9722814</v>
      </c>
      <c r="E53" s="150">
        <v>3.5999999999999999E-3</v>
      </c>
      <c r="F53" s="97">
        <f t="shared" ref="F53:F58" si="10">D53*E53</f>
        <v>553555.16990021302</v>
      </c>
    </row>
    <row r="54" spans="1:6" x14ac:dyDescent="0.2">
      <c r="A54" s="81" t="s">
        <v>92</v>
      </c>
      <c r="B54" s="96"/>
      <c r="C54" s="141" t="s">
        <v>89</v>
      </c>
      <c r="D54" s="96">
        <f t="shared" si="9"/>
        <v>33548148.064818978</v>
      </c>
      <c r="E54" s="150">
        <v>3.5999999999999999E-3</v>
      </c>
      <c r="F54" s="97">
        <f t="shared" si="10"/>
        <v>120773.33303334832</v>
      </c>
    </row>
    <row r="55" spans="1:6" x14ac:dyDescent="0.2">
      <c r="A55" s="81" t="s">
        <v>93</v>
      </c>
      <c r="B55" s="96"/>
      <c r="C55" s="141" t="s">
        <v>89</v>
      </c>
      <c r="D55" s="96">
        <f t="shared" si="9"/>
        <v>67402309.146592855</v>
      </c>
      <c r="E55" s="150">
        <v>3.5999999999999999E-3</v>
      </c>
      <c r="F55" s="97">
        <f t="shared" si="10"/>
        <v>242648.31292773428</v>
      </c>
    </row>
    <row r="56" spans="1:6" x14ac:dyDescent="0.2">
      <c r="A56" s="81" t="s">
        <v>94</v>
      </c>
      <c r="B56" s="96"/>
      <c r="C56" s="99" t="s">
        <v>89</v>
      </c>
      <c r="D56" s="96">
        <f t="shared" si="9"/>
        <v>599274.44201099395</v>
      </c>
      <c r="E56" s="150">
        <v>3.5999999999999999E-3</v>
      </c>
      <c r="F56" s="97">
        <f t="shared" si="10"/>
        <v>2157.3879912395782</v>
      </c>
    </row>
    <row r="57" spans="1:6" x14ac:dyDescent="0.2">
      <c r="A57" s="81" t="s">
        <v>95</v>
      </c>
      <c r="B57" s="96"/>
      <c r="C57" s="141" t="s">
        <v>89</v>
      </c>
      <c r="D57" s="96">
        <f t="shared" si="9"/>
        <v>110038.56101568289</v>
      </c>
      <c r="E57" s="150">
        <v>3.5999999999999999E-3</v>
      </c>
      <c r="F57" s="97">
        <f t="shared" si="10"/>
        <v>396.1388196564584</v>
      </c>
    </row>
    <row r="58" spans="1:6" x14ac:dyDescent="0.2">
      <c r="A58" s="81" t="s">
        <v>96</v>
      </c>
      <c r="B58" s="96"/>
      <c r="C58" s="141" t="s">
        <v>89</v>
      </c>
      <c r="D58" s="96">
        <f t="shared" si="9"/>
        <v>492271.83011126117</v>
      </c>
      <c r="E58" s="150">
        <v>3.5999999999999999E-3</v>
      </c>
      <c r="F58" s="97">
        <f t="shared" si="10"/>
        <v>1772.1785884005401</v>
      </c>
    </row>
    <row r="59" spans="1:6" x14ac:dyDescent="0.2">
      <c r="A59" s="82" t="s">
        <v>97</v>
      </c>
      <c r="B59" s="93"/>
      <c r="C59" s="83"/>
      <c r="D59" s="93">
        <f>SUM(D53:D58)</f>
        <v>255917367.01683119</v>
      </c>
      <c r="E59" s="98"/>
      <c r="F59" s="100">
        <f>SUM(F53:F58)</f>
        <v>921302.52126059227</v>
      </c>
    </row>
    <row r="61" spans="1:6" x14ac:dyDescent="0.2">
      <c r="A61" s="126" t="s">
        <v>107</v>
      </c>
      <c r="B61" s="127"/>
      <c r="C61" s="133" t="s">
        <v>103</v>
      </c>
      <c r="D61" s="129"/>
      <c r="E61" s="130"/>
      <c r="F61" s="127"/>
    </row>
    <row r="62" spans="1:6" x14ac:dyDescent="0.2">
      <c r="A62" s="120" t="s">
        <v>101</v>
      </c>
      <c r="B62" s="131"/>
      <c r="C62" s="134" t="s">
        <v>104</v>
      </c>
      <c r="D62" s="427">
        <v>2017</v>
      </c>
      <c r="E62" s="428"/>
      <c r="F62" s="429"/>
    </row>
    <row r="63" spans="1:6" x14ac:dyDescent="0.2">
      <c r="A63" s="81" t="s">
        <v>91</v>
      </c>
      <c r="B63" s="96"/>
      <c r="C63" s="99" t="s">
        <v>89</v>
      </c>
      <c r="D63" s="96">
        <f t="shared" ref="D63:D68" si="11">D53</f>
        <v>153765324.9722814</v>
      </c>
      <c r="E63" s="150">
        <v>1.2999999999999999E-3</v>
      </c>
      <c r="F63" s="97">
        <f t="shared" ref="F63:F68" si="12">D63*E63</f>
        <v>199894.92246396581</v>
      </c>
    </row>
    <row r="64" spans="1:6" x14ac:dyDescent="0.2">
      <c r="A64" s="81" t="s">
        <v>92</v>
      </c>
      <c r="B64" s="96"/>
      <c r="C64" s="141" t="s">
        <v>89</v>
      </c>
      <c r="D64" s="96">
        <f t="shared" si="11"/>
        <v>33548148.064818978</v>
      </c>
      <c r="E64" s="150">
        <v>1.2999999999999999E-3</v>
      </c>
      <c r="F64" s="97">
        <f t="shared" si="12"/>
        <v>43612.592484264671</v>
      </c>
    </row>
    <row r="65" spans="1:6" x14ac:dyDescent="0.2">
      <c r="A65" s="81" t="s">
        <v>93</v>
      </c>
      <c r="B65" s="96"/>
      <c r="C65" s="141" t="s">
        <v>89</v>
      </c>
      <c r="D65" s="96">
        <f t="shared" si="11"/>
        <v>67402309.146592855</v>
      </c>
      <c r="E65" s="150">
        <v>1.2999999999999999E-3</v>
      </c>
      <c r="F65" s="97">
        <f t="shared" si="12"/>
        <v>87623.001890570711</v>
      </c>
    </row>
    <row r="66" spans="1:6" x14ac:dyDescent="0.2">
      <c r="A66" s="81" t="s">
        <v>94</v>
      </c>
      <c r="B66" s="96"/>
      <c r="C66" s="99" t="s">
        <v>89</v>
      </c>
      <c r="D66" s="96">
        <f t="shared" si="11"/>
        <v>599274.44201099395</v>
      </c>
      <c r="E66" s="150">
        <v>1.2999999999999999E-3</v>
      </c>
      <c r="F66" s="97">
        <f t="shared" si="12"/>
        <v>779.05677461429207</v>
      </c>
    </row>
    <row r="67" spans="1:6" x14ac:dyDescent="0.2">
      <c r="A67" s="81" t="s">
        <v>95</v>
      </c>
      <c r="B67" s="96"/>
      <c r="C67" s="141" t="s">
        <v>89</v>
      </c>
      <c r="D67" s="96">
        <f t="shared" si="11"/>
        <v>110038.56101568289</v>
      </c>
      <c r="E67" s="150">
        <v>1.2999999999999999E-3</v>
      </c>
      <c r="F67" s="97">
        <f t="shared" si="12"/>
        <v>143.05012932038775</v>
      </c>
    </row>
    <row r="68" spans="1:6" x14ac:dyDescent="0.2">
      <c r="A68" s="81" t="s">
        <v>96</v>
      </c>
      <c r="B68" s="96"/>
      <c r="C68" s="141" t="s">
        <v>89</v>
      </c>
      <c r="D68" s="96">
        <f t="shared" si="11"/>
        <v>492271.83011126117</v>
      </c>
      <c r="E68" s="150">
        <v>1.2999999999999999E-3</v>
      </c>
      <c r="F68" s="97">
        <f t="shared" si="12"/>
        <v>639.95337914463948</v>
      </c>
    </row>
    <row r="69" spans="1:6" x14ac:dyDescent="0.2">
      <c r="A69" s="122" t="s">
        <v>97</v>
      </c>
      <c r="B69" s="123"/>
      <c r="C69" s="120"/>
      <c r="D69" s="123">
        <f>SUM(D63:D68)</f>
        <v>255917367.01683119</v>
      </c>
      <c r="E69" s="124"/>
      <c r="F69" s="125">
        <f>SUM(F63:F68)</f>
        <v>332692.5771218806</v>
      </c>
    </row>
    <row r="71" spans="1:6" x14ac:dyDescent="0.2">
      <c r="A71" s="126" t="s">
        <v>144</v>
      </c>
      <c r="B71" s="127"/>
      <c r="C71" s="133" t="s">
        <v>103</v>
      </c>
      <c r="D71" s="129"/>
      <c r="E71" s="130"/>
      <c r="F71" s="127"/>
    </row>
    <row r="72" spans="1:6" x14ac:dyDescent="0.2">
      <c r="A72" s="120" t="s">
        <v>101</v>
      </c>
      <c r="B72" s="178"/>
      <c r="C72" s="134" t="s">
        <v>104</v>
      </c>
      <c r="D72" s="427">
        <v>2017</v>
      </c>
      <c r="E72" s="428"/>
      <c r="F72" s="429"/>
    </row>
    <row r="73" spans="1:6" x14ac:dyDescent="0.2">
      <c r="A73" s="81" t="s">
        <v>91</v>
      </c>
      <c r="B73" s="96"/>
      <c r="C73" s="99" t="s">
        <v>89</v>
      </c>
      <c r="D73" s="96">
        <f t="shared" ref="D73:D78" si="13">D63</f>
        <v>153765324.9722814</v>
      </c>
      <c r="E73" s="150">
        <v>1.1000000000000001E-3</v>
      </c>
      <c r="F73" s="97">
        <f t="shared" ref="F73:F78" si="14">D73*E73</f>
        <v>169141.85746950956</v>
      </c>
    </row>
    <row r="74" spans="1:6" x14ac:dyDescent="0.2">
      <c r="A74" s="81" t="s">
        <v>92</v>
      </c>
      <c r="B74" s="96"/>
      <c r="C74" s="99" t="s">
        <v>89</v>
      </c>
      <c r="D74" s="96">
        <f t="shared" si="13"/>
        <v>33548148.064818978</v>
      </c>
      <c r="E74" s="150">
        <v>1.1000000000000001E-3</v>
      </c>
      <c r="F74" s="97">
        <f t="shared" si="14"/>
        <v>36902.962871300879</v>
      </c>
    </row>
    <row r="75" spans="1:6" x14ac:dyDescent="0.2">
      <c r="A75" s="81" t="s">
        <v>93</v>
      </c>
      <c r="B75" s="96"/>
      <c r="C75" s="99" t="s">
        <v>89</v>
      </c>
      <c r="D75" s="96">
        <f t="shared" si="13"/>
        <v>67402309.146592855</v>
      </c>
      <c r="E75" s="150">
        <v>1.1000000000000001E-3</v>
      </c>
      <c r="F75" s="97">
        <f t="shared" si="14"/>
        <v>74142.540061252148</v>
      </c>
    </row>
    <row r="76" spans="1:6" x14ac:dyDescent="0.2">
      <c r="A76" s="81" t="s">
        <v>94</v>
      </c>
      <c r="B76" s="96"/>
      <c r="C76" s="99" t="s">
        <v>89</v>
      </c>
      <c r="D76" s="96">
        <f t="shared" si="13"/>
        <v>599274.44201099395</v>
      </c>
      <c r="E76" s="150">
        <v>1.1000000000000001E-3</v>
      </c>
      <c r="F76" s="97">
        <f t="shared" si="14"/>
        <v>659.20188621209343</v>
      </c>
    </row>
    <row r="77" spans="1:6" x14ac:dyDescent="0.2">
      <c r="A77" s="81" t="s">
        <v>95</v>
      </c>
      <c r="B77" s="96"/>
      <c r="C77" s="99" t="s">
        <v>89</v>
      </c>
      <c r="D77" s="96">
        <f t="shared" si="13"/>
        <v>110038.56101568289</v>
      </c>
      <c r="E77" s="150">
        <v>1.1000000000000001E-3</v>
      </c>
      <c r="F77" s="97">
        <f t="shared" si="14"/>
        <v>121.04241711725119</v>
      </c>
    </row>
    <row r="78" spans="1:6" x14ac:dyDescent="0.2">
      <c r="A78" s="81" t="s">
        <v>96</v>
      </c>
      <c r="B78" s="96"/>
      <c r="C78" s="99" t="s">
        <v>89</v>
      </c>
      <c r="D78" s="96">
        <f t="shared" si="13"/>
        <v>492271.83011126117</v>
      </c>
      <c r="E78" s="150">
        <v>1.2999999999999999E-3</v>
      </c>
      <c r="F78" s="97">
        <f t="shared" si="14"/>
        <v>639.95337914463948</v>
      </c>
    </row>
    <row r="79" spans="1:6" x14ac:dyDescent="0.2">
      <c r="A79" s="122" t="s">
        <v>97</v>
      </c>
      <c r="B79" s="123"/>
      <c r="C79" s="120"/>
      <c r="D79" s="123">
        <f>SUM(D73:D78)</f>
        <v>255917367.01683119</v>
      </c>
      <c r="E79" s="124"/>
      <c r="F79" s="125">
        <f>SUM(F73:F78)</f>
        <v>281607.55808453663</v>
      </c>
    </row>
    <row r="81" spans="1:6" x14ac:dyDescent="0.2">
      <c r="A81" s="126" t="s">
        <v>119</v>
      </c>
      <c r="B81" s="127"/>
      <c r="C81" s="133" t="s">
        <v>103</v>
      </c>
      <c r="D81" s="129"/>
      <c r="E81" s="130"/>
      <c r="F81" s="127"/>
    </row>
    <row r="82" spans="1:6" x14ac:dyDescent="0.2">
      <c r="A82" s="120" t="s">
        <v>101</v>
      </c>
      <c r="B82" s="131"/>
      <c r="C82" s="134" t="s">
        <v>120</v>
      </c>
      <c r="D82" s="427">
        <v>2017</v>
      </c>
      <c r="E82" s="428"/>
      <c r="F82" s="429"/>
    </row>
    <row r="83" spans="1:6" x14ac:dyDescent="0.2">
      <c r="A83" s="81" t="s">
        <v>91</v>
      </c>
      <c r="B83" s="96"/>
      <c r="C83" s="99" t="s">
        <v>89</v>
      </c>
      <c r="D83" s="139">
        <f>B2</f>
        <v>144001990.04708877</v>
      </c>
      <c r="E83" s="150">
        <v>2.8E-3</v>
      </c>
      <c r="F83" s="140">
        <f t="shared" ref="F83:F88" si="15">D83*E83</f>
        <v>403205.57213184854</v>
      </c>
    </row>
    <row r="84" spans="1:6" x14ac:dyDescent="0.2">
      <c r="A84" s="81" t="s">
        <v>92</v>
      </c>
      <c r="B84" s="96"/>
      <c r="C84" s="141" t="s">
        <v>89</v>
      </c>
      <c r="D84" s="139">
        <f>B3</f>
        <v>31418007.178141017</v>
      </c>
      <c r="E84" s="150">
        <v>2.8E-3</v>
      </c>
      <c r="F84" s="140">
        <f t="shared" si="15"/>
        <v>87970.420098794842</v>
      </c>
    </row>
    <row r="85" spans="1:6" x14ac:dyDescent="0.2">
      <c r="A85" s="81" t="s">
        <v>93</v>
      </c>
      <c r="B85" s="96"/>
      <c r="C85" s="99" t="s">
        <v>90</v>
      </c>
      <c r="D85" s="139">
        <f>C4</f>
        <v>174966.34292758067</v>
      </c>
      <c r="E85" s="150">
        <v>0.99119999999999997</v>
      </c>
      <c r="F85" s="140">
        <f t="shared" si="15"/>
        <v>173426.63910981794</v>
      </c>
    </row>
    <row r="86" spans="1:6" x14ac:dyDescent="0.2">
      <c r="A86" s="81" t="s">
        <v>94</v>
      </c>
      <c r="B86" s="96"/>
      <c r="C86" s="141" t="s">
        <v>90</v>
      </c>
      <c r="D86" s="139">
        <f>C5</f>
        <v>1598.6472960042561</v>
      </c>
      <c r="E86" s="150">
        <v>0.98699999999999999</v>
      </c>
      <c r="F86" s="140">
        <f t="shared" si="15"/>
        <v>1577.8648811562007</v>
      </c>
    </row>
    <row r="87" spans="1:6" x14ac:dyDescent="0.2">
      <c r="A87" s="81" t="s">
        <v>95</v>
      </c>
      <c r="B87" s="96"/>
      <c r="C87" s="99" t="s">
        <v>90</v>
      </c>
      <c r="D87" s="139">
        <f>C6</f>
        <v>286.28122226821648</v>
      </c>
      <c r="E87" s="150">
        <v>1.0026999999999999</v>
      </c>
      <c r="F87" s="140">
        <f t="shared" si="15"/>
        <v>287.05418156834065</v>
      </c>
    </row>
    <row r="88" spans="1:6" x14ac:dyDescent="0.2">
      <c r="A88" s="81" t="s">
        <v>96</v>
      </c>
      <c r="B88" s="96"/>
      <c r="C88" s="141" t="s">
        <v>89</v>
      </c>
      <c r="D88" s="139">
        <f>B7</f>
        <v>461015.01227876113</v>
      </c>
      <c r="E88" s="150">
        <v>2.8E-3</v>
      </c>
      <c r="F88" s="140">
        <f t="shared" si="15"/>
        <v>1290.8420343805312</v>
      </c>
    </row>
    <row r="89" spans="1:6" x14ac:dyDescent="0.2">
      <c r="A89" s="122" t="s">
        <v>97</v>
      </c>
      <c r="B89" s="123"/>
      <c r="C89" s="120"/>
      <c r="D89" s="123">
        <f>SUM(D83:D88)</f>
        <v>176057863.50895441</v>
      </c>
      <c r="E89" s="124"/>
      <c r="F89" s="125">
        <f>SUM(F83:F88)</f>
        <v>667758.39243756642</v>
      </c>
    </row>
    <row r="90" spans="1:6" ht="13.5" thickBot="1" x14ac:dyDescent="0.25">
      <c r="B90" s="144"/>
      <c r="C90" s="136"/>
      <c r="D90" s="135"/>
      <c r="E90" s="137"/>
      <c r="F90" s="138"/>
    </row>
    <row r="91" spans="1:6" x14ac:dyDescent="0.2">
      <c r="A91" s="129" t="s">
        <v>121</v>
      </c>
      <c r="B91" s="145">
        <v>2017</v>
      </c>
      <c r="C91" s="285" t="s">
        <v>250</v>
      </c>
      <c r="D91" s="286"/>
      <c r="E91" s="286"/>
      <c r="F91" s="287"/>
    </row>
    <row r="92" spans="1:6" x14ac:dyDescent="0.2">
      <c r="A92" s="176" t="s">
        <v>145</v>
      </c>
      <c r="B92" s="177">
        <f>F79</f>
        <v>281607.55808453663</v>
      </c>
      <c r="C92" s="288"/>
      <c r="D92" s="289"/>
      <c r="E92" s="289"/>
      <c r="F92" s="290"/>
    </row>
    <row r="93" spans="1:6" x14ac:dyDescent="0.2">
      <c r="A93" s="115" t="s">
        <v>116</v>
      </c>
      <c r="B93" s="143">
        <f>F96</f>
        <v>157265.29999999999</v>
      </c>
      <c r="C93" s="166"/>
      <c r="D93" s="284" t="s">
        <v>117</v>
      </c>
      <c r="E93" s="284" t="s">
        <v>118</v>
      </c>
      <c r="F93" s="168"/>
    </row>
    <row r="94" spans="1:6" x14ac:dyDescent="0.2">
      <c r="A94" s="91" t="s">
        <v>108</v>
      </c>
      <c r="B94" s="92">
        <f>F19+F29</f>
        <v>27408251.72531008</v>
      </c>
      <c r="C94" s="282" t="s">
        <v>56</v>
      </c>
      <c r="D94" s="169">
        <f>Summary!L14</f>
        <v>15554.75</v>
      </c>
      <c r="E94" s="167">
        <v>0.79</v>
      </c>
      <c r="F94" s="173">
        <f>D94*E94*12</f>
        <v>147459.03</v>
      </c>
    </row>
    <row r="95" spans="1:6" x14ac:dyDescent="0.2">
      <c r="A95" s="91" t="s">
        <v>109</v>
      </c>
      <c r="B95" s="90">
        <f>F59</f>
        <v>921302.52126059227</v>
      </c>
      <c r="C95" s="282" t="s">
        <v>57</v>
      </c>
      <c r="D95" s="169">
        <f>Summary!L18</f>
        <v>1034.4166666666667</v>
      </c>
      <c r="E95" s="167">
        <v>0.79</v>
      </c>
      <c r="F95" s="173">
        <f>D95*E95*12</f>
        <v>9806.27</v>
      </c>
    </row>
    <row r="96" spans="1:6" x14ac:dyDescent="0.2">
      <c r="A96" s="91" t="s">
        <v>110</v>
      </c>
      <c r="B96" s="90">
        <f>F39</f>
        <v>1424718.4636702747</v>
      </c>
      <c r="C96" s="166"/>
      <c r="D96" s="167"/>
      <c r="E96" s="167"/>
      <c r="F96" s="283">
        <f>SUM(F94:F95)</f>
        <v>157265.29999999999</v>
      </c>
    </row>
    <row r="97" spans="1:12" ht="13.5" thickBot="1" x14ac:dyDescent="0.25">
      <c r="A97" s="91" t="s">
        <v>111</v>
      </c>
      <c r="B97" s="90">
        <f>F49</f>
        <v>1025113.3141523652</v>
      </c>
      <c r="C97" s="170"/>
      <c r="D97" s="171"/>
      <c r="E97" s="171"/>
      <c r="F97" s="172"/>
      <c r="L97" s="20"/>
    </row>
    <row r="98" spans="1:12" x14ac:dyDescent="0.2">
      <c r="A98" s="91" t="s">
        <v>112</v>
      </c>
      <c r="B98" s="90">
        <f>F69</f>
        <v>332692.5771218806</v>
      </c>
    </row>
    <row r="99" spans="1:12" x14ac:dyDescent="0.2">
      <c r="A99" s="91" t="s">
        <v>113</v>
      </c>
      <c r="B99" s="142">
        <f>F89</f>
        <v>667758.39243756642</v>
      </c>
      <c r="E99" s="20"/>
      <c r="F99" s="20"/>
      <c r="G99" s="20"/>
    </row>
    <row r="100" spans="1:12" x14ac:dyDescent="0.2">
      <c r="A100" s="117" t="s">
        <v>97</v>
      </c>
      <c r="B100" s="123">
        <f>SUM(B92:B99)</f>
        <v>32218709.852037296</v>
      </c>
      <c r="E100" s="20"/>
      <c r="F100" s="20"/>
      <c r="G100" s="20"/>
    </row>
  </sheetData>
  <mergeCells count="12">
    <mergeCell ref="C21:C22"/>
    <mergeCell ref="D22:F22"/>
    <mergeCell ref="D82:F82"/>
    <mergeCell ref="D62:F62"/>
    <mergeCell ref="B11:B12"/>
    <mergeCell ref="C11:C12"/>
    <mergeCell ref="D12:F12"/>
    <mergeCell ref="D32:F32"/>
    <mergeCell ref="D42:F42"/>
    <mergeCell ref="D52:F52"/>
    <mergeCell ref="B21:B22"/>
    <mergeCell ref="D72:F72"/>
  </mergeCells>
  <phoneticPr fontId="8" type="noConversion"/>
  <pageMargins left="0.70866141732283472" right="0.70866141732283472" top="0.74803149606299213" bottom="0.74803149606299213" header="0.31496062992125984" footer="0.31496062992125984"/>
  <pageSetup fitToHeight="2" orientation="portrait" r:id="rId1"/>
  <headerFooter alignWithMargins="0">
    <oddFooter>&amp;L&amp;A&amp;R&amp;P</oddFooter>
  </headerFooter>
  <rowBreaks count="1" manualBreakCount="1">
    <brk id="4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Exhibit 3 Tables</vt:lpstr>
      <vt:lpstr>Summary</vt:lpstr>
      <vt:lpstr>Purchased Power Model </vt:lpstr>
      <vt:lpstr>Purchased Power Model WN</vt:lpstr>
      <vt:lpstr>Rate Class Energy Model</vt:lpstr>
      <vt:lpstr>Rate Class Customer Model</vt:lpstr>
      <vt:lpstr>Rate Class Load Model</vt:lpstr>
      <vt:lpstr>Weather Analysis</vt:lpstr>
      <vt:lpstr>2017 COP Forecast</vt:lpstr>
      <vt:lpstr>'2017 COP Forecast'!Print_Area</vt:lpstr>
      <vt:lpstr>'Purchased Power Model '!Print_Area</vt:lpstr>
      <vt:lpstr>'Purchased Power Model WN'!Print_Area</vt:lpstr>
      <vt:lpstr>'Rate Class Customer Model'!Print_Area</vt:lpstr>
      <vt:lpstr>'Rate Class Energy Model'!Print_Area</vt:lpstr>
      <vt:lpstr>'Rate Class Load Model'!Print_Area</vt:lpstr>
      <vt:lpstr>Summary!Print_Area</vt:lpstr>
      <vt:lpstr>'Weather Analysis'!Print_Area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Bruce Bacon</cp:lastModifiedBy>
  <cp:lastPrinted>2016-11-22T21:09:26Z</cp:lastPrinted>
  <dcterms:created xsi:type="dcterms:W3CDTF">2008-02-06T18:24:44Z</dcterms:created>
  <dcterms:modified xsi:type="dcterms:W3CDTF">2017-09-20T16:16:38Z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