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Accounting  Department\2018 IRM\Updated_Model_&amp;_Managers_Summary_20170911\Application\"/>
    </mc:Choice>
  </mc:AlternateContent>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'!$A$1:$W$100</definedName>
    <definedName name="_xlnm.Print_Area" localSheetId="0">Instructions!$A$11:$C$83</definedName>
  </definedNames>
  <calcPr calcId="171027" iterate="1"/>
</workbook>
</file>

<file path=xl/calcChain.xml><?xml version="1.0" encoding="utf-8"?>
<calcChain xmlns="http://schemas.openxmlformats.org/spreadsheetml/2006/main">
  <c r="D67" i="4" l="1"/>
  <c r="I58" i="4" l="1"/>
  <c r="I57" i="4"/>
  <c r="I56" i="4"/>
  <c r="I55" i="4"/>
  <c r="I54" i="4"/>
  <c r="I53" i="4"/>
  <c r="I52" i="4"/>
  <c r="I51" i="4"/>
  <c r="I50" i="4"/>
  <c r="I49" i="4"/>
  <c r="I48" i="4"/>
  <c r="I47" i="4"/>
  <c r="G58" i="4"/>
  <c r="G57" i="4"/>
  <c r="G56" i="4"/>
  <c r="G55" i="4"/>
  <c r="G54" i="4"/>
  <c r="G53" i="4"/>
  <c r="G52" i="4"/>
  <c r="G51" i="4"/>
  <c r="G50" i="4"/>
  <c r="G49" i="4"/>
  <c r="G48" i="4"/>
  <c r="G47" i="4"/>
  <c r="E58" i="4"/>
  <c r="E57" i="4"/>
  <c r="D58" i="4" s="1"/>
  <c r="E56" i="4"/>
  <c r="D57" i="4" s="1"/>
  <c r="E55" i="4"/>
  <c r="D56" i="4" s="1"/>
  <c r="D55" i="4"/>
  <c r="E54" i="4"/>
  <c r="E53" i="4"/>
  <c r="D54" i="4" s="1"/>
  <c r="E52" i="4"/>
  <c r="D53" i="4" s="1"/>
  <c r="E51" i="4"/>
  <c r="D52" i="4" s="1"/>
  <c r="D51" i="4"/>
  <c r="E50" i="4"/>
  <c r="E49" i="4"/>
  <c r="D50" i="4" s="1"/>
  <c r="E48" i="4"/>
  <c r="D49" i="4" s="1"/>
  <c r="E47" i="4"/>
  <c r="D48" i="4" s="1"/>
  <c r="D47" i="4"/>
  <c r="D26" i="4"/>
  <c r="G90" i="4" l="1"/>
  <c r="G88" i="4"/>
  <c r="I88" i="4" s="1"/>
  <c r="F88" i="4"/>
  <c r="F89" i="4"/>
  <c r="G89" i="4" s="1"/>
  <c r="F90" i="4"/>
  <c r="F91" i="4"/>
  <c r="G91" i="4" s="1"/>
  <c r="G92"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<sst xmlns="http://schemas.openxmlformats.org/spreadsheetml/2006/main" count="197" uniqueCount="167">
  <si>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</si>
  <si>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</si>
  <si>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</si>
  <si>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</si>
  <si>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</si>
  <si>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</si>
  <si>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</si>
  <si>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</si>
  <si>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</si>
  <si>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</si>
  <si>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</si>
  <si>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</si>
  <si>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</si>
  <si>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</si>
  <si>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</si>
  <si>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</si>
  <si>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</si>
  <si>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</si>
  <si>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</si>
  <si>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</si>
  <si>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</si>
  <si>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</si>
  <si>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</si>
  <si>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</si>
  <si>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</si>
  <si>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</si>
  <si>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</si>
  <si>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</si>
  <si>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</si>
  <si>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</si>
  <si>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</si>
  <si>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</si>
  <si>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</si>
  <si>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</si>
  <si>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</si>
  <si>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</si>
  <si>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</si>
  <si>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</si>
  <si>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</si>
  <si>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</si>
  <si>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</si>
  <si>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</si>
  <si>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</si>
  <si>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</si>
  <si>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</si>
  <si>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</si>
  <si>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</si>
  <si>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</si>
  <si>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</si>
  <si>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</si>
  <si>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</si>
  <si>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</si>
  <si>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</si>
  <si>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</si>
  <si>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</si>
  <si>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</si>
  <si>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</si>
  <si>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</si>
  <si>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</si>
  <si>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</si>
  <si>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</si>
  <si>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</si>
  <si>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</si>
  <si>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</si>
  <si>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</si>
  <si>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</si>
  <si>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</si>
  <si>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</si>
  <si>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</si>
  <si>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</si>
  <si>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</si>
  <si>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</si>
  <si>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</si>
  <si>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</si>
  <si>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</si>
  <si>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</si>
  <si>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</si>
  <si>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</si>
  <si>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</si>
  <si>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</si>
  <si>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</si>
  <si>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</si>
  <si>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</si>
  <si>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</si>
  <si>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</si>
  <si>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</si>
  <si>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</si>
  <si>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</si>
  <si>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</si>
  <si>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</si>
  <si>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</si>
  <si>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</si>
  <si>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</si>
  <si>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</si>
  <si>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</si>
  <si>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</si>
  <si>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</si>
  <si>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</si>
  <si>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</si>
  <si>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</si>
  <si>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</si>
  <si>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</si>
  <si>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</si>
  <si>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</si>
  <si>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</si>
  <si>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</si>
  <si>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</si>
  <si>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</si>
  <si>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</si>
  <si>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</si>
  <si>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</si>
  <si>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</si>
  <si>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</si>
  <si>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</si>
  <si>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</si>
  <si>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</si>
  <si>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</si>
  <si>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</si>
  <si>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</si>
  <si>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</si>
  <si>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</si>
  <si>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</si>
  <si>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</si>
  <si>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</si>
  <si>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</si>
  <si>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</si>
  <si>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</si>
  <si>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</si>
  <si>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</si>
  <si>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</si>
  <si>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</si>
  <si>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</si>
  <si>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</si>
  <si>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</si>
  <si>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</si>
  <si>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</si>
  <si>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</si>
  <si>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</si>
  <si>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</si>
  <si>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</si>
  <si>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</si>
  <si>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</si>
  <si>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</si>
  <si>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</si>
  <si>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</si>
  <si>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</si>
  <si>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</si>
  <si>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</si>
  <si>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</si>
  <si>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</si>
  <si>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</si>
  <si>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</si>
  <si>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</si>
  <si>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</si>
  <si>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</si>
  <si>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</si>
  <si>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</si>
  <si>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</si>
  <si>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</si>
  <si>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</si>
  <si>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</si>
  <si>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</si>
  <si>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</si>
  <si>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</si>
  <si>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Load Transfer $$ are included in GL and therefore need to be removed as they do not impact the expected GA balance based on transactional data</t>
  </si>
  <si>
    <t>2015 STPP Additional GA Adjustments charged throughout the year on IESO invoices</t>
  </si>
  <si>
    <t>2016 STPP Additional GA Adjustments charged throughout the year on IESO invoices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</si>
</sst>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7" fillId="2" borderId="25" xfId="5" applyNumberFormat="1" applyFont="1" applyFill="1" applyBorder="1" applyAlignment="1">
      <alignment horizontal="center" vertical="center"/>
    </xf>
    <xf numFmtId="167" fontId="7" fillId="2" borderId="2" xfId="5" applyNumberFormat="1" applyFont="1" applyFill="1" applyBorder="1" applyAlignment="1">
      <alignment horizontal="center" vertical="center"/>
    </xf>
    <xf numFmtId="167" fontId="2" fillId="2" borderId="3"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Milton</a:t>
          </a:r>
          <a:r>
            <a:rPr lang="en-CA" sz="1100" baseline="0">
              <a:solidFill>
                <a:schemeClr val="dk1"/>
              </a:solidFill>
              <a:effectLst/>
              <a:latin typeface="+mn-lt"/>
              <a:ea typeface="+mn-ea"/>
              <a:cs typeface="+mn-cs"/>
            </a:rPr>
            <a:t> Hydro uses the 1st GA billing rate at all times to bill and calcuate unbilled.  When billing periods span over more than one load month, the GA is prorated based on actual usage using the 1st estimate.</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13607</xdr:rowOff>
    </xdr:from>
    <xdr:to>
      <xdr:col>4</xdr:col>
      <xdr:colOff>1161220</xdr:colOff>
      <xdr:row>9</xdr:row>
      <xdr:rowOff>13607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3607"/>
          <a:ext cx="8849256" cy="1592036"/>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43" t="s">
        <v>140</v>
      </c>
      <c r="C20" s="143"/>
    </row>
    <row r="21" spans="1:26" x14ac:dyDescent="0.2">
      <c r="B21" s="132"/>
      <c r="C21" s="132"/>
    </row>
    <row r="23" spans="1:26" ht="31.5" customHeight="1" x14ac:dyDescent="0.2">
      <c r="A23" s="42">
        <v>2</v>
      </c>
      <c r="B23" s="140" t="s">
        <v>86</v>
      </c>
      <c r="C23" s="140"/>
    </row>
    <row r="24" spans="1:26" x14ac:dyDescent="0.2">
      <c r="B24" s="131"/>
      <c r="C24" s="131"/>
    </row>
    <row r="26" spans="1:26" x14ac:dyDescent="0.2">
      <c r="A26" s="42">
        <v>3</v>
      </c>
      <c r="B26" s="142" t="s">
        <v>109</v>
      </c>
      <c r="C26" s="142"/>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1"/>
      <c r="C34" s="131"/>
    </row>
    <row r="35" spans="1:3" x14ac:dyDescent="0.2">
      <c r="B35" s="85"/>
    </row>
    <row r="36" spans="1:3" x14ac:dyDescent="0.2">
      <c r="A36" s="42">
        <v>4</v>
      </c>
      <c r="B36" s="142" t="s">
        <v>141</v>
      </c>
      <c r="C36" s="142"/>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41" t="s">
        <v>152</v>
      </c>
      <c r="C78" s="141"/>
    </row>
    <row r="79" spans="1:3" x14ac:dyDescent="0.2">
      <c r="B79" s="87"/>
      <c r="C79" s="131"/>
    </row>
    <row r="81" spans="1:3" ht="30.75" customHeight="1" x14ac:dyDescent="0.2">
      <c r="A81" s="42">
        <v>7</v>
      </c>
      <c r="B81" s="140" t="s">
        <v>153</v>
      </c>
      <c r="C81" s="140"/>
    </row>
    <row r="82" spans="1:3" x14ac:dyDescent="0.2">
      <c r="B82" s="131"/>
      <c r="C82" s="131"/>
    </row>
    <row r="83" spans="1:3" ht="15.75" customHeight="1" x14ac:dyDescent="0.2">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80" zoomScaleNormal="80" workbookViewId="0">
      <selection activeCell="A11" sqref="A1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2" t="s">
        <v>25</v>
      </c>
      <c r="C21" s="152"/>
      <c r="D21" s="24"/>
      <c r="E21" s="153"/>
      <c r="F21" s="154"/>
      <c r="G21" s="79"/>
      <c r="H21" s="79"/>
      <c r="I21" s="79"/>
      <c r="J21" s="79"/>
      <c r="K21" s="79"/>
      <c r="L21" s="79"/>
      <c r="M21" s="79"/>
      <c r="N21" s="79"/>
      <c r="O21" s="79"/>
      <c r="P21" s="79"/>
      <c r="Q21" s="79"/>
    </row>
    <row r="22" spans="1:24" ht="15" thickBot="1" x14ac:dyDescent="0.25">
      <c r="A22" s="4"/>
      <c r="B22" s="5" t="s">
        <v>3</v>
      </c>
      <c r="C22" s="5" t="s">
        <v>2</v>
      </c>
      <c r="D22" s="117">
        <f>D23+D24</f>
        <v>870337294</v>
      </c>
      <c r="E22" s="6" t="s">
        <v>0</v>
      </c>
      <c r="F22" s="7">
        <v>1</v>
      </c>
      <c r="G22" s="79"/>
      <c r="H22" s="79"/>
      <c r="I22" s="79"/>
      <c r="J22" s="79"/>
      <c r="K22" s="79"/>
      <c r="L22" s="79"/>
      <c r="M22" s="79"/>
      <c r="N22" s="79"/>
      <c r="O22" s="79"/>
      <c r="P22" s="79"/>
      <c r="Q22" s="79"/>
    </row>
    <row r="23" spans="1:24" x14ac:dyDescent="0.2">
      <c r="B23" s="5" t="s">
        <v>7</v>
      </c>
      <c r="C23" s="5" t="s">
        <v>1</v>
      </c>
      <c r="D23" s="137">
        <v>405512003</v>
      </c>
      <c r="E23" s="6" t="s">
        <v>0</v>
      </c>
      <c r="F23" s="8">
        <f>IFERROR(D23/$D$22,0)</f>
        <v>0.46592511408571213</v>
      </c>
    </row>
    <row r="24" spans="1:24" ht="15" thickBot="1" x14ac:dyDescent="0.25">
      <c r="B24" s="5" t="s">
        <v>8</v>
      </c>
      <c r="C24" s="5" t="s">
        <v>6</v>
      </c>
      <c r="D24" s="117">
        <f>D25+D26</f>
        <v>464825291</v>
      </c>
      <c r="E24" s="6" t="s">
        <v>0</v>
      </c>
      <c r="F24" s="8">
        <f>IFERROR(D24/$D$22,0)</f>
        <v>0.53407488591428787</v>
      </c>
    </row>
    <row r="25" spans="1:24" x14ac:dyDescent="0.2">
      <c r="B25" s="5" t="s">
        <v>9</v>
      </c>
      <c r="C25" s="5" t="s">
        <v>4</v>
      </c>
      <c r="D25" s="137">
        <v>138669504</v>
      </c>
      <c r="E25" s="6" t="s">
        <v>0</v>
      </c>
      <c r="F25" s="8">
        <f>IFERROR(D25/$D$22,0)</f>
        <v>0.15932846375304238</v>
      </c>
    </row>
    <row r="26" spans="1:24" x14ac:dyDescent="0.2">
      <c r="B26" s="5" t="s">
        <v>61</v>
      </c>
      <c r="C26" s="5" t="s">
        <v>5</v>
      </c>
      <c r="D26" s="138">
        <f>407811901+57013390-138669504</f>
        <v>326155787</v>
      </c>
      <c r="E26" s="6" t="s">
        <v>0</v>
      </c>
      <c r="F26" s="8">
        <f>IFERROR(D26/$D$22,0)</f>
        <v>0.37474642216124543</v>
      </c>
      <c r="G26" s="29"/>
      <c r="H26" s="29"/>
    </row>
    <row r="27" spans="1:24" ht="34.5" customHeight="1" x14ac:dyDescent="0.2">
      <c r="B27" s="155" t="s">
        <v>77</v>
      </c>
      <c r="C27" s="155"/>
      <c r="D27" s="155"/>
      <c r="E27" s="155"/>
      <c r="F27" s="155"/>
      <c r="G27" s="156"/>
      <c r="H27" s="156"/>
    </row>
    <row r="28" spans="1:24" x14ac:dyDescent="0.2">
      <c r="D28" s="118"/>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8">
        <v>2016</v>
      </c>
      <c r="P45" s="148"/>
      <c r="Q45" s="148"/>
      <c r="R45" s="148">
        <v>2015</v>
      </c>
      <c r="S45" s="148"/>
      <c r="T45" s="148"/>
      <c r="U45" s="148">
        <v>2014</v>
      </c>
      <c r="V45" s="148"/>
      <c r="W45" s="148"/>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26659821</v>
      </c>
      <c r="D47" s="94">
        <f>25337212+954023+327+7223+1458687</f>
        <v>27757472</v>
      </c>
      <c r="E47" s="60">
        <f>27549060+1305761+7223+1458687</f>
        <v>30320731</v>
      </c>
      <c r="F47" s="51">
        <f>C47-D47+E47</f>
        <v>29223080</v>
      </c>
      <c r="G47" s="111">
        <f>+O47</f>
        <v>8.4229999999999999E-2</v>
      </c>
      <c r="H47" s="15">
        <f>F47*G47</f>
        <v>2461460.0284000002</v>
      </c>
      <c r="I47" s="111">
        <f>+Q47</f>
        <v>9.1789999999999997E-2</v>
      </c>
      <c r="J47" s="17">
        <f>F47*I47</f>
        <v>2682386.5131999999</v>
      </c>
      <c r="K47" s="16">
        <f>J47-H47</f>
        <v>220926.48479999974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29337324</v>
      </c>
      <c r="D48" s="94">
        <f>+E47</f>
        <v>30320731</v>
      </c>
      <c r="E48" s="60">
        <f>26003324+932584+1305761</f>
        <v>28241669</v>
      </c>
      <c r="F48" s="51">
        <f t="shared" ref="F48:F58" si="0">C48-D48+E48</f>
        <v>27258262</v>
      </c>
      <c r="G48" s="111">
        <f t="shared" ref="G48:G58" si="1">+O48</f>
        <v>0.10384</v>
      </c>
      <c r="H48" s="15">
        <f t="shared" ref="H48:H58" si="2">F48*G48</f>
        <v>2830497.9260800001</v>
      </c>
      <c r="I48" s="111">
        <f t="shared" ref="I48:I58" si="3">+Q48</f>
        <v>9.851E-2</v>
      </c>
      <c r="J48" s="17">
        <f t="shared" ref="J48:J58" si="4">F48*I48</f>
        <v>2685211.38962</v>
      </c>
      <c r="K48" s="16">
        <f t="shared" ref="K48:K58" si="5">J48-H48</f>
        <v>-145286.53646000009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27601521</v>
      </c>
      <c r="D49" s="94">
        <f>+E48</f>
        <v>28241669</v>
      </c>
      <c r="E49" s="60">
        <f>932584+26273872+971146-961</f>
        <v>28176641</v>
      </c>
      <c r="F49" s="51">
        <f t="shared" si="0"/>
        <v>27536493</v>
      </c>
      <c r="G49" s="111">
        <f t="shared" si="1"/>
        <v>9.0219999999999995E-2</v>
      </c>
      <c r="H49" s="15">
        <f t="shared" si="2"/>
        <v>2484342.3984599998</v>
      </c>
      <c r="I49" s="111">
        <f t="shared" si="3"/>
        <v>0.1061</v>
      </c>
      <c r="J49" s="17">
        <f t="shared" si="4"/>
        <v>2921621.9073000001</v>
      </c>
      <c r="K49" s="16">
        <f t="shared" si="5"/>
        <v>437279.50884000026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27518786</v>
      </c>
      <c r="D50" s="94">
        <f t="shared" ref="D50:D58" si="6">+E49</f>
        <v>28176641</v>
      </c>
      <c r="E50" s="60">
        <f>971146+25136414+668655-961</f>
        <v>26775254</v>
      </c>
      <c r="F50" s="51">
        <f t="shared" si="0"/>
        <v>26117399</v>
      </c>
      <c r="G50" s="111">
        <f t="shared" si="1"/>
        <v>0.12114999999999999</v>
      </c>
      <c r="H50" s="15">
        <f t="shared" si="2"/>
        <v>3164122.8888499998</v>
      </c>
      <c r="I50" s="111">
        <f t="shared" si="3"/>
        <v>0.11132</v>
      </c>
      <c r="J50" s="17">
        <f t="shared" si="4"/>
        <v>2907388.8566800002</v>
      </c>
      <c r="K50" s="16">
        <f t="shared" si="5"/>
        <v>-256734.03216999955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26455625</v>
      </c>
      <c r="D51" s="94">
        <f t="shared" si="6"/>
        <v>26775254</v>
      </c>
      <c r="E51" s="60">
        <f>668655+25546692+964561-961</f>
        <v>27178947</v>
      </c>
      <c r="F51" s="51">
        <f t="shared" si="0"/>
        <v>26859318</v>
      </c>
      <c r="G51" s="111">
        <f t="shared" si="1"/>
        <v>0.10405</v>
      </c>
      <c r="H51" s="15">
        <f t="shared" si="2"/>
        <v>2794712.0378999999</v>
      </c>
      <c r="I51" s="111">
        <f t="shared" si="3"/>
        <v>0.10749</v>
      </c>
      <c r="J51" s="17">
        <f t="shared" si="4"/>
        <v>2887108.0918200002</v>
      </c>
      <c r="K51" s="16">
        <f t="shared" si="5"/>
        <v>92396.053920000326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26481161</v>
      </c>
      <c r="D52" s="94">
        <f t="shared" si="6"/>
        <v>27178947</v>
      </c>
      <c r="E52" s="60">
        <f>964561+26627848+894963-961</f>
        <v>28486411</v>
      </c>
      <c r="F52" s="51">
        <f t="shared" si="0"/>
        <v>27788625</v>
      </c>
      <c r="G52" s="111">
        <f t="shared" si="1"/>
        <v>0.11650000000000001</v>
      </c>
      <c r="H52" s="15">
        <f t="shared" si="2"/>
        <v>3237374.8125</v>
      </c>
      <c r="I52" s="111">
        <f t="shared" si="3"/>
        <v>9.5449999999999993E-2</v>
      </c>
      <c r="J52" s="17">
        <f t="shared" si="4"/>
        <v>2652424.2562499996</v>
      </c>
      <c r="K52" s="16">
        <f t="shared" si="5"/>
        <v>-584950.55625000037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28006346</v>
      </c>
      <c r="D53" s="94">
        <f t="shared" si="6"/>
        <v>28486411</v>
      </c>
      <c r="E53" s="139">
        <f>894963+28191006+943123-961</f>
        <v>30028131</v>
      </c>
      <c r="F53" s="51">
        <f t="shared" si="0"/>
        <v>29548066</v>
      </c>
      <c r="G53" s="111">
        <f t="shared" si="1"/>
        <v>7.6670000000000002E-2</v>
      </c>
      <c r="H53" s="15">
        <f t="shared" si="2"/>
        <v>2265450.22022</v>
      </c>
      <c r="I53" s="111">
        <f t="shared" si="3"/>
        <v>8.3059999999999995E-2</v>
      </c>
      <c r="J53" s="17">
        <f t="shared" si="4"/>
        <v>2454262.3619599999</v>
      </c>
      <c r="K53" s="16">
        <f t="shared" si="5"/>
        <v>188812.14173999988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29531779</v>
      </c>
      <c r="D54" s="94">
        <f t="shared" si="6"/>
        <v>30028131</v>
      </c>
      <c r="E54" s="139">
        <f>943123+29385394+932942-961</f>
        <v>31260498</v>
      </c>
      <c r="F54" s="51">
        <f t="shared" si="0"/>
        <v>30764146</v>
      </c>
      <c r="G54" s="111">
        <f t="shared" si="1"/>
        <v>8.5690000000000002E-2</v>
      </c>
      <c r="H54" s="15">
        <f t="shared" si="2"/>
        <v>2636179.67074</v>
      </c>
      <c r="I54" s="111">
        <f t="shared" si="3"/>
        <v>7.1029999999999996E-2</v>
      </c>
      <c r="J54" s="17">
        <f t="shared" si="4"/>
        <v>2185177.2903799997</v>
      </c>
      <c r="K54" s="16">
        <f t="shared" si="5"/>
        <v>-451002.3803600003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30747991</v>
      </c>
      <c r="D55" s="94">
        <f t="shared" si="6"/>
        <v>31260498</v>
      </c>
      <c r="E55" s="139">
        <f>932942+27201001+739600-961</f>
        <v>28872582</v>
      </c>
      <c r="F55" s="51">
        <f t="shared" si="0"/>
        <v>28360075</v>
      </c>
      <c r="G55" s="111">
        <f t="shared" si="1"/>
        <v>7.0599999999999996E-2</v>
      </c>
      <c r="H55" s="15">
        <f t="shared" si="2"/>
        <v>2002221.2949999999</v>
      </c>
      <c r="I55" s="111">
        <f t="shared" si="3"/>
        <v>9.5310000000000006E-2</v>
      </c>
      <c r="J55" s="17">
        <f t="shared" si="4"/>
        <v>2702998.7482500002</v>
      </c>
      <c r="K55" s="16">
        <f t="shared" si="5"/>
        <v>700777.45325000025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28462916</v>
      </c>
      <c r="D56" s="94">
        <f t="shared" si="6"/>
        <v>28872582</v>
      </c>
      <c r="E56" s="139">
        <f>739600+26110323+929901-1057-961</f>
        <v>27777806</v>
      </c>
      <c r="F56" s="51">
        <f t="shared" si="0"/>
        <v>27368140</v>
      </c>
      <c r="G56" s="111">
        <f t="shared" si="1"/>
        <v>9.7199999999999995E-2</v>
      </c>
      <c r="H56" s="15">
        <f t="shared" si="2"/>
        <v>2660183.2079999996</v>
      </c>
      <c r="I56" s="111">
        <f t="shared" si="3"/>
        <v>0.11226</v>
      </c>
      <c r="J56" s="17">
        <f t="shared" si="4"/>
        <v>3072347.3964</v>
      </c>
      <c r="K56" s="16">
        <f t="shared" si="5"/>
        <v>412164.18840000033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27077927</v>
      </c>
      <c r="D57" s="94">
        <f t="shared" si="6"/>
        <v>27777806</v>
      </c>
      <c r="E57" s="139">
        <f>929901+26079797+1271403-1057-961</f>
        <v>28279083</v>
      </c>
      <c r="F57" s="51">
        <f t="shared" si="0"/>
        <v>27579204</v>
      </c>
      <c r="G57" s="111">
        <f t="shared" si="1"/>
        <v>0.12271</v>
      </c>
      <c r="H57" s="15">
        <f t="shared" si="2"/>
        <v>3384244.1228399999</v>
      </c>
      <c r="I57" s="111">
        <f t="shared" si="3"/>
        <v>0.11108999999999999</v>
      </c>
      <c r="J57" s="17">
        <f t="shared" si="4"/>
        <v>3063773.7723599998</v>
      </c>
      <c r="K57" s="16">
        <f t="shared" si="5"/>
        <v>-320470.35048000002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27152982</v>
      </c>
      <c r="D58" s="94">
        <f t="shared" si="6"/>
        <v>28279083</v>
      </c>
      <c r="E58" s="139">
        <f>1271403+28174487+2060+1314811-4078</f>
        <v>30758683</v>
      </c>
      <c r="F58" s="51">
        <f t="shared" si="0"/>
        <v>29632582</v>
      </c>
      <c r="G58" s="111">
        <f t="shared" si="1"/>
        <v>0.10594000000000001</v>
      </c>
      <c r="H58" s="15">
        <f t="shared" si="2"/>
        <v>3139275.7370800003</v>
      </c>
      <c r="I58" s="111">
        <f t="shared" si="3"/>
        <v>8.7080000000000005E-2</v>
      </c>
      <c r="J58" s="17">
        <f t="shared" si="4"/>
        <v>2580405.2405600003</v>
      </c>
      <c r="K58" s="16">
        <f t="shared" si="5"/>
        <v>-558870.49652000004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6" t="s">
        <v>133</v>
      </c>
      <c r="C59" s="97">
        <f>SUM(C47:C58)</f>
        <v>335034179</v>
      </c>
      <c r="D59" s="97">
        <f>SUM(D47:D58)</f>
        <v>343155225</v>
      </c>
      <c r="E59" s="97">
        <f>SUM(E47:E58)</f>
        <v>346156436</v>
      </c>
      <c r="F59" s="97">
        <f>SUM(F47:F58)</f>
        <v>338035390</v>
      </c>
      <c r="G59" s="37"/>
      <c r="H59" s="38">
        <f>SUM(H47:H58)</f>
        <v>33060064.346069999</v>
      </c>
      <c r="I59" s="37"/>
      <c r="J59" s="38">
        <f>SUM(J47:J58)</f>
        <v>32795105.824780002</v>
      </c>
      <c r="K59" s="39">
        <f>SUM(K47:K58)</f>
        <v>-264958.5212899996</v>
      </c>
      <c r="N59" s="31"/>
      <c r="O59" s="32"/>
      <c r="P59" s="32"/>
      <c r="Q59" s="32"/>
      <c r="R59" s="32"/>
      <c r="S59" s="32"/>
      <c r="T59" s="32"/>
      <c r="U59" s="32"/>
      <c r="V59" s="32"/>
      <c r="W59" s="32"/>
    </row>
    <row r="60" spans="1:24" x14ac:dyDescent="0.2">
      <c r="G60" s="4"/>
      <c r="H60" s="4"/>
      <c r="I60" s="4"/>
      <c r="J60" s="69"/>
      <c r="K60" s="124"/>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1"/>
      <c r="N63" s="29"/>
      <c r="O63" s="29"/>
      <c r="P63" s="29"/>
      <c r="Q63" s="29"/>
      <c r="R63" s="29"/>
      <c r="S63" s="29"/>
      <c r="T63" s="29"/>
      <c r="U63" s="29"/>
      <c r="V63" s="29"/>
      <c r="W63" s="29"/>
    </row>
    <row r="64" spans="1:24" ht="45" x14ac:dyDescent="0.25">
      <c r="A64" s="11"/>
      <c r="B64" s="102" t="s">
        <v>45</v>
      </c>
      <c r="C64" s="48" t="s">
        <v>67</v>
      </c>
      <c r="D64" s="48" t="s">
        <v>121</v>
      </c>
      <c r="E64" s="157" t="s">
        <v>44</v>
      </c>
      <c r="F64" s="157"/>
      <c r="G64" s="157"/>
      <c r="H64" s="157"/>
      <c r="I64" s="157"/>
      <c r="K64" s="119"/>
      <c r="O64" s="29"/>
      <c r="P64" s="29"/>
      <c r="Q64" s="29"/>
      <c r="R64" s="29"/>
      <c r="S64" s="29"/>
      <c r="T64" s="29"/>
      <c r="U64" s="29"/>
      <c r="V64" s="29"/>
      <c r="W64" s="29"/>
      <c r="X64" s="29"/>
    </row>
    <row r="65" spans="1:24" ht="30.75" customHeight="1" x14ac:dyDescent="0.25">
      <c r="A65" s="158" t="s">
        <v>134</v>
      </c>
      <c r="B65" s="159"/>
      <c r="C65" s="160"/>
      <c r="D65" s="125">
        <v>224003</v>
      </c>
      <c r="E65" s="149"/>
      <c r="F65" s="150"/>
      <c r="G65" s="150"/>
      <c r="H65" s="150"/>
      <c r="I65" s="151"/>
      <c r="K65" s="119"/>
      <c r="O65" s="29"/>
      <c r="P65" s="29"/>
      <c r="Q65" s="29"/>
      <c r="R65" s="29"/>
      <c r="S65" s="29"/>
      <c r="T65" s="29"/>
      <c r="U65" s="29"/>
      <c r="V65" s="29"/>
      <c r="W65" s="29"/>
      <c r="X65" s="29"/>
    </row>
    <row r="66" spans="1:24" ht="28.5" x14ac:dyDescent="0.2">
      <c r="A66" s="70" t="s">
        <v>51</v>
      </c>
      <c r="B66" s="49" t="s">
        <v>62</v>
      </c>
      <c r="C66" s="112" t="s">
        <v>163</v>
      </c>
      <c r="D66" s="98">
        <v>-14749.67</v>
      </c>
      <c r="E66" s="147" t="s">
        <v>165</v>
      </c>
      <c r="F66" s="147"/>
      <c r="G66" s="147"/>
      <c r="H66" s="147"/>
      <c r="I66" s="147"/>
      <c r="K66" s="119"/>
      <c r="O66" s="29"/>
      <c r="P66" s="29"/>
      <c r="Q66" s="29"/>
      <c r="R66" s="29"/>
      <c r="S66" s="29"/>
      <c r="T66" s="29"/>
      <c r="U66" s="29"/>
      <c r="V66" s="29"/>
      <c r="W66" s="29"/>
      <c r="X66" s="29"/>
    </row>
    <row r="67" spans="1:24" ht="28.5" x14ac:dyDescent="0.2">
      <c r="A67" s="70" t="s">
        <v>52</v>
      </c>
      <c r="B67" s="49" t="s">
        <v>79</v>
      </c>
      <c r="C67" s="113"/>
      <c r="D67" s="114">
        <f>-34046.1+14749.67</f>
        <v>-19296.43</v>
      </c>
      <c r="E67" s="147" t="s">
        <v>166</v>
      </c>
      <c r="F67" s="147"/>
      <c r="G67" s="147"/>
      <c r="H67" s="147"/>
      <c r="I67" s="147"/>
      <c r="J67" s="79"/>
      <c r="K67" s="120"/>
      <c r="L67" s="79"/>
      <c r="M67" s="79"/>
      <c r="N67" s="79"/>
      <c r="O67" s="79"/>
      <c r="P67" s="79"/>
      <c r="Q67" s="79"/>
    </row>
    <row r="68" spans="1:24" ht="28.5" x14ac:dyDescent="0.2">
      <c r="A68" s="70" t="s">
        <v>65</v>
      </c>
      <c r="B68" s="49" t="s">
        <v>64</v>
      </c>
      <c r="C68" s="112"/>
      <c r="D68" s="114"/>
      <c r="E68" s="147"/>
      <c r="F68" s="147"/>
      <c r="G68" s="147"/>
      <c r="H68" s="147"/>
      <c r="I68" s="147"/>
      <c r="J68" s="79"/>
      <c r="K68" s="120"/>
      <c r="L68" s="79"/>
      <c r="M68" s="79"/>
      <c r="N68" s="79"/>
      <c r="O68" s="79"/>
      <c r="P68" s="79"/>
      <c r="Q68" s="79"/>
    </row>
    <row r="69" spans="1:24" ht="28.5" x14ac:dyDescent="0.2">
      <c r="A69" s="70" t="s">
        <v>66</v>
      </c>
      <c r="B69" s="49" t="s">
        <v>63</v>
      </c>
      <c r="C69" s="113"/>
      <c r="D69" s="114"/>
      <c r="E69" s="144"/>
      <c r="F69" s="145"/>
      <c r="G69" s="145"/>
      <c r="H69" s="145"/>
      <c r="I69" s="146"/>
      <c r="J69" s="79"/>
      <c r="K69" s="123"/>
      <c r="L69" s="79"/>
      <c r="M69" s="79"/>
      <c r="N69" s="79"/>
      <c r="O69" s="79"/>
      <c r="P69" s="79"/>
      <c r="Q69" s="79"/>
    </row>
    <row r="70" spans="1:24" ht="28.5" x14ac:dyDescent="0.2">
      <c r="A70" s="70" t="s">
        <v>69</v>
      </c>
      <c r="B70" s="49" t="s">
        <v>71</v>
      </c>
      <c r="C70" s="112" t="s">
        <v>163</v>
      </c>
      <c r="D70" s="98">
        <v>-262842.52</v>
      </c>
      <c r="E70" s="147" t="s">
        <v>164</v>
      </c>
      <c r="F70" s="147"/>
      <c r="G70" s="147"/>
      <c r="H70" s="147"/>
      <c r="I70" s="147"/>
      <c r="J70" s="79"/>
      <c r="K70" s="123"/>
      <c r="L70" s="79"/>
      <c r="M70" s="79"/>
      <c r="N70" s="79"/>
      <c r="O70" s="79"/>
      <c r="P70" s="79"/>
      <c r="Q70" s="79"/>
    </row>
    <row r="71" spans="1:24" ht="28.5" x14ac:dyDescent="0.2">
      <c r="A71" s="70" t="s">
        <v>70</v>
      </c>
      <c r="B71" s="49" t="s">
        <v>72</v>
      </c>
      <c r="C71" s="112"/>
      <c r="D71" s="98"/>
      <c r="E71" s="147"/>
      <c r="F71" s="147"/>
      <c r="G71" s="147"/>
      <c r="H71" s="147"/>
      <c r="I71" s="147"/>
      <c r="J71" s="79"/>
      <c r="K71" s="123"/>
      <c r="L71" s="79"/>
      <c r="M71" s="79"/>
      <c r="N71" s="79"/>
      <c r="O71" s="79"/>
      <c r="P71" s="79"/>
      <c r="Q71" s="79"/>
    </row>
    <row r="72" spans="1:24" ht="33.75" customHeight="1" x14ac:dyDescent="0.2">
      <c r="A72" s="70">
        <v>4</v>
      </c>
      <c r="B72" s="49" t="s">
        <v>68</v>
      </c>
      <c r="C72" s="112"/>
      <c r="D72" s="98"/>
      <c r="E72" s="147"/>
      <c r="F72" s="147"/>
      <c r="G72" s="147"/>
      <c r="H72" s="147"/>
      <c r="I72" s="147"/>
      <c r="J72" s="79"/>
      <c r="K72" s="123"/>
      <c r="L72" s="79"/>
      <c r="M72" s="79"/>
      <c r="N72" s="79"/>
      <c r="O72" s="79"/>
      <c r="P72" s="79"/>
      <c r="Q72" s="79"/>
    </row>
    <row r="73" spans="1:24" ht="42.75" x14ac:dyDescent="0.2">
      <c r="A73" s="70">
        <v>5</v>
      </c>
      <c r="B73" s="49" t="s">
        <v>81</v>
      </c>
      <c r="C73" s="112"/>
      <c r="D73" s="98"/>
      <c r="E73" s="147"/>
      <c r="F73" s="147"/>
      <c r="G73" s="147"/>
      <c r="H73" s="147"/>
      <c r="I73" s="147"/>
      <c r="J73" s="79"/>
      <c r="K73" s="123"/>
      <c r="L73" s="79"/>
      <c r="M73" s="79"/>
      <c r="N73" s="79"/>
      <c r="O73" s="79"/>
      <c r="P73" s="79"/>
      <c r="Q73" s="79"/>
    </row>
    <row r="74" spans="1:24" ht="28.5" x14ac:dyDescent="0.2">
      <c r="A74" s="54">
        <v>6</v>
      </c>
      <c r="B74" s="127" t="s">
        <v>137</v>
      </c>
      <c r="C74" s="112"/>
      <c r="D74" s="98"/>
      <c r="E74" s="147"/>
      <c r="F74" s="147"/>
      <c r="G74" s="147"/>
      <c r="H74" s="147"/>
      <c r="I74" s="147"/>
      <c r="K74" s="29"/>
    </row>
    <row r="75" spans="1:24" x14ac:dyDescent="0.2">
      <c r="A75" s="54">
        <v>7</v>
      </c>
      <c r="B75" s="46"/>
      <c r="C75" s="10"/>
      <c r="D75" s="98"/>
      <c r="E75" s="147"/>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44"/>
      <c r="F77" s="145"/>
      <c r="G77" s="145"/>
      <c r="H77" s="145"/>
      <c r="I77" s="146"/>
    </row>
    <row r="78" spans="1:24" x14ac:dyDescent="0.2">
      <c r="A78" s="54">
        <v>10</v>
      </c>
      <c r="B78" s="46"/>
      <c r="C78" s="10"/>
      <c r="D78" s="98"/>
      <c r="E78" s="147"/>
      <c r="F78" s="147"/>
      <c r="G78" s="147"/>
      <c r="H78" s="147"/>
      <c r="I78" s="147"/>
    </row>
    <row r="79" spans="1:24" ht="15" x14ac:dyDescent="0.25">
      <c r="A79" s="1" t="s">
        <v>150</v>
      </c>
      <c r="B79" s="2" t="s">
        <v>131</v>
      </c>
      <c r="C79" s="2"/>
      <c r="D79" s="99">
        <f>SUM(D65:D78)</f>
        <v>-72885.620000000024</v>
      </c>
      <c r="E79" s="25"/>
      <c r="F79" s="25"/>
      <c r="G79" s="25"/>
      <c r="H79" s="25"/>
    </row>
    <row r="80" spans="1:24" ht="15" x14ac:dyDescent="0.25">
      <c r="B80" s="122" t="s">
        <v>132</v>
      </c>
      <c r="C80" s="71"/>
      <c r="D80" s="99">
        <f>K59</f>
        <v>-264958.5212899996</v>
      </c>
      <c r="E80" s="25"/>
      <c r="F80" s="25"/>
      <c r="G80" s="25"/>
      <c r="H80" s="25"/>
    </row>
    <row r="81" spans="1:19" ht="15" x14ac:dyDescent="0.25">
      <c r="B81" s="71" t="s">
        <v>24</v>
      </c>
      <c r="C81" s="71"/>
      <c r="D81" s="100">
        <f>D79-D80</f>
        <v>192072.90128999957</v>
      </c>
    </row>
    <row r="82" spans="1:19" ht="15.75" thickBot="1" x14ac:dyDescent="0.3">
      <c r="B82" s="133" t="s">
        <v>73</v>
      </c>
      <c r="C82" s="72"/>
      <c r="D82" s="61">
        <f>IF(ISERROR(D81/J59),0,D81/J59)</f>
        <v>5.8567550388835508E-3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29">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29">
        <f t="shared" ref="F89:F91" si="7">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29">
        <f t="shared" si="7"/>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29">
        <f t="shared" si="7"/>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28">
        <f t="shared" ref="C92:H92" si="8">SUM(C88:C91)</f>
        <v>0</v>
      </c>
      <c r="D92" s="128">
        <f t="shared" si="8"/>
        <v>0</v>
      </c>
      <c r="E92" s="128">
        <f t="shared" si="8"/>
        <v>0</v>
      </c>
      <c r="F92" s="130">
        <f t="shared" si="8"/>
        <v>0</v>
      </c>
      <c r="G92" s="128">
        <f>SUM(G88:G91)</f>
        <v>0</v>
      </c>
      <c r="H92" s="77">
        <f t="shared" si="8"/>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22" man="1"/>
  </rowBreaks>
  <colBreaks count="1" manualBreakCount="1">
    <brk id="12" max="9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Cameron McKenzie</cp:lastModifiedBy>
  <cp:lastPrinted>2017-09-25T16:26:29Z</cp:lastPrinted>
  <dcterms:created xsi:type="dcterms:W3CDTF">2017-05-01T19:29:01Z</dcterms:created>
  <dcterms:modified xsi:type="dcterms:W3CDTF">2017-09-25T19:33:43Z</dcterms:modified>
</cp:coreProperties>
</file>