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326"/>
  <workbookPr defaultThemeVersion="124226"/>
  <mc:AlternateContent xmlns:mc="http://schemas.openxmlformats.org/markup-compatibility/2006">
    <mc:Choice Requires="x15">
      <x15ac:absPath xmlns:x15ac="http://schemas.microsoft.com/office/spreadsheetml/2010/11/ac" url="H:\2018 IRM\"/>
    </mc:Choice>
  </mc:AlternateContent>
  <bookViews>
    <workbookView xWindow="0" yWindow="0" windowWidth="19200" windowHeight="5910"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62913"/>
</workbook>
</file>

<file path=xl/calcChain.xml><?xml version="1.0" encoding="utf-8"?>
<calcChain xmlns="http://schemas.openxmlformats.org/spreadsheetml/2006/main">
  <c r="H88" i="4" l="1"/>
  <c r="E88" i="4"/>
  <c r="D88" i="4"/>
  <c r="C88" i="4"/>
  <c r="D65" i="4" l="1"/>
  <c r="D26" i="4" l="1"/>
  <c r="C53" i="4"/>
  <c r="E53" i="4" l="1"/>
  <c r="E54" i="4"/>
  <c r="E55" i="4"/>
  <c r="E56" i="4"/>
  <c r="E57" i="4"/>
  <c r="E58" i="4"/>
  <c r="D58" i="4" l="1"/>
  <c r="D57" i="4"/>
  <c r="D56" i="4"/>
  <c r="D55" i="4"/>
  <c r="D54" i="4"/>
  <c r="D53" i="4"/>
  <c r="E52" i="4"/>
  <c r="D52" i="4"/>
  <c r="E51" i="4"/>
  <c r="D51" i="4"/>
  <c r="E50" i="4"/>
  <c r="D50" i="4"/>
  <c r="E49" i="4"/>
  <c r="D49" i="4"/>
  <c r="E48" i="4"/>
  <c r="D48" i="4"/>
  <c r="E47" i="4"/>
  <c r="D72" i="4" l="1"/>
  <c r="F53" i="4" l="1"/>
  <c r="F52" i="4"/>
  <c r="I47" i="4" l="1"/>
  <c r="G48" i="4" l="1"/>
  <c r="G49" i="4"/>
  <c r="G50" i="4"/>
  <c r="G51" i="4"/>
  <c r="G52" i="4"/>
  <c r="G53" i="4"/>
  <c r="G54" i="4"/>
  <c r="G55" i="4"/>
  <c r="G56" i="4"/>
  <c r="G57" i="4"/>
  <c r="G58" i="4"/>
  <c r="G47" i="4"/>
  <c r="I48" i="4" l="1"/>
  <c r="I49" i="4"/>
  <c r="I50" i="4"/>
  <c r="I51" i="4"/>
  <c r="I52" i="4"/>
  <c r="I53" i="4"/>
  <c r="I54" i="4"/>
  <c r="I55" i="4"/>
  <c r="I56" i="4"/>
  <c r="I57" i="4"/>
  <c r="I58" i="4"/>
  <c r="D23" i="4" l="1"/>
  <c r="G89" i="4" l="1"/>
  <c r="F88" i="4"/>
  <c r="G88" i="4" s="1"/>
  <c r="I88" i="4" s="1"/>
  <c r="F89" i="4"/>
  <c r="F90" i="4"/>
  <c r="G90" i="4" s="1"/>
  <c r="F91" i="4"/>
  <c r="G91" i="4" s="1"/>
  <c r="G92" i="4" l="1"/>
  <c r="F47" i="4"/>
  <c r="H47" i="4" s="1"/>
  <c r="J47" i="4" l="1"/>
  <c r="K47" i="4" s="1"/>
  <c r="D79" i="4"/>
  <c r="F51" i="4" l="1"/>
  <c r="J52" i="4"/>
  <c r="F54" i="4"/>
  <c r="F58" i="4"/>
  <c r="F56" i="4"/>
  <c r="F57" i="4"/>
  <c r="I91" i="4"/>
  <c r="I90" i="4"/>
  <c r="I89" i="4"/>
  <c r="D92" i="4"/>
  <c r="F92" i="4"/>
  <c r="C59" i="4"/>
  <c r="J56" i="4" l="1"/>
  <c r="H54" i="4"/>
  <c r="J51" i="4"/>
  <c r="E59" i="4"/>
  <c r="F55" i="4"/>
  <c r="D59" i="4"/>
  <c r="H58" i="4"/>
  <c r="F50" i="4"/>
  <c r="H50" i="4" s="1"/>
  <c r="F49" i="4"/>
  <c r="H49" i="4" s="1"/>
  <c r="F48" i="4"/>
  <c r="J54" i="4"/>
  <c r="H57" i="4"/>
  <c r="J57" i="4"/>
  <c r="H53" i="4"/>
  <c r="J58" i="4"/>
  <c r="J53" i="4"/>
  <c r="H52" i="4"/>
  <c r="K52" i="4" s="1"/>
  <c r="H56" i="4"/>
  <c r="H51" i="4"/>
  <c r="K51" i="4" s="1"/>
  <c r="K54" i="4" l="1"/>
  <c r="K56" i="4"/>
  <c r="J55" i="4"/>
  <c r="J48" i="4"/>
  <c r="H48" i="4"/>
  <c r="H55" i="4"/>
  <c r="J50" i="4"/>
  <c r="K50" i="4" s="1"/>
  <c r="K58" i="4"/>
  <c r="J49" i="4"/>
  <c r="K49" i="4" s="1"/>
  <c r="K53" i="4"/>
  <c r="F59" i="4"/>
  <c r="K57" i="4"/>
  <c r="K55" i="4" l="1"/>
  <c r="D24" i="4"/>
  <c r="K48" i="4"/>
  <c r="K59" i="4" s="1"/>
  <c r="J59" i="4"/>
  <c r="H59" i="4"/>
  <c r="C92" i="4"/>
  <c r="D22" i="4" l="1"/>
  <c r="F24" i="4" s="1"/>
  <c r="D80" i="4"/>
  <c r="D81" i="4" s="1"/>
  <c r="D82" i="4" s="1"/>
  <c r="H92" i="4"/>
  <c r="F23" i="4" l="1"/>
  <c r="F25" i="4"/>
  <c r="F26" i="4"/>
  <c r="E92" i="4"/>
  <c r="E82" i="4" l="1"/>
</calcChain>
</file>

<file path=xl/sharedStrings.xml><?xml version="1.0" encoding="utf-8"?>
<sst xmlns="http://schemas.openxmlformats.org/spreadsheetml/2006/main" count="212" uniqueCount="175">
  <si>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</si>
  <si>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</si>
  <si>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</si>
  <si>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</si>
  <si>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</si>
  <si>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</si>
  <si>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</si>
  <si>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</si>
  <si>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</si>
  <si>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</si>
  <si>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</si>
  <si>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</si>
  <si>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</si>
  <si>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</si>
  <si>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</si>
  <si>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</si>
  <si>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</si>
  <si>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</si>
  <si>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</si>
  <si>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</si>
  <si>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</si>
  <si>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</si>
  <si>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</si>
  <si>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</si>
  <si>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</si>
  <si>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</si>
  <si>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</si>
  <si>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</si>
  <si>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</si>
  <si>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</si>
  <si>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</si>
  <si>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</si>
  <si>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</si>
  <si>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</si>
  <si>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</si>
  <si>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</si>
  <si>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</si>
  <si>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</si>
  <si>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</si>
  <si>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</si>
  <si>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</si>
  <si>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</si>
  <si>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</si>
  <si>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</si>
  <si>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</si>
  <si>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</si>
  <si>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</si>
  <si>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</si>
  <si>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</si>
  <si>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</si>
  <si>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</si>
  <si>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</si>
  <si>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</si>
  <si>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</si>
  <si>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</si>
  <si>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</si>
  <si>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</si>
  <si>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</si>
  <si>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</si>
  <si>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</si>
  <si>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</si>
  <si>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</si>
  <si>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</si>
  <si>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</si>
  <si>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</si>
  <si>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</si>
  <si>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</si>
  <si>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</si>
  <si>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</si>
  <si>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</si>
  <si>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</si>
  <si>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</si>
  <si>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</si>
  <si>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</si>
  <si>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</si>
  <si>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</si>
  <si>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</si>
  <si>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</si>
  <si>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</si>
  <si>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</si>
  <si>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</si>
  <si>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</si>
  <si>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</si>
  <si>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</si>
  <si>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</si>
  <si>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</si>
  <si>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</si>
  <si>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</si>
  <si>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</si>
  <si>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</si>
  <si>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</si>
  <si>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</si>
  <si>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</si>
  <si>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</si>
  <si>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</si>
  <si>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</si>
  <si>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</si>
  <si>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</si>
  <si>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</si>
  <si>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</si>
  <si>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</si>
  <si>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</si>
  <si>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</si>
  <si>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</si>
  <si>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</si>
  <si>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</si>
  <si>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</si>
  <si>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</si>
  <si>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</si>
  <si>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</si>
  <si>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</si>
  <si>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</si>
  <si>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</si>
  <si>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</si>
  <si>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</si>
  <si>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</si>
  <si>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</si>
  <si>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</si>
  <si>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</si>
  <si>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</si>
  <si>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</si>
  <si>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</si>
  <si>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</si>
  <si>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</si>
  <si>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</si>
  <si>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</si>
  <si>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</si>
  <si>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</si>
  <si>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</si>
  <si>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</si>
  <si>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</si>
  <si>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</si>
  <si>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</si>
  <si>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</si>
  <si>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</si>
  <si>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</si>
  <si>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</si>
  <si>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</si>
  <si>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</si>
  <si>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</si>
  <si>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</si>
  <si>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</si>
  <si>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</si>
  <si>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</si>
  <si>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</si>
  <si>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</si>
  <si>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</si>
  <si>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</si>
  <si>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</si>
  <si>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</si>
  <si>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</si>
  <si>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</si>
  <si>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</si>
  <si>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</si>
  <si>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</si>
  <si>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</si>
  <si>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</si>
  <si>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</si>
  <si>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</si>
  <si>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</si>
  <si>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</si>
  <si>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</si>
  <si>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</si>
  <si>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Adjustment for lower actual loss factor than billed</t>
  </si>
  <si>
    <t>All settlement true-up adjustments for 2016 were booked in the 2016 year.</t>
  </si>
  <si>
    <t>Y</t>
  </si>
  <si>
    <t>N</t>
  </si>
  <si>
    <t>December 2016 unbilled revenue for Class A Global Adjustment was higher than the actual December GA paid (per IESO invoice). Class A customer was billed for December consumption in January 2017.</t>
  </si>
  <si>
    <t>IESO made minimal adjustments to actual invoices.</t>
  </si>
  <si>
    <t>2015 load transfer revenue recorded in 2016</t>
  </si>
  <si>
    <t>2016 load transfer revenue recorded in 2017</t>
  </si>
  <si>
    <t>Difference between the loss factor used to bill and the actual loss factor</t>
  </si>
  <si>
    <t>Difference is a result of using a significantly lower GA rate to calculate accrual than GA rate used to bill</t>
  </si>
  <si>
    <t>Difference is a result of using a significantly higher GA rate to calculate accrual than GA rate used to bill</t>
  </si>
  <si>
    <t>Settlement true-up of $109,356 for October, November, and December 2015 was disposed of in the 2017 COS (EB-2016-0110).  This adjustment was refelcted in Tab 3 Cell AV29 of the IRM Rate Generator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</si>
</sst>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 #,##0.00000_-;\-* #,##0.00000_-;_-* &quot;-&quot;??_-;_-@_-"/>
    <numFmt numFmtId="169" formatCode="_-* #,##0.0000_-;\-* #,##0.000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166"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7" fontId="7" fillId="0" borderId="0" xfId="5" applyNumberFormat="1" applyFont="1" applyFill="1"/>
    <xf numFmtId="168" fontId="7" fillId="0" borderId="0" xfId="0" applyNumberFormat="1" applyFont="1"/>
    <xf numFmtId="43" fontId="3" fillId="0" borderId="0" xfId="5" applyFont="1" applyAlignment="1">
      <alignment wrapText="1"/>
    </xf>
    <xf numFmtId="168" fontId="2" fillId="0" borderId="0" xfId="0" applyNumberFormat="1" applyFont="1"/>
    <xf numFmtId="167" fontId="2" fillId="0" borderId="0" xfId="0" applyNumberFormat="1" applyFont="1"/>
    <xf numFmtId="169" fontId="3" fillId="0" borderId="0" xfId="0" applyNumberFormat="1" applyFont="1"/>
    <xf numFmtId="43" fontId="2" fillId="0" borderId="0" xfId="0" applyNumberFormat="1" applyFont="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Welland Hydro bills its</a:t>
          </a:r>
          <a:r>
            <a:rPr lang="en-CA" sz="1100" baseline="0">
              <a:latin typeface="Arial" panose="020B0604020202020204" pitchFamily="34" charset="0"/>
              <a:cs typeface="Arial" panose="020B0604020202020204" pitchFamily="34" charset="0"/>
            </a:rPr>
            <a:t> Class B non-RPP customers using the IESO's 1st estimate for GA for the month. For billing cycles that span more than one load month, consumption is prorated so that the correct GA 1st estimate rate is applied to the corresponding consumption for that month. The GA rate that is used for billing (1st estimate) is not the same rate that is applied to our unbilled revenue. Unbilled revenue is based on previous GA rates and not the actual rates. This will be reviewed in more detail going forward to ensure that the GA rate used in our unbilled revenue is more closely aligned with the actual GA rate.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46" zoomScaleNormal="100" zoomScaleSheetLayoutView="85" workbookViewId="0">
      <selection activeCell="C10" sqref="A10:C84"/>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47" t="s">
        <v>154</v>
      </c>
      <c r="B14" s="147"/>
      <c r="C14" s="147"/>
    </row>
    <row r="16" spans="1:3" ht="15.75" x14ac:dyDescent="0.2">
      <c r="A16" s="44" t="s">
        <v>46</v>
      </c>
    </row>
    <row r="17" spans="1:26" x14ac:dyDescent="0.2">
      <c r="A17" s="42" t="s">
        <v>47</v>
      </c>
    </row>
    <row r="18" spans="1:26" ht="33" customHeight="1" x14ac:dyDescent="0.2">
      <c r="A18" s="149" t="s">
        <v>85</v>
      </c>
      <c r="B18" s="149"/>
      <c r="C18" s="149"/>
    </row>
    <row r="20" spans="1:26" x14ac:dyDescent="0.2">
      <c r="A20" s="42">
        <v>1</v>
      </c>
      <c r="B20" s="146" t="s">
        <v>140</v>
      </c>
      <c r="C20" s="146"/>
    </row>
    <row r="21" spans="1:26" x14ac:dyDescent="0.2">
      <c r="B21" s="134"/>
      <c r="C21" s="134"/>
    </row>
    <row r="23" spans="1:26" ht="31.5" customHeight="1" x14ac:dyDescent="0.2">
      <c r="A23" s="42">
        <v>2</v>
      </c>
      <c r="B23" s="147" t="s">
        <v>86</v>
      </c>
      <c r="C23" s="147"/>
    </row>
    <row r="24" spans="1:26" x14ac:dyDescent="0.2">
      <c r="B24" s="133"/>
      <c r="C24" s="133"/>
    </row>
    <row r="26" spans="1:26" x14ac:dyDescent="0.2">
      <c r="A26" s="42">
        <v>3</v>
      </c>
      <c r="B26" s="148" t="s">
        <v>109</v>
      </c>
      <c r="C26" s="148"/>
    </row>
    <row r="27" spans="1:26" ht="32.25" customHeight="1" x14ac:dyDescent="0.2">
      <c r="B27" s="147" t="s">
        <v>117</v>
      </c>
      <c r="C27" s="147"/>
    </row>
    <row r="28" spans="1:26" ht="63" customHeight="1" x14ac:dyDescent="0.2">
      <c r="B28" s="147" t="s">
        <v>129</v>
      </c>
      <c r="C28" s="147"/>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7" t="s">
        <v>118</v>
      </c>
      <c r="C29" s="147"/>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7" t="s">
        <v>155</v>
      </c>
      <c r="B33" s="147"/>
      <c r="C33" s="147"/>
    </row>
    <row r="34" spans="1:3" x14ac:dyDescent="0.2">
      <c r="B34" s="133"/>
      <c r="C34" s="133"/>
    </row>
    <row r="35" spans="1:3" x14ac:dyDescent="0.2">
      <c r="B35" s="85"/>
    </row>
    <row r="36" spans="1:3" x14ac:dyDescent="0.2">
      <c r="A36" s="42">
        <v>4</v>
      </c>
      <c r="B36" s="148" t="s">
        <v>141</v>
      </c>
      <c r="C36" s="148"/>
    </row>
    <row r="37" spans="1:3" ht="78.75" customHeight="1" x14ac:dyDescent="0.2">
      <c r="B37" s="147" t="s">
        <v>142</v>
      </c>
      <c r="C37" s="147"/>
    </row>
    <row r="38" spans="1:3" ht="65.25" customHeight="1" x14ac:dyDescent="0.2">
      <c r="B38" s="147" t="s">
        <v>124</v>
      </c>
      <c r="C38" s="147"/>
    </row>
    <row r="39" spans="1:3" ht="31.5" customHeight="1" x14ac:dyDescent="0.2">
      <c r="B39" s="147" t="s">
        <v>123</v>
      </c>
      <c r="C39" s="147"/>
    </row>
    <row r="40" spans="1:3" ht="30" customHeight="1" x14ac:dyDescent="0.2">
      <c r="B40" s="147" t="s">
        <v>125</v>
      </c>
      <c r="C40" s="147"/>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7" t="s">
        <v>135</v>
      </c>
      <c r="C49" s="147"/>
    </row>
    <row r="51" spans="2:3" ht="30" customHeight="1" x14ac:dyDescent="0.2">
      <c r="B51" s="147" t="s">
        <v>120</v>
      </c>
      <c r="C51" s="147"/>
    </row>
    <row r="52" spans="2:3" ht="30" customHeight="1" x14ac:dyDescent="0.2">
      <c r="B52" s="147" t="s">
        <v>88</v>
      </c>
      <c r="C52" s="147"/>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9" t="s">
        <v>152</v>
      </c>
      <c r="C78" s="149"/>
    </row>
    <row r="79" spans="1:3" x14ac:dyDescent="0.2">
      <c r="B79" s="87"/>
      <c r="C79" s="133"/>
    </row>
    <row r="81" spans="1:3" ht="30.75" customHeight="1" x14ac:dyDescent="0.2">
      <c r="A81" s="42">
        <v>7</v>
      </c>
      <c r="B81" s="147" t="s">
        <v>153</v>
      </c>
      <c r="C81" s="147"/>
    </row>
    <row r="82" spans="1:3" x14ac:dyDescent="0.2">
      <c r="B82" s="133"/>
      <c r="C82" s="133"/>
    </row>
    <row r="83" spans="1:3" ht="15.75" customHeight="1" x14ac:dyDescent="0.2">
      <c r="B83" s="146" t="s">
        <v>108</v>
      </c>
      <c r="C83" s="146"/>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2:X103"/>
  <sheetViews>
    <sheetView tabSelected="1" topLeftCell="A73" zoomScaleNormal="100" zoomScaleSheetLayoutView="100" workbookViewId="0">
      <selection activeCell="J90" sqref="J90"/>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6.85546875" style="1" bestFit="1" customWidth="1"/>
    <col min="13" max="13" width="14.5703125" style="1" bestFit="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55" t="s">
        <v>25</v>
      </c>
      <c r="C21" s="155"/>
      <c r="D21" s="24">
        <v>2016</v>
      </c>
      <c r="E21" s="156"/>
      <c r="F21" s="157"/>
      <c r="G21" s="79"/>
      <c r="H21" s="79"/>
      <c r="I21" s="79"/>
      <c r="J21" s="79"/>
      <c r="K21" s="79"/>
      <c r="L21" s="79"/>
      <c r="M21" s="79"/>
      <c r="N21" s="79"/>
      <c r="O21" s="79"/>
      <c r="P21" s="79"/>
      <c r="Q21" s="79"/>
    </row>
    <row r="22" spans="1:24" ht="15" thickBot="1" x14ac:dyDescent="0.25">
      <c r="A22" s="4"/>
      <c r="B22" s="5" t="s">
        <v>3</v>
      </c>
      <c r="C22" s="5" t="s">
        <v>2</v>
      </c>
      <c r="D22" s="117">
        <f>D23+D24</f>
        <v>360224251</v>
      </c>
      <c r="E22" s="6" t="s">
        <v>0</v>
      </c>
      <c r="F22" s="7">
        <v>1</v>
      </c>
      <c r="G22" s="79"/>
      <c r="H22" s="79"/>
      <c r="I22" s="79"/>
      <c r="J22" s="139"/>
      <c r="K22" s="79"/>
      <c r="L22" s="79"/>
      <c r="M22" s="79"/>
      <c r="N22" s="79"/>
      <c r="O22" s="79"/>
      <c r="P22" s="79"/>
      <c r="Q22" s="79"/>
    </row>
    <row r="23" spans="1:24" x14ac:dyDescent="0.2">
      <c r="B23" s="5" t="s">
        <v>7</v>
      </c>
      <c r="C23" s="5" t="s">
        <v>1</v>
      </c>
      <c r="D23" s="118">
        <f>360224251-144748641</f>
        <v>215475610</v>
      </c>
      <c r="E23" s="6" t="s">
        <v>0</v>
      </c>
      <c r="F23" s="8">
        <f>IFERROR(D23/$D$22,0)</f>
        <v>0.59817074892051059</v>
      </c>
    </row>
    <row r="24" spans="1:24" ht="15" thickBot="1" x14ac:dyDescent="0.25">
      <c r="B24" s="5" t="s">
        <v>8</v>
      </c>
      <c r="C24" s="5" t="s">
        <v>6</v>
      </c>
      <c r="D24" s="117">
        <f>D25+D26</f>
        <v>144748641</v>
      </c>
      <c r="E24" s="6" t="s">
        <v>0</v>
      </c>
      <c r="F24" s="8">
        <f>IFERROR(D24/$D$22,0)</f>
        <v>0.40182925107948936</v>
      </c>
    </row>
    <row r="25" spans="1:24" x14ac:dyDescent="0.2">
      <c r="B25" s="5" t="s">
        <v>9</v>
      </c>
      <c r="C25" s="5" t="s">
        <v>4</v>
      </c>
      <c r="D25" s="118">
        <v>6237976</v>
      </c>
      <c r="E25" s="6" t="s">
        <v>0</v>
      </c>
      <c r="F25" s="8">
        <f>IFERROR(D25/$D$22,0)</f>
        <v>1.7316924062394677E-2</v>
      </c>
      <c r="G25" s="35"/>
      <c r="H25" s="143"/>
    </row>
    <row r="26" spans="1:24" x14ac:dyDescent="0.2">
      <c r="B26" s="5" t="s">
        <v>61</v>
      </c>
      <c r="C26" s="5" t="s">
        <v>5</v>
      </c>
      <c r="D26" s="119">
        <f>144748641-D25</f>
        <v>138510665</v>
      </c>
      <c r="E26" s="6" t="s">
        <v>0</v>
      </c>
      <c r="F26" s="8">
        <f>IFERROR(D26/$D$22,0)</f>
        <v>0.3845123270170947</v>
      </c>
      <c r="G26" s="29"/>
      <c r="H26" s="29"/>
    </row>
    <row r="27" spans="1:24" ht="34.5" customHeight="1" x14ac:dyDescent="0.2">
      <c r="B27" s="158" t="s">
        <v>77</v>
      </c>
      <c r="C27" s="158"/>
      <c r="D27" s="158"/>
      <c r="E27" s="158"/>
      <c r="F27" s="158"/>
      <c r="G27" s="159"/>
      <c r="H27" s="159"/>
    </row>
    <row r="28" spans="1:24" x14ac:dyDescent="0.2">
      <c r="D28" s="120"/>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50">
        <v>2016</v>
      </c>
      <c r="P45" s="150"/>
      <c r="Q45" s="150"/>
      <c r="R45" s="150">
        <v>2015</v>
      </c>
      <c r="S45" s="150"/>
      <c r="T45" s="150"/>
      <c r="U45" s="150">
        <v>2014</v>
      </c>
      <c r="V45" s="150"/>
      <c r="W45" s="150"/>
    </row>
    <row r="46" spans="1:23" s="9" customFormat="1" ht="30" x14ac:dyDescent="0.25">
      <c r="B46" s="12"/>
      <c r="C46" s="63" t="s">
        <v>40</v>
      </c>
      <c r="D46" s="63" t="s">
        <v>38</v>
      </c>
      <c r="E46" s="64" t="s">
        <v>53</v>
      </c>
      <c r="F46" s="64" t="s">
        <v>54</v>
      </c>
      <c r="G46" s="64" t="s">
        <v>55</v>
      </c>
      <c r="H46" s="65" t="s">
        <v>56</v>
      </c>
      <c r="I46" s="64" t="s">
        <v>57</v>
      </c>
      <c r="J46" s="65" t="s">
        <v>58</v>
      </c>
      <c r="K46" s="66" t="s">
        <v>59</v>
      </c>
      <c r="L46" s="141"/>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11939571</v>
      </c>
      <c r="D47" s="94">
        <v>13311533</v>
      </c>
      <c r="E47" s="60">
        <f>13311533+495521</f>
        <v>13807054</v>
      </c>
      <c r="F47" s="51">
        <f>C47-D47+E47</f>
        <v>12435092</v>
      </c>
      <c r="G47" s="111">
        <f>O47</f>
        <v>8.4229999999999999E-2</v>
      </c>
      <c r="H47" s="15">
        <f>F47*G47</f>
        <v>1047407.7991599999</v>
      </c>
      <c r="I47" s="111">
        <f>Q47</f>
        <v>9.1789999999999997E-2</v>
      </c>
      <c r="J47" s="17">
        <f>F47*I47</f>
        <v>1141417.0946799999</v>
      </c>
      <c r="K47" s="16">
        <f>J47-H47</f>
        <v>94009.295519999927</v>
      </c>
      <c r="L47" s="115"/>
      <c r="M47" s="115"/>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12687938</v>
      </c>
      <c r="D48" s="94">
        <f t="shared" ref="D48:D58" si="0">E47</f>
        <v>13807054</v>
      </c>
      <c r="E48" s="60">
        <f>11916696+1119116</f>
        <v>13035812</v>
      </c>
      <c r="F48" s="51">
        <f t="shared" ref="F48:F58" si="1">C48-D48+E48</f>
        <v>11916696</v>
      </c>
      <c r="G48" s="111">
        <f t="shared" ref="G48:G58" si="2">O48</f>
        <v>0.10384</v>
      </c>
      <c r="H48" s="15">
        <f>F48*G48</f>
        <v>1237429.71264</v>
      </c>
      <c r="I48" s="111">
        <f t="shared" ref="I48:I58" si="3">Q48</f>
        <v>9.851E-2</v>
      </c>
      <c r="J48" s="17">
        <f t="shared" ref="J48:J58" si="4">F48*I48</f>
        <v>1173913.7229599999</v>
      </c>
      <c r="K48" s="16">
        <f t="shared" ref="K48:K58" si="5">J48-H48</f>
        <v>-63515.989680000115</v>
      </c>
      <c r="L48" s="115"/>
      <c r="M48" s="115"/>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12976515</v>
      </c>
      <c r="D49" s="94">
        <f t="shared" si="0"/>
        <v>13035812</v>
      </c>
      <c r="E49" s="60">
        <f>11727166+59297</f>
        <v>11786463</v>
      </c>
      <c r="F49" s="51">
        <f t="shared" si="1"/>
        <v>11727166</v>
      </c>
      <c r="G49" s="111">
        <f t="shared" si="2"/>
        <v>9.0219999999999995E-2</v>
      </c>
      <c r="H49" s="15">
        <f t="shared" ref="H49:H58" si="6">F49*G49</f>
        <v>1058024.91652</v>
      </c>
      <c r="I49" s="111">
        <f t="shared" si="3"/>
        <v>0.1061</v>
      </c>
      <c r="J49" s="17">
        <f t="shared" si="4"/>
        <v>1244252.3126000001</v>
      </c>
      <c r="K49" s="16">
        <f t="shared" si="5"/>
        <v>186227.39608000009</v>
      </c>
      <c r="L49" s="115"/>
      <c r="M49" s="115"/>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4">
        <v>11698179</v>
      </c>
      <c r="D50" s="94">
        <f t="shared" si="0"/>
        <v>11786463</v>
      </c>
      <c r="E50" s="60">
        <f>11359566+88284</f>
        <v>11447850</v>
      </c>
      <c r="F50" s="51">
        <f t="shared" si="1"/>
        <v>11359566</v>
      </c>
      <c r="G50" s="111">
        <f t="shared" si="2"/>
        <v>0.12114999999999999</v>
      </c>
      <c r="H50" s="15">
        <f t="shared" si="6"/>
        <v>1376211.4209</v>
      </c>
      <c r="I50" s="111">
        <f t="shared" si="3"/>
        <v>0.11132</v>
      </c>
      <c r="J50" s="17">
        <f t="shared" si="4"/>
        <v>1264546.8871200001</v>
      </c>
      <c r="K50" s="16">
        <f t="shared" si="5"/>
        <v>-111664.53377999994</v>
      </c>
      <c r="L50" s="115"/>
      <c r="M50" s="115"/>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11873387</v>
      </c>
      <c r="D51" s="94">
        <f t="shared" si="0"/>
        <v>11447850</v>
      </c>
      <c r="E51" s="60">
        <f>-425537+11571449</f>
        <v>11145912</v>
      </c>
      <c r="F51" s="51">
        <f t="shared" si="1"/>
        <v>11571449</v>
      </c>
      <c r="G51" s="111">
        <f t="shared" si="2"/>
        <v>0.10405</v>
      </c>
      <c r="H51" s="15">
        <f t="shared" si="6"/>
        <v>1204009.2684500001</v>
      </c>
      <c r="I51" s="111">
        <f t="shared" si="3"/>
        <v>0.10749</v>
      </c>
      <c r="J51" s="17">
        <f t="shared" si="4"/>
        <v>1243815.0530099999</v>
      </c>
      <c r="K51" s="16">
        <f t="shared" si="5"/>
        <v>39805.784559999825</v>
      </c>
      <c r="L51" s="115"/>
      <c r="M51" s="115"/>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11475497</v>
      </c>
      <c r="D52" s="94">
        <f t="shared" si="0"/>
        <v>11145912</v>
      </c>
      <c r="E52" s="60">
        <f>-329585+12289131</f>
        <v>11959546</v>
      </c>
      <c r="F52" s="51">
        <f t="shared" si="1"/>
        <v>12289131</v>
      </c>
      <c r="G52" s="111">
        <f t="shared" si="2"/>
        <v>0.11650000000000001</v>
      </c>
      <c r="H52" s="15">
        <f t="shared" si="6"/>
        <v>1431683.7615</v>
      </c>
      <c r="I52" s="111">
        <f t="shared" si="3"/>
        <v>9.5449999999999993E-2</v>
      </c>
      <c r="J52" s="17">
        <f t="shared" si="4"/>
        <v>1172997.5539499999</v>
      </c>
      <c r="K52" s="16">
        <f t="shared" si="5"/>
        <v>-258686.20755000017</v>
      </c>
      <c r="L52" s="115"/>
      <c r="M52" s="115"/>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f>12793307-1053906</f>
        <v>11739401</v>
      </c>
      <c r="D53" s="94">
        <f t="shared" si="0"/>
        <v>11959546</v>
      </c>
      <c r="E53" s="60">
        <f>220145+12197383</f>
        <v>12417528</v>
      </c>
      <c r="F53" s="51">
        <f t="shared" si="1"/>
        <v>12197383</v>
      </c>
      <c r="G53" s="111">
        <f t="shared" si="2"/>
        <v>7.6670000000000002E-2</v>
      </c>
      <c r="H53" s="15">
        <f t="shared" si="6"/>
        <v>935173.35461000004</v>
      </c>
      <c r="I53" s="111">
        <f t="shared" si="3"/>
        <v>8.3059999999999995E-2</v>
      </c>
      <c r="J53" s="17">
        <f t="shared" si="4"/>
        <v>1013114.6319799999</v>
      </c>
      <c r="K53" s="16">
        <f t="shared" si="5"/>
        <v>77941.277369999909</v>
      </c>
      <c r="L53" s="115"/>
      <c r="M53" s="115"/>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12814637</v>
      </c>
      <c r="D54" s="94">
        <f t="shared" si="0"/>
        <v>12417528</v>
      </c>
      <c r="E54" s="60">
        <f>-397109+12850664</f>
        <v>12453555</v>
      </c>
      <c r="F54" s="51">
        <f t="shared" si="1"/>
        <v>12850664</v>
      </c>
      <c r="G54" s="111">
        <f t="shared" si="2"/>
        <v>8.5690000000000002E-2</v>
      </c>
      <c r="H54" s="15">
        <f t="shared" si="6"/>
        <v>1101173.3981600001</v>
      </c>
      <c r="I54" s="111">
        <f t="shared" si="3"/>
        <v>7.1029999999999996E-2</v>
      </c>
      <c r="J54" s="17">
        <f t="shared" si="4"/>
        <v>912782.66391999996</v>
      </c>
      <c r="K54" s="16">
        <f t="shared" si="5"/>
        <v>-188390.73424000014</v>
      </c>
      <c r="L54" s="115"/>
      <c r="M54" s="115"/>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13150193</v>
      </c>
      <c r="D55" s="94">
        <f t="shared" si="0"/>
        <v>12453555</v>
      </c>
      <c r="E55" s="60">
        <f>-696638+11488748</f>
        <v>10792110</v>
      </c>
      <c r="F55" s="51">
        <f t="shared" si="1"/>
        <v>11488748</v>
      </c>
      <c r="G55" s="111">
        <f t="shared" si="2"/>
        <v>7.0599999999999996E-2</v>
      </c>
      <c r="H55" s="15">
        <f t="shared" si="6"/>
        <v>811105.60879999993</v>
      </c>
      <c r="I55" s="111">
        <f t="shared" si="3"/>
        <v>9.5310000000000006E-2</v>
      </c>
      <c r="J55" s="17">
        <f t="shared" si="4"/>
        <v>1094992.5718800002</v>
      </c>
      <c r="K55" s="16">
        <f t="shared" si="5"/>
        <v>283886.96308000025</v>
      </c>
      <c r="L55" s="115"/>
      <c r="M55" s="115"/>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11952553</v>
      </c>
      <c r="D56" s="94">
        <f t="shared" si="0"/>
        <v>10792110</v>
      </c>
      <c r="E56" s="60">
        <f>-1160443+10972985</f>
        <v>9812542</v>
      </c>
      <c r="F56" s="51">
        <f t="shared" si="1"/>
        <v>10972985</v>
      </c>
      <c r="G56" s="111">
        <f t="shared" si="2"/>
        <v>9.7199999999999995E-2</v>
      </c>
      <c r="H56" s="15">
        <f t="shared" si="6"/>
        <v>1066574.142</v>
      </c>
      <c r="I56" s="111">
        <f t="shared" si="3"/>
        <v>0.11226</v>
      </c>
      <c r="J56" s="17">
        <f t="shared" si="4"/>
        <v>1231827.2960999999</v>
      </c>
      <c r="K56" s="16">
        <f t="shared" si="5"/>
        <v>165253.15409999993</v>
      </c>
      <c r="L56" s="115"/>
      <c r="M56" s="115"/>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11124693</v>
      </c>
      <c r="D57" s="94">
        <f t="shared" si="0"/>
        <v>9812542</v>
      </c>
      <c r="E57" s="60">
        <f>-1312151+10990050</f>
        <v>9677899</v>
      </c>
      <c r="F57" s="51">
        <f t="shared" si="1"/>
        <v>10990050</v>
      </c>
      <c r="G57" s="111">
        <f t="shared" si="2"/>
        <v>0.12271</v>
      </c>
      <c r="H57" s="15">
        <f t="shared" si="6"/>
        <v>1348589.0355</v>
      </c>
      <c r="I57" s="111">
        <f t="shared" si="3"/>
        <v>0.11108999999999999</v>
      </c>
      <c r="J57" s="17">
        <f t="shared" si="4"/>
        <v>1220884.6544999999</v>
      </c>
      <c r="K57" s="16">
        <f t="shared" si="5"/>
        <v>-127704.38100000005</v>
      </c>
      <c r="L57" s="115"/>
      <c r="M57" s="115"/>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11550878</v>
      </c>
      <c r="D58" s="94">
        <f t="shared" si="0"/>
        <v>9677899</v>
      </c>
      <c r="E58" s="60">
        <f>-1872979+11097597</f>
        <v>9224618</v>
      </c>
      <c r="F58" s="51">
        <f t="shared" si="1"/>
        <v>11097597</v>
      </c>
      <c r="G58" s="111">
        <f t="shared" si="2"/>
        <v>0.10594000000000001</v>
      </c>
      <c r="H58" s="15">
        <f t="shared" si="6"/>
        <v>1175679.4261800002</v>
      </c>
      <c r="I58" s="111">
        <f t="shared" si="3"/>
        <v>8.7080000000000005E-2</v>
      </c>
      <c r="J58" s="17">
        <f t="shared" si="4"/>
        <v>966378.74676000001</v>
      </c>
      <c r="K58" s="16">
        <f t="shared" si="5"/>
        <v>-209300.67942000018</v>
      </c>
      <c r="L58" s="115"/>
      <c r="M58" s="115"/>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8" t="s">
        <v>133</v>
      </c>
      <c r="C59" s="97">
        <f>SUM(C47:C58)</f>
        <v>144983442</v>
      </c>
      <c r="D59" s="97">
        <f>SUM(D47:D58)</f>
        <v>141647804</v>
      </c>
      <c r="E59" s="97">
        <f>SUM(E47:E58)</f>
        <v>137560889</v>
      </c>
      <c r="F59" s="97">
        <f>SUM(F47:F58)</f>
        <v>140896527</v>
      </c>
      <c r="G59" s="37"/>
      <c r="H59" s="38">
        <f>SUM(H47:H58)</f>
        <v>13793061.844419997</v>
      </c>
      <c r="I59" s="37"/>
      <c r="J59" s="38">
        <f>SUM(J47:J58)</f>
        <v>13680923.189459998</v>
      </c>
      <c r="K59" s="39">
        <f>SUM(K47:K58)</f>
        <v>-112138.65496000065</v>
      </c>
      <c r="L59" s="115"/>
      <c r="M59" s="115"/>
      <c r="N59" s="31"/>
      <c r="O59" s="32"/>
      <c r="P59" s="32"/>
      <c r="Q59" s="32"/>
      <c r="R59" s="32"/>
      <c r="S59" s="32"/>
      <c r="T59" s="32"/>
      <c r="U59" s="32"/>
      <c r="V59" s="32"/>
      <c r="W59" s="32"/>
    </row>
    <row r="60" spans="1:24" x14ac:dyDescent="0.2">
      <c r="G60" s="4"/>
      <c r="H60" s="140"/>
      <c r="I60" s="4"/>
      <c r="J60" s="69"/>
      <c r="K60" s="126"/>
      <c r="L60" s="115"/>
      <c r="N60" s="29"/>
      <c r="O60" s="30"/>
      <c r="P60" s="30"/>
      <c r="Q60" s="30"/>
      <c r="R60" s="30"/>
      <c r="S60" s="30"/>
      <c r="T60" s="30"/>
      <c r="U60" s="30"/>
      <c r="V60" s="30"/>
      <c r="W60" s="30"/>
    </row>
    <row r="61" spans="1:24" x14ac:dyDescent="0.2">
      <c r="C61" s="142"/>
      <c r="F61" s="145"/>
      <c r="N61" s="29"/>
      <c r="O61" s="30"/>
      <c r="P61" s="30"/>
      <c r="Q61" s="30"/>
      <c r="R61" s="30"/>
      <c r="S61" s="30"/>
      <c r="T61" s="30"/>
      <c r="U61" s="30"/>
      <c r="V61" s="30"/>
      <c r="W61" s="30"/>
    </row>
    <row r="62" spans="1:24" ht="15" x14ac:dyDescent="0.25">
      <c r="A62" s="1" t="s">
        <v>143</v>
      </c>
      <c r="B62" s="47" t="s">
        <v>136</v>
      </c>
      <c r="C62" s="144"/>
      <c r="F62" s="145"/>
      <c r="K62" s="115"/>
      <c r="N62" s="29"/>
      <c r="O62" s="30"/>
      <c r="P62" s="30"/>
      <c r="Q62" s="30"/>
      <c r="R62" s="30"/>
      <c r="S62" s="30"/>
      <c r="T62" s="30"/>
      <c r="U62" s="30"/>
      <c r="V62" s="30"/>
      <c r="W62" s="30"/>
    </row>
    <row r="63" spans="1:24" ht="15" x14ac:dyDescent="0.25">
      <c r="B63" s="3"/>
      <c r="C63" s="2"/>
      <c r="K63" s="123"/>
      <c r="N63" s="29"/>
      <c r="O63" s="29"/>
      <c r="P63" s="29"/>
      <c r="Q63" s="29"/>
      <c r="R63" s="29"/>
      <c r="S63" s="29"/>
      <c r="T63" s="29"/>
      <c r="U63" s="29"/>
      <c r="V63" s="29"/>
      <c r="W63" s="29"/>
    </row>
    <row r="64" spans="1:24" ht="45" x14ac:dyDescent="0.25">
      <c r="A64" s="11"/>
      <c r="B64" s="102" t="s">
        <v>45</v>
      </c>
      <c r="C64" s="48" t="s">
        <v>67</v>
      </c>
      <c r="D64" s="48" t="s">
        <v>121</v>
      </c>
      <c r="E64" s="160" t="s">
        <v>44</v>
      </c>
      <c r="F64" s="160"/>
      <c r="G64" s="160"/>
      <c r="H64" s="160"/>
      <c r="I64" s="160"/>
      <c r="K64" s="121"/>
      <c r="O64" s="29"/>
      <c r="P64" s="29"/>
      <c r="Q64" s="29"/>
      <c r="R64" s="29"/>
      <c r="S64" s="29"/>
      <c r="T64" s="29"/>
      <c r="U64" s="29"/>
      <c r="V64" s="29"/>
      <c r="W64" s="29"/>
      <c r="X64" s="29"/>
    </row>
    <row r="65" spans="1:24" ht="30.75" customHeight="1" x14ac:dyDescent="0.25">
      <c r="A65" s="164" t="s">
        <v>134</v>
      </c>
      <c r="B65" s="165"/>
      <c r="C65" s="166"/>
      <c r="D65" s="127">
        <f>-1340785+453853-109356</f>
        <v>-996288</v>
      </c>
      <c r="E65" s="151"/>
      <c r="F65" s="152"/>
      <c r="G65" s="152"/>
      <c r="H65" s="152"/>
      <c r="I65" s="153"/>
      <c r="K65" s="121"/>
      <c r="O65" s="29"/>
      <c r="P65" s="29"/>
      <c r="Q65" s="29"/>
      <c r="R65" s="29"/>
      <c r="S65" s="29"/>
      <c r="T65" s="29"/>
      <c r="U65" s="29"/>
      <c r="V65" s="29"/>
      <c r="W65" s="29"/>
      <c r="X65" s="29"/>
    </row>
    <row r="66" spans="1:24" ht="47.25" customHeight="1" x14ac:dyDescent="0.2">
      <c r="A66" s="70" t="s">
        <v>51</v>
      </c>
      <c r="B66" s="49" t="s">
        <v>62</v>
      </c>
      <c r="C66" s="112" t="s">
        <v>166</v>
      </c>
      <c r="D66" s="98">
        <v>0</v>
      </c>
      <c r="E66" s="154" t="s">
        <v>174</v>
      </c>
      <c r="F66" s="154"/>
      <c r="G66" s="154"/>
      <c r="H66" s="154"/>
      <c r="I66" s="154"/>
      <c r="K66" s="121"/>
      <c r="O66" s="29"/>
      <c r="P66" s="29"/>
      <c r="Q66" s="29"/>
      <c r="R66" s="29"/>
      <c r="S66" s="29"/>
      <c r="T66" s="29"/>
      <c r="U66" s="29"/>
      <c r="V66" s="29"/>
      <c r="W66" s="29"/>
      <c r="X66" s="29"/>
    </row>
    <row r="67" spans="1:24" ht="28.5" x14ac:dyDescent="0.2">
      <c r="A67" s="70" t="s">
        <v>52</v>
      </c>
      <c r="B67" s="49" t="s">
        <v>79</v>
      </c>
      <c r="C67" s="113" t="s">
        <v>166</v>
      </c>
      <c r="D67" s="114">
        <v>0</v>
      </c>
      <c r="E67" s="161" t="s">
        <v>164</v>
      </c>
      <c r="F67" s="162"/>
      <c r="G67" s="162"/>
      <c r="H67" s="162"/>
      <c r="I67" s="163"/>
      <c r="J67" s="79"/>
      <c r="K67" s="122"/>
      <c r="L67" s="79"/>
      <c r="M67" s="79"/>
      <c r="N67" s="79"/>
      <c r="O67" s="79"/>
      <c r="P67" s="79"/>
      <c r="Q67" s="79"/>
    </row>
    <row r="68" spans="1:24" ht="28.5" x14ac:dyDescent="0.2">
      <c r="A68" s="70" t="s">
        <v>65</v>
      </c>
      <c r="B68" s="49" t="s">
        <v>64</v>
      </c>
      <c r="C68" s="112" t="s">
        <v>165</v>
      </c>
      <c r="D68" s="114">
        <v>533174</v>
      </c>
      <c r="E68" s="161" t="s">
        <v>172</v>
      </c>
      <c r="F68" s="162"/>
      <c r="G68" s="162"/>
      <c r="H68" s="162"/>
      <c r="I68" s="163"/>
      <c r="J68" s="79"/>
      <c r="K68" s="122"/>
      <c r="L68" s="79"/>
      <c r="M68" s="79"/>
      <c r="N68" s="79"/>
      <c r="O68" s="79"/>
      <c r="P68" s="79"/>
      <c r="Q68" s="79"/>
    </row>
    <row r="69" spans="1:24" ht="28.5" customHeight="1" x14ac:dyDescent="0.2">
      <c r="A69" s="70" t="s">
        <v>66</v>
      </c>
      <c r="B69" s="49" t="s">
        <v>63</v>
      </c>
      <c r="C69" s="113" t="s">
        <v>165</v>
      </c>
      <c r="D69" s="114">
        <v>162028</v>
      </c>
      <c r="E69" s="161" t="s">
        <v>173</v>
      </c>
      <c r="F69" s="162"/>
      <c r="G69" s="162"/>
      <c r="H69" s="162"/>
      <c r="I69" s="163"/>
      <c r="J69" s="79"/>
      <c r="K69" s="125"/>
      <c r="L69" s="79"/>
      <c r="M69" s="79"/>
      <c r="N69" s="79"/>
      <c r="O69" s="79"/>
      <c r="P69" s="79"/>
      <c r="Q69" s="79"/>
    </row>
    <row r="70" spans="1:24" ht="28.5" x14ac:dyDescent="0.2">
      <c r="A70" s="70" t="s">
        <v>69</v>
      </c>
      <c r="B70" s="49" t="s">
        <v>71</v>
      </c>
      <c r="C70" s="112" t="s">
        <v>165</v>
      </c>
      <c r="D70" s="98">
        <v>15322</v>
      </c>
      <c r="E70" s="154" t="s">
        <v>169</v>
      </c>
      <c r="F70" s="154"/>
      <c r="G70" s="154"/>
      <c r="H70" s="154"/>
      <c r="I70" s="154"/>
      <c r="J70" s="79"/>
      <c r="K70" s="125"/>
      <c r="L70" s="79"/>
      <c r="M70" s="79"/>
      <c r="N70" s="79"/>
      <c r="O70" s="79"/>
      <c r="P70" s="79"/>
      <c r="Q70" s="79"/>
    </row>
    <row r="71" spans="1:24" ht="28.5" x14ac:dyDescent="0.2">
      <c r="A71" s="70" t="s">
        <v>70</v>
      </c>
      <c r="B71" s="49" t="s">
        <v>72</v>
      </c>
      <c r="C71" s="112" t="s">
        <v>165</v>
      </c>
      <c r="D71" s="98">
        <v>-18932</v>
      </c>
      <c r="E71" s="154" t="s">
        <v>170</v>
      </c>
      <c r="F71" s="154"/>
      <c r="G71" s="154"/>
      <c r="H71" s="154"/>
      <c r="I71" s="154"/>
      <c r="J71" s="79"/>
      <c r="K71" s="125"/>
      <c r="L71" s="79"/>
      <c r="M71" s="79"/>
      <c r="N71" s="79"/>
      <c r="O71" s="79"/>
      <c r="P71" s="79"/>
      <c r="Q71" s="79"/>
    </row>
    <row r="72" spans="1:24" ht="33.75" customHeight="1" x14ac:dyDescent="0.2">
      <c r="A72" s="70">
        <v>4</v>
      </c>
      <c r="B72" s="49" t="s">
        <v>68</v>
      </c>
      <c r="C72" s="112" t="s">
        <v>165</v>
      </c>
      <c r="D72" s="98">
        <f>59844-51965</f>
        <v>7879</v>
      </c>
      <c r="E72" s="154" t="s">
        <v>167</v>
      </c>
      <c r="F72" s="154"/>
      <c r="G72" s="154"/>
      <c r="H72" s="154"/>
      <c r="I72" s="154"/>
      <c r="J72" s="79"/>
      <c r="K72" s="125"/>
      <c r="L72" s="79"/>
      <c r="M72" s="79"/>
      <c r="N72" s="79"/>
      <c r="O72" s="79"/>
      <c r="P72" s="79"/>
      <c r="Q72" s="79"/>
    </row>
    <row r="73" spans="1:24" ht="42.75" x14ac:dyDescent="0.2">
      <c r="A73" s="70">
        <v>5</v>
      </c>
      <c r="B73" s="49" t="s">
        <v>81</v>
      </c>
      <c r="C73" s="112" t="s">
        <v>166</v>
      </c>
      <c r="D73" s="98"/>
      <c r="E73" s="154"/>
      <c r="F73" s="154"/>
      <c r="G73" s="154"/>
      <c r="H73" s="154"/>
      <c r="I73" s="154"/>
      <c r="J73" s="79"/>
      <c r="K73" s="125"/>
      <c r="L73" s="79"/>
      <c r="M73" s="79"/>
      <c r="N73" s="79"/>
      <c r="O73" s="79"/>
      <c r="P73" s="79"/>
      <c r="Q73" s="79"/>
    </row>
    <row r="74" spans="1:24" ht="28.5" x14ac:dyDescent="0.2">
      <c r="A74" s="54">
        <v>6</v>
      </c>
      <c r="B74" s="129" t="s">
        <v>137</v>
      </c>
      <c r="C74" s="112" t="s">
        <v>165</v>
      </c>
      <c r="D74" s="98">
        <v>5176</v>
      </c>
      <c r="E74" s="154" t="s">
        <v>168</v>
      </c>
      <c r="F74" s="154"/>
      <c r="G74" s="154"/>
      <c r="H74" s="154"/>
      <c r="I74" s="154"/>
      <c r="K74" s="29"/>
    </row>
    <row r="75" spans="1:24" x14ac:dyDescent="0.2">
      <c r="A75" s="54">
        <v>7</v>
      </c>
      <c r="B75" s="46" t="s">
        <v>163</v>
      </c>
      <c r="C75" s="112" t="s">
        <v>165</v>
      </c>
      <c r="D75" s="98">
        <v>106032</v>
      </c>
      <c r="E75" s="154" t="s">
        <v>171</v>
      </c>
      <c r="F75" s="154"/>
      <c r="G75" s="154"/>
      <c r="H75" s="154"/>
      <c r="I75" s="154"/>
    </row>
    <row r="76" spans="1:24" x14ac:dyDescent="0.2">
      <c r="A76" s="54">
        <v>8</v>
      </c>
      <c r="B76" s="46"/>
      <c r="C76" s="10"/>
      <c r="D76" s="98"/>
      <c r="E76" s="154"/>
      <c r="F76" s="154"/>
      <c r="G76" s="154"/>
      <c r="H76" s="154"/>
      <c r="I76" s="154"/>
    </row>
    <row r="77" spans="1:24" x14ac:dyDescent="0.2">
      <c r="A77" s="54">
        <v>9</v>
      </c>
      <c r="B77" s="46"/>
      <c r="C77" s="10"/>
      <c r="D77" s="98"/>
      <c r="E77" s="161"/>
      <c r="F77" s="162"/>
      <c r="G77" s="162"/>
      <c r="H77" s="162"/>
      <c r="I77" s="163"/>
    </row>
    <row r="78" spans="1:24" x14ac:dyDescent="0.2">
      <c r="A78" s="54">
        <v>10</v>
      </c>
      <c r="B78" s="46"/>
      <c r="C78" s="10"/>
      <c r="D78" s="98"/>
      <c r="E78" s="154"/>
      <c r="F78" s="154"/>
      <c r="G78" s="154"/>
      <c r="H78" s="154"/>
      <c r="I78" s="154"/>
    </row>
    <row r="79" spans="1:24" ht="15" x14ac:dyDescent="0.25">
      <c r="A79" s="1" t="s">
        <v>150</v>
      </c>
      <c r="B79" s="2" t="s">
        <v>131</v>
      </c>
      <c r="C79" s="2"/>
      <c r="D79" s="99">
        <f>SUM(D65:D78)</f>
        <v>-185609</v>
      </c>
      <c r="E79" s="25"/>
      <c r="F79" s="25"/>
      <c r="G79" s="25"/>
      <c r="H79" s="25"/>
    </row>
    <row r="80" spans="1:24" ht="15" x14ac:dyDescent="0.25">
      <c r="B80" s="124" t="s">
        <v>132</v>
      </c>
      <c r="C80" s="71"/>
      <c r="D80" s="99">
        <f>K59</f>
        <v>-112138.65496000065</v>
      </c>
      <c r="E80" s="25"/>
      <c r="F80" s="25"/>
      <c r="G80" s="25"/>
      <c r="H80" s="25"/>
    </row>
    <row r="81" spans="1:19" ht="15" x14ac:dyDescent="0.25">
      <c r="B81" s="71" t="s">
        <v>24</v>
      </c>
      <c r="C81" s="71"/>
      <c r="D81" s="100">
        <f>D79-D80</f>
        <v>-73470.345039999345</v>
      </c>
    </row>
    <row r="82" spans="1:19" ht="15.75" thickBot="1" x14ac:dyDescent="0.3">
      <c r="B82" s="135" t="s">
        <v>73</v>
      </c>
      <c r="C82" s="72"/>
      <c r="D82" s="61">
        <f>IF(ISERROR(D81/J59),0,D81/J59)</f>
        <v>-5.3702768462732158E-3</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6">
        <v>2016</v>
      </c>
      <c r="C88" s="107">
        <f>K59</f>
        <v>-112138.65496000065</v>
      </c>
      <c r="D88" s="107">
        <f>D65</f>
        <v>-996288</v>
      </c>
      <c r="E88" s="108">
        <f>SUM(D66:D78)</f>
        <v>810679</v>
      </c>
      <c r="F88" s="131">
        <f>SUM(D88:E88)</f>
        <v>-185609</v>
      </c>
      <c r="G88" s="109">
        <f>F88-C88</f>
        <v>-73470.345039999345</v>
      </c>
      <c r="H88" s="108">
        <f>J59</f>
        <v>13680923.189459998</v>
      </c>
      <c r="I88" s="105">
        <f>IF(ISERROR(G88/H88),0,G88/H88)</f>
        <v>-5.3702768462732158E-3</v>
      </c>
      <c r="J88" s="79"/>
      <c r="K88" s="79"/>
      <c r="L88" s="35"/>
      <c r="M88" s="35"/>
      <c r="N88" s="35"/>
      <c r="O88" s="35"/>
      <c r="P88" s="35"/>
      <c r="Q88" s="35"/>
      <c r="R88" s="35"/>
      <c r="S88" s="35"/>
    </row>
    <row r="89" spans="1:19" x14ac:dyDescent="0.2">
      <c r="B89" s="116"/>
      <c r="C89" s="107"/>
      <c r="D89" s="107"/>
      <c r="E89" s="108"/>
      <c r="F89" s="131">
        <f t="shared" ref="F89:F91" si="7">SUM(D89:E89)</f>
        <v>0</v>
      </c>
      <c r="G89" s="109">
        <f>F89-C89</f>
        <v>0</v>
      </c>
      <c r="H89" s="108"/>
      <c r="I89" s="105">
        <f>IF(ISERROR(G89/H89),0,G89/H89)</f>
        <v>0</v>
      </c>
      <c r="J89" s="79"/>
      <c r="K89" s="79"/>
      <c r="L89" s="35"/>
      <c r="M89" s="35"/>
      <c r="N89" s="35"/>
      <c r="O89" s="35"/>
      <c r="P89" s="35"/>
      <c r="Q89" s="35"/>
      <c r="R89" s="35"/>
      <c r="S89" s="35"/>
    </row>
    <row r="90" spans="1:19" x14ac:dyDescent="0.2">
      <c r="B90" s="116"/>
      <c r="C90" s="107"/>
      <c r="D90" s="107"/>
      <c r="E90" s="108"/>
      <c r="F90" s="131">
        <f t="shared" si="7"/>
        <v>0</v>
      </c>
      <c r="G90" s="109">
        <f>F90-C90</f>
        <v>0</v>
      </c>
      <c r="H90" s="108"/>
      <c r="I90" s="105">
        <f>IF(ISERROR(G90/H90),0,G90/H90)</f>
        <v>0</v>
      </c>
      <c r="J90" s="79"/>
      <c r="K90" s="79"/>
      <c r="L90" s="35"/>
      <c r="M90" s="35"/>
      <c r="N90" s="35"/>
      <c r="O90" s="35"/>
      <c r="P90" s="35"/>
      <c r="Q90" s="35"/>
      <c r="R90" s="35"/>
      <c r="S90" s="35"/>
    </row>
    <row r="91" spans="1:19" ht="15" thickBot="1" x14ac:dyDescent="0.25">
      <c r="B91" s="116"/>
      <c r="C91" s="110"/>
      <c r="D91" s="110"/>
      <c r="E91" s="110"/>
      <c r="F91" s="131">
        <f t="shared" si="7"/>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30">
        <f t="shared" ref="C92:H92" si="8">SUM(C88:C91)</f>
        <v>-112138.65496000065</v>
      </c>
      <c r="D92" s="130">
        <f t="shared" si="8"/>
        <v>-996288</v>
      </c>
      <c r="E92" s="130">
        <f t="shared" si="8"/>
        <v>810679</v>
      </c>
      <c r="F92" s="132">
        <f t="shared" si="8"/>
        <v>-185609</v>
      </c>
      <c r="G92" s="130">
        <f>SUM(G88:G91)</f>
        <v>-73470.345039999345</v>
      </c>
      <c r="H92" s="77">
        <f t="shared" si="8"/>
        <v>13680923.189459998</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scale="49" fitToHeight="0"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Jennifer Dionne</cp:lastModifiedBy>
  <cp:lastPrinted>2017-09-19T13:51:03Z</cp:lastPrinted>
  <dcterms:created xsi:type="dcterms:W3CDTF">2017-05-01T19:29:01Z</dcterms:created>
  <dcterms:modified xsi:type="dcterms:W3CDTF">2017-09-20T12:31:21Z</dcterms:modified>
</cp:coreProperties>
</file>