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60" yWindow="-225" windowWidth="22890" windowHeight="13290"/>
  </bookViews>
  <sheets>
    <sheet name="Rate Rider Calculation" sheetId="1" r:id="rId1"/>
    <sheet name="Sheet2" sheetId="2" r:id="rId2"/>
    <sheet name="Sheet3" sheetId="3" r:id="rId3"/>
  </sheets>
  <externalReferences>
    <externalReference r:id="rId4"/>
  </externalReferences>
  <calcPr calcId="145621" iterate="1"/>
</workbook>
</file>

<file path=xl/calcChain.xml><?xml version="1.0" encoding="utf-8"?>
<calcChain xmlns="http://schemas.openxmlformats.org/spreadsheetml/2006/main">
  <c r="F20" i="1" l="1"/>
  <c r="F123" i="1" l="1"/>
  <c r="E88" i="1" l="1"/>
  <c r="E87" i="1"/>
  <c r="E86" i="1"/>
  <c r="E85" i="1"/>
  <c r="E84" i="1"/>
  <c r="E83" i="1"/>
  <c r="D123" i="1"/>
  <c r="E123" i="1" s="1"/>
  <c r="E122" i="1"/>
  <c r="G122" i="1" s="1"/>
  <c r="E121" i="1"/>
  <c r="G121" i="1" s="1"/>
  <c r="E120" i="1"/>
  <c r="G120" i="1" s="1"/>
  <c r="E119" i="1"/>
  <c r="G119" i="1" s="1"/>
  <c r="E118" i="1"/>
  <c r="G118" i="1" s="1"/>
  <c r="E117" i="1"/>
  <c r="G117" i="1" s="1"/>
  <c r="E116" i="1"/>
  <c r="G116" i="1" s="1"/>
  <c r="H122" i="1"/>
  <c r="H121" i="1"/>
  <c r="H120" i="1"/>
  <c r="H119" i="1"/>
  <c r="H118" i="1"/>
  <c r="H117" i="1"/>
  <c r="H116" i="1"/>
  <c r="F124" i="1" l="1"/>
  <c r="C108" i="1" l="1"/>
  <c r="C107" i="1"/>
  <c r="H107" i="1" s="1"/>
  <c r="C106" i="1"/>
  <c r="D106" i="1" s="1"/>
  <c r="E106" i="1" s="1"/>
  <c r="C105" i="1"/>
  <c r="H105" i="1" s="1"/>
  <c r="C104" i="1"/>
  <c r="C103" i="1"/>
  <c r="C102" i="1"/>
  <c r="H102" i="1" s="1"/>
  <c r="C101" i="1"/>
  <c r="C100" i="1"/>
  <c r="H100" i="1" s="1"/>
  <c r="C90" i="1"/>
  <c r="H90" i="1" s="1"/>
  <c r="C89" i="1"/>
  <c r="D89" i="1" s="1"/>
  <c r="H88" i="1"/>
  <c r="H86" i="1"/>
  <c r="H85" i="1"/>
  <c r="H83" i="1"/>
  <c r="C74" i="1"/>
  <c r="H74" i="1" s="1"/>
  <c r="C73" i="1"/>
  <c r="H73" i="1" s="1"/>
  <c r="C72" i="1"/>
  <c r="H72" i="1" s="1"/>
  <c r="C71" i="1"/>
  <c r="H71" i="1" s="1"/>
  <c r="C70" i="1"/>
  <c r="H70" i="1" s="1"/>
  <c r="C69" i="1"/>
  <c r="H69" i="1" s="1"/>
  <c r="C68" i="1"/>
  <c r="H68" i="1" s="1"/>
  <c r="C67" i="1"/>
  <c r="H67" i="1" s="1"/>
  <c r="C66" i="1"/>
  <c r="H66" i="1" s="1"/>
  <c r="H65" i="1"/>
  <c r="H64" i="1"/>
  <c r="H63" i="1"/>
  <c r="H62" i="1"/>
  <c r="H61" i="1"/>
  <c r="H60" i="1"/>
  <c r="H59" i="1"/>
  <c r="H58" i="1"/>
  <c r="H57" i="1"/>
  <c r="H56" i="1"/>
  <c r="H55" i="1"/>
  <c r="C48" i="1"/>
  <c r="H48" i="1" s="1"/>
  <c r="C47" i="1"/>
  <c r="D47" i="1" s="1"/>
  <c r="E47" i="1" s="1"/>
  <c r="H46" i="1"/>
  <c r="D45" i="1"/>
  <c r="E45" i="1" s="1"/>
  <c r="H44" i="1"/>
  <c r="D43" i="1"/>
  <c r="E43" i="1" s="1"/>
  <c r="C41" i="1"/>
  <c r="C40" i="1"/>
  <c r="C33" i="1"/>
  <c r="H33" i="1" s="1"/>
  <c r="B33" i="1"/>
  <c r="C32" i="1"/>
  <c r="D32" i="1" s="1"/>
  <c r="B32" i="1"/>
  <c r="C31" i="1"/>
  <c r="H31" i="1" s="1"/>
  <c r="B31" i="1"/>
  <c r="C30" i="1"/>
  <c r="B30" i="1"/>
  <c r="C29" i="1"/>
  <c r="H29" i="1" s="1"/>
  <c r="B29" i="1"/>
  <c r="C28" i="1"/>
  <c r="H28" i="1" s="1"/>
  <c r="B28" i="1"/>
  <c r="C27" i="1"/>
  <c r="B27" i="1"/>
  <c r="C26" i="1"/>
  <c r="H26" i="1" s="1"/>
  <c r="B26" i="1"/>
  <c r="C25" i="1"/>
  <c r="B25" i="1"/>
  <c r="C18" i="1"/>
  <c r="H18" i="1" s="1"/>
  <c r="B18" i="1"/>
  <c r="C17" i="1"/>
  <c r="D17" i="1" s="1"/>
  <c r="B17" i="1"/>
  <c r="B89" i="1" s="1"/>
  <c r="C16" i="1"/>
  <c r="D16" i="1" s="1"/>
  <c r="E16" i="1" s="1"/>
  <c r="B16" i="1"/>
  <c r="C15" i="1"/>
  <c r="H15" i="1" s="1"/>
  <c r="B15" i="1"/>
  <c r="C14" i="1"/>
  <c r="B14" i="1"/>
  <c r="B70" i="1" s="1"/>
  <c r="C13" i="1"/>
  <c r="H13" i="1" s="1"/>
  <c r="B13" i="1"/>
  <c r="C12" i="1"/>
  <c r="H12" i="1" s="1"/>
  <c r="B12" i="1"/>
  <c r="C11" i="1"/>
  <c r="B11" i="1"/>
  <c r="B66" i="1" s="1"/>
  <c r="C10" i="1"/>
  <c r="D10" i="1" s="1"/>
  <c r="E10" i="1" s="1"/>
  <c r="B10" i="1"/>
  <c r="D11" i="1" l="1"/>
  <c r="E11" i="1" s="1"/>
  <c r="H42" i="1"/>
  <c r="H17" i="1"/>
  <c r="B82" i="1"/>
  <c r="D90" i="1"/>
  <c r="D91" i="1" s="1"/>
  <c r="D100" i="1"/>
  <c r="H45" i="1"/>
  <c r="H87" i="1"/>
  <c r="H103" i="1"/>
  <c r="H10" i="1"/>
  <c r="H25" i="1"/>
  <c r="D33" i="1"/>
  <c r="H41" i="1"/>
  <c r="H43" i="1"/>
  <c r="H82" i="1"/>
  <c r="H89" i="1"/>
  <c r="D107" i="1"/>
  <c r="H27" i="1"/>
  <c r="B84" i="1"/>
  <c r="H104" i="1"/>
  <c r="B64" i="1"/>
  <c r="B90" i="1"/>
  <c r="B108" i="1"/>
  <c r="B48" i="1"/>
  <c r="B85" i="1"/>
  <c r="B68" i="1"/>
  <c r="B103" i="1"/>
  <c r="B43" i="1"/>
  <c r="H40" i="1"/>
  <c r="B74" i="1"/>
  <c r="D101" i="1"/>
  <c r="E101" i="1" s="1"/>
  <c r="H101" i="1"/>
  <c r="B88" i="1"/>
  <c r="B72" i="1"/>
  <c r="B46" i="1"/>
  <c r="B83" i="1"/>
  <c r="B101" i="1"/>
  <c r="B86" i="1"/>
  <c r="B44" i="1"/>
  <c r="B104" i="1"/>
  <c r="B41" i="1"/>
  <c r="B106" i="1"/>
  <c r="D108" i="1"/>
  <c r="H108" i="1"/>
  <c r="H11" i="1"/>
  <c r="H14" i="1"/>
  <c r="H16" i="1"/>
  <c r="B100" i="1"/>
  <c r="B65" i="1"/>
  <c r="B102" i="1"/>
  <c r="B42" i="1"/>
  <c r="B69" i="1"/>
  <c r="B105" i="1"/>
  <c r="B45" i="1"/>
  <c r="B107" i="1"/>
  <c r="B73" i="1"/>
  <c r="B47" i="1"/>
  <c r="D18" i="1"/>
  <c r="B40" i="1"/>
  <c r="H47" i="1"/>
  <c r="H84" i="1"/>
  <c r="H106" i="1"/>
  <c r="H30" i="1"/>
  <c r="H32" i="1"/>
  <c r="B67" i="1"/>
  <c r="B71" i="1"/>
  <c r="B87" i="1"/>
  <c r="D44" i="1"/>
  <c r="E44" i="1" s="1"/>
  <c r="D46" i="1"/>
  <c r="E46" i="1" s="1"/>
  <c r="D48" i="1"/>
  <c r="E48" i="1" s="1"/>
  <c r="E91" i="1" l="1"/>
  <c r="D92" i="1"/>
  <c r="E100" i="1"/>
  <c r="D103" i="1" l="1"/>
  <c r="E103" i="1" s="1"/>
  <c r="D13" i="1"/>
  <c r="E13" i="1" s="1"/>
  <c r="D14" i="1"/>
  <c r="E14" i="1" s="1"/>
  <c r="D104" i="1"/>
  <c r="E104" i="1" s="1"/>
  <c r="D102" i="1"/>
  <c r="D12" i="1"/>
  <c r="E12" i="1" s="1"/>
  <c r="D15" i="1"/>
  <c r="E15" i="1" s="1"/>
  <c r="D105" i="1"/>
  <c r="E105" i="1" s="1"/>
  <c r="E102" i="1" l="1"/>
  <c r="D109" i="1"/>
  <c r="D19" i="1"/>
  <c r="D31" i="1"/>
  <c r="E31" i="1" s="1"/>
  <c r="D28" i="1"/>
  <c r="E28" i="1" s="1"/>
  <c r="D42" i="1"/>
  <c r="D41" i="1"/>
  <c r="E41" i="1" s="1"/>
  <c r="D40" i="1"/>
  <c r="E40" i="1" s="1"/>
  <c r="D25" i="1"/>
  <c r="D20" i="1" l="1"/>
  <c r="D124" i="1"/>
  <c r="E124" i="1" s="1"/>
  <c r="E109" i="1"/>
  <c r="D110" i="1"/>
  <c r="E25" i="1"/>
  <c r="E19" i="1"/>
  <c r="E42" i="1"/>
  <c r="D49" i="1"/>
  <c r="D29" i="1"/>
  <c r="E29" i="1" s="1"/>
  <c r="D30" i="1"/>
  <c r="E30" i="1" s="1"/>
  <c r="D27" i="1"/>
  <c r="E27" i="1" s="1"/>
  <c r="D26" i="1"/>
  <c r="E26" i="1" s="1"/>
  <c r="F107" i="1"/>
  <c r="G107" i="1" s="1"/>
  <c r="F106" i="1"/>
  <c r="G106" i="1" s="1"/>
  <c r="F102" i="1"/>
  <c r="G102" i="1" s="1"/>
  <c r="F103" i="1"/>
  <c r="G103" i="1" s="1"/>
  <c r="F108" i="1"/>
  <c r="G108" i="1" s="1"/>
  <c r="F105" i="1"/>
  <c r="G105" i="1" s="1"/>
  <c r="F104" i="1"/>
  <c r="G104" i="1" s="1"/>
  <c r="F100" i="1"/>
  <c r="G100" i="1" s="1"/>
  <c r="F101" i="1"/>
  <c r="G101" i="1" s="1"/>
  <c r="F45" i="1"/>
  <c r="G45" i="1" s="1"/>
  <c r="F48" i="1"/>
  <c r="G48" i="1" s="1"/>
  <c r="F46" i="1"/>
  <c r="F43" i="1"/>
  <c r="G150" i="1" l="1"/>
  <c r="G153" i="1"/>
  <c r="G154" i="1"/>
  <c r="G152" i="1"/>
  <c r="G155" i="1"/>
  <c r="G156" i="1"/>
  <c r="G151" i="1"/>
  <c r="G145" i="1"/>
  <c r="E49" i="1"/>
  <c r="D50" i="1"/>
  <c r="F109" i="1"/>
  <c r="F110" i="1" s="1"/>
  <c r="D34" i="1"/>
  <c r="F42" i="1"/>
  <c r="F47" i="1"/>
  <c r="G47" i="1" s="1"/>
  <c r="F44" i="1"/>
  <c r="F82" i="1"/>
  <c r="G82" i="1" s="1"/>
  <c r="F40" i="1"/>
  <c r="E34" i="1" l="1"/>
  <c r="D35" i="1"/>
  <c r="F41" i="1"/>
  <c r="F17" i="1"/>
  <c r="F18" i="1"/>
  <c r="F85" i="1"/>
  <c r="G85" i="1" s="1"/>
  <c r="F83" i="1"/>
  <c r="G83" i="1" s="1"/>
  <c r="F15" i="1"/>
  <c r="G15" i="1" s="1"/>
  <c r="F88" i="1"/>
  <c r="G88" i="1" s="1"/>
  <c r="F33" i="1"/>
  <c r="G33" i="1" s="1"/>
  <c r="F32" i="1"/>
  <c r="G32" i="1" s="1"/>
  <c r="F10" i="1"/>
  <c r="G10" i="1" s="1"/>
  <c r="F13" i="1"/>
  <c r="G13" i="1" s="1"/>
  <c r="F14" i="1"/>
  <c r="G14" i="1" s="1"/>
  <c r="F11" i="1"/>
  <c r="G11" i="1" s="1"/>
  <c r="F84" i="1"/>
  <c r="G84" i="1" s="1"/>
  <c r="F12" i="1"/>
  <c r="G12" i="1" s="1"/>
  <c r="F16" i="1"/>
  <c r="G16" i="1" s="1"/>
  <c r="F86" i="1"/>
  <c r="G86" i="1" s="1"/>
  <c r="F90" i="1"/>
  <c r="G90" i="1" s="1"/>
  <c r="F89" i="1"/>
  <c r="G89" i="1" s="1"/>
  <c r="F87" i="1"/>
  <c r="G87" i="1" s="1"/>
  <c r="F91" i="1" l="1"/>
  <c r="F92" i="1" s="1"/>
  <c r="F49" i="1"/>
  <c r="F30" i="1"/>
  <c r="G30" i="1" s="1"/>
  <c r="F19" i="1"/>
  <c r="F29" i="1"/>
  <c r="G29" i="1" s="1"/>
  <c r="F25" i="1"/>
  <c r="G25" i="1" s="1"/>
  <c r="G130" i="1" s="1"/>
  <c r="F26" i="1"/>
  <c r="G26" i="1" s="1"/>
  <c r="F28" i="1"/>
  <c r="G28" i="1" s="1"/>
  <c r="F31" i="1"/>
  <c r="G31" i="1" s="1"/>
  <c r="F27" i="1"/>
  <c r="G27" i="1" s="1"/>
  <c r="G135" i="1" l="1"/>
  <c r="G132" i="1"/>
  <c r="G134" i="1"/>
  <c r="G133" i="1"/>
  <c r="G131" i="1"/>
  <c r="G136" i="1"/>
  <c r="G49" i="1"/>
  <c r="G40" i="1" s="1"/>
  <c r="G140" i="1" s="1"/>
  <c r="F50" i="1"/>
  <c r="F34" i="1"/>
  <c r="F35" i="1" s="1"/>
  <c r="G41" i="1" l="1"/>
  <c r="G42" i="1" l="1"/>
  <c r="G141" i="1"/>
  <c r="G142" i="1" l="1"/>
  <c r="G43" i="1"/>
  <c r="G44" i="1" l="1"/>
  <c r="G143" i="1"/>
  <c r="G144" i="1" l="1"/>
  <c r="G46" i="1"/>
  <c r="G146" i="1" s="1"/>
</calcChain>
</file>

<file path=xl/sharedStrings.xml><?xml version="1.0" encoding="utf-8"?>
<sst xmlns="http://schemas.openxmlformats.org/spreadsheetml/2006/main" count="152" uniqueCount="53">
  <si>
    <t>2017 DEFERRAL / VARIANCE ACCOUNT WORKFORM</t>
  </si>
  <si>
    <t xml:space="preserve"> Please indicate the Rate Rider Recovery Period (in years)</t>
  </si>
  <si>
    <t>Rate Rider Calculation for Deferral / Variance Accounts Balances (excluding Global Adj.)</t>
  </si>
  <si>
    <t>1550, 1551, 1584, 1586, 1595</t>
  </si>
  <si>
    <r>
      <t xml:space="preserve">Rate Class 
</t>
    </r>
    <r>
      <rPr>
        <b/>
        <sz val="8"/>
        <rFont val="Arial"/>
        <family val="2"/>
      </rPr>
      <t>(Enter Rate Classes in cells below)</t>
    </r>
  </si>
  <si>
    <t>Units</t>
  </si>
  <si>
    <t>kW / kWh / # of Customers</t>
  </si>
  <si>
    <t>Allocated Balance (excluding 1589)</t>
  </si>
  <si>
    <t>Rate Rider for Deferral/Variance Accounts</t>
  </si>
  <si>
    <t>kWh</t>
  </si>
  <si>
    <t>kW</t>
  </si>
  <si>
    <t>Total</t>
  </si>
  <si>
    <t>Rate Rider Calculation for Deferral / Variance Accounts Balances (excluding Global Adj.) - NON-WMP</t>
  </si>
  <si>
    <t>1580 and 1588</t>
  </si>
  <si>
    <t>Rate Rider Calculation for RSVA - Power - Global Adjustment</t>
  </si>
  <si>
    <t>Balance of Account 1589 Allocated to Non-WMPs</t>
  </si>
  <si>
    <t>Balance of RSVA - Power - Global Adjustment</t>
  </si>
  <si>
    <t>Rate Rider for RSVA - Power - Global Adjustment</t>
  </si>
  <si>
    <t>Rate Rider Calculation for RSVA - Power - Global Adjustment - Class A Non-WMP Customers</t>
  </si>
  <si>
    <t>Balance of Account 1589 allocated to Class A Non-WMP Customers</t>
  </si>
  <si>
    <t>Non-RPP kW / kWh / # of Customers</t>
  </si>
  <si>
    <t>Rate Rider Calculation for Group 2 Accounts</t>
  </si>
  <si>
    <t># of Customers</t>
  </si>
  <si>
    <t>Balance of Group 2 Accounts</t>
  </si>
  <si>
    <t>Rate Rider Calculation for Accounts 1568</t>
  </si>
  <si>
    <t>Balance of 
Account 1568</t>
  </si>
  <si>
    <t>Rate Rider for Account 1568</t>
  </si>
  <si>
    <t>7 Months Forecast</t>
  </si>
  <si>
    <t>7 Month Rate Rider for Deferral/Variance Accounts</t>
  </si>
  <si>
    <t xml:space="preserve">Allocated Balance Class B Only </t>
  </si>
  <si>
    <t>RESIDENTIAL</t>
  </si>
  <si>
    <t>GS &lt; 50KW</t>
  </si>
  <si>
    <t>GS &gt; 50- 999 KW</t>
  </si>
  <si>
    <t>GS &gt;1000 KW</t>
  </si>
  <si>
    <t>STREET LIGHTS</t>
  </si>
  <si>
    <t>SENTINEL LIGHTS</t>
  </si>
  <si>
    <t>UNMETERED SCATTERED LOAD</t>
  </si>
  <si>
    <t>1580, 1584, 1586, 1588, 1595, 1518, 1548, 1551</t>
  </si>
  <si>
    <t>1508, 1518, 1555, 1548, 1592, 1532</t>
  </si>
  <si>
    <t>7 Months</t>
  </si>
  <si>
    <t xml:space="preserve">Rate Rider ( October 1st 2017 - April 30 2018) </t>
  </si>
  <si>
    <t>Group 1 &amp;     Group 2</t>
  </si>
  <si>
    <t xml:space="preserve">Group 1 Non- RPP </t>
  </si>
  <si>
    <t>LRAM</t>
  </si>
  <si>
    <t>7 Months of Load Forecast</t>
  </si>
  <si>
    <r>
      <t xml:space="preserve">Metered Consumption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>for Current Class B Customers (Non-RPP consumption LESS WMP, Class A and new Class A's former Class B consumption, if applicable)</t>
    </r>
  </si>
  <si>
    <t>SB=0</t>
  </si>
  <si>
    <t xml:space="preserve">Thunder Bay Hydro has prorated its full 2015 disposition amounts on its deferral and variance accounts over a 7 month billing period. This aligns the disposition of its deferral and variance rate riders with the Board Decision Implementation Date. </t>
  </si>
  <si>
    <t>Rate Rider Calculation for Accounts 1580 - CBDR Class B</t>
  </si>
  <si>
    <t>1580 - B</t>
  </si>
  <si>
    <t>Monthly</t>
  </si>
  <si>
    <t xml:space="preserve">Group Two </t>
  </si>
  <si>
    <t>Rate Rider Tariff &amp; Rate Sheet Grouping: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</si>
</sst>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-&quot;$&quot;* #,##0_-;\-&quot;$&quot;* #,##0_-;_-&quot;$&quot;* &quot;-&quot;??_-;_-@_-"/>
    <numFmt numFmtId="166" formatCode="_-* #,##0.0000_-;\-* #,##0.0000_-;_-* &quot;-&quot;??_-;_-@_-"/>
    <numFmt numFmtId="167" formatCode="_-&quot;$&quot;* #,##0.0000_-;\-&quot;$&quot;* #,##0.0000_-;_-&quot;$&quot;* &quot;-&quot;??_-;_-@_-"/>
    <numFmt numFmtId="168" formatCode="#,##0;[Red]\(#,##0\)"/>
    <numFmt numFmtId="169" formatCode="#,##0.0000;[Red]\(#,##0.00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3"/>
      <name val="Cambria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44" fontId="3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3"/>
    <xf numFmtId="0" fontId="0" fillId="0" borderId="0" xfId="0" applyProtection="1"/>
    <xf numFmtId="0" fontId="4" fillId="0" borderId="0" xfId="4" applyFont="1" applyAlignment="1" applyProtection="1">
      <alignment vertical="top"/>
    </xf>
    <xf numFmtId="0" fontId="4" fillId="0" borderId="0" xfId="4" applyFont="1" applyAlignment="1" applyProtection="1">
      <alignment vertical="top" wrapText="1"/>
    </xf>
    <xf numFmtId="0" fontId="4" fillId="2" borderId="1" xfId="4" applyFont="1" applyFill="1" applyBorder="1" applyAlignment="1" applyProtection="1">
      <alignment horizontal="center"/>
      <protection locked="0"/>
    </xf>
    <xf numFmtId="0" fontId="5" fillId="0" borderId="0" xfId="0" applyFont="1" applyProtection="1"/>
    <xf numFmtId="0" fontId="6" fillId="0" borderId="0" xfId="0" applyFont="1" applyProtection="1"/>
    <xf numFmtId="0" fontId="4" fillId="3" borderId="2" xfId="5" applyFont="1" applyFill="1" applyBorder="1" applyAlignment="1" applyProtection="1">
      <alignment horizontal="center" vertical="center" wrapText="1"/>
    </xf>
    <xf numFmtId="0" fontId="4" fillId="3" borderId="3" xfId="5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Protection="1"/>
    <xf numFmtId="0" fontId="3" fillId="2" borderId="1" xfId="0" applyFont="1" applyFill="1" applyBorder="1" applyAlignment="1" applyProtection="1">
      <alignment horizontal="center" vertical="center"/>
      <protection locked="0"/>
    </xf>
    <xf numFmtId="164" fontId="0" fillId="0" borderId="1" xfId="1" applyNumberFormat="1" applyFont="1" applyBorder="1" applyAlignment="1" applyProtection="1">
      <alignment horizontal="center" vertical="center"/>
    </xf>
    <xf numFmtId="165" fontId="0" fillId="0" borderId="1" xfId="2" applyNumberFormat="1" applyFont="1" applyBorder="1" applyProtection="1"/>
    <xf numFmtId="166" fontId="4" fillId="0" borderId="1" xfId="1" applyNumberFormat="1" applyFont="1" applyBorder="1" applyAlignment="1" applyProtection="1">
      <alignment horizontal="center" vertical="center"/>
    </xf>
    <xf numFmtId="0" fontId="8" fillId="0" borderId="0" xfId="0" applyFont="1" applyProtection="1"/>
    <xf numFmtId="0" fontId="4" fillId="4" borderId="1" xfId="0" applyFont="1" applyFill="1" applyBorder="1" applyProtection="1"/>
    <xf numFmtId="0" fontId="4" fillId="4" borderId="1" xfId="0" applyFont="1" applyFill="1" applyBorder="1" applyAlignment="1" applyProtection="1">
      <alignment horizontal="center" vertical="center"/>
    </xf>
    <xf numFmtId="164" fontId="4" fillId="4" borderId="1" xfId="1" applyNumberFormat="1" applyFont="1" applyFill="1" applyBorder="1" applyAlignment="1" applyProtection="1">
      <alignment horizontal="center" vertical="center"/>
    </xf>
    <xf numFmtId="165" fontId="4" fillId="4" borderId="1" xfId="2" applyNumberFormat="1" applyFont="1" applyFill="1" applyBorder="1" applyProtection="1"/>
    <xf numFmtId="0" fontId="9" fillId="0" borderId="0" xfId="0" applyFont="1" applyProtection="1"/>
    <xf numFmtId="0" fontId="3" fillId="0" borderId="1" xfId="0" applyFont="1" applyFill="1" applyBorder="1" applyAlignment="1" applyProtection="1">
      <alignment horizontal="center" vertical="center"/>
      <protection locked="0"/>
    </xf>
    <xf numFmtId="0" fontId="0" fillId="5" borderId="0" xfId="0" applyFill="1" applyProtection="1"/>
    <xf numFmtId="0" fontId="5" fillId="5" borderId="0" xfId="0" applyFont="1" applyFill="1" applyProtection="1"/>
    <xf numFmtId="0" fontId="6" fillId="5" borderId="0" xfId="0" applyFont="1" applyFill="1" applyProtection="1"/>
    <xf numFmtId="0" fontId="4" fillId="5" borderId="2" xfId="5" applyFont="1" applyFill="1" applyBorder="1" applyAlignment="1" applyProtection="1">
      <alignment horizontal="center" vertical="center" wrapText="1"/>
    </xf>
    <xf numFmtId="0" fontId="4" fillId="5" borderId="3" xfId="5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Protection="1"/>
    <xf numFmtId="0" fontId="3" fillId="5" borderId="1" xfId="0" applyFont="1" applyFill="1" applyBorder="1" applyAlignment="1" applyProtection="1">
      <alignment horizontal="center" vertical="center"/>
      <protection locked="0"/>
    </xf>
    <xf numFmtId="164" fontId="0" fillId="5" borderId="1" xfId="1" applyNumberFormat="1" applyFont="1" applyFill="1" applyBorder="1" applyAlignment="1" applyProtection="1">
      <alignment horizontal="center" vertical="center"/>
    </xf>
    <xf numFmtId="165" fontId="0" fillId="5" borderId="1" xfId="2" applyNumberFormat="1" applyFont="1" applyFill="1" applyBorder="1" applyProtection="1"/>
    <xf numFmtId="166" fontId="4" fillId="5" borderId="1" xfId="1" applyNumberFormat="1" applyFont="1" applyFill="1" applyBorder="1" applyAlignment="1" applyProtection="1">
      <alignment horizontal="center" vertical="center"/>
    </xf>
    <xf numFmtId="0" fontId="4" fillId="5" borderId="1" xfId="0" applyFont="1" applyFill="1" applyBorder="1" applyProtection="1"/>
    <xf numFmtId="0" fontId="4" fillId="5" borderId="1" xfId="0" applyFont="1" applyFill="1" applyBorder="1" applyAlignment="1" applyProtection="1">
      <alignment horizontal="center" vertical="center"/>
    </xf>
    <xf numFmtId="164" fontId="4" fillId="5" borderId="1" xfId="1" applyNumberFormat="1" applyFont="1" applyFill="1" applyBorder="1" applyAlignment="1" applyProtection="1">
      <alignment horizontal="center" vertical="center"/>
    </xf>
    <xf numFmtId="165" fontId="4" fillId="5" borderId="1" xfId="2" applyNumberFormat="1" applyFont="1" applyFill="1" applyBorder="1" applyProtection="1"/>
    <xf numFmtId="167" fontId="4" fillId="0" borderId="1" xfId="2" applyNumberFormat="1" applyFont="1" applyBorder="1" applyAlignment="1" applyProtection="1">
      <alignment horizontal="center" vertical="center"/>
    </xf>
    <xf numFmtId="0" fontId="4" fillId="3" borderId="3" xfId="5" applyFont="1" applyFill="1" applyBorder="1" applyAlignment="1" applyProtection="1">
      <alignment horizontal="center" vertical="center" wrapText="1"/>
    </xf>
    <xf numFmtId="164" fontId="10" fillId="6" borderId="4" xfId="7" applyNumberFormat="1" applyAlignment="1" applyProtection="1">
      <alignment horizontal="center" vertical="center"/>
    </xf>
    <xf numFmtId="9" fontId="0" fillId="0" borderId="0" xfId="6" applyFont="1" applyProtection="1"/>
    <xf numFmtId="166" fontId="4" fillId="4" borderId="1" xfId="1" applyNumberFormat="1" applyFont="1" applyFill="1" applyBorder="1" applyProtection="1"/>
    <xf numFmtId="0" fontId="4" fillId="0" borderId="0" xfId="4" applyFont="1" applyFill="1" applyBorder="1" applyAlignment="1" applyProtection="1">
      <alignment horizontal="center"/>
      <protection locked="0"/>
    </xf>
    <xf numFmtId="0" fontId="2" fillId="0" borderId="0" xfId="3" applyFill="1" applyBorder="1"/>
    <xf numFmtId="0" fontId="0" fillId="0" borderId="0" xfId="0" applyBorder="1" applyProtection="1"/>
    <xf numFmtId="0" fontId="0" fillId="0" borderId="0" xfId="0" applyAlignment="1">
      <alignment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</xf>
    <xf numFmtId="0" fontId="3" fillId="3" borderId="1" xfId="0" applyFont="1" applyFill="1" applyBorder="1" applyAlignment="1" applyProtection="1">
      <alignment wrapText="1"/>
    </xf>
    <xf numFmtId="164" fontId="0" fillId="0" borderId="1" xfId="1" applyNumberFormat="1" applyFont="1" applyBorder="1" applyAlignment="1" applyProtection="1">
      <alignment horizontal="center" vertical="center" wrapText="1"/>
    </xf>
    <xf numFmtId="165" fontId="0" fillId="0" borderId="1" xfId="9" applyNumberFormat="1" applyFont="1" applyBorder="1" applyAlignment="1" applyProtection="1">
      <alignment wrapText="1"/>
    </xf>
    <xf numFmtId="0" fontId="8" fillId="0" borderId="0" xfId="0" applyFont="1" applyAlignment="1" applyProtection="1">
      <alignment wrapText="1"/>
    </xf>
    <xf numFmtId="0" fontId="4" fillId="4" borderId="1" xfId="0" applyFont="1" applyFill="1" applyBorder="1" applyAlignment="1" applyProtection="1">
      <alignment wrapText="1"/>
    </xf>
    <xf numFmtId="0" fontId="4" fillId="4" borderId="1" xfId="0" applyFont="1" applyFill="1" applyBorder="1" applyAlignment="1" applyProtection="1">
      <alignment horizontal="center" vertical="center" wrapText="1"/>
    </xf>
    <xf numFmtId="165" fontId="4" fillId="4" borderId="1" xfId="9" applyNumberFormat="1" applyFont="1" applyFill="1" applyBorder="1" applyAlignment="1" applyProtection="1">
      <alignment wrapText="1"/>
    </xf>
    <xf numFmtId="43" fontId="0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Border="1" applyAlignment="1">
      <alignment wrapText="1"/>
    </xf>
    <xf numFmtId="166" fontId="0" fillId="0" borderId="0" xfId="0" applyNumberFormat="1" applyBorder="1" applyAlignment="1">
      <alignment wrapText="1"/>
    </xf>
    <xf numFmtId="0" fontId="3" fillId="3" borderId="0" xfId="0" applyFont="1" applyFill="1" applyBorder="1" applyAlignment="1" applyProtection="1">
      <alignment wrapText="1"/>
    </xf>
    <xf numFmtId="0" fontId="5" fillId="0" borderId="0" xfId="4" applyFont="1" applyAlignment="1" applyProtection="1">
      <alignment vertical="top" wrapText="1"/>
    </xf>
    <xf numFmtId="169" fontId="3" fillId="0" borderId="1" xfId="9" applyNumberFormat="1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wrapText="1"/>
    </xf>
    <xf numFmtId="169" fontId="3" fillId="0" borderId="3" xfId="9" applyNumberFormat="1" applyFont="1" applyFill="1" applyBorder="1" applyAlignment="1" applyProtection="1">
      <alignment horizontal="center" vertical="center"/>
    </xf>
    <xf numFmtId="0" fontId="14" fillId="0" borderId="6" xfId="0" applyFont="1" applyBorder="1" applyAlignment="1">
      <alignment wrapText="1"/>
    </xf>
    <xf numFmtId="164" fontId="11" fillId="7" borderId="5" xfId="8" applyNumberFormat="1" applyProtection="1"/>
    <xf numFmtId="165" fontId="11" fillId="7" borderId="5" xfId="8" applyNumberFormat="1" applyProtection="1"/>
    <xf numFmtId="165" fontId="11" fillId="7" borderId="5" xfId="8" applyNumberFormat="1" applyAlignment="1" applyProtection="1">
      <alignment wrapText="1"/>
    </xf>
    <xf numFmtId="164" fontId="11" fillId="7" borderId="5" xfId="8" applyNumberFormat="1" applyAlignment="1" applyProtection="1">
      <alignment wrapText="1"/>
    </xf>
    <xf numFmtId="0" fontId="4" fillId="3" borderId="15" xfId="5" applyFont="1" applyFill="1" applyBorder="1" applyAlignment="1" applyProtection="1">
      <alignment horizontal="center" vertical="center" wrapText="1"/>
    </xf>
    <xf numFmtId="0" fontId="13" fillId="0" borderId="0" xfId="4" applyFont="1" applyAlignment="1" applyProtection="1">
      <alignment vertical="top" wrapText="1"/>
    </xf>
    <xf numFmtId="0" fontId="6" fillId="0" borderId="0" xfId="0" applyFont="1" applyAlignment="1" applyProtection="1">
      <alignment horizontal="left" wrapText="1"/>
    </xf>
    <xf numFmtId="0" fontId="4" fillId="0" borderId="1" xfId="5" applyFont="1" applyBorder="1" applyAlignment="1" applyProtection="1">
      <alignment horizontal="center" vertical="center" wrapText="1"/>
    </xf>
    <xf numFmtId="0" fontId="4" fillId="0" borderId="1" xfId="5" applyFont="1" applyBorder="1" applyAlignment="1" applyProtection="1">
      <alignment horizontal="center" vertical="center"/>
    </xf>
    <xf numFmtId="0" fontId="4" fillId="3" borderId="1" xfId="5" applyFont="1" applyFill="1" applyBorder="1" applyAlignment="1" applyProtection="1">
      <alignment horizontal="center" vertical="center"/>
    </xf>
    <xf numFmtId="0" fontId="4" fillId="3" borderId="2" xfId="5" applyFont="1" applyFill="1" applyBorder="1" applyAlignment="1" applyProtection="1">
      <alignment horizontal="center" vertical="center" wrapText="1"/>
    </xf>
    <xf numFmtId="0" fontId="4" fillId="3" borderId="3" xfId="5" applyFont="1" applyFill="1" applyBorder="1" applyAlignment="1" applyProtection="1">
      <alignment horizontal="center" vertical="center" wrapText="1"/>
    </xf>
    <xf numFmtId="0" fontId="4" fillId="3" borderId="1" xfId="5" applyFont="1" applyFill="1" applyBorder="1" applyAlignment="1" applyProtection="1">
      <alignment horizontal="center" vertical="center" wrapText="1"/>
    </xf>
    <xf numFmtId="168" fontId="4" fillId="3" borderId="1" xfId="5" applyNumberFormat="1" applyFont="1" applyFill="1" applyBorder="1" applyAlignment="1" applyProtection="1">
      <alignment horizontal="center" vertical="center" wrapText="1"/>
    </xf>
    <xf numFmtId="0" fontId="4" fillId="5" borderId="1" xfId="5" applyFont="1" applyFill="1" applyBorder="1" applyAlignment="1" applyProtection="1">
      <alignment horizontal="center" vertical="center" wrapText="1"/>
    </xf>
    <xf numFmtId="0" fontId="4" fillId="5" borderId="1" xfId="5" applyFont="1" applyFill="1" applyBorder="1" applyAlignment="1" applyProtection="1">
      <alignment horizontal="center" vertical="center"/>
    </xf>
    <xf numFmtId="0" fontId="4" fillId="5" borderId="2" xfId="5" applyFont="1" applyFill="1" applyBorder="1" applyAlignment="1" applyProtection="1">
      <alignment horizontal="center" vertical="center" wrapText="1"/>
    </xf>
    <xf numFmtId="0" fontId="4" fillId="5" borderId="3" xfId="5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>
      <alignment horizontal="left" vertical="center" wrapText="1"/>
    </xf>
    <xf numFmtId="0" fontId="15" fillId="0" borderId="8" xfId="3" applyFont="1" applyFill="1" applyBorder="1" applyAlignment="1">
      <alignment horizontal="left" vertical="center" wrapText="1"/>
    </xf>
    <xf numFmtId="0" fontId="15" fillId="0" borderId="9" xfId="3" applyFont="1" applyFill="1" applyBorder="1" applyAlignment="1">
      <alignment horizontal="left" vertical="center" wrapText="1"/>
    </xf>
    <xf numFmtId="0" fontId="15" fillId="0" borderId="10" xfId="3" applyFont="1" applyFill="1" applyBorder="1" applyAlignment="1">
      <alignment horizontal="left" vertical="center" wrapText="1"/>
    </xf>
    <xf numFmtId="0" fontId="15" fillId="0" borderId="0" xfId="3" applyFont="1" applyFill="1" applyBorder="1" applyAlignment="1">
      <alignment horizontal="left" vertical="center" wrapText="1"/>
    </xf>
    <xf numFmtId="0" fontId="15" fillId="0" borderId="11" xfId="3" applyFont="1" applyFill="1" applyBorder="1" applyAlignment="1">
      <alignment horizontal="left" vertical="center" wrapText="1"/>
    </xf>
    <xf numFmtId="0" fontId="15" fillId="0" borderId="12" xfId="3" applyFont="1" applyFill="1" applyBorder="1" applyAlignment="1">
      <alignment horizontal="left" vertical="center" wrapText="1"/>
    </xf>
    <xf numFmtId="0" fontId="15" fillId="0" borderId="13" xfId="3" applyFont="1" applyFill="1" applyBorder="1" applyAlignment="1">
      <alignment horizontal="left" vertical="center" wrapText="1"/>
    </xf>
    <xf numFmtId="0" fontId="15" fillId="0" borderId="14" xfId="3" applyFont="1" applyFill="1" applyBorder="1" applyAlignment="1">
      <alignment horizontal="left" vertical="center" wrapText="1"/>
    </xf>
    <xf numFmtId="0" fontId="16" fillId="0" borderId="0" xfId="0" applyFont="1" applyAlignment="1" applyProtection="1">
      <alignment wrapText="1"/>
    </xf>
    <xf numFmtId="0" fontId="5" fillId="0" borderId="16" xfId="0" applyFont="1" applyBorder="1" applyAlignment="1" applyProtection="1">
      <alignment horizontal="center"/>
    </xf>
    <xf numFmtId="0" fontId="5" fillId="0" borderId="17" xfId="0" applyFont="1" applyBorder="1" applyAlignment="1" applyProtection="1">
      <alignment horizontal="center"/>
    </xf>
    <xf numFmtId="0" fontId="5" fillId="0" borderId="18" xfId="0" applyFont="1" applyBorder="1" applyAlignment="1" applyProtection="1">
      <alignment horizontal="center"/>
    </xf>
    <xf numFmtId="0" fontId="17" fillId="0" borderId="6" xfId="3" applyFont="1" applyBorder="1" applyAlignment="1">
      <alignment wrapText="1"/>
    </xf>
    <xf numFmtId="0" fontId="14" fillId="0" borderId="6" xfId="0" applyFont="1" applyBorder="1" applyAlignment="1">
      <alignment horizontal="center" wrapText="1"/>
    </xf>
  </cellXfs>
  <cellStyles count="10">
    <cellStyle name="Calculation" xfId="7" builtinId="22"/>
    <cellStyle name="Check Cell" xfId="8" builtinId="23"/>
    <cellStyle name="Comma" xfId="1" builtinId="3"/>
    <cellStyle name="Currency" xfId="2" builtinId="4"/>
    <cellStyle name="Currency 2" xfId="9"/>
    <cellStyle name="Normal" xfId="0" builtinId="0"/>
    <cellStyle name="Normal_6. Cost Allocation for Def-Var" xfId="5"/>
    <cellStyle name="Normal_Sheet7" xfId="4"/>
    <cellStyle name="Percent" xfId="6" builtinId="5"/>
    <cellStyle name="Title" xfId="3" builtinId="15"/>
  </cellStyles>
  <dxfs count="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200024</xdr:colOff>
      <xdr:row>33</xdr:row>
      <xdr:rowOff>173355</xdr:rowOff>
    </xdr:from>
    <xdr:to>
      <xdr:col>8</xdr:col>
      <xdr:colOff>504824</xdr:colOff>
      <xdr:row>38</xdr:row>
      <xdr:rowOff>581025</xdr:rowOff>
    </xdr:to>
    <xdr:sp macro="" textlink="">
      <xdr:nvSpPr>
        <xdr:cNvPr id="4" name="TextBox 3"/>
        <xdr:cNvSpPr txBox="1"/>
      </xdr:nvSpPr>
      <xdr:spPr>
        <a:xfrm>
          <a:off x="9763124" y="8241030"/>
          <a:ext cx="1819275" cy="14363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CA" sz="1100"/>
            <a:t>Rate riders for Global Adjustment is to be calculated on the basis of kWh for all classes.</a:t>
          </a:r>
        </a:p>
      </xdr:txBody>
    </xdr:sp>
    <xdr:clientData/>
  </xdr:twoCellAnchor>
  <xdr:twoCellAnchor editAs="oneCell">
    <xdr:from>
      <xdr:col>7</xdr:col>
      <xdr:colOff>723900</xdr:colOff>
      <xdr:row>116</xdr:row>
      <xdr:rowOff>28575</xdr:rowOff>
    </xdr:from>
    <xdr:to>
      <xdr:col>12</xdr:col>
      <xdr:colOff>37659</xdr:colOff>
      <xdr:row>123</xdr:row>
      <xdr:rowOff>95121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0" y="20269200"/>
          <a:ext cx="3533334" cy="14095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min/Ontario%20Energy%20Board/Rate%20Design/2017%20COS/9%20-%20BA_Decision%20and%20Order/BA_%20TBHEDI_2017_DVA_Continuity_201709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2016 Continuity Schedule"/>
      <sheetName val="3. Appendix A"/>
      <sheetName val="4. Billing Determinants"/>
      <sheetName val="5. Allocation of Balances"/>
      <sheetName val="5a. GA Allocation Class A"/>
      <sheetName val="6. Rate Rider Calculations"/>
      <sheetName val="Summary Sheet"/>
      <sheetName val="7. CBDR - Class B Sub Account"/>
    </sheetNames>
    <sheetDataSet>
      <sheetData sheetId="0"/>
      <sheetData sheetId="1"/>
      <sheetData sheetId="2"/>
      <sheetData sheetId="3">
        <row r="21">
          <cell r="B21" t="str">
            <v>RESIDENTIAL</v>
          </cell>
          <cell r="C21" t="str">
            <v>kWh</v>
          </cell>
          <cell r="D21">
            <v>45527.007090561528</v>
          </cell>
          <cell r="E21">
            <v>336114686.47881699</v>
          </cell>
          <cell r="F21">
            <v>0</v>
          </cell>
          <cell r="L21">
            <v>336114686.47881699</v>
          </cell>
          <cell r="M21">
            <v>0</v>
          </cell>
          <cell r="S21">
            <v>11679411.16869873</v>
          </cell>
          <cell r="AC21">
            <v>45527.007090561528</v>
          </cell>
        </row>
        <row r="22">
          <cell r="B22" t="str">
            <v>GS &lt; 50KW</v>
          </cell>
          <cell r="C22" t="str">
            <v>kWh</v>
          </cell>
          <cell r="D22">
            <v>4655.2595854572637</v>
          </cell>
          <cell r="E22">
            <v>142697207.41995323</v>
          </cell>
          <cell r="F22">
            <v>0</v>
          </cell>
          <cell r="L22">
            <v>142697207.41995323</v>
          </cell>
          <cell r="M22">
            <v>0</v>
          </cell>
          <cell r="S22">
            <v>23023713.370207135</v>
          </cell>
        </row>
        <row r="23">
          <cell r="B23" t="str">
            <v>GS &gt; 50- 999 KW</v>
          </cell>
          <cell r="C23" t="str">
            <v>kW</v>
          </cell>
          <cell r="D23">
            <v>459.96777205383216</v>
          </cell>
          <cell r="E23">
            <v>262887880.77451241</v>
          </cell>
          <cell r="F23">
            <v>656994.77707427274</v>
          </cell>
          <cell r="L23">
            <v>262887880.77451241</v>
          </cell>
          <cell r="M23">
            <v>656994.77707427274</v>
          </cell>
          <cell r="S23">
            <v>221273287.96602443</v>
          </cell>
        </row>
        <row r="24">
          <cell r="B24" t="str">
            <v>GS &gt;1000 KW</v>
          </cell>
          <cell r="C24" t="str">
            <v>kW</v>
          </cell>
          <cell r="D24">
            <v>21.640601501640049</v>
          </cell>
          <cell r="E24">
            <v>169332351.76817456</v>
          </cell>
          <cell r="F24">
            <v>466924.2403113636</v>
          </cell>
          <cell r="L24">
            <v>169332351.76817456</v>
          </cell>
          <cell r="M24">
            <v>466924.2403113636</v>
          </cell>
          <cell r="S24">
            <v>133371197.90459979</v>
          </cell>
        </row>
        <row r="25">
          <cell r="C25" t="str">
            <v>kW</v>
          </cell>
        </row>
        <row r="26">
          <cell r="B26" t="str">
            <v>STREET LIGHTS</v>
          </cell>
          <cell r="C26" t="str">
            <v>kW</v>
          </cell>
          <cell r="D26">
            <v>13274.451896791892</v>
          </cell>
          <cell r="E26">
            <v>8290565.3705995455</v>
          </cell>
          <cell r="F26">
            <v>23590.129477102848</v>
          </cell>
          <cell r="L26">
            <v>8290565.3705995455</v>
          </cell>
          <cell r="M26">
            <v>23590.129477102848</v>
          </cell>
          <cell r="S26">
            <v>8114545.33045296</v>
          </cell>
        </row>
        <row r="27">
          <cell r="B27" t="str">
            <v>SENTINEL LIGHTS</v>
          </cell>
          <cell r="C27" t="str">
            <v>kW</v>
          </cell>
          <cell r="D27">
            <v>163.76341081650995</v>
          </cell>
          <cell r="E27">
            <v>108037.10011156654</v>
          </cell>
          <cell r="F27">
            <v>294.77413946971797</v>
          </cell>
          <cell r="L27">
            <v>108037.10011156654</v>
          </cell>
          <cell r="M27">
            <v>294.77413946971797</v>
          </cell>
          <cell r="S27">
            <v>0</v>
          </cell>
        </row>
        <row r="28">
          <cell r="B28" t="str">
            <v>UNMETERED SCATTERED LOAD</v>
          </cell>
          <cell r="C28" t="str">
            <v>kWh</v>
          </cell>
          <cell r="D28">
            <v>439.66158081582279</v>
          </cell>
          <cell r="E28">
            <v>2148121.5747701586</v>
          </cell>
          <cell r="F28">
            <v>0</v>
          </cell>
          <cell r="L28">
            <v>2148121.5747701586</v>
          </cell>
          <cell r="M28">
            <v>0</v>
          </cell>
          <cell r="S28">
            <v>383684.58941738884</v>
          </cell>
        </row>
        <row r="29">
          <cell r="L29">
            <v>0</v>
          </cell>
          <cell r="M29">
            <v>0</v>
          </cell>
          <cell r="S29">
            <v>0</v>
          </cell>
        </row>
        <row r="30">
          <cell r="L30">
            <v>0</v>
          </cell>
          <cell r="M30">
            <v>0</v>
          </cell>
          <cell r="S30">
            <v>0</v>
          </cell>
        </row>
        <row r="41">
          <cell r="S41">
            <v>397845840.32940042</v>
          </cell>
        </row>
      </sheetData>
      <sheetData sheetId="4">
        <row r="4">
          <cell r="D4" t="str">
            <v>Amounts from Sheet 2</v>
          </cell>
          <cell r="E4" t="str">
            <v>Allocator</v>
          </cell>
          <cell r="F4" t="str">
            <v>RESIDENTIAL</v>
          </cell>
          <cell r="G4" t="str">
            <v>GS &lt; 50KW</v>
          </cell>
          <cell r="H4" t="str">
            <v>GS &gt; 50- 999 KW</v>
          </cell>
          <cell r="I4" t="str">
            <v>GS &gt;1000 KW</v>
          </cell>
          <cell r="J4" t="str">
            <v>LARGE USER</v>
          </cell>
          <cell r="K4" t="str">
            <v>STREET LIGHTS</v>
          </cell>
          <cell r="L4" t="str">
            <v>SENTINEL LIGHTS</v>
          </cell>
          <cell r="M4" t="str">
            <v>UNMETERED SCATTERED LOAD</v>
          </cell>
          <cell r="N4" t="str">
            <v/>
          </cell>
          <cell r="O4" t="str">
            <v/>
          </cell>
          <cell r="P4" t="str">
            <v/>
          </cell>
          <cell r="Q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X4" t="str">
            <v/>
          </cell>
          <cell r="Y4" t="str">
            <v/>
          </cell>
        </row>
        <row r="5">
          <cell r="D5">
            <v>0</v>
          </cell>
          <cell r="E5" t="str">
            <v>kWh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</row>
        <row r="6">
          <cell r="D6">
            <v>-5255.7372799999994</v>
          </cell>
          <cell r="E6" t="str">
            <v># of Customers</v>
          </cell>
          <cell r="F6">
            <v>-4766</v>
          </cell>
          <cell r="G6">
            <v>-490</v>
          </cell>
        </row>
        <row r="7">
          <cell r="D7">
            <v>-2115697.121373333</v>
          </cell>
          <cell r="E7" t="str">
            <v>kWh</v>
          </cell>
          <cell r="F7">
            <v>-771628.89996748266</v>
          </cell>
          <cell r="G7">
            <v>-327594.40042150504</v>
          </cell>
          <cell r="H7">
            <v>-603519.85324391373</v>
          </cell>
          <cell r="I7">
            <v>-388741.52656824788</v>
          </cell>
          <cell r="J7">
            <v>0</v>
          </cell>
          <cell r="K7">
            <v>-19032.907797164662</v>
          </cell>
          <cell r="L7">
            <v>-248.02411816068852</v>
          </cell>
          <cell r="M7">
            <v>-4931.5092568583077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</row>
        <row r="8">
          <cell r="D8">
            <v>-216815.91582666672</v>
          </cell>
          <cell r="E8" t="str">
            <v>kWh</v>
          </cell>
          <cell r="F8">
            <v>-79076.265186850142</v>
          </cell>
          <cell r="G8">
            <v>-33571.761869662696</v>
          </cell>
          <cell r="H8">
            <v>-61848.507699304362</v>
          </cell>
          <cell r="I8">
            <v>-39838.098398527</v>
          </cell>
          <cell r="J8">
            <v>0</v>
          </cell>
          <cell r="K8">
            <v>-1950.4858673759954</v>
          </cell>
          <cell r="L8">
            <v>-25.417426616908422</v>
          </cell>
          <cell r="M8">
            <v>-505.37937832961859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</row>
        <row r="9">
          <cell r="D9">
            <v>-227635.06698666676</v>
          </cell>
          <cell r="E9" t="str">
            <v>kWh</v>
          </cell>
          <cell r="F9">
            <v>-83022.184299673667</v>
          </cell>
          <cell r="G9">
            <v>-35246.9985098814</v>
          </cell>
          <cell r="H9">
            <v>-64934.758776712122</v>
          </cell>
          <cell r="I9">
            <v>-41826.026299748017</v>
          </cell>
          <cell r="J9">
            <v>0</v>
          </cell>
          <cell r="K9">
            <v>-2047.8154446541466</v>
          </cell>
          <cell r="L9">
            <v>-26.685760537958686</v>
          </cell>
          <cell r="M9">
            <v>-530.59789545945046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</row>
        <row r="10">
          <cell r="D10">
            <v>105975.95233333333</v>
          </cell>
          <cell r="E10" t="str">
            <v>kWh</v>
          </cell>
          <cell r="F10">
            <v>38651.140891516399</v>
          </cell>
          <cell r="G10">
            <v>16409.309353883738</v>
          </cell>
          <cell r="H10">
            <v>30230.504429708155</v>
          </cell>
          <cell r="I10">
            <v>19472.188657534341</v>
          </cell>
          <cell r="J10">
            <v>0</v>
          </cell>
          <cell r="K10">
            <v>953.36450057074512</v>
          </cell>
          <cell r="L10">
            <v>12.42360820846247</v>
          </cell>
          <cell r="M10">
            <v>247.02089191148787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</row>
        <row r="11">
          <cell r="D11">
            <v>932635.28746666678</v>
          </cell>
          <cell r="E11" t="str">
            <v>Non-RPP kWh</v>
          </cell>
          <cell r="F11">
            <v>27379.024457669526</v>
          </cell>
          <cell r="G11">
            <v>53972.482205154418</v>
          </cell>
          <cell r="H11">
            <v>518711.66067747219</v>
          </cell>
          <cell r="I11">
            <v>312650.46128053754</v>
          </cell>
          <cell r="J11">
            <v>0</v>
          </cell>
          <cell r="K11">
            <v>19022.2205431691</v>
          </cell>
          <cell r="L11">
            <v>0</v>
          </cell>
          <cell r="M11">
            <v>899.43830266401949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</row>
        <row r="12">
          <cell r="D12">
            <v>0.86999999999989086</v>
          </cell>
          <cell r="E12" t="str">
            <v>%</v>
          </cell>
          <cell r="F12">
            <v>0.21786986718219209</v>
          </cell>
          <cell r="G12">
            <v>0.12494475352469918</v>
          </cell>
          <cell r="H12">
            <v>0.28873796464483725</v>
          </cell>
          <cell r="I12">
            <v>0.22596465141757033</v>
          </cell>
          <cell r="J12">
            <v>0</v>
          </cell>
          <cell r="K12">
            <v>1.031968072127395E-2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</row>
        <row r="13">
          <cell r="D13">
            <v>1</v>
          </cell>
          <cell r="E13" t="str">
            <v>%</v>
          </cell>
          <cell r="F13">
            <v>0.26042253685889311</v>
          </cell>
          <cell r="G13">
            <v>0.12305114817255539</v>
          </cell>
          <cell r="H13">
            <v>0.29835017215764414</v>
          </cell>
          <cell r="I13">
            <v>0.30108770291400694</v>
          </cell>
          <cell r="J13">
            <v>0</v>
          </cell>
          <cell r="K13">
            <v>1.4994472628299362E-2</v>
          </cell>
          <cell r="L13">
            <v>1.5500037044113691E-4</v>
          </cell>
          <cell r="M13">
            <v>1.5500037044113691E-4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</row>
        <row r="14">
          <cell r="D14">
            <v>11</v>
          </cell>
          <cell r="E14" t="str">
            <v>%</v>
          </cell>
          <cell r="F14">
            <v>2.0633715830892805</v>
          </cell>
          <cell r="G14">
            <v>0.87523681370518192</v>
          </cell>
          <cell r="H14">
            <v>4.4223087166657056</v>
          </cell>
          <cell r="I14">
            <v>3.4192165337875697</v>
          </cell>
          <cell r="J14">
            <v>0</v>
          </cell>
          <cell r="K14">
            <v>0.2088427757793215</v>
          </cell>
          <cell r="L14">
            <v>2.6237001217176685E-4</v>
          </cell>
          <cell r="M14">
            <v>1.076120696076816E-2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</row>
        <row r="15">
          <cell r="D15">
            <v>-729</v>
          </cell>
          <cell r="E15" t="str">
            <v>%</v>
          </cell>
          <cell r="F15">
            <v>-245.40975364408857</v>
          </cell>
          <cell r="G15">
            <v>-97.640607359490161</v>
          </cell>
          <cell r="H15">
            <v>-229.86596822868441</v>
          </cell>
          <cell r="I15">
            <v>-145.80000000000001</v>
          </cell>
          <cell r="J15">
            <v>0</v>
          </cell>
          <cell r="K15">
            <v>-10.038698624692035</v>
          </cell>
          <cell r="L15">
            <v>-4.6129790938063867E-2</v>
          </cell>
          <cell r="M15">
            <v>-1.4417606375603689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</row>
        <row r="16">
          <cell r="D16">
            <v>-1403.9066666666668</v>
          </cell>
          <cell r="E16" t="str">
            <v>%</v>
          </cell>
          <cell r="F16">
            <v>-567.62308615773259</v>
          </cell>
          <cell r="G16">
            <v>-268.70924925342081</v>
          </cell>
          <cell r="H16">
            <v>-354.08957460077426</v>
          </cell>
          <cell r="I16">
            <v>-196.54693333333336</v>
          </cell>
          <cell r="J16">
            <v>0</v>
          </cell>
          <cell r="K16">
            <v>-11.858549951204932</v>
          </cell>
          <cell r="L16">
            <v>0.23451725118177849</v>
          </cell>
          <cell r="M16">
            <v>-3.8855805616854671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</row>
        <row r="17">
          <cell r="D17">
            <v>53468.78133333334</v>
          </cell>
          <cell r="E17" t="str">
            <v>%</v>
          </cell>
          <cell r="F17">
            <v>21306.859068709957</v>
          </cell>
          <cell r="G17">
            <v>8241.1932685964384</v>
          </cell>
          <cell r="H17">
            <v>14601.850668810128</v>
          </cell>
          <cell r="I17">
            <v>8555.0050133333352</v>
          </cell>
          <cell r="J17">
            <v>0</v>
          </cell>
          <cell r="K17">
            <v>513.95783804402629</v>
          </cell>
          <cell r="L17">
            <v>8.7960993297310068</v>
          </cell>
          <cell r="M17">
            <v>133.26967588464245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</row>
        <row r="18">
          <cell r="D18">
            <v>0</v>
          </cell>
          <cell r="E18" t="str">
            <v>%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</row>
        <row r="19">
          <cell r="D19">
            <v>-2408079.144466666</v>
          </cell>
          <cell r="F19">
            <v>-879345.84066959471</v>
          </cell>
          <cell r="G19">
            <v>-372617.88480246643</v>
          </cell>
          <cell r="H19">
            <v>-686049.71076738799</v>
          </cell>
          <cell r="I19">
            <v>-442716.85826010047</v>
          </cell>
          <cell r="J19">
            <v>0</v>
          </cell>
          <cell r="K19">
            <v>-21585.549862226799</v>
          </cell>
          <cell r="L19">
            <v>-278.71879294673573</v>
          </cell>
          <cell r="M19">
            <v>-5592.5123878431614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</row>
        <row r="21">
          <cell r="D21">
            <v>128843.04266666668</v>
          </cell>
          <cell r="E21" t="str">
            <v>kWh</v>
          </cell>
          <cell r="F21">
            <v>46991.137945496164</v>
          </cell>
          <cell r="G21">
            <v>19950.048087918654</v>
          </cell>
          <cell r="H21">
            <v>36753.528383689983</v>
          </cell>
          <cell r="I21">
            <v>23673.823907944752</v>
          </cell>
          <cell r="J21">
            <v>0</v>
          </cell>
          <cell r="K21">
            <v>1159.0778881378917</v>
          </cell>
          <cell r="L21">
            <v>15.10432741799861</v>
          </cell>
          <cell r="M21">
            <v>300.3221260612267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</row>
        <row r="22">
          <cell r="D22">
            <v>0</v>
          </cell>
          <cell r="E22" t="str">
            <v>kWh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</row>
        <row r="23">
          <cell r="D23">
            <v>0</v>
          </cell>
          <cell r="E23" t="str">
            <v>kWh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</row>
        <row r="24">
          <cell r="D24">
            <v>0</v>
          </cell>
          <cell r="E24" t="str">
            <v>kWh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</row>
        <row r="25">
          <cell r="D25">
            <v>238820.18400000001</v>
          </cell>
          <cell r="E25" t="str">
            <v>kWh</v>
          </cell>
          <cell r="F25">
            <v>87101.577068050421</v>
          </cell>
          <cell r="G25">
            <v>36978.901278293168</v>
          </cell>
          <cell r="H25">
            <v>68125.404597518966</v>
          </cell>
          <cell r="I25">
            <v>43881.197344167274</v>
          </cell>
          <cell r="J25">
            <v>0</v>
          </cell>
          <cell r="K25">
            <v>2148.4372674399538</v>
          </cell>
          <cell r="L25">
            <v>27.996996799392615</v>
          </cell>
          <cell r="M25">
            <v>556.66944773083196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</row>
        <row r="26">
          <cell r="D26">
            <v>-50611.146666666667</v>
          </cell>
          <cell r="E26" t="str">
            <v>kWh</v>
          </cell>
          <cell r="F26">
            <v>-18458.702351092194</v>
          </cell>
          <cell r="G26">
            <v>-7836.6265565220519</v>
          </cell>
          <cell r="H26">
            <v>-14437.242221583079</v>
          </cell>
          <cell r="I26">
            <v>-9299.3719270168294</v>
          </cell>
          <cell r="J26">
            <v>0</v>
          </cell>
          <cell r="K26">
            <v>-455.3001837002858</v>
          </cell>
          <cell r="L26">
            <v>-5.9331673207330624</v>
          </cell>
          <cell r="M26">
            <v>-117.97025943149542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</row>
        <row r="27">
          <cell r="D27">
            <v>83865.200666666671</v>
          </cell>
          <cell r="E27" t="str">
            <v>kWh</v>
          </cell>
          <cell r="F27">
            <v>30586.992761027188</v>
          </cell>
          <cell r="G27">
            <v>12985.682048284969</v>
          </cell>
          <cell r="H27">
            <v>23923.232246855583</v>
          </cell>
          <cell r="I27">
            <v>15409.524266852541</v>
          </cell>
          <cell r="J27">
            <v>0</v>
          </cell>
          <cell r="K27">
            <v>754.45517014423172</v>
          </cell>
          <cell r="L27">
            <v>9.8315549185117703</v>
          </cell>
          <cell r="M27">
            <v>195.48261858364845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  <row r="28">
          <cell r="D28">
            <v>0</v>
          </cell>
          <cell r="E28" t="str">
            <v>kWh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</row>
        <row r="29">
          <cell r="D29">
            <v>0</v>
          </cell>
          <cell r="E29" t="str">
            <v>kWh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</row>
        <row r="30">
          <cell r="D30">
            <v>0</v>
          </cell>
          <cell r="E30" t="str">
            <v>kWh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</row>
        <row r="31">
          <cell r="D31">
            <v>0</v>
          </cell>
          <cell r="E31" t="str">
            <v>kWh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>
            <v>0</v>
          </cell>
          <cell r="E32" t="str">
            <v>kWh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</row>
        <row r="33">
          <cell r="D33">
            <v>400917.28066666669</v>
          </cell>
          <cell r="F33">
            <v>146221.00542348158</v>
          </cell>
          <cell r="G33">
            <v>62078.004857974738</v>
          </cell>
          <cell r="H33">
            <v>114364.92300648146</v>
          </cell>
          <cell r="I33">
            <v>73665.173591947736</v>
          </cell>
          <cell r="J33">
            <v>0</v>
          </cell>
          <cell r="K33">
            <v>3606.6701420217914</v>
          </cell>
          <cell r="L33">
            <v>46.999711815169931</v>
          </cell>
          <cell r="M33">
            <v>934.50393294421178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</row>
        <row r="35">
          <cell r="D35">
            <v>0</v>
          </cell>
          <cell r="E35" t="str">
            <v>kWh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</row>
        <row r="36">
          <cell r="D36">
            <v>-114197.61466666666</v>
          </cell>
          <cell r="E36" t="str">
            <v>kWh</v>
          </cell>
          <cell r="F36">
            <v>-41649.713890498431</v>
          </cell>
          <cell r="G36">
            <v>-17682.35099833618</v>
          </cell>
          <cell r="H36">
            <v>-32575.800641867991</v>
          </cell>
          <cell r="I36">
            <v>-20982.84986423581</v>
          </cell>
          <cell r="J36">
            <v>0</v>
          </cell>
          <cell r="K36">
            <v>-1027.3269498972252</v>
          </cell>
          <cell r="L36">
            <v>-13.38743735462886</v>
          </cell>
          <cell r="M36">
            <v>-266.18488447639623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</row>
        <row r="37">
          <cell r="D37">
            <v>-114197.61466666666</v>
          </cell>
          <cell r="F37">
            <v>-41649.713890498431</v>
          </cell>
          <cell r="G37">
            <v>-17682.35099833618</v>
          </cell>
          <cell r="H37">
            <v>-32575.800641867991</v>
          </cell>
          <cell r="I37">
            <v>-20982.84986423581</v>
          </cell>
          <cell r="J37">
            <v>0</v>
          </cell>
          <cell r="K37">
            <v>-1027.3269498972252</v>
          </cell>
          <cell r="L37">
            <v>-13.38743735462886</v>
          </cell>
          <cell r="M37">
            <v>-266.18488447639623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</row>
        <row r="39">
          <cell r="D39">
            <v>10636.349108170554</v>
          </cell>
          <cell r="F39">
            <v>-35098.228398728781</v>
          </cell>
          <cell r="G39">
            <v>72297.671669500633</v>
          </cell>
          <cell r="H39">
            <v>-9758.3662745484744</v>
          </cell>
          <cell r="I39">
            <v>-11927.597865613947</v>
          </cell>
          <cell r="J39">
            <v>0</v>
          </cell>
          <cell r="K39">
            <v>-4131.2783762818808</v>
          </cell>
          <cell r="L39">
            <v>-54.649417070226725</v>
          </cell>
          <cell r="M39">
            <v>-690.75201091805559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</row>
        <row r="40">
          <cell r="D40">
            <v>10636.799326339265</v>
          </cell>
        </row>
        <row r="41">
          <cell r="D41">
            <v>-0.450218168711217</v>
          </cell>
        </row>
        <row r="43">
          <cell r="D43">
            <v>12553.435333333335</v>
          </cell>
          <cell r="E43" t="str">
            <v>kWh</v>
          </cell>
          <cell r="F43">
            <v>4578.4405523911691</v>
          </cell>
          <cell r="G43">
            <v>1943.7730853384262</v>
          </cell>
          <cell r="H43">
            <v>3580.9697775466234</v>
          </cell>
          <cell r="I43">
            <v>2306.5880110419912</v>
          </cell>
          <cell r="J43">
            <v>0</v>
          </cell>
          <cell r="K43">
            <v>112.93127679916213</v>
          </cell>
          <cell r="L43">
            <v>1.4716448290179507</v>
          </cell>
          <cell r="M43">
            <v>29.26098538694443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</row>
        <row r="46">
          <cell r="D46">
            <v>-398465.90650256665</v>
          </cell>
          <cell r="F46">
            <v>-146368.08159362851</v>
          </cell>
          <cell r="G46">
            <v>-61432.793734845152</v>
          </cell>
          <cell r="H46">
            <v>-112760.36195318235</v>
          </cell>
          <cell r="I46">
            <v>-73447.520349386905</v>
          </cell>
          <cell r="J46">
            <v>0</v>
          </cell>
          <cell r="K46">
            <v>-3506.0065656328843</v>
          </cell>
          <cell r="L46">
            <v>-43.118282994509769</v>
          </cell>
          <cell r="M46">
            <v>-908.02402289634108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</row>
        <row r="47">
          <cell r="D47">
            <v>-2009721.1690400001</v>
          </cell>
          <cell r="F47">
            <v>-732977.75907596631</v>
          </cell>
          <cell r="G47">
            <v>-311185.09106762131</v>
          </cell>
          <cell r="H47">
            <v>-573289.34881420562</v>
          </cell>
          <cell r="I47">
            <v>-369269.33791071351</v>
          </cell>
          <cell r="J47">
            <v>0</v>
          </cell>
          <cell r="K47">
            <v>-18079.543296593918</v>
          </cell>
          <cell r="L47">
            <v>-235.60050995222605</v>
          </cell>
          <cell r="M47">
            <v>-4684.4883649468202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</row>
        <row r="48">
          <cell r="D48">
            <v>932635.28746666666</v>
          </cell>
          <cell r="F48">
            <v>27379.024457669526</v>
          </cell>
          <cell r="G48">
            <v>53972.482205154418</v>
          </cell>
          <cell r="H48">
            <v>518711.66067747219</v>
          </cell>
          <cell r="I48">
            <v>312650.46128053754</v>
          </cell>
          <cell r="J48">
            <v>0</v>
          </cell>
          <cell r="K48">
            <v>19022.2205431691</v>
          </cell>
          <cell r="L48">
            <v>0</v>
          </cell>
          <cell r="M48">
            <v>899.43830266401949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</row>
        <row r="50">
          <cell r="D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</row>
        <row r="52">
          <cell r="D52">
            <v>299273.10133333335</v>
          </cell>
          <cell r="F52">
            <v>109149.73208537431</v>
          </cell>
          <cell r="G52">
            <v>46339.426944976985</v>
          </cell>
          <cell r="H52">
            <v>85370.092142160094</v>
          </cell>
          <cell r="I52">
            <v>54988.911738753915</v>
          </cell>
          <cell r="J52">
            <v>0</v>
          </cell>
          <cell r="K52">
            <v>2692.2744689237288</v>
          </cell>
          <cell r="L52">
            <v>35.08391928955902</v>
          </cell>
          <cell r="M52">
            <v>697.5800338547599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</row>
        <row r="54">
          <cell r="D54">
            <v>0</v>
          </cell>
          <cell r="E54" t="str">
            <v>kWh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</row>
        <row r="55">
          <cell r="D55">
            <v>0</v>
          </cell>
          <cell r="E55" t="str">
            <v>kWh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</row>
        <row r="56">
          <cell r="D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</row>
      </sheetData>
      <sheetData sheetId="5"/>
      <sheetData sheetId="6"/>
      <sheetData sheetId="7"/>
      <sheetData sheetId="8">
        <row r="4">
          <cell r="C4">
            <v>241599.41200000001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6"/>
  <sheetViews>
    <sheetView tabSelected="1" topLeftCell="A120" workbookViewId="0">
      <selection activeCell="K146" sqref="K146"/>
    </sheetView>
  </sheetViews>
  <sheetFormatPr defaultRowHeight="15" x14ac:dyDescent="0.25"/>
  <cols>
    <col min="2" max="2" width="55.5703125" customWidth="1"/>
    <col min="3" max="3" width="14" customWidth="1"/>
    <col min="4" max="4" width="13.5703125" customWidth="1"/>
    <col min="5" max="5" width="22.42578125" customWidth="1"/>
    <col min="6" max="7" width="17.85546875" customWidth="1"/>
    <col min="8" max="8" width="22.7109375" customWidth="1"/>
    <col min="10" max="10" width="13.140625" customWidth="1"/>
  </cols>
  <sheetData>
    <row r="1" spans="1:8" ht="23.25" thickBot="1" x14ac:dyDescent="0.35">
      <c r="A1" s="1" t="s">
        <v>0</v>
      </c>
      <c r="B1" s="1"/>
      <c r="C1" s="1"/>
      <c r="D1" s="1"/>
      <c r="E1" s="1"/>
      <c r="F1" s="1"/>
      <c r="G1" s="1"/>
      <c r="H1" s="1"/>
    </row>
    <row r="2" spans="1:8" ht="22.5" x14ac:dyDescent="0.3">
      <c r="A2" s="1"/>
      <c r="B2" s="1"/>
      <c r="C2" s="1"/>
      <c r="D2" s="42"/>
      <c r="E2" s="82" t="s">
        <v>47</v>
      </c>
      <c r="F2" s="83"/>
      <c r="G2" s="83"/>
      <c r="H2" s="84"/>
    </row>
    <row r="3" spans="1:8" s="2" customFormat="1" ht="30" x14ac:dyDescent="0.25">
      <c r="B3" s="69" t="s">
        <v>1</v>
      </c>
      <c r="C3" s="59" t="s">
        <v>39</v>
      </c>
      <c r="D3" s="41"/>
      <c r="E3" s="85"/>
      <c r="F3" s="86"/>
      <c r="G3" s="86"/>
      <c r="H3" s="87"/>
    </row>
    <row r="4" spans="1:8" s="2" customFormat="1" ht="15.75" x14ac:dyDescent="0.25">
      <c r="B4" s="91" t="s">
        <v>40</v>
      </c>
      <c r="D4" s="43"/>
      <c r="E4" s="85"/>
      <c r="F4" s="86"/>
      <c r="G4" s="86"/>
      <c r="H4" s="87"/>
    </row>
    <row r="5" spans="1:8" s="2" customFormat="1" ht="90.75" customHeight="1" thickBot="1" x14ac:dyDescent="0.3">
      <c r="D5" s="43"/>
      <c r="E5" s="88"/>
      <c r="F5" s="89"/>
      <c r="G5" s="89"/>
      <c r="H5" s="90"/>
    </row>
    <row r="6" spans="1:8" s="2" customFormat="1" ht="18" x14ac:dyDescent="0.25">
      <c r="B6" s="6" t="s">
        <v>2</v>
      </c>
    </row>
    <row r="7" spans="1:8" s="2" customFormat="1" x14ac:dyDescent="0.25">
      <c r="B7" s="7" t="s">
        <v>3</v>
      </c>
    </row>
    <row r="8" spans="1:8" s="2" customFormat="1" ht="12.75" customHeight="1" x14ac:dyDescent="0.25">
      <c r="B8" s="71" t="s">
        <v>4</v>
      </c>
      <c r="C8" s="73" t="s">
        <v>5</v>
      </c>
      <c r="D8" s="74" t="s">
        <v>6</v>
      </c>
      <c r="E8" s="8"/>
      <c r="F8" s="74" t="s">
        <v>7</v>
      </c>
      <c r="G8" s="76" t="s">
        <v>28</v>
      </c>
    </row>
    <row r="9" spans="1:8" s="2" customFormat="1" ht="33.75" customHeight="1" x14ac:dyDescent="0.25">
      <c r="B9" s="72"/>
      <c r="C9" s="73"/>
      <c r="D9" s="75"/>
      <c r="E9" s="9" t="s">
        <v>44</v>
      </c>
      <c r="F9" s="75"/>
      <c r="G9" s="76"/>
    </row>
    <row r="10" spans="1:8" s="2" customFormat="1" x14ac:dyDescent="0.25">
      <c r="B10" s="10" t="str">
        <f>IF(ISBLANK('[1]4. Billing Determinants'!$B21), "", '[1]4. Billing Determinants'!$B21)</f>
        <v>RESIDENTIAL</v>
      </c>
      <c r="C10" s="11" t="str">
        <f>IF(ISBLANK('[1]4. Billing Determinants'!C21), "", '[1]4. Billing Determinants'!C21)</f>
        <v>kWh</v>
      </c>
      <c r="D10" s="12">
        <f>IF(C10="", 0, IF(C10="kWh", '[1]4. Billing Determinants'!E21, IF(C10="kW", '[1]4. Billing Determinants'!F21, '[1]4. Billing Determinants'!D21)))</f>
        <v>336114686.47881699</v>
      </c>
      <c r="E10" s="12">
        <f>(D10/12)*7</f>
        <v>196066900.44597656</v>
      </c>
      <c r="F10" s="13">
        <f>HLOOKUP($B10, '[1]5. Allocation of Balances'!$D$4:$Z$56, 43,FALSE)</f>
        <v>-146368.08159362851</v>
      </c>
      <c r="G10" s="60">
        <f t="shared" ref="G10:G16" si="0">F10/E10</f>
        <v>-7.4652111733646822E-4</v>
      </c>
      <c r="H10" s="15" t="str">
        <f t="shared" ref="H10:H18" si="1">IF(C10="", "", IF(C10="# of Customers", "per customer per month", "$/"&amp;C10))</f>
        <v>$/kWh</v>
      </c>
    </row>
    <row r="11" spans="1:8" s="2" customFormat="1" x14ac:dyDescent="0.25">
      <c r="B11" s="10" t="str">
        <f>IF(ISBLANK('[1]4. Billing Determinants'!$B22), "", '[1]4. Billing Determinants'!$B22)</f>
        <v>GS &lt; 50KW</v>
      </c>
      <c r="C11" s="11" t="str">
        <f>IF(ISBLANK('[1]4. Billing Determinants'!C22), "", '[1]4. Billing Determinants'!C22)</f>
        <v>kWh</v>
      </c>
      <c r="D11" s="12">
        <f>IF(C11="", 0, IF(C11="kWh", '[1]4. Billing Determinants'!E22, IF(C11="kW", '[1]4. Billing Determinants'!F22, '[1]4. Billing Determinants'!D22)))</f>
        <v>142697207.41995323</v>
      </c>
      <c r="E11" s="12">
        <f t="shared" ref="E11:E16" si="2">(D11/12)*7</f>
        <v>83240037.661639392</v>
      </c>
      <c r="F11" s="13">
        <f>HLOOKUP($B11, '[1]5. Allocation of Balances'!$D$4:$Z$56, 43,FALSE)</f>
        <v>-61432.793734845152</v>
      </c>
      <c r="G11" s="60">
        <f t="shared" si="0"/>
        <v>-7.3801977342396183E-4</v>
      </c>
      <c r="H11" s="15" t="str">
        <f t="shared" si="1"/>
        <v>$/kWh</v>
      </c>
    </row>
    <row r="12" spans="1:8" s="2" customFormat="1" x14ac:dyDescent="0.25">
      <c r="B12" s="10" t="str">
        <f>IF(ISBLANK('[1]4. Billing Determinants'!$B23), "", '[1]4. Billing Determinants'!$B23)</f>
        <v>GS &gt; 50- 999 KW</v>
      </c>
      <c r="C12" s="11" t="str">
        <f>IF(ISBLANK('[1]4. Billing Determinants'!C23), "", '[1]4. Billing Determinants'!C23)</f>
        <v>kW</v>
      </c>
      <c r="D12" s="12">
        <f>IF(C12="", 0, IF(C12="kWh", '[1]4. Billing Determinants'!E23, IF(C12="kW", '[1]4. Billing Determinants'!F23, '[1]4. Billing Determinants'!D23)))</f>
        <v>656994.77707427274</v>
      </c>
      <c r="E12" s="12">
        <f t="shared" si="2"/>
        <v>383246.95329332573</v>
      </c>
      <c r="F12" s="13">
        <f>HLOOKUP($B12, '[1]5. Allocation of Balances'!$D$4:$Z$56, 43,FALSE)</f>
        <v>-112760.36195318235</v>
      </c>
      <c r="G12" s="60">
        <f t="shared" si="0"/>
        <v>-0.29422376612314238</v>
      </c>
      <c r="H12" s="15" t="str">
        <f t="shared" si="1"/>
        <v>$/kW</v>
      </c>
    </row>
    <row r="13" spans="1:8" s="2" customFormat="1" x14ac:dyDescent="0.25">
      <c r="B13" s="10" t="str">
        <f>IF(ISBLANK('[1]4. Billing Determinants'!$B24), "", '[1]4. Billing Determinants'!$B24)</f>
        <v>GS &gt;1000 KW</v>
      </c>
      <c r="C13" s="11" t="str">
        <f>IF(ISBLANK('[1]4. Billing Determinants'!C24), "", '[1]4. Billing Determinants'!C24)</f>
        <v>kW</v>
      </c>
      <c r="D13" s="12">
        <f>IF(C13="", 0, IF(C13="kWh", '[1]4. Billing Determinants'!E24, IF(C13="kW", '[1]4. Billing Determinants'!F24, '[1]4. Billing Determinants'!D24)))</f>
        <v>466924.2403113636</v>
      </c>
      <c r="E13" s="12">
        <f t="shared" si="2"/>
        <v>272372.47351496213</v>
      </c>
      <c r="F13" s="13">
        <f>HLOOKUP($B13, '[1]5. Allocation of Balances'!$D$4:$Z$56, 43,FALSE)</f>
        <v>-73447.520349386905</v>
      </c>
      <c r="G13" s="60">
        <f t="shared" si="0"/>
        <v>-0.26965838141258514</v>
      </c>
      <c r="H13" s="15" t="str">
        <f t="shared" si="1"/>
        <v>$/kW</v>
      </c>
    </row>
    <row r="14" spans="1:8" s="2" customFormat="1" x14ac:dyDescent="0.25">
      <c r="B14" s="10" t="str">
        <f>IF(ISBLANK('[1]4. Billing Determinants'!$B26), "", '[1]4. Billing Determinants'!$B26)</f>
        <v>STREET LIGHTS</v>
      </c>
      <c r="C14" s="11" t="str">
        <f>IF(ISBLANK('[1]4. Billing Determinants'!C26), "", '[1]4. Billing Determinants'!C26)</f>
        <v>kW</v>
      </c>
      <c r="D14" s="12">
        <f>IF(C14="", 0, IF(C14="kWh", '[1]4. Billing Determinants'!E26, IF(C14="kW", '[1]4. Billing Determinants'!F26, '[1]4. Billing Determinants'!D26)))</f>
        <v>23590.129477102848</v>
      </c>
      <c r="E14" s="12">
        <f t="shared" si="2"/>
        <v>13760.908861643329</v>
      </c>
      <c r="F14" s="13">
        <f>HLOOKUP($B14, '[1]5. Allocation of Balances'!$D$4:$Z$56, 43,FALSE)</f>
        <v>-3506.0065656328843</v>
      </c>
      <c r="G14" s="60">
        <f t="shared" si="0"/>
        <v>-0.25478016029925199</v>
      </c>
      <c r="H14" s="15" t="str">
        <f t="shared" si="1"/>
        <v>$/kW</v>
      </c>
    </row>
    <row r="15" spans="1:8" s="2" customFormat="1" x14ac:dyDescent="0.25">
      <c r="B15" s="10" t="str">
        <f>IF(ISBLANK('[1]4. Billing Determinants'!$B27), "", '[1]4. Billing Determinants'!$B27)</f>
        <v>SENTINEL LIGHTS</v>
      </c>
      <c r="C15" s="11" t="str">
        <f>IF(ISBLANK('[1]4. Billing Determinants'!C27), "", '[1]4. Billing Determinants'!C27)</f>
        <v>kW</v>
      </c>
      <c r="D15" s="12">
        <f>IF(C15="", 0, IF(C15="kWh", '[1]4. Billing Determinants'!E27, IF(C15="kW", '[1]4. Billing Determinants'!F27, '[1]4. Billing Determinants'!D27)))</f>
        <v>294.77413946971797</v>
      </c>
      <c r="E15" s="12">
        <f t="shared" si="2"/>
        <v>171.9515813573355</v>
      </c>
      <c r="F15" s="13">
        <f>HLOOKUP($B15, '[1]5. Allocation of Balances'!$D$4:$Z$56, 43,FALSE)</f>
        <v>-43.118282994509769</v>
      </c>
      <c r="G15" s="60">
        <f t="shared" si="0"/>
        <v>-0.25075828122164773</v>
      </c>
      <c r="H15" s="15" t="str">
        <f t="shared" si="1"/>
        <v>$/kW</v>
      </c>
    </row>
    <row r="16" spans="1:8" s="2" customFormat="1" x14ac:dyDescent="0.25">
      <c r="B16" s="10" t="str">
        <f>IF(ISBLANK('[1]4. Billing Determinants'!$B28), "", '[1]4. Billing Determinants'!$B28)</f>
        <v>UNMETERED SCATTERED LOAD</v>
      </c>
      <c r="C16" s="11" t="str">
        <f>IF(ISBLANK('[1]4. Billing Determinants'!C28), "", '[1]4. Billing Determinants'!C28)</f>
        <v>kWh</v>
      </c>
      <c r="D16" s="12">
        <f>IF(C16="", 0, IF(C16="kWh", '[1]4. Billing Determinants'!E28, IF(C16="kW", '[1]4. Billing Determinants'!F28, '[1]4. Billing Determinants'!D28)))</f>
        <v>2148121.5747701586</v>
      </c>
      <c r="E16" s="12">
        <f t="shared" si="2"/>
        <v>1253070.9186159258</v>
      </c>
      <c r="F16" s="13">
        <f>HLOOKUP($B16, '[1]5. Allocation of Balances'!$D$4:$Z$56, 43,FALSE)</f>
        <v>-908.02402289634108</v>
      </c>
      <c r="G16" s="60">
        <f t="shared" si="0"/>
        <v>-7.2463897246876914E-4</v>
      </c>
      <c r="H16" s="15" t="str">
        <f t="shared" si="1"/>
        <v>$/kWh</v>
      </c>
    </row>
    <row r="17" spans="2:8" s="2" customFormat="1" x14ac:dyDescent="0.25">
      <c r="B17" s="10" t="str">
        <f>IF(ISBLANK('[1]4. Billing Determinants'!$B29), "", '[1]4. Billing Determinants'!$B29)</f>
        <v/>
      </c>
      <c r="C17" s="11" t="str">
        <f>IF(ISBLANK('[1]4. Billing Determinants'!C29), "", '[1]4. Billing Determinants'!C29)</f>
        <v/>
      </c>
      <c r="D17" s="12">
        <f>IF(C17="", 0, IF(C17="kWh", '[1]4. Billing Determinants'!E29, IF(C17="kW", '[1]4. Billing Determinants'!F29, '[1]4. Billing Determinants'!D29)))</f>
        <v>0</v>
      </c>
      <c r="E17" s="12"/>
      <c r="F17" s="13">
        <f>HLOOKUP($B17, '[1]5. Allocation of Balances'!$D$4:$Z$56, 43,FALSE)</f>
        <v>0</v>
      </c>
      <c r="G17" s="14"/>
      <c r="H17" s="15" t="str">
        <f t="shared" si="1"/>
        <v/>
      </c>
    </row>
    <row r="18" spans="2:8" s="2" customFormat="1" x14ac:dyDescent="0.25">
      <c r="B18" s="10" t="str">
        <f>IF(ISBLANK('[1]4. Billing Determinants'!$B30), "", '[1]4. Billing Determinants'!$B30)</f>
        <v/>
      </c>
      <c r="C18" s="11" t="str">
        <f>IF(ISBLANK('[1]4. Billing Determinants'!C30), "", '[1]4. Billing Determinants'!C30)</f>
        <v/>
      </c>
      <c r="D18" s="12">
        <f>IF(C18="", 0, IF(C18="kWh", '[1]4. Billing Determinants'!E30, IF(C18="kW", '[1]4. Billing Determinants'!F30, '[1]4. Billing Determinants'!D30)))</f>
        <v>0</v>
      </c>
      <c r="E18" s="12"/>
      <c r="F18" s="13">
        <f>HLOOKUP($B18, '[1]5. Allocation of Balances'!$D$4:$Z$56, 43,FALSE)</f>
        <v>0</v>
      </c>
      <c r="G18" s="14"/>
      <c r="H18" s="15" t="str">
        <f t="shared" si="1"/>
        <v/>
      </c>
    </row>
    <row r="19" spans="2:8" s="2" customFormat="1" ht="15.75" thickBot="1" x14ac:dyDescent="0.3">
      <c r="B19" s="16" t="s">
        <v>11</v>
      </c>
      <c r="C19" s="17"/>
      <c r="D19" s="18">
        <f>SUM(D10:D18)</f>
        <v>482107819.39454257</v>
      </c>
      <c r="E19" s="38">
        <f>(D19/12)*7</f>
        <v>281229561.31348318</v>
      </c>
      <c r="F19" s="19">
        <f>SUM(F10:F18)</f>
        <v>-398465.90650256665</v>
      </c>
      <c r="G19" s="14"/>
    </row>
    <row r="20" spans="2:8" s="2" customFormat="1" ht="16.5" thickTop="1" thickBot="1" x14ac:dyDescent="0.3">
      <c r="C20" s="2" t="s">
        <v>46</v>
      </c>
      <c r="D20" s="64">
        <f>D19-'[1]4. Billing Determinants'!$E$21-'[1]4. Billing Determinants'!$E$22-'[1]4. Billing Determinants'!$F$23-'[1]4. Billing Determinants'!$F$24-'[1]4. Billing Determinants'!$F$26-'[1]4. Billing Determinants'!$F$27-'[1]4. Billing Determinants'!$E$28</f>
        <v>-5.5879354476928711E-9</v>
      </c>
      <c r="E20" s="39"/>
      <c r="F20" s="65">
        <f>F19-'[1]5. Allocation of Balances'!$D$6-'[1]5. Allocation of Balances'!$D$8-'[1]5. Allocation of Balances'!$D$9-'[1]5. Allocation of Balances'!$D$15-'[1]5. Allocation of Balances'!$D$16-'[1]5. Allocation of Balances'!$D$17-'[1]5. Allocation of Balances'!$D$12-'[1]5. Allocation of Balances'!$D$13-'[1]5. Allocation of Balances'!$D$14+108</f>
        <v>6.892410016280337E-2</v>
      </c>
    </row>
    <row r="21" spans="2:8" s="2" customFormat="1" ht="16.5" thickTop="1" x14ac:dyDescent="0.25">
      <c r="B21" s="20" t="s">
        <v>12</v>
      </c>
    </row>
    <row r="22" spans="2:8" s="2" customFormat="1" x14ac:dyDescent="0.25">
      <c r="B22" s="7" t="s">
        <v>13</v>
      </c>
    </row>
    <row r="23" spans="2:8" s="2" customFormat="1" ht="12.75" customHeight="1" x14ac:dyDescent="0.25">
      <c r="B23" s="71" t="s">
        <v>4</v>
      </c>
      <c r="C23" s="73" t="s">
        <v>5</v>
      </c>
      <c r="D23" s="74" t="s">
        <v>6</v>
      </c>
      <c r="E23" s="8"/>
      <c r="F23" s="74" t="s">
        <v>7</v>
      </c>
      <c r="G23" s="76" t="s">
        <v>8</v>
      </c>
    </row>
    <row r="24" spans="2:8" s="2" customFormat="1" ht="27" customHeight="1" x14ac:dyDescent="0.25">
      <c r="B24" s="72"/>
      <c r="C24" s="73"/>
      <c r="D24" s="75"/>
      <c r="E24" s="37" t="s">
        <v>44</v>
      </c>
      <c r="F24" s="75"/>
      <c r="G24" s="76"/>
    </row>
    <row r="25" spans="2:8" s="2" customFormat="1" x14ac:dyDescent="0.25">
      <c r="B25" s="10" t="str">
        <f>IF(ISBLANK('[1]4. Billing Determinants'!B21), "", '[1]4. Billing Determinants'!B21)</f>
        <v>RESIDENTIAL</v>
      </c>
      <c r="C25" s="11" t="str">
        <f>IF(ISBLANK('[1]4. Billing Determinants'!C21), "", '[1]4. Billing Determinants'!C21)</f>
        <v>kWh</v>
      </c>
      <c r="D25" s="12">
        <f>IF(C25="", 0, IF(C25="kWh", '[1]4. Billing Determinants'!L21, IF(C25="kW", '[1]4. Billing Determinants'!M21, '[1]4. Billing Determinants'!D21)))</f>
        <v>336114686.47881699</v>
      </c>
      <c r="E25" s="12">
        <f t="shared" ref="E25:E31" si="3">(D25/12)*7</f>
        <v>196066900.44597656</v>
      </c>
      <c r="F25" s="13">
        <f>HLOOKUP($B25, '[1]5. Allocation of Balances'!$D$4:$Z$56, 44,FALSE)</f>
        <v>-732977.75907596631</v>
      </c>
      <c r="G25" s="60">
        <f t="shared" ref="G25:G31" si="4">F25/E25</f>
        <v>-3.738406418465966E-3</v>
      </c>
      <c r="H25" s="15" t="str">
        <f t="shared" ref="H25:H33" si="5">IF(C25="", "", IF(C25="# of Customers", "per customer per month", "$/"&amp;C25))</f>
        <v>$/kWh</v>
      </c>
    </row>
    <row r="26" spans="2:8" s="2" customFormat="1" x14ac:dyDescent="0.25">
      <c r="B26" s="10" t="str">
        <f>IF(ISBLANK('[1]4. Billing Determinants'!B22), "", '[1]4. Billing Determinants'!B22)</f>
        <v>GS &lt; 50KW</v>
      </c>
      <c r="C26" s="11" t="str">
        <f>IF(ISBLANK('[1]4. Billing Determinants'!C22), "", '[1]4. Billing Determinants'!C22)</f>
        <v>kWh</v>
      </c>
      <c r="D26" s="12">
        <f>IF(C26="", 0, IF(C26="kWh", '[1]4. Billing Determinants'!L22, IF(C26="kW", '[1]4. Billing Determinants'!M22, '[1]4. Billing Determinants'!D22)))</f>
        <v>142697207.41995323</v>
      </c>
      <c r="E26" s="12">
        <f t="shared" si="3"/>
        <v>83240037.661639392</v>
      </c>
      <c r="F26" s="13">
        <f>HLOOKUP($B26, '[1]5. Allocation of Balances'!$D$4:$Z$56, 44,FALSE)</f>
        <v>-311185.09106762131</v>
      </c>
      <c r="G26" s="60">
        <f t="shared" si="4"/>
        <v>-3.7384064184659642E-3</v>
      </c>
      <c r="H26" s="15" t="str">
        <f t="shared" si="5"/>
        <v>$/kWh</v>
      </c>
    </row>
    <row r="27" spans="2:8" s="2" customFormat="1" x14ac:dyDescent="0.25">
      <c r="B27" s="10" t="str">
        <f>IF(ISBLANK('[1]4. Billing Determinants'!B23), "", '[1]4. Billing Determinants'!B23)</f>
        <v>GS &gt; 50- 999 KW</v>
      </c>
      <c r="C27" s="11" t="str">
        <f>IF(ISBLANK('[1]4. Billing Determinants'!C23), "", '[1]4. Billing Determinants'!C23)</f>
        <v>kW</v>
      </c>
      <c r="D27" s="12">
        <f>IF(C27="", 0, IF(C27="kWh", '[1]4. Billing Determinants'!L23, IF(C27="kW", '[1]4. Billing Determinants'!M23, '[1]4. Billing Determinants'!D23)))</f>
        <v>656994.77707427274</v>
      </c>
      <c r="E27" s="12">
        <f t="shared" si="3"/>
        <v>383246.95329332573</v>
      </c>
      <c r="F27" s="13">
        <f>HLOOKUP($B27, '[1]5. Allocation of Balances'!$D$4:$Z$56, 44,FALSE)</f>
        <v>-573289.34881420562</v>
      </c>
      <c r="G27" s="60">
        <f t="shared" si="4"/>
        <v>-1.4958745109068803</v>
      </c>
      <c r="H27" s="15" t="str">
        <f t="shared" si="5"/>
        <v>$/kW</v>
      </c>
    </row>
    <row r="28" spans="2:8" s="2" customFormat="1" x14ac:dyDescent="0.25">
      <c r="B28" s="10" t="str">
        <f>IF(ISBLANK('[1]4. Billing Determinants'!B24), "", '[1]4. Billing Determinants'!B24)</f>
        <v>GS &gt;1000 KW</v>
      </c>
      <c r="C28" s="11" t="str">
        <f>IF(ISBLANK('[1]4. Billing Determinants'!C24), "", '[1]4. Billing Determinants'!C24)</f>
        <v>kW</v>
      </c>
      <c r="D28" s="12">
        <f>IF(C28="", 0, IF(C28="kWh", '[1]4. Billing Determinants'!L24, IF(C28="kW", '[1]4. Billing Determinants'!M24, '[1]4. Billing Determinants'!D24)))</f>
        <v>466924.2403113636</v>
      </c>
      <c r="E28" s="12">
        <f t="shared" si="3"/>
        <v>272372.47351496213</v>
      </c>
      <c r="F28" s="13">
        <f>HLOOKUP($B28, '[1]5. Allocation of Balances'!$D$4:$Z$56, 44,FALSE)</f>
        <v>-369269.33791071351</v>
      </c>
      <c r="G28" s="60">
        <f t="shared" si="4"/>
        <v>-1.3557513104951429</v>
      </c>
      <c r="H28" s="15" t="str">
        <f t="shared" si="5"/>
        <v>$/kW</v>
      </c>
    </row>
    <row r="29" spans="2:8" s="2" customFormat="1" x14ac:dyDescent="0.25">
      <c r="B29" s="10" t="str">
        <f>IF(ISBLANK('[1]4. Billing Determinants'!B26), "", '[1]4. Billing Determinants'!B26)</f>
        <v>STREET LIGHTS</v>
      </c>
      <c r="C29" s="11" t="str">
        <f>IF(ISBLANK('[1]4. Billing Determinants'!C26), "", '[1]4. Billing Determinants'!C26)</f>
        <v>kW</v>
      </c>
      <c r="D29" s="12">
        <f>IF(C29="", 0, IF(C29="kWh", '[1]4. Billing Determinants'!L26, IF(C29="kW", '[1]4. Billing Determinants'!M26, '[1]4. Billing Determinants'!D26)))</f>
        <v>23590.129477102848</v>
      </c>
      <c r="E29" s="12">
        <f t="shared" si="3"/>
        <v>13760.908861643329</v>
      </c>
      <c r="F29" s="13">
        <f>HLOOKUP($B29, '[1]5. Allocation of Balances'!$D$4:$Z$56, 44,FALSE)</f>
        <v>-18079.543296593918</v>
      </c>
      <c r="G29" s="60">
        <f t="shared" si="4"/>
        <v>-1.313833517711043</v>
      </c>
      <c r="H29" s="15" t="str">
        <f t="shared" si="5"/>
        <v>$/kW</v>
      </c>
    </row>
    <row r="30" spans="2:8" s="2" customFormat="1" x14ac:dyDescent="0.25">
      <c r="B30" s="10" t="str">
        <f>IF(ISBLANK('[1]4. Billing Determinants'!B27), "", '[1]4. Billing Determinants'!B27)</f>
        <v>SENTINEL LIGHTS</v>
      </c>
      <c r="C30" s="11" t="str">
        <f>IF(ISBLANK('[1]4. Billing Determinants'!C27), "", '[1]4. Billing Determinants'!C27)</f>
        <v>kW</v>
      </c>
      <c r="D30" s="12">
        <f>IF(C30="", 0, IF(C30="kWh", '[1]4. Billing Determinants'!L27, IF(C30="kW", '[1]4. Billing Determinants'!M27, '[1]4. Billing Determinants'!D27)))</f>
        <v>294.77413946971797</v>
      </c>
      <c r="E30" s="12">
        <f t="shared" si="3"/>
        <v>171.9515813573355</v>
      </c>
      <c r="F30" s="13">
        <f>HLOOKUP($B30, '[1]5. Allocation of Balances'!$D$4:$Z$56, 44,FALSE)</f>
        <v>-235.60050995222605</v>
      </c>
      <c r="G30" s="60">
        <f t="shared" si="4"/>
        <v>-1.3701561107636493</v>
      </c>
      <c r="H30" s="15" t="str">
        <f t="shared" si="5"/>
        <v>$/kW</v>
      </c>
    </row>
    <row r="31" spans="2:8" s="2" customFormat="1" x14ac:dyDescent="0.25">
      <c r="B31" s="10" t="str">
        <f>IF(ISBLANK('[1]4. Billing Determinants'!B28), "", '[1]4. Billing Determinants'!B28)</f>
        <v>UNMETERED SCATTERED LOAD</v>
      </c>
      <c r="C31" s="11" t="str">
        <f>IF(ISBLANK('[1]4. Billing Determinants'!C28), "", '[1]4. Billing Determinants'!C28)</f>
        <v>kWh</v>
      </c>
      <c r="D31" s="12">
        <f>IF(C31="", 0, IF(C31="kWh", '[1]4. Billing Determinants'!L28, IF(C31="kW", '[1]4. Billing Determinants'!M28, '[1]4. Billing Determinants'!D28)))</f>
        <v>2148121.5747701586</v>
      </c>
      <c r="E31" s="12">
        <f t="shared" si="3"/>
        <v>1253070.9186159258</v>
      </c>
      <c r="F31" s="13">
        <f>HLOOKUP($B31, '[1]5. Allocation of Balances'!$D$4:$Z$56, 44,FALSE)</f>
        <v>-4684.4883649468202</v>
      </c>
      <c r="G31" s="60">
        <f t="shared" si="4"/>
        <v>-3.7384064184659651E-3</v>
      </c>
      <c r="H31" s="15" t="str">
        <f t="shared" si="5"/>
        <v>$/kWh</v>
      </c>
    </row>
    <row r="32" spans="2:8" s="2" customFormat="1" x14ac:dyDescent="0.25">
      <c r="B32" s="10" t="str">
        <f>IF(ISBLANK('[1]4. Billing Determinants'!B29), "", '[1]4. Billing Determinants'!B29)</f>
        <v/>
      </c>
      <c r="C32" s="11" t="str">
        <f>IF(ISBLANK('[1]4. Billing Determinants'!C29), "", '[1]4. Billing Determinants'!C29)</f>
        <v/>
      </c>
      <c r="D32" s="12">
        <f>IF(C32="", 0, IF(C32="kWh", '[1]4. Billing Determinants'!L29, IF(C32="kW", '[1]4. Billing Determinants'!M29, '[1]4. Billing Determinants'!D29)))</f>
        <v>0</v>
      </c>
      <c r="E32" s="12"/>
      <c r="F32" s="13">
        <f>HLOOKUP($B32, '[1]5. Allocation of Balances'!$D$4:$Z$56, 44,FALSE)</f>
        <v>0</v>
      </c>
      <c r="G32" s="14">
        <f>IF(ISERROR(F32/D32), 0, IF(C32="# of Customers", F32/D32/12/#REF!, F32/D32/#REF!))</f>
        <v>0</v>
      </c>
      <c r="H32" s="15" t="str">
        <f t="shared" si="5"/>
        <v/>
      </c>
    </row>
    <row r="33" spans="2:8" s="2" customFormat="1" x14ac:dyDescent="0.25">
      <c r="B33" s="10" t="str">
        <f>IF(ISBLANK('[1]4. Billing Determinants'!B30), "", '[1]4. Billing Determinants'!B30)</f>
        <v/>
      </c>
      <c r="C33" s="11" t="str">
        <f>IF(ISBLANK('[1]4. Billing Determinants'!C30), "", '[1]4. Billing Determinants'!C30)</f>
        <v/>
      </c>
      <c r="D33" s="12">
        <f>IF(C33="", 0, IF(C33="kWh", '[1]4. Billing Determinants'!L30, IF(C33="kW", '[1]4. Billing Determinants'!M30, '[1]4. Billing Determinants'!D30)))</f>
        <v>0</v>
      </c>
      <c r="E33" s="12"/>
      <c r="F33" s="13">
        <f>HLOOKUP($B33, '[1]5. Allocation of Balances'!$D$4:$Z$56, 44,FALSE)</f>
        <v>0</v>
      </c>
      <c r="G33" s="14">
        <f>IF(ISERROR(F33/D33), 0, IF(C33="# of Customers", F33/D33/12/#REF!, F33/D33/#REF!))</f>
        <v>0</v>
      </c>
      <c r="H33" s="15" t="str">
        <f t="shared" si="5"/>
        <v/>
      </c>
    </row>
    <row r="34" spans="2:8" s="2" customFormat="1" ht="15.75" thickBot="1" x14ac:dyDescent="0.3">
      <c r="B34" s="16" t="s">
        <v>11</v>
      </c>
      <c r="C34" s="17"/>
      <c r="D34" s="18">
        <f>SUM(D25:D33)</f>
        <v>482107819.39454257</v>
      </c>
      <c r="E34" s="38">
        <f>(D34/12)*7</f>
        <v>281229561.31348318</v>
      </c>
      <c r="F34" s="19">
        <f>SUM(F25:F33)</f>
        <v>-2009721.1690400001</v>
      </c>
      <c r="G34" s="14"/>
    </row>
    <row r="35" spans="2:8" s="2" customFormat="1" ht="16.5" thickTop="1" thickBot="1" x14ac:dyDescent="0.3">
      <c r="C35" s="2" t="s">
        <v>46</v>
      </c>
      <c r="D35" s="64">
        <f>D34-D19</f>
        <v>0</v>
      </c>
      <c r="F35" s="65">
        <f>F34-'[1]5. Allocation of Balances'!$D$7-'[1]5. Allocation of Balances'!$D$10</f>
        <v>-3.637978807091713E-10</v>
      </c>
    </row>
    <row r="36" spans="2:8" s="2" customFormat="1" ht="18.75" thickTop="1" x14ac:dyDescent="0.25">
      <c r="B36" s="6" t="s">
        <v>14</v>
      </c>
    </row>
    <row r="37" spans="2:8" s="2" customFormat="1" x14ac:dyDescent="0.25">
      <c r="B37" s="7" t="s">
        <v>15</v>
      </c>
    </row>
    <row r="38" spans="2:8" s="2" customFormat="1" x14ac:dyDescent="0.25">
      <c r="B38" s="71" t="s">
        <v>4</v>
      </c>
      <c r="C38" s="73" t="s">
        <v>5</v>
      </c>
      <c r="D38" s="77" t="s">
        <v>45</v>
      </c>
      <c r="E38" s="8"/>
      <c r="F38" s="74" t="s">
        <v>16</v>
      </c>
      <c r="G38" s="76" t="s">
        <v>17</v>
      </c>
    </row>
    <row r="39" spans="2:8" s="2" customFormat="1" ht="54.75" customHeight="1" x14ac:dyDescent="0.25">
      <c r="B39" s="72"/>
      <c r="C39" s="73"/>
      <c r="D39" s="77"/>
      <c r="E39" s="37" t="s">
        <v>44</v>
      </c>
      <c r="F39" s="75"/>
      <c r="G39" s="76"/>
    </row>
    <row r="40" spans="2:8" s="2" customFormat="1" x14ac:dyDescent="0.25">
      <c r="B40" s="10" t="str">
        <f t="shared" ref="B40:B48" si="6">B10</f>
        <v>RESIDENTIAL</v>
      </c>
      <c r="C40" s="21" t="str">
        <f>IF(ISBLANK('[1]4. Billing Determinants'!C21), "", '[1]4. Billing Determinants'!C21)</f>
        <v>kWh</v>
      </c>
      <c r="D40" s="12">
        <f>IF(C40="", 0, IF(C40="kWh", '[1]4. Billing Determinants'!S21, IF(C40="kW", '[1]4. Billing Determinants'!S21, '[1]4. Billing Determinants'!D21)))</f>
        <v>11679411.16869873</v>
      </c>
      <c r="E40" s="12">
        <f t="shared" ref="E40:E49" si="7">(D40/12)*7</f>
        <v>6812989.8484075926</v>
      </c>
      <c r="F40" s="13">
        <f>HLOOKUP($B40, '[1]5. Allocation of Balances'!$D$4:$Z$56, 45,FALSE)</f>
        <v>27379.024457669526</v>
      </c>
      <c r="G40" s="60">
        <f>G49</f>
        <v>4.0186504114737304E-3</v>
      </c>
      <c r="H40" s="15" t="str">
        <f t="shared" ref="H40:H48" si="8">IF(C40="", "", IF(C40="# of Customers", "per customer per month", "$/"&amp;C40))</f>
        <v>$/kWh</v>
      </c>
    </row>
    <row r="41" spans="2:8" s="2" customFormat="1" x14ac:dyDescent="0.25">
      <c r="B41" s="10" t="str">
        <f t="shared" si="6"/>
        <v>GS &lt; 50KW</v>
      </c>
      <c r="C41" s="21" t="str">
        <f>IF(ISBLANK('[1]4. Billing Determinants'!C22), "", '[1]4. Billing Determinants'!C22)</f>
        <v>kWh</v>
      </c>
      <c r="D41" s="12">
        <f>IF(C41="", 0, IF(C41="kWh", '[1]4. Billing Determinants'!S22, IF(C41="kW", '[1]4. Billing Determinants'!S22, '[1]4. Billing Determinants'!D22)))</f>
        <v>23023713.370207135</v>
      </c>
      <c r="E41" s="12">
        <f t="shared" si="7"/>
        <v>13430499.465954162</v>
      </c>
      <c r="F41" s="13">
        <f>HLOOKUP($B41, '[1]5. Allocation of Balances'!$D$4:$Z$56, 45,FALSE)</f>
        <v>53972.482205154418</v>
      </c>
      <c r="G41" s="60">
        <f>G40</f>
        <v>4.0186504114737304E-3</v>
      </c>
      <c r="H41" s="15" t="str">
        <f t="shared" si="8"/>
        <v>$/kWh</v>
      </c>
    </row>
    <row r="42" spans="2:8" s="2" customFormat="1" x14ac:dyDescent="0.25">
      <c r="B42" s="10" t="str">
        <f t="shared" si="6"/>
        <v>GS &gt; 50- 999 KW</v>
      </c>
      <c r="C42" s="21" t="s">
        <v>9</v>
      </c>
      <c r="D42" s="12">
        <f>IF(C42="", 0, IF(C42="kWh", '[1]4. Billing Determinants'!S23, IF(C42="kW", '[1]4. Billing Determinants'!S23, '[1]4. Billing Determinants'!D23)))</f>
        <v>221273287.96602443</v>
      </c>
      <c r="E42" s="12">
        <f t="shared" si="7"/>
        <v>129076084.64684758</v>
      </c>
      <c r="F42" s="13">
        <f>HLOOKUP($B42, '[1]5. Allocation of Balances'!$D$4:$Z$56, 45,FALSE)</f>
        <v>518711.66067747219</v>
      </c>
      <c r="G42" s="60">
        <f>G41</f>
        <v>4.0186504114737304E-3</v>
      </c>
      <c r="H42" s="15" t="str">
        <f t="shared" si="8"/>
        <v>$/kWh</v>
      </c>
    </row>
    <row r="43" spans="2:8" s="2" customFormat="1" x14ac:dyDescent="0.25">
      <c r="B43" s="10" t="str">
        <f t="shared" si="6"/>
        <v>GS &gt;1000 KW</v>
      </c>
      <c r="C43" s="21" t="s">
        <v>9</v>
      </c>
      <c r="D43" s="12">
        <f>IF(C43="", 0, IF(C43="kWh", '[1]4. Billing Determinants'!S24, IF(C43="kW", '[1]4. Billing Determinants'!S24, '[1]4. Billing Determinants'!D24)))</f>
        <v>133371197.90459979</v>
      </c>
      <c r="E43" s="12">
        <f t="shared" si="7"/>
        <v>77799865.444349885</v>
      </c>
      <c r="F43" s="13">
        <f>HLOOKUP($B43, '[1]5. Allocation of Balances'!$D$4:$Z$56, 45,FALSE)</f>
        <v>312650.46128053754</v>
      </c>
      <c r="G43" s="60">
        <f>G42</f>
        <v>4.0186504114737304E-3</v>
      </c>
      <c r="H43" s="15" t="str">
        <f t="shared" si="8"/>
        <v>$/kWh</v>
      </c>
    </row>
    <row r="44" spans="2:8" s="2" customFormat="1" x14ac:dyDescent="0.25">
      <c r="B44" s="10" t="str">
        <f t="shared" si="6"/>
        <v>STREET LIGHTS</v>
      </c>
      <c r="C44" s="21" t="s">
        <v>9</v>
      </c>
      <c r="D44" s="12">
        <f>IF(C44="", 0, IF(C44="kWh", '[1]4. Billing Determinants'!S26, IF(C44="kW", '[1]4. Billing Determinants'!S26, '[1]4. Billing Determinants'!D26)))</f>
        <v>8114545.33045296</v>
      </c>
      <c r="E44" s="12">
        <f t="shared" si="7"/>
        <v>4733484.7760975594</v>
      </c>
      <c r="F44" s="13">
        <f>HLOOKUP($B44, '[1]5. Allocation of Balances'!$D$4:$Z$56, 45,FALSE)</f>
        <v>19022.2205431691</v>
      </c>
      <c r="G44" s="60">
        <f>G43</f>
        <v>4.0186504114737304E-3</v>
      </c>
      <c r="H44" s="15" t="str">
        <f t="shared" si="8"/>
        <v>$/kWh</v>
      </c>
    </row>
    <row r="45" spans="2:8" s="2" customFormat="1" x14ac:dyDescent="0.25">
      <c r="B45" s="10" t="str">
        <f t="shared" si="6"/>
        <v>SENTINEL LIGHTS</v>
      </c>
      <c r="C45" s="21" t="s">
        <v>9</v>
      </c>
      <c r="D45" s="12">
        <f>IF(C45="", 0, IF(C45="kWh", '[1]4. Billing Determinants'!S27, IF(C45="kW", '[1]4. Billing Determinants'!S27, '[1]4. Billing Determinants'!D27)))</f>
        <v>0</v>
      </c>
      <c r="E45" s="12">
        <f t="shared" si="7"/>
        <v>0</v>
      </c>
      <c r="F45" s="13">
        <f>HLOOKUP($B45, '[1]5. Allocation of Balances'!$D$4:$Z$56, 45,FALSE)</f>
        <v>0</v>
      </c>
      <c r="G45" s="60">
        <f>IF(ISERROR(F45/D45), 0, IF(C45="# of Customers", F45/D45/12/#REF!, F45/D45/#REF!))</f>
        <v>0</v>
      </c>
      <c r="H45" s="15" t="str">
        <f t="shared" si="8"/>
        <v>$/kWh</v>
      </c>
    </row>
    <row r="46" spans="2:8" s="2" customFormat="1" x14ac:dyDescent="0.25">
      <c r="B46" s="10" t="str">
        <f t="shared" si="6"/>
        <v>UNMETERED SCATTERED LOAD</v>
      </c>
      <c r="C46" s="21" t="s">
        <v>9</v>
      </c>
      <c r="D46" s="12">
        <f>IF(C46="", 0, IF(C46="kWh", '[1]4. Billing Determinants'!S28, IF(C46="kW", '[1]4. Billing Determinants'!S28, '[1]4. Billing Determinants'!D28)))</f>
        <v>383684.58941738884</v>
      </c>
      <c r="E46" s="12">
        <f t="shared" si="7"/>
        <v>223816.01049347682</v>
      </c>
      <c r="F46" s="13">
        <f>HLOOKUP($B46, '[1]5. Allocation of Balances'!$D$4:$Z$56, 45,FALSE)</f>
        <v>899.43830266401949</v>
      </c>
      <c r="G46" s="60">
        <f>G44</f>
        <v>4.0186504114737304E-3</v>
      </c>
      <c r="H46" s="15" t="str">
        <f t="shared" si="8"/>
        <v>$/kWh</v>
      </c>
    </row>
    <row r="47" spans="2:8" s="2" customFormat="1" x14ac:dyDescent="0.25">
      <c r="B47" s="10" t="str">
        <f t="shared" si="6"/>
        <v/>
      </c>
      <c r="C47" s="21" t="str">
        <f>IF(ISBLANK('[1]4. Billing Determinants'!C29), "", '[1]4. Billing Determinants'!C29)</f>
        <v/>
      </c>
      <c r="D47" s="12">
        <f>IF(C47="", 0, IF(C47="kWh", '[1]4. Billing Determinants'!S29, IF(C47="kW", '[1]4. Billing Determinants'!S29, '[1]4. Billing Determinants'!D29)))</f>
        <v>0</v>
      </c>
      <c r="E47" s="12">
        <f t="shared" si="7"/>
        <v>0</v>
      </c>
      <c r="F47" s="13">
        <f>HLOOKUP($B47, '[1]5. Allocation of Balances'!$D$4:$Z$56, 45,FALSE)</f>
        <v>0</v>
      </c>
      <c r="G47" s="14">
        <f>IF(ISERROR(F47/D47), 0, IF(C47="# of Customers", F47/D47/12/#REF!, F47/D47/#REF!))</f>
        <v>0</v>
      </c>
      <c r="H47" s="15" t="str">
        <f t="shared" si="8"/>
        <v/>
      </c>
    </row>
    <row r="48" spans="2:8" s="2" customFormat="1" x14ac:dyDescent="0.25">
      <c r="B48" s="10" t="str">
        <f t="shared" si="6"/>
        <v/>
      </c>
      <c r="C48" s="21" t="str">
        <f>IF(ISBLANK('[1]4. Billing Determinants'!C30), "", '[1]4. Billing Determinants'!C30)</f>
        <v/>
      </c>
      <c r="D48" s="12">
        <f>IF(C48="", 0, IF(C48="kWh", '[1]4. Billing Determinants'!S30, IF(C48="kW", '[1]4. Billing Determinants'!S30, '[1]4. Billing Determinants'!D30)))</f>
        <v>0</v>
      </c>
      <c r="E48" s="12">
        <f t="shared" si="7"/>
        <v>0</v>
      </c>
      <c r="F48" s="13">
        <f>HLOOKUP($B48, '[1]5. Allocation of Balances'!$D$4:$Z$56, 45,FALSE)</f>
        <v>0</v>
      </c>
      <c r="G48" s="14">
        <f>IF(ISERROR(F48/D48), 0, IF(C48="# of Customers", F48/D48/12/#REF!, F48/D48/#REF!))</f>
        <v>0</v>
      </c>
      <c r="H48" s="15" t="str">
        <f t="shared" si="8"/>
        <v/>
      </c>
    </row>
    <row r="49" spans="1:8" s="2" customFormat="1" ht="15.75" thickBot="1" x14ac:dyDescent="0.3">
      <c r="B49" s="16" t="s">
        <v>11</v>
      </c>
      <c r="C49" s="17"/>
      <c r="D49" s="18">
        <f>SUM(D40:D48)</f>
        <v>397845840.32940042</v>
      </c>
      <c r="E49" s="38">
        <f t="shared" si="7"/>
        <v>232076740.19215026</v>
      </c>
      <c r="F49" s="19">
        <f>SUM(F40:F48)</f>
        <v>932635.28746666666</v>
      </c>
      <c r="G49" s="40">
        <f>F49/E49</f>
        <v>4.0186504114737304E-3</v>
      </c>
    </row>
    <row r="50" spans="1:8" s="2" customFormat="1" ht="16.5" thickTop="1" thickBot="1" x14ac:dyDescent="0.3">
      <c r="C50" s="2" t="s">
        <v>46</v>
      </c>
      <c r="D50" s="64">
        <f>D49-'[1]4. Billing Determinants'!$S$41</f>
        <v>0</v>
      </c>
      <c r="F50" s="64">
        <f>F49-'[1]5. Allocation of Balances'!$D$11</f>
        <v>0</v>
      </c>
    </row>
    <row r="51" spans="1:8" s="2" customFormat="1" ht="18.75" hidden="1" thickTop="1" x14ac:dyDescent="0.25">
      <c r="A51" s="22"/>
      <c r="B51" s="23" t="s">
        <v>18</v>
      </c>
      <c r="C51" s="22"/>
      <c r="D51" s="22"/>
      <c r="E51" s="22"/>
      <c r="F51" s="22"/>
      <c r="G51" s="22"/>
      <c r="H51" s="22"/>
    </row>
    <row r="52" spans="1:8" s="2" customFormat="1" ht="15.75" hidden="1" thickTop="1" x14ac:dyDescent="0.25">
      <c r="A52" s="22"/>
      <c r="B52" s="24" t="s">
        <v>19</v>
      </c>
      <c r="C52" s="22"/>
      <c r="D52" s="22"/>
      <c r="E52" s="22"/>
      <c r="F52" s="22"/>
      <c r="G52" s="22"/>
      <c r="H52" s="22"/>
    </row>
    <row r="53" spans="1:8" s="2" customFormat="1" ht="15.75" hidden="1" thickTop="1" x14ac:dyDescent="0.25">
      <c r="A53" s="22"/>
      <c r="B53" s="78" t="s">
        <v>4</v>
      </c>
      <c r="C53" s="79" t="s">
        <v>5</v>
      </c>
      <c r="D53" s="80" t="s">
        <v>20</v>
      </c>
      <c r="E53" s="25"/>
      <c r="F53" s="80" t="s">
        <v>16</v>
      </c>
      <c r="G53" s="78" t="s">
        <v>17</v>
      </c>
      <c r="H53" s="22"/>
    </row>
    <row r="54" spans="1:8" s="2" customFormat="1" ht="54.75" hidden="1" customHeight="1" x14ac:dyDescent="0.25">
      <c r="A54" s="22"/>
      <c r="B54" s="79"/>
      <c r="C54" s="79"/>
      <c r="D54" s="81"/>
      <c r="E54" s="26"/>
      <c r="F54" s="81"/>
      <c r="G54" s="78"/>
      <c r="H54" s="22"/>
    </row>
    <row r="55" spans="1:8" s="2" customFormat="1" ht="15.75" hidden="1" thickTop="1" x14ac:dyDescent="0.25">
      <c r="A55" s="22"/>
      <c r="B55" s="27"/>
      <c r="C55" s="28"/>
      <c r="D55" s="29"/>
      <c r="E55" s="29"/>
      <c r="F55" s="30"/>
      <c r="G55" s="31"/>
      <c r="H55" s="22" t="str">
        <f t="shared" ref="H55:H74" si="9">IF(C55="", "", IF(C55="# of Customers", "per customer per month", "$/"&amp;C55))</f>
        <v/>
      </c>
    </row>
    <row r="56" spans="1:8" s="2" customFormat="1" ht="15.75" hidden="1" thickTop="1" x14ac:dyDescent="0.25">
      <c r="A56" s="22"/>
      <c r="B56" s="27"/>
      <c r="C56" s="28"/>
      <c r="D56" s="29"/>
      <c r="E56" s="29"/>
      <c r="F56" s="30"/>
      <c r="G56" s="31"/>
      <c r="H56" s="22" t="str">
        <f t="shared" si="9"/>
        <v/>
      </c>
    </row>
    <row r="57" spans="1:8" s="2" customFormat="1" ht="15.75" hidden="1" thickTop="1" x14ac:dyDescent="0.25">
      <c r="A57" s="22"/>
      <c r="B57" s="27"/>
      <c r="C57" s="28"/>
      <c r="D57" s="29"/>
      <c r="E57" s="29"/>
      <c r="F57" s="30"/>
      <c r="G57" s="31"/>
      <c r="H57" s="22" t="str">
        <f t="shared" si="9"/>
        <v/>
      </c>
    </row>
    <row r="58" spans="1:8" s="2" customFormat="1" ht="15.75" hidden="1" thickTop="1" x14ac:dyDescent="0.25">
      <c r="A58" s="22"/>
      <c r="B58" s="27"/>
      <c r="C58" s="28"/>
      <c r="D58" s="29"/>
      <c r="E58" s="29"/>
      <c r="F58" s="30"/>
      <c r="G58" s="31"/>
      <c r="H58" s="22" t="str">
        <f t="shared" si="9"/>
        <v/>
      </c>
    </row>
    <row r="59" spans="1:8" s="2" customFormat="1" ht="15.75" hidden="1" thickTop="1" x14ac:dyDescent="0.25">
      <c r="A59" s="22"/>
      <c r="B59" s="27"/>
      <c r="C59" s="28"/>
      <c r="D59" s="29"/>
      <c r="E59" s="29"/>
      <c r="F59" s="30"/>
      <c r="G59" s="31"/>
      <c r="H59" s="22" t="str">
        <f t="shared" si="9"/>
        <v/>
      </c>
    </row>
    <row r="60" spans="1:8" s="2" customFormat="1" ht="15.75" hidden="1" thickTop="1" x14ac:dyDescent="0.25">
      <c r="A60" s="22"/>
      <c r="B60" s="27"/>
      <c r="C60" s="28"/>
      <c r="D60" s="29"/>
      <c r="E60" s="29"/>
      <c r="F60" s="30"/>
      <c r="G60" s="31"/>
      <c r="H60" s="22" t="str">
        <f t="shared" si="9"/>
        <v/>
      </c>
    </row>
    <row r="61" spans="1:8" s="2" customFormat="1" ht="15.75" hidden="1" thickTop="1" x14ac:dyDescent="0.25">
      <c r="A61" s="22"/>
      <c r="B61" s="27"/>
      <c r="C61" s="28"/>
      <c r="D61" s="29"/>
      <c r="E61" s="29"/>
      <c r="F61" s="30"/>
      <c r="G61" s="31"/>
      <c r="H61" s="22" t="str">
        <f t="shared" si="9"/>
        <v/>
      </c>
    </row>
    <row r="62" spans="1:8" s="2" customFormat="1" ht="15.75" hidden="1" thickTop="1" x14ac:dyDescent="0.25">
      <c r="A62" s="22"/>
      <c r="B62" s="27"/>
      <c r="C62" s="28"/>
      <c r="D62" s="29"/>
      <c r="E62" s="29"/>
      <c r="F62" s="30"/>
      <c r="G62" s="31"/>
      <c r="H62" s="22" t="str">
        <f t="shared" si="9"/>
        <v/>
      </c>
    </row>
    <row r="63" spans="1:8" s="2" customFormat="1" ht="15.75" hidden="1" thickTop="1" x14ac:dyDescent="0.25">
      <c r="A63" s="22"/>
      <c r="B63" s="27"/>
      <c r="C63" s="28"/>
      <c r="D63" s="29"/>
      <c r="E63" s="29"/>
      <c r="F63" s="30"/>
      <c r="G63" s="31"/>
      <c r="H63" s="22" t="str">
        <f t="shared" si="9"/>
        <v/>
      </c>
    </row>
    <row r="64" spans="1:8" s="2" customFormat="1" ht="15.75" hidden="1" thickTop="1" x14ac:dyDescent="0.25">
      <c r="A64" s="22"/>
      <c r="B64" s="27" t="e">
        <f>#REF!</f>
        <v>#REF!</v>
      </c>
      <c r="C64" s="28"/>
      <c r="D64" s="29"/>
      <c r="E64" s="29"/>
      <c r="F64" s="30"/>
      <c r="G64" s="31"/>
      <c r="H64" s="22" t="str">
        <f t="shared" si="9"/>
        <v/>
      </c>
    </row>
    <row r="65" spans="1:8" s="2" customFormat="1" ht="15.75" hidden="1" thickTop="1" x14ac:dyDescent="0.25">
      <c r="A65" s="22"/>
      <c r="B65" s="27" t="str">
        <f>B10</f>
        <v>RESIDENTIAL</v>
      </c>
      <c r="C65" s="28"/>
      <c r="D65" s="29"/>
      <c r="E65" s="29"/>
      <c r="F65" s="30"/>
      <c r="G65" s="31"/>
      <c r="H65" s="22" t="str">
        <f t="shared" si="9"/>
        <v/>
      </c>
    </row>
    <row r="66" spans="1:8" s="2" customFormat="1" ht="15.75" hidden="1" thickTop="1" x14ac:dyDescent="0.25">
      <c r="A66" s="22"/>
      <c r="B66" s="27" t="str">
        <f>B11</f>
        <v>GS &lt; 50KW</v>
      </c>
      <c r="C66" s="28" t="str">
        <f>IF(ISBLANK('[1]4. Billing Determinants'!C22), "", '[1]4. Billing Determinants'!C22)</f>
        <v>kWh</v>
      </c>
      <c r="D66" s="29"/>
      <c r="E66" s="29"/>
      <c r="F66" s="30"/>
      <c r="G66" s="31"/>
      <c r="H66" s="22" t="str">
        <f t="shared" si="9"/>
        <v>$/kWh</v>
      </c>
    </row>
    <row r="67" spans="1:8" s="2" customFormat="1" ht="15.75" hidden="1" thickTop="1" x14ac:dyDescent="0.25">
      <c r="A67" s="22"/>
      <c r="B67" s="27" t="str">
        <f>B12</f>
        <v>GS &gt; 50- 999 KW</v>
      </c>
      <c r="C67" s="28" t="str">
        <f>IF(ISBLANK('[1]4. Billing Determinants'!C23), "", '[1]4. Billing Determinants'!C23)</f>
        <v>kW</v>
      </c>
      <c r="D67" s="29"/>
      <c r="E67" s="29"/>
      <c r="F67" s="30"/>
      <c r="G67" s="31"/>
      <c r="H67" s="22" t="str">
        <f t="shared" si="9"/>
        <v>$/kW</v>
      </c>
    </row>
    <row r="68" spans="1:8" s="2" customFormat="1" ht="15.75" hidden="1" thickTop="1" x14ac:dyDescent="0.25">
      <c r="A68" s="22"/>
      <c r="B68" s="27" t="str">
        <f>B13</f>
        <v>GS &gt;1000 KW</v>
      </c>
      <c r="C68" s="28" t="str">
        <f>IF(ISBLANK('[1]4. Billing Determinants'!C24), "", '[1]4. Billing Determinants'!C24)</f>
        <v>kW</v>
      </c>
      <c r="D68" s="29"/>
      <c r="E68" s="29"/>
      <c r="F68" s="30"/>
      <c r="G68" s="31"/>
      <c r="H68" s="22" t="str">
        <f t="shared" si="9"/>
        <v>$/kW</v>
      </c>
    </row>
    <row r="69" spans="1:8" s="2" customFormat="1" ht="15.75" hidden="1" thickTop="1" x14ac:dyDescent="0.25">
      <c r="A69" s="22"/>
      <c r="B69" s="27" t="e">
        <f>#REF!</f>
        <v>#REF!</v>
      </c>
      <c r="C69" s="28" t="str">
        <f>IF(ISBLANK('[1]4. Billing Determinants'!C25), "", '[1]4. Billing Determinants'!C25)</f>
        <v>kW</v>
      </c>
      <c r="D69" s="29"/>
      <c r="E69" s="29"/>
      <c r="F69" s="30"/>
      <c r="G69" s="31"/>
      <c r="H69" s="22" t="str">
        <f t="shared" si="9"/>
        <v>$/kW</v>
      </c>
    </row>
    <row r="70" spans="1:8" s="2" customFormat="1" ht="15.75" hidden="1" thickTop="1" x14ac:dyDescent="0.25">
      <c r="A70" s="22"/>
      <c r="B70" s="27" t="str">
        <f>B14</f>
        <v>STREET LIGHTS</v>
      </c>
      <c r="C70" s="28" t="str">
        <f>IF(ISBLANK('[1]4. Billing Determinants'!C26), "", '[1]4. Billing Determinants'!C26)</f>
        <v>kW</v>
      </c>
      <c r="D70" s="29"/>
      <c r="E70" s="29"/>
      <c r="F70" s="30"/>
      <c r="G70" s="31"/>
      <c r="H70" s="22" t="str">
        <f t="shared" si="9"/>
        <v>$/kW</v>
      </c>
    </row>
    <row r="71" spans="1:8" s="2" customFormat="1" ht="15.75" hidden="1" thickTop="1" x14ac:dyDescent="0.25">
      <c r="A71" s="22"/>
      <c r="B71" s="27" t="str">
        <f>B15</f>
        <v>SENTINEL LIGHTS</v>
      </c>
      <c r="C71" s="28" t="str">
        <f>IF(ISBLANK('[1]4. Billing Determinants'!C27), "", '[1]4. Billing Determinants'!C27)</f>
        <v>kW</v>
      </c>
      <c r="D71" s="29"/>
      <c r="E71" s="29"/>
      <c r="F71" s="30"/>
      <c r="G71" s="31"/>
      <c r="H71" s="22" t="str">
        <f t="shared" si="9"/>
        <v>$/kW</v>
      </c>
    </row>
    <row r="72" spans="1:8" s="2" customFormat="1" ht="15.75" hidden="1" thickTop="1" x14ac:dyDescent="0.25">
      <c r="A72" s="22"/>
      <c r="B72" s="27" t="str">
        <f>B16</f>
        <v>UNMETERED SCATTERED LOAD</v>
      </c>
      <c r="C72" s="28" t="str">
        <f>IF(ISBLANK('[1]4. Billing Determinants'!C28), "", '[1]4. Billing Determinants'!C28)</f>
        <v>kWh</v>
      </c>
      <c r="D72" s="29"/>
      <c r="E72" s="29"/>
      <c r="F72" s="30"/>
      <c r="G72" s="31"/>
      <c r="H72" s="22" t="str">
        <f t="shared" si="9"/>
        <v>$/kWh</v>
      </c>
    </row>
    <row r="73" spans="1:8" s="2" customFormat="1" ht="15.75" hidden="1" thickTop="1" x14ac:dyDescent="0.25">
      <c r="A73" s="22"/>
      <c r="B73" s="27" t="str">
        <f>B17</f>
        <v/>
      </c>
      <c r="C73" s="28" t="str">
        <f>IF(ISBLANK('[1]4. Billing Determinants'!C29), "", '[1]4. Billing Determinants'!C29)</f>
        <v/>
      </c>
      <c r="D73" s="29"/>
      <c r="E73" s="29"/>
      <c r="F73" s="30"/>
      <c r="G73" s="31"/>
      <c r="H73" s="22" t="str">
        <f t="shared" si="9"/>
        <v/>
      </c>
    </row>
    <row r="74" spans="1:8" s="2" customFormat="1" ht="15.75" hidden="1" thickTop="1" x14ac:dyDescent="0.25">
      <c r="A74" s="22"/>
      <c r="B74" s="27" t="str">
        <f>B18</f>
        <v/>
      </c>
      <c r="C74" s="28" t="str">
        <f>IF(ISBLANK('[1]4. Billing Determinants'!C30), "", '[1]4. Billing Determinants'!C30)</f>
        <v/>
      </c>
      <c r="D74" s="29"/>
      <c r="E74" s="29"/>
      <c r="F74" s="30"/>
      <c r="G74" s="31"/>
      <c r="H74" s="22" t="str">
        <f t="shared" si="9"/>
        <v/>
      </c>
    </row>
    <row r="75" spans="1:8" s="2" customFormat="1" ht="15.75" hidden="1" thickTop="1" x14ac:dyDescent="0.25">
      <c r="A75" s="22"/>
      <c r="B75" s="32" t="s">
        <v>11</v>
      </c>
      <c r="C75" s="33"/>
      <c r="D75" s="34"/>
      <c r="E75" s="34"/>
      <c r="F75" s="35"/>
      <c r="G75" s="32"/>
      <c r="H75" s="22"/>
    </row>
    <row r="76" spans="1:8" s="2" customFormat="1" ht="15.75" hidden="1" thickTop="1" x14ac:dyDescent="0.25"/>
    <row r="77" spans="1:8" s="2" customFormat="1" ht="15.75" hidden="1" thickTop="1" x14ac:dyDescent="0.25"/>
    <row r="78" spans="1:8" s="2" customFormat="1" ht="18.75" thickTop="1" x14ac:dyDescent="0.25">
      <c r="B78" s="6" t="s">
        <v>21</v>
      </c>
    </row>
    <row r="79" spans="1:8" s="2" customFormat="1" x14ac:dyDescent="0.25">
      <c r="B79" s="7" t="s">
        <v>38</v>
      </c>
    </row>
    <row r="80" spans="1:8" s="2" customFormat="1" x14ac:dyDescent="0.25">
      <c r="B80" s="71" t="s">
        <v>4</v>
      </c>
      <c r="C80" s="73" t="s">
        <v>5</v>
      </c>
      <c r="D80" s="74" t="s">
        <v>22</v>
      </c>
      <c r="E80" s="8"/>
      <c r="F80" s="74" t="s">
        <v>23</v>
      </c>
      <c r="G80" s="76" t="s">
        <v>17</v>
      </c>
    </row>
    <row r="81" spans="2:8" s="2" customFormat="1" ht="54.75" customHeight="1" x14ac:dyDescent="0.25">
      <c r="B81" s="72"/>
      <c r="C81" s="73"/>
      <c r="D81" s="75"/>
      <c r="E81" s="37" t="s">
        <v>44</v>
      </c>
      <c r="F81" s="75"/>
      <c r="G81" s="76"/>
    </row>
    <row r="82" spans="2:8" s="2" customFormat="1" x14ac:dyDescent="0.25">
      <c r="B82" s="10" t="str">
        <f t="shared" ref="B82:B90" si="10">B10</f>
        <v>RESIDENTIAL</v>
      </c>
      <c r="C82" s="11" t="s">
        <v>22</v>
      </c>
      <c r="D82" s="12">
        <v>45527.007090561528</v>
      </c>
      <c r="E82" s="12"/>
      <c r="F82" s="13">
        <f>HLOOKUP($B82, '[1]5. Allocation of Balances'!$D$4:$Z$56, 49,FALSE)</f>
        <v>109149.73208537431</v>
      </c>
      <c r="G82" s="60">
        <f xml:space="preserve"> IF(C82="# of Customers", F82/D82/7/1)</f>
        <v>0.34249602303797883</v>
      </c>
      <c r="H82" s="2" t="str">
        <f t="shared" ref="H82:H90" si="11">IF(C82="", "", IF(C82="# of Customers", "per customer per month", "$/"&amp;C82))</f>
        <v>per customer per month</v>
      </c>
    </row>
    <row r="83" spans="2:8" s="2" customFormat="1" x14ac:dyDescent="0.25">
      <c r="B83" s="10" t="str">
        <f t="shared" si="10"/>
        <v>GS &lt; 50KW</v>
      </c>
      <c r="C83" s="11" t="s">
        <v>9</v>
      </c>
      <c r="D83" s="12">
        <v>142697207.41995323</v>
      </c>
      <c r="E83" s="12">
        <f t="shared" ref="E83:E88" si="12">(D83/12)*7</f>
        <v>83240037.661639392</v>
      </c>
      <c r="F83" s="13">
        <f>HLOOKUP($B83, '[1]5. Allocation of Balances'!$D$4:$Z$56, 49,FALSE)</f>
        <v>46339.426944976985</v>
      </c>
      <c r="G83" s="60">
        <f t="shared" ref="G83:G88" si="13">F83/E83</f>
        <v>5.5669637168283259E-4</v>
      </c>
      <c r="H83" s="2" t="str">
        <f t="shared" si="11"/>
        <v>$/kWh</v>
      </c>
    </row>
    <row r="84" spans="2:8" s="2" customFormat="1" x14ac:dyDescent="0.25">
      <c r="B84" s="10" t="str">
        <f t="shared" si="10"/>
        <v>GS &gt; 50- 999 KW</v>
      </c>
      <c r="C84" s="11" t="s">
        <v>10</v>
      </c>
      <c r="D84" s="12">
        <v>656994.77707427274</v>
      </c>
      <c r="E84" s="12">
        <f t="shared" si="12"/>
        <v>383246.95329332573</v>
      </c>
      <c r="F84" s="13">
        <f>HLOOKUP($B84, '[1]5. Allocation of Balances'!$D$4:$Z$56, 49,FALSE)</f>
        <v>85370.092142160094</v>
      </c>
      <c r="G84" s="60">
        <f t="shared" si="13"/>
        <v>0.222754783589422</v>
      </c>
      <c r="H84" s="2" t="str">
        <f t="shared" si="11"/>
        <v>$/kW</v>
      </c>
    </row>
    <row r="85" spans="2:8" s="2" customFormat="1" x14ac:dyDescent="0.25">
      <c r="B85" s="10" t="str">
        <f t="shared" si="10"/>
        <v>GS &gt;1000 KW</v>
      </c>
      <c r="C85" s="11" t="s">
        <v>10</v>
      </c>
      <c r="D85" s="12">
        <v>466924.2403113636</v>
      </c>
      <c r="E85" s="12">
        <f t="shared" si="12"/>
        <v>272372.47351496213</v>
      </c>
      <c r="F85" s="13">
        <f>HLOOKUP($B85, '[1]5. Allocation of Balances'!$D$4:$Z$56, 49,FALSE)</f>
        <v>54988.911738753915</v>
      </c>
      <c r="G85" s="60">
        <f t="shared" si="13"/>
        <v>0.20188865280372478</v>
      </c>
      <c r="H85" s="2" t="str">
        <f t="shared" si="11"/>
        <v>$/kW</v>
      </c>
    </row>
    <row r="86" spans="2:8" s="2" customFormat="1" x14ac:dyDescent="0.25">
      <c r="B86" s="10" t="str">
        <f t="shared" si="10"/>
        <v>STREET LIGHTS</v>
      </c>
      <c r="C86" s="11" t="s">
        <v>10</v>
      </c>
      <c r="D86" s="12">
        <v>23590.129477102848</v>
      </c>
      <c r="E86" s="12">
        <f t="shared" si="12"/>
        <v>13760.908861643329</v>
      </c>
      <c r="F86" s="13">
        <f>HLOOKUP($B86, '[1]5. Allocation of Balances'!$D$4:$Z$56, 49,FALSE)</f>
        <v>2692.2744689237288</v>
      </c>
      <c r="G86" s="60">
        <f t="shared" si="13"/>
        <v>0.19564655910396148</v>
      </c>
      <c r="H86" s="2" t="str">
        <f t="shared" si="11"/>
        <v>$/kW</v>
      </c>
    </row>
    <row r="87" spans="2:8" s="2" customFormat="1" x14ac:dyDescent="0.25">
      <c r="B87" s="10" t="str">
        <f t="shared" si="10"/>
        <v>SENTINEL LIGHTS</v>
      </c>
      <c r="C87" s="11" t="s">
        <v>10</v>
      </c>
      <c r="D87" s="12">
        <v>294.77413946971797</v>
      </c>
      <c r="E87" s="12">
        <f t="shared" si="12"/>
        <v>171.9515813573355</v>
      </c>
      <c r="F87" s="13">
        <f>HLOOKUP($B87, '[1]5. Allocation of Balances'!$D$4:$Z$56, 49,FALSE)</f>
        <v>35.08391928955902</v>
      </c>
      <c r="G87" s="60">
        <f t="shared" si="13"/>
        <v>0.20403371119135294</v>
      </c>
      <c r="H87" s="2" t="str">
        <f t="shared" si="11"/>
        <v>$/kW</v>
      </c>
    </row>
    <row r="88" spans="2:8" s="2" customFormat="1" x14ac:dyDescent="0.25">
      <c r="B88" s="10" t="str">
        <f t="shared" si="10"/>
        <v>UNMETERED SCATTERED LOAD</v>
      </c>
      <c r="C88" s="11" t="s">
        <v>9</v>
      </c>
      <c r="D88" s="12">
        <v>2148121.5747701586</v>
      </c>
      <c r="E88" s="12">
        <f t="shared" si="12"/>
        <v>1253070.9186159258</v>
      </c>
      <c r="F88" s="13">
        <f>HLOOKUP($B88, '[1]5. Allocation of Balances'!$D$4:$Z$56, 49,FALSE)</f>
        <v>697.5800338547599</v>
      </c>
      <c r="G88" s="60">
        <f t="shared" si="13"/>
        <v>5.5669637168283259E-4</v>
      </c>
      <c r="H88" s="2" t="str">
        <f t="shared" si="11"/>
        <v>$/kWh</v>
      </c>
    </row>
    <row r="89" spans="2:8" s="2" customFormat="1" x14ac:dyDescent="0.25">
      <c r="B89" s="10" t="str">
        <f t="shared" si="10"/>
        <v/>
      </c>
      <c r="C89" s="11" t="str">
        <f>IF(ISBLANK('[1]4. Billing Determinants'!C55), "", '[1]4. Billing Determinants'!C55)</f>
        <v/>
      </c>
      <c r="D89" s="12">
        <f>IF(C89="",0,IF(ISNUMBER(SEARCH("RESIDENTIAL",UPPER(B89),1)),'[1]4. Billing Determinants'!D29, IF(C89="kWh",'[1]4. Billing Determinants'!E29, IF(C89="kW",'[1]4. Billing Determinants'!F29,'[1]4. Billing Determinants'!D29))))</f>
        <v>0</v>
      </c>
      <c r="E89" s="12"/>
      <c r="F89" s="13">
        <f>HLOOKUP($B89, '[1]5. Allocation of Balances'!$D$4:$Z$56, 49,FALSE)</f>
        <v>0</v>
      </c>
      <c r="G89" s="36">
        <f>IF(ISERROR(F89/D89), 0, IF(C89="# of Customers", F89/D89/12/#REF!, F89/D89/#REF!))</f>
        <v>0</v>
      </c>
      <c r="H89" s="2" t="str">
        <f t="shared" si="11"/>
        <v/>
      </c>
    </row>
    <row r="90" spans="2:8" s="2" customFormat="1" x14ac:dyDescent="0.25">
      <c r="B90" s="10" t="str">
        <f t="shared" si="10"/>
        <v/>
      </c>
      <c r="C90" s="11" t="str">
        <f>IF(ISBLANK('[1]4. Billing Determinants'!C56), "", '[1]4. Billing Determinants'!C56)</f>
        <v/>
      </c>
      <c r="D90" s="12">
        <f>IF(C90="",0,IF(ISNUMBER(SEARCH("RESIDENTIAL",UPPER(B90),1)),'[1]4. Billing Determinants'!D30, IF(C90="kWh",'[1]4. Billing Determinants'!E30, IF(C90="kW",'[1]4. Billing Determinants'!F30,'[1]4. Billing Determinants'!D30))))</f>
        <v>0</v>
      </c>
      <c r="E90" s="12"/>
      <c r="F90" s="13">
        <f>HLOOKUP($B90, '[1]5. Allocation of Balances'!$D$4:$Z$56, 49,FALSE)</f>
        <v>0</v>
      </c>
      <c r="G90" s="36">
        <f>IF(ISERROR(F90/D90), 0, IF(C90="# of Customers", F90/D90/12/#REF!, F90/D90/#REF!))</f>
        <v>0</v>
      </c>
      <c r="H90" s="2" t="str">
        <f t="shared" si="11"/>
        <v/>
      </c>
    </row>
    <row r="91" spans="2:8" s="2" customFormat="1" ht="15.75" thickBot="1" x14ac:dyDescent="0.3">
      <c r="B91" s="16" t="s">
        <v>11</v>
      </c>
      <c r="C91" s="17"/>
      <c r="D91" s="18">
        <f>SUM(D82:D90)</f>
        <v>146038659.92281616</v>
      </c>
      <c r="E91" s="38">
        <f t="shared" ref="E91" si="14">(D91/12)*7</f>
        <v>85189218.288309425</v>
      </c>
      <c r="F91" s="19">
        <f>SUM(F82:F90)</f>
        <v>299273.10133333335</v>
      </c>
      <c r="G91" s="16"/>
    </row>
    <row r="92" spans="2:8" s="2" customFormat="1" ht="16.5" thickTop="1" thickBot="1" x14ac:dyDescent="0.3">
      <c r="C92" s="2" t="s">
        <v>46</v>
      </c>
      <c r="D92" s="65">
        <f>D91-'[1]4. Billing Determinants'!$E$22-'[1]4. Billing Determinants'!$F$23-'[1]4. Billing Determinants'!$F$24-'[1]4. Billing Determinants'!$F$26-'[1]4. Billing Determinants'!$F$27-'[1]4. Billing Determinants'!$E$28-'[1]4. Billing Determinants'!$AC$21</f>
        <v>1.4260876923799515E-9</v>
      </c>
      <c r="F92" s="64">
        <f>F91-'[1]5. Allocation of Balances'!$D$21-'[1]5. Allocation of Balances'!$D$25-'[1]5. Allocation of Balances'!$D$26-'[1]5. Allocation of Balances'!$D$27-'[1]5. Allocation of Balances'!$D$36-'[1]5. Allocation of Balances'!$D$43</f>
        <v>0</v>
      </c>
    </row>
    <row r="93" spans="2:8" s="2" customFormat="1" ht="15.75" thickTop="1" x14ac:dyDescent="0.25"/>
    <row r="94" spans="2:8" s="2" customFormat="1" ht="18" x14ac:dyDescent="0.25">
      <c r="B94" s="6" t="s">
        <v>24</v>
      </c>
    </row>
    <row r="95" spans="2:8" s="2" customFormat="1" ht="18" x14ac:dyDescent="0.25">
      <c r="B95" s="6"/>
    </row>
    <row r="96" spans="2:8" s="2" customFormat="1" x14ac:dyDescent="0.25">
      <c r="B96" s="3" t="s">
        <v>1</v>
      </c>
      <c r="C96" s="4"/>
      <c r="D96" s="5">
        <v>1</v>
      </c>
    </row>
    <row r="97" spans="2:8" s="2" customFormat="1" x14ac:dyDescent="0.25"/>
    <row r="98" spans="2:8" s="2" customFormat="1" x14ac:dyDescent="0.25">
      <c r="B98" s="71" t="s">
        <v>4</v>
      </c>
      <c r="C98" s="73" t="s">
        <v>5</v>
      </c>
      <c r="D98" s="74" t="s">
        <v>6</v>
      </c>
      <c r="E98" s="74" t="s">
        <v>44</v>
      </c>
      <c r="F98" s="74" t="s">
        <v>25</v>
      </c>
      <c r="G98" s="76" t="s">
        <v>26</v>
      </c>
    </row>
    <row r="99" spans="2:8" s="2" customFormat="1" x14ac:dyDescent="0.25">
      <c r="B99" s="72"/>
      <c r="C99" s="73"/>
      <c r="D99" s="75"/>
      <c r="E99" s="75"/>
      <c r="F99" s="75"/>
      <c r="G99" s="76"/>
    </row>
    <row r="100" spans="2:8" s="2" customFormat="1" x14ac:dyDescent="0.25">
      <c r="B100" s="10" t="str">
        <f t="shared" ref="B100:B108" si="15">B10</f>
        <v>RESIDENTIAL</v>
      </c>
      <c r="C100" s="11" t="str">
        <f>IF(ISBLANK('[1]4. Billing Determinants'!C21), "", '[1]4. Billing Determinants'!C21)</f>
        <v>kWh</v>
      </c>
      <c r="D100" s="12">
        <f>IF(C100="",0, IF(C100="kWh",'[1]4. Billing Determinants'!E21, IF(C100="kW",'[1]4. Billing Determinants'!F21,'[1]4. Billing Determinants'!D21)))</f>
        <v>336114686.47881699</v>
      </c>
      <c r="E100" s="12">
        <f t="shared" ref="E100:E106" si="16">(D100/12)*7</f>
        <v>196066900.44597656</v>
      </c>
      <c r="F100" s="13">
        <f>HLOOKUP($B100, '[1]5. Allocation of Balances'!$D$4:$Z$56, 36,FALSE)</f>
        <v>-35098.228398728781</v>
      </c>
      <c r="G100" s="60">
        <f t="shared" ref="G100:G106" si="17">F100/E100</f>
        <v>-1.7901149209220859E-4</v>
      </c>
      <c r="H100" s="15" t="str">
        <f t="shared" ref="H100:H108" si="18">IF(C100="", "", IF(C100="# of Customers", "per customer per month", "$/"&amp;C100))</f>
        <v>$/kWh</v>
      </c>
    </row>
    <row r="101" spans="2:8" s="2" customFormat="1" x14ac:dyDescent="0.25">
      <c r="B101" s="10" t="str">
        <f t="shared" si="15"/>
        <v>GS &lt; 50KW</v>
      </c>
      <c r="C101" s="11" t="str">
        <f>IF(ISBLANK('[1]4. Billing Determinants'!C22), "", '[1]4. Billing Determinants'!C22)</f>
        <v>kWh</v>
      </c>
      <c r="D101" s="12">
        <f>IF(C101="",0, IF(C101="kWh",'[1]4. Billing Determinants'!E22, IF(C101="kW",'[1]4. Billing Determinants'!F22,'[1]4. Billing Determinants'!D22)))</f>
        <v>142697207.41995323</v>
      </c>
      <c r="E101" s="12">
        <f t="shared" si="16"/>
        <v>83240037.661639392</v>
      </c>
      <c r="F101" s="13">
        <f>HLOOKUP($B101, '[1]5. Allocation of Balances'!$D$4:$Z$56, 36,FALSE)</f>
        <v>72297.671669500633</v>
      </c>
      <c r="G101" s="60">
        <f t="shared" si="17"/>
        <v>8.6854443727406587E-4</v>
      </c>
      <c r="H101" s="15" t="str">
        <f t="shared" si="18"/>
        <v>$/kWh</v>
      </c>
    </row>
    <row r="102" spans="2:8" s="2" customFormat="1" x14ac:dyDescent="0.25">
      <c r="B102" s="10" t="str">
        <f t="shared" si="15"/>
        <v>GS &gt; 50- 999 KW</v>
      </c>
      <c r="C102" s="11" t="str">
        <f>IF(ISBLANK('[1]4. Billing Determinants'!C23), "", '[1]4. Billing Determinants'!C23)</f>
        <v>kW</v>
      </c>
      <c r="D102" s="12">
        <f>IF(C102="",0, IF(C102="kWh",'[1]4. Billing Determinants'!E23, IF(C102="kW",'[1]4. Billing Determinants'!F23,'[1]4. Billing Determinants'!D23)))</f>
        <v>656994.77707427274</v>
      </c>
      <c r="E102" s="12">
        <f t="shared" si="16"/>
        <v>383246.95329332573</v>
      </c>
      <c r="F102" s="13">
        <f>HLOOKUP($B102, '[1]5. Allocation of Balances'!$D$4:$Z$56, 36,FALSE)</f>
        <v>-9758.3662745484744</v>
      </c>
      <c r="G102" s="60">
        <f t="shared" si="17"/>
        <v>-2.5462345338149926E-2</v>
      </c>
      <c r="H102" s="15" t="str">
        <f t="shared" si="18"/>
        <v>$/kW</v>
      </c>
    </row>
    <row r="103" spans="2:8" s="2" customFormat="1" x14ac:dyDescent="0.25">
      <c r="B103" s="10" t="str">
        <f t="shared" si="15"/>
        <v>GS &gt;1000 KW</v>
      </c>
      <c r="C103" s="11" t="str">
        <f>IF(ISBLANK('[1]4. Billing Determinants'!C24), "", '[1]4. Billing Determinants'!C24)</f>
        <v>kW</v>
      </c>
      <c r="D103" s="12">
        <f>IF(C103="",0, IF(C103="kWh",'[1]4. Billing Determinants'!E24, IF(C103="kW",'[1]4. Billing Determinants'!F24,'[1]4. Billing Determinants'!D24)))</f>
        <v>466924.2403113636</v>
      </c>
      <c r="E103" s="12">
        <f t="shared" si="16"/>
        <v>272372.47351496213</v>
      </c>
      <c r="F103" s="13">
        <f>HLOOKUP($B103, '[1]5. Allocation of Balances'!$D$4:$Z$56, 36,FALSE)</f>
        <v>-11927.597865613947</v>
      </c>
      <c r="G103" s="60">
        <f t="shared" si="17"/>
        <v>-4.3791495196590535E-2</v>
      </c>
      <c r="H103" s="15" t="str">
        <f t="shared" si="18"/>
        <v>$/kW</v>
      </c>
    </row>
    <row r="104" spans="2:8" s="2" customFormat="1" x14ac:dyDescent="0.25">
      <c r="B104" s="10" t="str">
        <f t="shared" si="15"/>
        <v>STREET LIGHTS</v>
      </c>
      <c r="C104" s="11" t="str">
        <f>IF(ISBLANK('[1]4. Billing Determinants'!C26), "", '[1]4. Billing Determinants'!C26)</f>
        <v>kW</v>
      </c>
      <c r="D104" s="12">
        <f>IF(C104="",0, IF(C104="kWh",'[1]4. Billing Determinants'!E26, IF(C104="kW",'[1]4. Billing Determinants'!F26,'[1]4. Billing Determinants'!D26)))</f>
        <v>23590.129477102848</v>
      </c>
      <c r="E104" s="12">
        <f t="shared" si="16"/>
        <v>13760.908861643329</v>
      </c>
      <c r="F104" s="13">
        <f>HLOOKUP($B104, '[1]5. Allocation of Balances'!$D$4:$Z$56, 36,FALSE)</f>
        <v>-4131.2783762818808</v>
      </c>
      <c r="G104" s="60">
        <f t="shared" si="17"/>
        <v>-0.30021842436565072</v>
      </c>
      <c r="H104" s="15" t="str">
        <f t="shared" si="18"/>
        <v>$/kW</v>
      </c>
    </row>
    <row r="105" spans="2:8" s="2" customFormat="1" x14ac:dyDescent="0.25">
      <c r="B105" s="10" t="str">
        <f t="shared" si="15"/>
        <v>SENTINEL LIGHTS</v>
      </c>
      <c r="C105" s="11" t="str">
        <f>IF(ISBLANK('[1]4. Billing Determinants'!C27), "", '[1]4. Billing Determinants'!C27)</f>
        <v>kW</v>
      </c>
      <c r="D105" s="12">
        <f>IF(C105="",0, IF(C105="kWh",'[1]4. Billing Determinants'!E27, IF(C105="kW",'[1]4. Billing Determinants'!F27,'[1]4. Billing Determinants'!D27)))</f>
        <v>294.77413946971797</v>
      </c>
      <c r="E105" s="12">
        <f t="shared" si="16"/>
        <v>171.9515813573355</v>
      </c>
      <c r="F105" s="13">
        <f>HLOOKUP($B105, '[1]5. Allocation of Balances'!$D$4:$Z$56, 36,FALSE)</f>
        <v>-54.649417070226725</v>
      </c>
      <c r="G105" s="60">
        <f t="shared" si="17"/>
        <v>-0.31781863614652572</v>
      </c>
      <c r="H105" s="15" t="str">
        <f t="shared" si="18"/>
        <v>$/kW</v>
      </c>
    </row>
    <row r="106" spans="2:8" s="2" customFormat="1" x14ac:dyDescent="0.25">
      <c r="B106" s="10" t="str">
        <f t="shared" si="15"/>
        <v>UNMETERED SCATTERED LOAD</v>
      </c>
      <c r="C106" s="11" t="str">
        <f>IF(ISBLANK('[1]4. Billing Determinants'!C28), "", '[1]4. Billing Determinants'!C28)</f>
        <v>kWh</v>
      </c>
      <c r="D106" s="12">
        <f>IF(C106="",0, IF(C106="kWh",'[1]4. Billing Determinants'!E28, IF(C106="kW",'[1]4. Billing Determinants'!F28,'[1]4. Billing Determinants'!D28)))</f>
        <v>2148121.5747701586</v>
      </c>
      <c r="E106" s="12">
        <f t="shared" si="16"/>
        <v>1253070.9186159258</v>
      </c>
      <c r="F106" s="13">
        <f>HLOOKUP($B106, '[1]5. Allocation of Balances'!$D$4:$Z$56, 36,FALSE)</f>
        <v>-690.75201091805559</v>
      </c>
      <c r="G106" s="60">
        <f t="shared" si="17"/>
        <v>-5.5124734015934453E-4</v>
      </c>
      <c r="H106" s="15" t="str">
        <f t="shared" si="18"/>
        <v>$/kWh</v>
      </c>
    </row>
    <row r="107" spans="2:8" s="2" customFormat="1" x14ac:dyDescent="0.25">
      <c r="B107" s="10" t="str">
        <f t="shared" si="15"/>
        <v/>
      </c>
      <c r="C107" s="11" t="str">
        <f>IF(ISBLANK('[1]4. Billing Determinants'!C29), "", '[1]4. Billing Determinants'!C29)</f>
        <v/>
      </c>
      <c r="D107" s="12">
        <f>IF(C107="",0, IF(C107="kWh",'[1]4. Billing Determinants'!E29, IF(C107="kW",'[1]4. Billing Determinants'!F29,'[1]4. Billing Determinants'!D29)))</f>
        <v>0</v>
      </c>
      <c r="E107" s="12"/>
      <c r="F107" s="13">
        <f>HLOOKUP($B107, '[1]5. Allocation of Balances'!$D$4:$Z$56, 36,FALSE)</f>
        <v>0</v>
      </c>
      <c r="G107" s="14">
        <f>IF(ISERROR(F107/D107), 0, IF(C107="# of Customers", F107/D107/12/#REF!, F107/D107/#REF!))</f>
        <v>0</v>
      </c>
      <c r="H107" s="15" t="str">
        <f t="shared" si="18"/>
        <v/>
      </c>
    </row>
    <row r="108" spans="2:8" s="2" customFormat="1" x14ac:dyDescent="0.25">
      <c r="B108" s="10" t="str">
        <f t="shared" si="15"/>
        <v/>
      </c>
      <c r="C108" s="11" t="str">
        <f>IF(ISBLANK('[1]4. Billing Determinants'!C30), "", '[1]4. Billing Determinants'!C30)</f>
        <v/>
      </c>
      <c r="D108" s="12">
        <f>IF(C108="",0, IF(C108="kWh",'[1]4. Billing Determinants'!E30, IF(C108="kW",'[1]4. Billing Determinants'!F30,'[1]4. Billing Determinants'!D30)))</f>
        <v>0</v>
      </c>
      <c r="E108" s="12"/>
      <c r="F108" s="13">
        <f>HLOOKUP($B108, '[1]5. Allocation of Balances'!$D$4:$Z$56, 36,FALSE)</f>
        <v>0</v>
      </c>
      <c r="G108" s="14">
        <f>IF(ISERROR(F108/D108), 0, IF(C108="# of Customers", F108/D108/12/#REF!, F108/D108/#REF!))</f>
        <v>0</v>
      </c>
      <c r="H108" s="15" t="str">
        <f t="shared" si="18"/>
        <v/>
      </c>
    </row>
    <row r="109" spans="2:8" s="2" customFormat="1" ht="15.75" thickBot="1" x14ac:dyDescent="0.3">
      <c r="B109" s="16" t="s">
        <v>11</v>
      </c>
      <c r="C109" s="17"/>
      <c r="D109" s="18">
        <f>SUM(D100:D108)</f>
        <v>482107819.39454257</v>
      </c>
      <c r="E109" s="38">
        <f t="shared" ref="E109" si="19">(D109/12)*7</f>
        <v>281229561.31348318</v>
      </c>
      <c r="F109" s="19">
        <f>SUM(F100:F108)</f>
        <v>10636.799326339265</v>
      </c>
      <c r="G109" s="16"/>
    </row>
    <row r="110" spans="2:8" s="2" customFormat="1" ht="16.5" thickTop="1" thickBot="1" x14ac:dyDescent="0.3">
      <c r="C110" s="2" t="s">
        <v>46</v>
      </c>
      <c r="D110" s="64">
        <f>D109-D19</f>
        <v>0</v>
      </c>
      <c r="F110" s="65">
        <f>F109-'[1]5. Allocation of Balances'!$D$40</f>
        <v>0</v>
      </c>
    </row>
    <row r="111" spans="2:8" s="2" customFormat="1" ht="15.75" thickTop="1" x14ac:dyDescent="0.25"/>
    <row r="112" spans="2:8" ht="18" x14ac:dyDescent="0.25">
      <c r="B112" s="6" t="s">
        <v>48</v>
      </c>
      <c r="C112" s="46"/>
      <c r="D112" s="46"/>
      <c r="E112" s="46"/>
      <c r="F112" s="46"/>
      <c r="G112" s="46"/>
      <c r="H112" s="44"/>
    </row>
    <row r="113" spans="2:8" x14ac:dyDescent="0.25">
      <c r="B113" s="70" t="s">
        <v>49</v>
      </c>
      <c r="C113" s="46"/>
      <c r="D113" s="46"/>
      <c r="E113" s="46"/>
      <c r="F113" s="46"/>
      <c r="G113" s="46"/>
      <c r="H113" s="44"/>
    </row>
    <row r="114" spans="2:8" x14ac:dyDescent="0.25">
      <c r="B114" s="71" t="s">
        <v>4</v>
      </c>
      <c r="C114" s="76" t="s">
        <v>5</v>
      </c>
      <c r="D114" s="74" t="s">
        <v>6</v>
      </c>
      <c r="E114" s="74" t="s">
        <v>27</v>
      </c>
      <c r="F114" s="74" t="s">
        <v>29</v>
      </c>
      <c r="G114" s="76" t="s">
        <v>8</v>
      </c>
      <c r="H114" s="46"/>
    </row>
    <row r="115" spans="2:8" ht="27" customHeight="1" x14ac:dyDescent="0.25">
      <c r="B115" s="71"/>
      <c r="C115" s="76"/>
      <c r="D115" s="75"/>
      <c r="E115" s="75"/>
      <c r="F115" s="75"/>
      <c r="G115" s="76"/>
      <c r="H115" s="46"/>
    </row>
    <row r="116" spans="2:8" x14ac:dyDescent="0.25">
      <c r="B116" s="47" t="s">
        <v>30</v>
      </c>
      <c r="C116" s="45" t="s">
        <v>9</v>
      </c>
      <c r="D116" s="48">
        <v>336114686.47881699</v>
      </c>
      <c r="E116" s="12">
        <f t="shared" ref="E116:E122" si="20">(D116/12)*7</f>
        <v>196066900.44597656</v>
      </c>
      <c r="F116" s="49">
        <v>88115.206392746375</v>
      </c>
      <c r="G116" s="60">
        <f t="shared" ref="G116:G122" si="21">F116/E116</f>
        <v>4.4941398161708212E-4</v>
      </c>
      <c r="H116" s="50" t="str">
        <f>IF(C116="", "", IF(C116="# of Customers", "per customer per month", "$/"&amp;C116))</f>
        <v>$/kWh</v>
      </c>
    </row>
    <row r="117" spans="2:8" x14ac:dyDescent="0.25">
      <c r="B117" s="47" t="s">
        <v>31</v>
      </c>
      <c r="C117" s="45" t="s">
        <v>9</v>
      </c>
      <c r="D117" s="48">
        <v>142697207.41995323</v>
      </c>
      <c r="E117" s="12">
        <f t="shared" si="20"/>
        <v>83240037.661639392</v>
      </c>
      <c r="F117" s="49">
        <v>37409.236755473219</v>
      </c>
      <c r="G117" s="60">
        <f t="shared" si="21"/>
        <v>4.4941398161708201E-4</v>
      </c>
      <c r="H117" s="50" t="str">
        <f t="shared" ref="H117:H122" si="22">IF(C117="", "", IF(C117="# of Customers", "per customer per month", "$/"&amp;C117))</f>
        <v>$/kWh</v>
      </c>
    </row>
    <row r="118" spans="2:8" x14ac:dyDescent="0.25">
      <c r="B118" s="47" t="s">
        <v>32</v>
      </c>
      <c r="C118" s="45" t="s">
        <v>10</v>
      </c>
      <c r="D118" s="48">
        <v>656994.77707427274</v>
      </c>
      <c r="E118" s="12">
        <f t="shared" si="20"/>
        <v>383246.95329332573</v>
      </c>
      <c r="F118" s="49">
        <v>68918.202043687721</v>
      </c>
      <c r="G118" s="60">
        <f t="shared" si="21"/>
        <v>0.17982713613626511</v>
      </c>
      <c r="H118" s="50" t="str">
        <f t="shared" si="22"/>
        <v>$/kW</v>
      </c>
    </row>
    <row r="119" spans="2:8" x14ac:dyDescent="0.25">
      <c r="B119" s="47" t="s">
        <v>33</v>
      </c>
      <c r="C119" s="45" t="s">
        <v>10</v>
      </c>
      <c r="D119" s="48">
        <v>466924.2403113636</v>
      </c>
      <c r="E119" s="12">
        <f t="shared" si="20"/>
        <v>272372.47351496213</v>
      </c>
      <c r="F119" s="49">
        <v>44391.857081086477</v>
      </c>
      <c r="G119" s="60">
        <f t="shared" si="21"/>
        <v>0.162982171099048</v>
      </c>
      <c r="H119" s="50" t="str">
        <f t="shared" si="22"/>
        <v>$/kW</v>
      </c>
    </row>
    <row r="120" spans="2:8" x14ac:dyDescent="0.25">
      <c r="B120" s="47" t="s">
        <v>34</v>
      </c>
      <c r="C120" s="45" t="s">
        <v>10</v>
      </c>
      <c r="D120" s="48">
        <v>23590.129477102848</v>
      </c>
      <c r="E120" s="12">
        <f t="shared" si="20"/>
        <v>13760.908861643329</v>
      </c>
      <c r="F120" s="49">
        <v>2173.4393292837408</v>
      </c>
      <c r="G120" s="60">
        <f>F120/E120</f>
        <v>0.15794300733594049</v>
      </c>
      <c r="H120" s="50" t="str">
        <f t="shared" si="22"/>
        <v>$/kW</v>
      </c>
    </row>
    <row r="121" spans="2:8" x14ac:dyDescent="0.25">
      <c r="B121" s="47" t="s">
        <v>35</v>
      </c>
      <c r="C121" s="45" t="s">
        <v>10</v>
      </c>
      <c r="D121" s="48">
        <v>294.77413946971797</v>
      </c>
      <c r="E121" s="12">
        <f t="shared" si="20"/>
        <v>171.9515813573355</v>
      </c>
      <c r="F121" s="49">
        <v>28.322806938709746</v>
      </c>
      <c r="G121" s="60">
        <f t="shared" si="21"/>
        <v>0.16471384976595033</v>
      </c>
      <c r="H121" s="50" t="str">
        <f t="shared" si="22"/>
        <v>$/kW</v>
      </c>
    </row>
    <row r="122" spans="2:8" x14ac:dyDescent="0.25">
      <c r="B122" s="47" t="s">
        <v>36</v>
      </c>
      <c r="C122" s="45" t="s">
        <v>9</v>
      </c>
      <c r="D122" s="48">
        <v>2148121.5747701586</v>
      </c>
      <c r="E122" s="12">
        <f t="shared" si="20"/>
        <v>1253070.9186159258</v>
      </c>
      <c r="F122" s="49">
        <v>563.14759078375778</v>
      </c>
      <c r="G122" s="60">
        <f t="shared" si="21"/>
        <v>4.4941398161708201E-4</v>
      </c>
      <c r="H122" s="50" t="str">
        <f t="shared" si="22"/>
        <v>$/kWh</v>
      </c>
    </row>
    <row r="123" spans="2:8" ht="15.75" thickBot="1" x14ac:dyDescent="0.3">
      <c r="B123" s="51" t="s">
        <v>11</v>
      </c>
      <c r="C123" s="52"/>
      <c r="D123" s="18">
        <f>SUM(D114:D122)</f>
        <v>482107819.39454257</v>
      </c>
      <c r="E123" s="38">
        <f t="shared" ref="E123:E124" si="23">(D123/12)*7</f>
        <v>281229561.31348318</v>
      </c>
      <c r="F123" s="53">
        <f>SUM(F116:F122)</f>
        <v>241599.41199999998</v>
      </c>
      <c r="G123" s="51"/>
      <c r="H123" s="46"/>
    </row>
    <row r="124" spans="2:8" ht="16.5" thickTop="1" thickBot="1" x14ac:dyDescent="0.3">
      <c r="B124" s="46"/>
      <c r="C124" s="2" t="s">
        <v>46</v>
      </c>
      <c r="D124" s="67">
        <f>D123-D19</f>
        <v>0</v>
      </c>
      <c r="E124" s="46">
        <f t="shared" si="23"/>
        <v>0</v>
      </c>
      <c r="F124" s="66">
        <f>F123-'[1]7. CBDR - Class B Sub Account'!$C$4</f>
        <v>0</v>
      </c>
      <c r="G124" s="46"/>
      <c r="H124" s="46"/>
    </row>
    <row r="125" spans="2:8" ht="16.5" thickTop="1" thickBot="1" x14ac:dyDescent="0.3">
      <c r="B125" s="44"/>
      <c r="C125" s="44"/>
      <c r="D125" s="44"/>
      <c r="E125" s="44"/>
      <c r="F125" s="44"/>
      <c r="G125" s="44"/>
      <c r="H125" s="44"/>
    </row>
    <row r="126" spans="2:8" ht="18.75" thickBot="1" x14ac:dyDescent="0.3">
      <c r="B126" s="44"/>
      <c r="C126" s="44"/>
      <c r="D126" s="44"/>
      <c r="E126" s="92" t="s">
        <v>52</v>
      </c>
      <c r="F126" s="93"/>
      <c r="G126" s="94"/>
      <c r="H126" s="54"/>
    </row>
    <row r="127" spans="2:8" x14ac:dyDescent="0.25">
      <c r="B127" s="44"/>
      <c r="C127" s="44"/>
      <c r="D127" s="44"/>
      <c r="E127" s="44"/>
      <c r="F127" s="44"/>
      <c r="G127" s="44"/>
      <c r="H127" s="54"/>
    </row>
    <row r="128" spans="2:8" ht="15.75" thickBot="1" x14ac:dyDescent="0.3">
      <c r="B128" s="44"/>
      <c r="C128" s="44"/>
      <c r="D128" s="44"/>
      <c r="E128" s="44"/>
      <c r="F128" s="44"/>
      <c r="G128" s="44"/>
      <c r="H128" s="55"/>
    </row>
    <row r="129" spans="2:10" ht="62.25" thickBot="1" x14ac:dyDescent="0.35">
      <c r="E129" s="95" t="s">
        <v>41</v>
      </c>
      <c r="F129" s="68" t="s">
        <v>5</v>
      </c>
      <c r="G129" s="96" t="s">
        <v>37</v>
      </c>
      <c r="H129" s="44"/>
      <c r="J129" s="63" t="s">
        <v>51</v>
      </c>
    </row>
    <row r="130" spans="2:10" x14ac:dyDescent="0.25">
      <c r="B130" s="44"/>
      <c r="C130" s="44"/>
      <c r="D130" s="44"/>
      <c r="E130" s="61" t="s">
        <v>30</v>
      </c>
      <c r="F130" s="45" t="s">
        <v>9</v>
      </c>
      <c r="G130" s="62">
        <f>G10+G25+G116</f>
        <v>-4.0355135541853522E-3</v>
      </c>
      <c r="H130" s="11" t="s">
        <v>22</v>
      </c>
      <c r="I130" s="11" t="s">
        <v>50</v>
      </c>
      <c r="J130">
        <v>0.34250000000000003</v>
      </c>
    </row>
    <row r="131" spans="2:10" x14ac:dyDescent="0.25">
      <c r="B131" s="44"/>
      <c r="C131" s="44"/>
      <c r="D131" s="56"/>
      <c r="E131" s="47" t="s">
        <v>31</v>
      </c>
      <c r="F131" s="45" t="s">
        <v>9</v>
      </c>
      <c r="G131" s="60">
        <f t="shared" ref="G131:G136" si="24">G11+G26++G83+G117</f>
        <v>-3.4703158385900115E-3</v>
      </c>
      <c r="H131" s="56"/>
    </row>
    <row r="132" spans="2:10" ht="26.25" x14ac:dyDescent="0.25">
      <c r="B132" s="44"/>
      <c r="C132" s="44"/>
      <c r="D132" s="56"/>
      <c r="E132" s="47" t="s">
        <v>32</v>
      </c>
      <c r="F132" s="45" t="s">
        <v>10</v>
      </c>
      <c r="G132" s="60">
        <f t="shared" si="24"/>
        <v>-1.3875163573043356</v>
      </c>
      <c r="H132" s="56"/>
    </row>
    <row r="133" spans="2:10" x14ac:dyDescent="0.25">
      <c r="B133" s="44"/>
      <c r="C133" s="44"/>
      <c r="D133" s="56"/>
      <c r="E133" s="47" t="s">
        <v>33</v>
      </c>
      <c r="F133" s="45" t="s">
        <v>10</v>
      </c>
      <c r="G133" s="60">
        <f t="shared" si="24"/>
        <v>-1.2605388680049552</v>
      </c>
      <c r="H133" s="56"/>
    </row>
    <row r="134" spans="2:10" x14ac:dyDescent="0.25">
      <c r="B134" s="44"/>
      <c r="C134" s="44"/>
      <c r="D134" s="56"/>
      <c r="E134" s="47" t="s">
        <v>34</v>
      </c>
      <c r="F134" s="45" t="s">
        <v>10</v>
      </c>
      <c r="G134" s="60">
        <f t="shared" si="24"/>
        <v>-1.215024111570393</v>
      </c>
      <c r="H134" s="56"/>
    </row>
    <row r="135" spans="2:10" ht="26.25" x14ac:dyDescent="0.25">
      <c r="B135" s="44"/>
      <c r="C135" s="44"/>
      <c r="D135" s="56"/>
      <c r="E135" s="47" t="s">
        <v>35</v>
      </c>
      <c r="F135" s="45" t="s">
        <v>10</v>
      </c>
      <c r="G135" s="60">
        <f t="shared" si="24"/>
        <v>-1.2521668310279939</v>
      </c>
      <c r="H135" s="56"/>
    </row>
    <row r="136" spans="2:10" ht="39" x14ac:dyDescent="0.25">
      <c r="B136" s="44"/>
      <c r="C136" s="44"/>
      <c r="D136" s="56"/>
      <c r="E136" s="47" t="s">
        <v>36</v>
      </c>
      <c r="F136" s="45" t="s">
        <v>9</v>
      </c>
      <c r="G136" s="60">
        <f t="shared" si="24"/>
        <v>-3.4569350376348193E-3</v>
      </c>
      <c r="H136" s="56"/>
    </row>
    <row r="137" spans="2:10" x14ac:dyDescent="0.25">
      <c r="B137" s="44"/>
      <c r="C137" s="44"/>
      <c r="D137" s="56"/>
      <c r="E137" s="58"/>
      <c r="F137" s="58"/>
      <c r="G137" s="57"/>
      <c r="H137" s="56"/>
    </row>
    <row r="138" spans="2:10" ht="15.75" thickBot="1" x14ac:dyDescent="0.3">
      <c r="B138" s="44"/>
      <c r="C138" s="44"/>
      <c r="D138" s="56"/>
      <c r="E138" s="58"/>
      <c r="F138" s="58"/>
      <c r="G138" s="57"/>
      <c r="H138" s="56"/>
    </row>
    <row r="139" spans="2:10" ht="41.25" thickBot="1" x14ac:dyDescent="0.35">
      <c r="B139" s="44"/>
      <c r="C139" s="44"/>
      <c r="D139" s="56"/>
      <c r="E139" s="95" t="s">
        <v>42</v>
      </c>
      <c r="F139" s="68" t="s">
        <v>5</v>
      </c>
      <c r="G139" s="96">
        <v>1589</v>
      </c>
      <c r="H139" s="56"/>
    </row>
    <row r="140" spans="2:10" x14ac:dyDescent="0.25">
      <c r="B140" s="44"/>
      <c r="C140" s="44"/>
      <c r="D140" s="56"/>
      <c r="E140" s="47" t="s">
        <v>30</v>
      </c>
      <c r="F140" s="45" t="s">
        <v>9</v>
      </c>
      <c r="G140" s="62">
        <f>+G40</f>
        <v>4.0186504114737304E-3</v>
      </c>
      <c r="H140" s="56"/>
    </row>
    <row r="141" spans="2:10" x14ac:dyDescent="0.25">
      <c r="B141" s="44"/>
      <c r="C141" s="44"/>
      <c r="D141" s="56"/>
      <c r="E141" s="47" t="s">
        <v>31</v>
      </c>
      <c r="F141" s="45" t="s">
        <v>9</v>
      </c>
      <c r="G141" s="60">
        <f t="shared" ref="G141:G146" si="25">+G41</f>
        <v>4.0186504114737304E-3</v>
      </c>
      <c r="H141" s="56"/>
    </row>
    <row r="142" spans="2:10" ht="26.25" x14ac:dyDescent="0.25">
      <c r="B142" s="44"/>
      <c r="C142" s="44"/>
      <c r="D142" s="56"/>
      <c r="E142" s="47" t="s">
        <v>32</v>
      </c>
      <c r="F142" s="45" t="s">
        <v>9</v>
      </c>
      <c r="G142" s="60">
        <f t="shared" si="25"/>
        <v>4.0186504114737304E-3</v>
      </c>
      <c r="H142" s="56"/>
    </row>
    <row r="143" spans="2:10" x14ac:dyDescent="0.25">
      <c r="B143" s="44"/>
      <c r="C143" s="44"/>
      <c r="D143" s="56"/>
      <c r="E143" s="47" t="s">
        <v>33</v>
      </c>
      <c r="F143" s="45" t="s">
        <v>9</v>
      </c>
      <c r="G143" s="60">
        <f t="shared" si="25"/>
        <v>4.0186504114737304E-3</v>
      </c>
      <c r="H143" s="56"/>
    </row>
    <row r="144" spans="2:10" x14ac:dyDescent="0.25">
      <c r="B144" s="44"/>
      <c r="C144" s="44"/>
      <c r="D144" s="44"/>
      <c r="E144" s="47" t="s">
        <v>34</v>
      </c>
      <c r="F144" s="45" t="s">
        <v>9</v>
      </c>
      <c r="G144" s="60">
        <f t="shared" si="25"/>
        <v>4.0186504114737304E-3</v>
      </c>
      <c r="H144" s="44"/>
    </row>
    <row r="145" spans="5:7" ht="26.25" x14ac:dyDescent="0.25">
      <c r="E145" s="47" t="s">
        <v>35</v>
      </c>
      <c r="F145" s="45" t="s">
        <v>9</v>
      </c>
      <c r="G145" s="60">
        <f t="shared" si="25"/>
        <v>0</v>
      </c>
    </row>
    <row r="146" spans="5:7" ht="39" x14ac:dyDescent="0.25">
      <c r="E146" s="47" t="s">
        <v>36</v>
      </c>
      <c r="F146" s="45" t="s">
        <v>9</v>
      </c>
      <c r="G146" s="60">
        <f t="shared" si="25"/>
        <v>4.0186504114737304E-3</v>
      </c>
    </row>
    <row r="148" spans="5:7" ht="15.75" thickBot="1" x14ac:dyDescent="0.3"/>
    <row r="149" spans="5:7" ht="30.75" customHeight="1" thickBot="1" x14ac:dyDescent="0.35">
      <c r="E149" s="95" t="s">
        <v>43</v>
      </c>
      <c r="F149" s="68" t="s">
        <v>5</v>
      </c>
      <c r="G149" s="96">
        <v>1568</v>
      </c>
    </row>
    <row r="150" spans="5:7" x14ac:dyDescent="0.25">
      <c r="E150" s="47" t="s">
        <v>30</v>
      </c>
      <c r="F150" s="45" t="s">
        <v>9</v>
      </c>
      <c r="G150" s="62">
        <f>+G100</f>
        <v>-1.7901149209220859E-4</v>
      </c>
    </row>
    <row r="151" spans="5:7" x14ac:dyDescent="0.25">
      <c r="E151" s="47" t="s">
        <v>31</v>
      </c>
      <c r="F151" s="45" t="s">
        <v>9</v>
      </c>
      <c r="G151" s="62">
        <f t="shared" ref="G151:G156" si="26">+G101</f>
        <v>8.6854443727406587E-4</v>
      </c>
    </row>
    <row r="152" spans="5:7" ht="26.25" x14ac:dyDescent="0.25">
      <c r="E152" s="47" t="s">
        <v>32</v>
      </c>
      <c r="F152" s="45" t="s">
        <v>10</v>
      </c>
      <c r="G152" s="62">
        <f t="shared" si="26"/>
        <v>-2.5462345338149926E-2</v>
      </c>
    </row>
    <row r="153" spans="5:7" x14ac:dyDescent="0.25">
      <c r="E153" s="47" t="s">
        <v>33</v>
      </c>
      <c r="F153" s="45" t="s">
        <v>10</v>
      </c>
      <c r="G153" s="62">
        <f t="shared" si="26"/>
        <v>-4.3791495196590535E-2</v>
      </c>
    </row>
    <row r="154" spans="5:7" x14ac:dyDescent="0.25">
      <c r="E154" s="47" t="s">
        <v>34</v>
      </c>
      <c r="F154" s="45" t="s">
        <v>10</v>
      </c>
      <c r="G154" s="62">
        <f t="shared" si="26"/>
        <v>-0.30021842436565072</v>
      </c>
    </row>
    <row r="155" spans="5:7" ht="26.25" x14ac:dyDescent="0.25">
      <c r="E155" s="47" t="s">
        <v>35</v>
      </c>
      <c r="F155" s="45" t="s">
        <v>10</v>
      </c>
      <c r="G155" s="62">
        <f t="shared" si="26"/>
        <v>-0.31781863614652572</v>
      </c>
    </row>
    <row r="156" spans="5:7" ht="39" x14ac:dyDescent="0.25">
      <c r="E156" s="47" t="s">
        <v>36</v>
      </c>
      <c r="F156" s="45" t="s">
        <v>9</v>
      </c>
      <c r="G156" s="62">
        <f t="shared" si="26"/>
        <v>-5.5124734015934453E-4</v>
      </c>
    </row>
  </sheetData>
  <mergeCells count="39">
    <mergeCell ref="E2:H5"/>
    <mergeCell ref="B114:B115"/>
    <mergeCell ref="C114:C115"/>
    <mergeCell ref="D114:D115"/>
    <mergeCell ref="F114:F115"/>
    <mergeCell ref="G114:G115"/>
    <mergeCell ref="E114:E115"/>
    <mergeCell ref="B98:B99"/>
    <mergeCell ref="C98:C99"/>
    <mergeCell ref="D98:D99"/>
    <mergeCell ref="F98:F99"/>
    <mergeCell ref="G98:G99"/>
    <mergeCell ref="E98:E99"/>
    <mergeCell ref="B80:B81"/>
    <mergeCell ref="C80:C81"/>
    <mergeCell ref="D80:D81"/>
    <mergeCell ref="G80:G81"/>
    <mergeCell ref="B38:B39"/>
    <mergeCell ref="C38:C39"/>
    <mergeCell ref="D38:D39"/>
    <mergeCell ref="F38:F39"/>
    <mergeCell ref="G38:G39"/>
    <mergeCell ref="B53:B54"/>
    <mergeCell ref="C53:C54"/>
    <mergeCell ref="D53:D54"/>
    <mergeCell ref="F53:F54"/>
    <mergeCell ref="G53:G54"/>
    <mergeCell ref="G23:G24"/>
    <mergeCell ref="B8:B9"/>
    <mergeCell ref="C8:C9"/>
    <mergeCell ref="D8:D9"/>
    <mergeCell ref="F8:F9"/>
    <mergeCell ref="G8:G9"/>
    <mergeCell ref="E126:G126"/>
    <mergeCell ref="B23:B24"/>
    <mergeCell ref="C23:C24"/>
    <mergeCell ref="D23:D24"/>
    <mergeCell ref="F23:F24"/>
    <mergeCell ref="F80:F81"/>
  </mergeCells>
  <conditionalFormatting sqref="C116:C122 C100:C108 C82:C90 C40:C48 C25:C33 C10:C18">
    <cfRule type="cellIs" dxfId="9" priority="28" operator="equal">
      <formula>"kW"</formula>
    </cfRule>
  </conditionalFormatting>
  <conditionalFormatting sqref="H116:H122 H100:H108 H82:H90 H40:H48 H25:H33 H10:H18">
    <cfRule type="cellIs" dxfId="8" priority="27" operator="equal">
      <formula>"$/kW"</formula>
    </cfRule>
  </conditionalFormatting>
  <conditionalFormatting sqref="H55:H74">
    <cfRule type="cellIs" dxfId="7" priority="25" operator="equal">
      <formula>"$/kW"</formula>
    </cfRule>
  </conditionalFormatting>
  <conditionalFormatting sqref="C55:C74">
    <cfRule type="cellIs" dxfId="6" priority="18" operator="equal">
      <formula>"kW"</formula>
    </cfRule>
  </conditionalFormatting>
  <conditionalFormatting sqref="H130">
    <cfRule type="cellIs" dxfId="5" priority="5" operator="equal">
      <formula>"kW"</formula>
    </cfRule>
  </conditionalFormatting>
  <conditionalFormatting sqref="F130:F136">
    <cfRule type="cellIs" dxfId="4" priority="4" operator="equal">
      <formula>"kW"</formula>
    </cfRule>
  </conditionalFormatting>
  <conditionalFormatting sqref="F140:F146">
    <cfRule type="cellIs" dxfId="3" priority="3" operator="equal">
      <formula>"kW"</formula>
    </cfRule>
  </conditionalFormatting>
  <conditionalFormatting sqref="F150:F156">
    <cfRule type="cellIs" dxfId="2" priority="2" operator="equal">
      <formula>"kW"</formula>
    </cfRule>
  </conditionalFormatting>
  <conditionalFormatting sqref="I130">
    <cfRule type="cellIs" dxfId="1" priority="1" operator="equal">
      <formula>"kW"</formula>
    </cfRule>
  </conditionalFormatting>
  <dataValidations count="4">
    <dataValidation type="list" allowBlank="1" showInputMessage="1" showErrorMessage="1" sqref="C55:C74 C116:C122 C100:C108 C82:C90 C25:C33 C10:C18 H130 F130:F136 F140:F146 F150:F156">
      <formula1>"kWh, kW, # of Customers"</formula1>
    </dataValidation>
    <dataValidation type="list" allowBlank="1" showInputMessage="1" showErrorMessage="1" sqref="D96:E96">
      <formula1>"1,2,3,4,5"</formula1>
    </dataValidation>
    <dataValidation type="list" allowBlank="1" showInputMessage="1" showErrorMessage="1" sqref="D3">
      <formula1>"1,2,3,4"</formula1>
    </dataValidation>
    <dataValidation type="list" allowBlank="1" showInputMessage="1" showErrorMessage="1" sqref="C40:C48">
      <formula1>"kWh"</formula1>
    </dataValidation>
  </dataValidations>
  <pageMargins left="0.7" right="0.7" top="0.75" bottom="0.75" header="0.3" footer="0.3"/>
  <pageSetup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Rate Rider Calculation</vt:lpstr>
      <vt:lpstr>Sheet2</vt:lpstr>
      <vt:lpstr>Sheet3</vt:lpstr>
    </vt:vector>
  </TitlesOfParts>
  <Company>Thunder Bay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Brittany Ashby</dc:creator>
  <cp:lastModifiedBy>Brittany Ashby</cp:lastModifiedBy>
  <cp:lastPrinted>2017-09-28T15:10:12Z</cp:lastPrinted>
  <dcterms:created xsi:type="dcterms:W3CDTF">2017-09-22T20:07:07Z</dcterms:created>
  <dcterms:modified xsi:type="dcterms:W3CDTF">2017-09-28T18:57:35Z</dcterms:modified>
</cp:coreProperties>
</file>