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45" windowWidth="27075" windowHeight="11475"/>
  </bookViews>
  <sheets>
    <sheet name="Bill Impacts" sheetId="1" r:id="rId1"/>
    <sheet name="Residential  (10%)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Key2" localSheetId="1" hidden="1">'[1]Income Statement'!#REF!</definedName>
    <definedName name="_Key2" hidden="1">'[1]Income Statement'!#REF!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BI_LDCLIST">'[2]3. Rate Class Selection'!$B$19:$B$28</definedName>
    <definedName name="contactf" localSheetId="1">#REF!</definedName>
    <definedName name="contactf">#REF!</definedName>
    <definedName name="DRC">'[3]17. Regulatory Charges'!$D$29</definedName>
    <definedName name="GL_reconciliation" localSheetId="1">#REF!</definedName>
    <definedName name="GL_reconciliation">#REF!</definedName>
    <definedName name="histdate">[4]Financials!$E$76</definedName>
    <definedName name="Incr2000" localSheetId="1">#REF!</definedName>
    <definedName name="Incr2000">#REF!</definedName>
    <definedName name="labour" localSheetId="1">#REF!</definedName>
    <definedName name="labour">#REF!</definedName>
    <definedName name="LIMIT" localSheetId="1">#REF!</definedName>
    <definedName name="LIMIT">#REF!</definedName>
    <definedName name="man_beg_bud" localSheetId="1">#REF!</definedName>
    <definedName name="man_beg_bud">#REF!</definedName>
    <definedName name="man_end_bud" localSheetId="1">#REF!</definedName>
    <definedName name="man_end_bud">#REF!</definedName>
    <definedName name="man12ACT" localSheetId="1">#REF!</definedName>
    <definedName name="man12ACT">#REF!</definedName>
    <definedName name="MANBUD" localSheetId="1">#REF!</definedName>
    <definedName name="MANBUD">#REF!</definedName>
    <definedName name="manCYACT" localSheetId="1">#REF!</definedName>
    <definedName name="manCYACT">#REF!</definedName>
    <definedName name="manCYBUD" localSheetId="1">#REF!</definedName>
    <definedName name="manCYBUD">#REF!</definedName>
    <definedName name="manCYF" localSheetId="1">#REF!</definedName>
    <definedName name="manCYF">#REF!</definedName>
    <definedName name="MANEND" localSheetId="1">#REF!</definedName>
    <definedName name="MANEND">#REF!</definedName>
    <definedName name="manNYbud" localSheetId="1">#REF!</definedName>
    <definedName name="manNYbud">#REF!</definedName>
    <definedName name="manpower_costs" localSheetId="1">#REF!</definedName>
    <definedName name="manpower_costs">#REF!</definedName>
    <definedName name="manPYACT" localSheetId="1">#REF!</definedName>
    <definedName name="manPYACT">#REF!</definedName>
    <definedName name="MANSTART" localSheetId="1">#REF!</definedName>
    <definedName name="MANSTART">#REF!</definedName>
    <definedName name="mat_beg_bud" localSheetId="1">#REF!</definedName>
    <definedName name="mat_beg_bud">#REF!</definedName>
    <definedName name="mat_end_bud" localSheetId="1">#REF!</definedName>
    <definedName name="mat_end_bud">#REF!</definedName>
    <definedName name="mat12ACT" localSheetId="1">#REF!</definedName>
    <definedName name="mat12ACT">#REF!</definedName>
    <definedName name="MATBUD" localSheetId="1">#REF!</definedName>
    <definedName name="MATBUD">#REF!</definedName>
    <definedName name="matCYACT" localSheetId="1">#REF!</definedName>
    <definedName name="matCYACT">#REF!</definedName>
    <definedName name="matCYBUD" localSheetId="1">#REF!</definedName>
    <definedName name="matCYBUD">#REF!</definedName>
    <definedName name="matCYF" localSheetId="1">#REF!</definedName>
    <definedName name="matCYF">#REF!</definedName>
    <definedName name="MATEND" localSheetId="1">#REF!</definedName>
    <definedName name="MATEND">#REF!</definedName>
    <definedName name="material_costs" localSheetId="1">#REF!</definedName>
    <definedName name="material_costs">#REF!</definedName>
    <definedName name="matNYbud" localSheetId="1">#REF!</definedName>
    <definedName name="matNYbud">#REF!</definedName>
    <definedName name="matPYACT" localSheetId="1">#REF!</definedName>
    <definedName name="matPYACT">#REF!</definedName>
    <definedName name="MATSTART" localSheetId="1">#REF!</definedName>
    <definedName name="MATSTART">#REF!</definedName>
    <definedName name="MidPeak">'[3]17. Regulatory Charges'!$D$24</definedName>
    <definedName name="new" localSheetId="1" hidden="1">#REF!</definedName>
    <definedName name="new" hidden="1">#REF!</definedName>
    <definedName name="OffPeak">'[3]17. Regulatory Charges'!$D$23</definedName>
    <definedName name="OnPeak">'[3]17. Regulatory Charges'!$D$25</definedName>
    <definedName name="oth_beg_bud" localSheetId="1">#REF!</definedName>
    <definedName name="oth_beg_bud">#REF!</definedName>
    <definedName name="oth_end_bud" localSheetId="1">#REF!</definedName>
    <definedName name="oth_end_bud">#REF!</definedName>
    <definedName name="oth12ACT" localSheetId="1">#REF!</definedName>
    <definedName name="oth12ACT">#REF!</definedName>
    <definedName name="othCYACT" localSheetId="1">#REF!</definedName>
    <definedName name="othCYACT">#REF!</definedName>
    <definedName name="othCYBUD" localSheetId="1">#REF!</definedName>
    <definedName name="othCYBUD">#REF!</definedName>
    <definedName name="othCYF" localSheetId="1">#REF!</definedName>
    <definedName name="othCYF">#REF!</definedName>
    <definedName name="OTHEND" localSheetId="1">#REF!</definedName>
    <definedName name="OTHEND">#REF!</definedName>
    <definedName name="other_costs" localSheetId="1">#REF!</definedName>
    <definedName name="other_costs">#REF!</definedName>
    <definedName name="OTHERBUD" localSheetId="1">#REF!</definedName>
    <definedName name="OTHERBUD">#REF!</definedName>
    <definedName name="othNYbud" localSheetId="1">#REF!</definedName>
    <definedName name="othNYbud">#REF!</definedName>
    <definedName name="othPYACT" localSheetId="1">#REF!</definedName>
    <definedName name="othPYACT">#REF!</definedName>
    <definedName name="OTHSTART" localSheetId="1">#REF!</definedName>
    <definedName name="OTHSTART">#REF!</definedName>
    <definedName name="PAGE11" localSheetId="1">#REF!</definedName>
    <definedName name="PAGE11">#REF!</definedName>
    <definedName name="PAGE2" localSheetId="1">#REF!</definedName>
    <definedName name="PAGE2">#REF!</definedName>
    <definedName name="PAGE3" localSheetId="1">#REF!</definedName>
    <definedName name="PAGE3">#REF!</definedName>
    <definedName name="PAGE4" localSheetId="1">#REF!</definedName>
    <definedName name="PAGE4">#REF!</definedName>
    <definedName name="PAGE7" localSheetId="1">#REF!</definedName>
    <definedName name="PAGE7">#REF!</definedName>
    <definedName name="PAGE9" localSheetId="1">#REF!</definedName>
    <definedName name="PAGE9">#REF!</definedName>
    <definedName name="_xlnm.Print_Area" localSheetId="0">'Bill Impacts'!$D$1:$O$471</definedName>
    <definedName name="_xlnm.Print_Area" localSheetId="1">'Residential  (10%)'!$B$1:$O$49</definedName>
    <definedName name="print_end" localSheetId="1">#REF!</definedName>
    <definedName name="print_end">#REF!</definedName>
    <definedName name="ratedescription">[5]hidden1!$D$1:$D$122</definedName>
    <definedName name="reconciliation" localSheetId="1">'[6]10.1556'!#REF!</definedName>
    <definedName name="reconciliation">'[6]10.1556'!#REF!</definedName>
    <definedName name="SALBENF" localSheetId="1">#REF!</definedName>
    <definedName name="SALBENF">#REF!</definedName>
    <definedName name="salreg" localSheetId="1">#REF!</definedName>
    <definedName name="salreg">#REF!</definedName>
    <definedName name="SALREGF" localSheetId="1">#REF!</definedName>
    <definedName name="SALREGF">#REF!</definedName>
    <definedName name="TEMPA" localSheetId="1">#REF!</definedName>
    <definedName name="TEMPA">#REF!</definedName>
    <definedName name="total_dept" localSheetId="1">#REF!</definedName>
    <definedName name="total_dept">#REF!</definedName>
    <definedName name="total_manpower" localSheetId="1">#REF!</definedName>
    <definedName name="total_manpower">#REF!</definedName>
    <definedName name="total_material" localSheetId="1">#REF!</definedName>
    <definedName name="total_material">#REF!</definedName>
    <definedName name="total_other" localSheetId="1">#REF!</definedName>
    <definedName name="total_other">#REF!</definedName>
    <definedName name="total_transportation" localSheetId="1">#REF!</definedName>
    <definedName name="total_transportation">#REF!</definedName>
    <definedName name="TRANBUD" localSheetId="1">#REF!</definedName>
    <definedName name="TRANBUD">#REF!</definedName>
    <definedName name="TRANEND" localSheetId="1">#REF!</definedName>
    <definedName name="TRANEND">#REF!</definedName>
    <definedName name="transportation_costs" localSheetId="1">#REF!</definedName>
    <definedName name="transportation_costs">#REF!</definedName>
    <definedName name="TRANSTART" localSheetId="1">#REF!</definedName>
    <definedName name="TRANSTART">#REF!</definedName>
    <definedName name="trn_beg_bud" localSheetId="1">#REF!</definedName>
    <definedName name="trn_beg_bud">#REF!</definedName>
    <definedName name="trn_end_bud" localSheetId="1">#REF!</definedName>
    <definedName name="trn_end_bud">#REF!</definedName>
    <definedName name="trn12ACT" localSheetId="1">#REF!</definedName>
    <definedName name="trn12ACT">#REF!</definedName>
    <definedName name="trnCYACT" localSheetId="1">#REF!</definedName>
    <definedName name="trnCYACT">#REF!</definedName>
    <definedName name="trnCYBUD" localSheetId="1">#REF!</definedName>
    <definedName name="trnCYBUD">#REF!</definedName>
    <definedName name="trnCYF" localSheetId="1">#REF!</definedName>
    <definedName name="trnCYF">#REF!</definedName>
    <definedName name="trnNYbud" localSheetId="1">#REF!</definedName>
    <definedName name="trnNYbud">#REF!</definedName>
    <definedName name="trnPYACT" localSheetId="1">#REF!</definedName>
    <definedName name="trnPYACT">#REF!</definedName>
    <definedName name="units">[5]hidden1!$J$3:$J$8</definedName>
    <definedName name="Utility">[4]Financials!$A$1</definedName>
    <definedName name="utitliy1">[7]Financials!$A$1</definedName>
    <definedName name="WAGBENF" localSheetId="1">#REF!</definedName>
    <definedName name="WAGBENF">#REF!</definedName>
    <definedName name="wagdob" localSheetId="1">#REF!</definedName>
    <definedName name="wagdob">#REF!</definedName>
    <definedName name="wagdobf" localSheetId="1">#REF!</definedName>
    <definedName name="wagdobf">#REF!</definedName>
    <definedName name="wagreg" localSheetId="1">#REF!</definedName>
    <definedName name="wagreg">#REF!</definedName>
    <definedName name="wagregf" localSheetId="1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K34" i="4" l="1"/>
  <c r="L34" i="4" s="1"/>
  <c r="J34" i="4"/>
  <c r="G34" i="4"/>
  <c r="H34" i="4" s="1"/>
  <c r="L33" i="4"/>
  <c r="N33" i="4" s="1"/>
  <c r="K33" i="4"/>
  <c r="J33" i="4"/>
  <c r="G33" i="4"/>
  <c r="H33" i="4" s="1"/>
  <c r="K32" i="4"/>
  <c r="L32" i="4" s="1"/>
  <c r="N32" i="4" s="1"/>
  <c r="J32" i="4"/>
  <c r="H32" i="4"/>
  <c r="O32" i="4" s="1"/>
  <c r="G32" i="4"/>
  <c r="O31" i="4"/>
  <c r="G30" i="4"/>
  <c r="K30" i="4" s="1"/>
  <c r="L30" i="4" s="1"/>
  <c r="F30" i="4"/>
  <c r="H30" i="4" s="1"/>
  <c r="O30" i="4" s="1"/>
  <c r="J29" i="4"/>
  <c r="L29" i="4" s="1"/>
  <c r="N29" i="4" s="1"/>
  <c r="O29" i="4" s="1"/>
  <c r="H29" i="4"/>
  <c r="J28" i="4"/>
  <c r="J27" i="4"/>
  <c r="J26" i="4"/>
  <c r="J24" i="4"/>
  <c r="F24" i="4"/>
  <c r="K23" i="4"/>
  <c r="L23" i="4" s="1"/>
  <c r="N23" i="4" s="1"/>
  <c r="J23" i="4"/>
  <c r="H23" i="4"/>
  <c r="G23" i="4"/>
  <c r="G24" i="4" s="1"/>
  <c r="F23" i="4"/>
  <c r="K21" i="4"/>
  <c r="L21" i="4" s="1"/>
  <c r="G21" i="4"/>
  <c r="H21" i="4" s="1"/>
  <c r="O20" i="4"/>
  <c r="K20" i="4"/>
  <c r="L20" i="4" s="1"/>
  <c r="N20" i="4" s="1"/>
  <c r="J20" i="4"/>
  <c r="H20" i="4"/>
  <c r="G20" i="4"/>
  <c r="L19" i="4"/>
  <c r="K19" i="4"/>
  <c r="J19" i="4"/>
  <c r="G19" i="4"/>
  <c r="H19" i="4" s="1"/>
  <c r="F19" i="4"/>
  <c r="L18" i="4"/>
  <c r="N18" i="4" s="1"/>
  <c r="O18" i="4" s="1"/>
  <c r="H18" i="4"/>
  <c r="K17" i="4"/>
  <c r="J17" i="4"/>
  <c r="L17" i="4" s="1"/>
  <c r="G17" i="4"/>
  <c r="H17" i="4" s="1"/>
  <c r="F17" i="4"/>
  <c r="J15" i="4"/>
  <c r="G15" i="4"/>
  <c r="H15" i="4" s="1"/>
  <c r="K14" i="4"/>
  <c r="L14" i="4" s="1"/>
  <c r="N14" i="4" s="1"/>
  <c r="J14" i="4"/>
  <c r="H14" i="4"/>
  <c r="O14" i="4" s="1"/>
  <c r="G14" i="4"/>
  <c r="K13" i="4"/>
  <c r="L13" i="4" s="1"/>
  <c r="J13" i="4"/>
  <c r="G13" i="4"/>
  <c r="H13" i="4" s="1"/>
  <c r="K12" i="4"/>
  <c r="L12" i="4" s="1"/>
  <c r="N12" i="4" s="1"/>
  <c r="J12" i="4"/>
  <c r="H12" i="4"/>
  <c r="G12" i="4"/>
  <c r="F12" i="4"/>
  <c r="J11" i="4"/>
  <c r="L11" i="4" s="1"/>
  <c r="F11" i="4"/>
  <c r="H11" i="4" s="1"/>
  <c r="G37" i="1"/>
  <c r="G36" i="1"/>
  <c r="G35" i="1"/>
  <c r="G34" i="1"/>
  <c r="G33" i="1"/>
  <c r="G32" i="1"/>
  <c r="G31" i="1"/>
  <c r="G30" i="1"/>
  <c r="G442" i="1"/>
  <c r="H442" i="1" s="1"/>
  <c r="G388" i="1"/>
  <c r="J388" i="1" s="1"/>
  <c r="K388" i="1" s="1"/>
  <c r="L469" i="1"/>
  <c r="I465" i="1"/>
  <c r="G465" i="1"/>
  <c r="H465" i="1" s="1"/>
  <c r="J464" i="1"/>
  <c r="K464" i="1" s="1"/>
  <c r="I464" i="1"/>
  <c r="G464" i="1"/>
  <c r="H464" i="1" s="1"/>
  <c r="J463" i="1"/>
  <c r="K463" i="1" s="1"/>
  <c r="G463" i="1"/>
  <c r="J462" i="1"/>
  <c r="K462" i="1" s="1"/>
  <c r="G462" i="1"/>
  <c r="H462" i="1" s="1"/>
  <c r="J461" i="1"/>
  <c r="G461" i="1"/>
  <c r="H461" i="1" s="1"/>
  <c r="J459" i="1"/>
  <c r="G459" i="1"/>
  <c r="K458" i="1"/>
  <c r="H458" i="1"/>
  <c r="J457" i="1"/>
  <c r="K457" i="1" s="1"/>
  <c r="J456" i="1"/>
  <c r="K456" i="1" s="1"/>
  <c r="G456" i="1"/>
  <c r="H456" i="1" s="1"/>
  <c r="G454" i="1"/>
  <c r="H454" i="1" s="1"/>
  <c r="J453" i="1"/>
  <c r="K453" i="1" s="1"/>
  <c r="J451" i="1"/>
  <c r="K451" i="1" s="1"/>
  <c r="G451" i="1"/>
  <c r="H451" i="1" s="1"/>
  <c r="K450" i="1"/>
  <c r="H450" i="1"/>
  <c r="J448" i="1"/>
  <c r="K448" i="1" s="1"/>
  <c r="G448" i="1"/>
  <c r="H448" i="1" s="1"/>
  <c r="J447" i="1"/>
  <c r="K447" i="1" s="1"/>
  <c r="G446" i="1"/>
  <c r="H446" i="1" s="1"/>
  <c r="G441" i="1"/>
  <c r="H441" i="1" s="1"/>
  <c r="J440" i="1"/>
  <c r="K440" i="1" s="1"/>
  <c r="H440" i="1"/>
  <c r="J449" i="1"/>
  <c r="K449" i="1" s="1"/>
  <c r="J465" i="1"/>
  <c r="L415" i="1"/>
  <c r="I411" i="1"/>
  <c r="I410" i="1"/>
  <c r="K404" i="1"/>
  <c r="H404" i="1"/>
  <c r="G403" i="1"/>
  <c r="G400" i="1"/>
  <c r="H400" i="1" s="1"/>
  <c r="J399" i="1"/>
  <c r="K399" i="1" s="1"/>
  <c r="G397" i="1"/>
  <c r="H397" i="1" s="1"/>
  <c r="K396" i="1"/>
  <c r="H396" i="1"/>
  <c r="J395" i="1"/>
  <c r="K395" i="1" s="1"/>
  <c r="G393" i="1"/>
  <c r="H393" i="1" s="1"/>
  <c r="J392" i="1"/>
  <c r="K392" i="1" s="1"/>
  <c r="J389" i="1"/>
  <c r="K389" i="1" s="1"/>
  <c r="J387" i="1"/>
  <c r="K387" i="1" s="1"/>
  <c r="G387" i="1"/>
  <c r="H387" i="1" s="1"/>
  <c r="J386" i="1"/>
  <c r="K386" i="1" s="1"/>
  <c r="H386" i="1"/>
  <c r="L361" i="1"/>
  <c r="J357" i="1"/>
  <c r="I357" i="1"/>
  <c r="K357" i="1" s="1"/>
  <c r="I356" i="1"/>
  <c r="G356" i="1"/>
  <c r="H356" i="1" s="1"/>
  <c r="J355" i="1"/>
  <c r="G355" i="1"/>
  <c r="H355" i="1" s="1"/>
  <c r="J353" i="1"/>
  <c r="K353" i="1" s="1"/>
  <c r="G353" i="1"/>
  <c r="H353" i="1" s="1"/>
  <c r="J351" i="1"/>
  <c r="G351" i="1"/>
  <c r="K350" i="1"/>
  <c r="H350" i="1"/>
  <c r="J349" i="1"/>
  <c r="K349" i="1" s="1"/>
  <c r="J343" i="1"/>
  <c r="K343" i="1" s="1"/>
  <c r="K342" i="1"/>
  <c r="H342" i="1"/>
  <c r="G341" i="1"/>
  <c r="H341" i="1" s="1"/>
  <c r="J340" i="1"/>
  <c r="K340" i="1" s="1"/>
  <c r="G340" i="1"/>
  <c r="H340" i="1" s="1"/>
  <c r="J338" i="1"/>
  <c r="K338" i="1" s="1"/>
  <c r="J335" i="1"/>
  <c r="K335" i="1" s="1"/>
  <c r="J334" i="1"/>
  <c r="K334" i="1" s="1"/>
  <c r="H334" i="1"/>
  <c r="G333" i="1"/>
  <c r="H333" i="1" s="1"/>
  <c r="J332" i="1"/>
  <c r="K332" i="1" s="1"/>
  <c r="H332" i="1"/>
  <c r="G348" i="1"/>
  <c r="H348" i="1" s="1"/>
  <c r="G357" i="1"/>
  <c r="H357" i="1" s="1"/>
  <c r="L307" i="1"/>
  <c r="I303" i="1"/>
  <c r="G303" i="1"/>
  <c r="H303" i="1" s="1"/>
  <c r="I302" i="1"/>
  <c r="J297" i="1"/>
  <c r="K297" i="1" s="1"/>
  <c r="K296" i="1"/>
  <c r="H296" i="1"/>
  <c r="J289" i="1"/>
  <c r="K289" i="1" s="1"/>
  <c r="K288" i="1"/>
  <c r="H288" i="1"/>
  <c r="J287" i="1"/>
  <c r="K287" i="1" s="1"/>
  <c r="G286" i="1"/>
  <c r="H286" i="1" s="1"/>
  <c r="J280" i="1"/>
  <c r="K280" i="1" s="1"/>
  <c r="H280" i="1"/>
  <c r="J278" i="1"/>
  <c r="K278" i="1" s="1"/>
  <c r="H278" i="1"/>
  <c r="L253" i="1"/>
  <c r="I249" i="1"/>
  <c r="G249" i="1"/>
  <c r="H249" i="1" s="1"/>
  <c r="I248" i="1"/>
  <c r="G247" i="1"/>
  <c r="H247" i="1" s="1"/>
  <c r="K242" i="1"/>
  <c r="H242" i="1"/>
  <c r="G241" i="1"/>
  <c r="H241" i="1" s="1"/>
  <c r="G240" i="1"/>
  <c r="H240" i="1" s="1"/>
  <c r="J237" i="1"/>
  <c r="K237" i="1" s="1"/>
  <c r="K234" i="1"/>
  <c r="H234" i="1"/>
  <c r="I229" i="1"/>
  <c r="J229" i="1" s="1"/>
  <c r="K229" i="1" s="1"/>
  <c r="J226" i="1"/>
  <c r="K226" i="1" s="1"/>
  <c r="H226" i="1"/>
  <c r="G225" i="1"/>
  <c r="H225" i="1" s="1"/>
  <c r="J224" i="1"/>
  <c r="K224" i="1" s="1"/>
  <c r="H224" i="1"/>
  <c r="L199" i="1"/>
  <c r="J195" i="1"/>
  <c r="I195" i="1"/>
  <c r="J194" i="1"/>
  <c r="I194" i="1"/>
  <c r="J193" i="1"/>
  <c r="K193" i="1" s="1"/>
  <c r="J192" i="1"/>
  <c r="K192" i="1" s="1"/>
  <c r="J191" i="1"/>
  <c r="K191" i="1" s="1"/>
  <c r="J189" i="1"/>
  <c r="K189" i="1" s="1"/>
  <c r="G189" i="1"/>
  <c r="H189" i="1" s="1"/>
  <c r="K188" i="1"/>
  <c r="H188" i="1"/>
  <c r="J187" i="1"/>
  <c r="K187" i="1" s="1"/>
  <c r="G184" i="1"/>
  <c r="H184" i="1" s="1"/>
  <c r="G183" i="1"/>
  <c r="H183" i="1" s="1"/>
  <c r="K180" i="1"/>
  <c r="H180" i="1"/>
  <c r="G179" i="1"/>
  <c r="H179" i="1" s="1"/>
  <c r="J178" i="1"/>
  <c r="K178" i="1" s="1"/>
  <c r="G178" i="1"/>
  <c r="H178" i="1" s="1"/>
  <c r="I175" i="1"/>
  <c r="J175" i="1" s="1"/>
  <c r="K175" i="1" s="1"/>
  <c r="G173" i="1"/>
  <c r="H173" i="1" s="1"/>
  <c r="J172" i="1"/>
  <c r="K172" i="1" s="1"/>
  <c r="H172" i="1"/>
  <c r="J170" i="1"/>
  <c r="K170" i="1" s="1"/>
  <c r="H170" i="1"/>
  <c r="J141" i="1"/>
  <c r="I141" i="1"/>
  <c r="I140" i="1"/>
  <c r="G140" i="1"/>
  <c r="H140" i="1" s="1"/>
  <c r="K134" i="1"/>
  <c r="H134" i="1"/>
  <c r="G129" i="1"/>
  <c r="H129" i="1" s="1"/>
  <c r="G127" i="1"/>
  <c r="H127" i="1" s="1"/>
  <c r="K126" i="1"/>
  <c r="H126" i="1"/>
  <c r="G124" i="1"/>
  <c r="H124" i="1" s="1"/>
  <c r="J118" i="1"/>
  <c r="K118" i="1" s="1"/>
  <c r="H118" i="1"/>
  <c r="J116" i="1"/>
  <c r="K116" i="1" s="1"/>
  <c r="H116" i="1"/>
  <c r="J130" i="1"/>
  <c r="K130" i="1" s="1"/>
  <c r="J139" i="1"/>
  <c r="K139" i="1" s="1"/>
  <c r="J87" i="1"/>
  <c r="I87" i="1"/>
  <c r="I86" i="1"/>
  <c r="G86" i="1"/>
  <c r="H86" i="1" s="1"/>
  <c r="K80" i="1"/>
  <c r="H80" i="1"/>
  <c r="K72" i="1"/>
  <c r="H72" i="1"/>
  <c r="G68" i="1"/>
  <c r="H68" i="1" s="1"/>
  <c r="J64" i="1"/>
  <c r="K64" i="1" s="1"/>
  <c r="H64" i="1"/>
  <c r="J62" i="1"/>
  <c r="K62" i="1" s="1"/>
  <c r="H62" i="1"/>
  <c r="O13" i="4" l="1"/>
  <c r="N30" i="4"/>
  <c r="O11" i="4"/>
  <c r="H16" i="4"/>
  <c r="O21" i="4"/>
  <c r="N11" i="4"/>
  <c r="N13" i="4"/>
  <c r="N21" i="4"/>
  <c r="N17" i="4"/>
  <c r="O17" i="4" s="1"/>
  <c r="N19" i="4"/>
  <c r="O19" i="4" s="1"/>
  <c r="G26" i="4"/>
  <c r="G28" i="4"/>
  <c r="H28" i="4" s="1"/>
  <c r="H24" i="4"/>
  <c r="N34" i="4"/>
  <c r="O34" i="4" s="1"/>
  <c r="O12" i="4"/>
  <c r="O23" i="4"/>
  <c r="O33" i="4"/>
  <c r="O15" i="4"/>
  <c r="K24" i="4"/>
  <c r="K15" i="4"/>
  <c r="L15" i="4" s="1"/>
  <c r="N15" i="4" s="1"/>
  <c r="L396" i="1"/>
  <c r="M396" i="1" s="1"/>
  <c r="L64" i="1"/>
  <c r="M64" i="1" s="1"/>
  <c r="L280" i="1"/>
  <c r="M280" i="1" s="1"/>
  <c r="L170" i="1"/>
  <c r="M170" i="1" s="1"/>
  <c r="L334" i="1"/>
  <c r="M334" i="1" s="1"/>
  <c r="L464" i="1"/>
  <c r="M464" i="1" s="1"/>
  <c r="L180" i="1"/>
  <c r="M180" i="1" s="1"/>
  <c r="J442" i="1"/>
  <c r="K442" i="1" s="1"/>
  <c r="L442" i="1" s="1"/>
  <c r="M442" i="1" s="1"/>
  <c r="L448" i="1"/>
  <c r="M448" i="1" s="1"/>
  <c r="K465" i="1"/>
  <c r="L465" i="1" s="1"/>
  <c r="M465" i="1" s="1"/>
  <c r="L116" i="1"/>
  <c r="M116" i="1" s="1"/>
  <c r="K195" i="1"/>
  <c r="L242" i="1"/>
  <c r="M242" i="1" s="1"/>
  <c r="L342" i="1"/>
  <c r="M342" i="1" s="1"/>
  <c r="L404" i="1"/>
  <c r="M404" i="1" s="1"/>
  <c r="L462" i="1"/>
  <c r="M462" i="1" s="1"/>
  <c r="L118" i="1"/>
  <c r="M118" i="1" s="1"/>
  <c r="L126" i="1"/>
  <c r="M126" i="1" s="1"/>
  <c r="L234" i="1"/>
  <c r="M234" i="1" s="1"/>
  <c r="L72" i="1"/>
  <c r="M72" i="1" s="1"/>
  <c r="L188" i="1"/>
  <c r="M188" i="1" s="1"/>
  <c r="I337" i="1"/>
  <c r="J337" i="1" s="1"/>
  <c r="K337" i="1" s="1"/>
  <c r="L189" i="1"/>
  <c r="M189" i="1" s="1"/>
  <c r="K194" i="1"/>
  <c r="L296" i="1"/>
  <c r="M296" i="1" s="1"/>
  <c r="K141" i="1"/>
  <c r="L172" i="1"/>
  <c r="M172" i="1" s="1"/>
  <c r="L458" i="1"/>
  <c r="M458" i="1" s="1"/>
  <c r="H388" i="1"/>
  <c r="L388" i="1" s="1"/>
  <c r="M388" i="1" s="1"/>
  <c r="L450" i="1"/>
  <c r="M450" i="1" s="1"/>
  <c r="K87" i="1"/>
  <c r="L178" i="1"/>
  <c r="M178" i="1" s="1"/>
  <c r="L288" i="1"/>
  <c r="M288" i="1" s="1"/>
  <c r="L350" i="1"/>
  <c r="M350" i="1" s="1"/>
  <c r="L440" i="1"/>
  <c r="M440" i="1" s="1"/>
  <c r="G85" i="1"/>
  <c r="H85" i="1" s="1"/>
  <c r="G84" i="1"/>
  <c r="H84" i="1" s="1"/>
  <c r="G83" i="1"/>
  <c r="H83" i="1" s="1"/>
  <c r="J85" i="1"/>
  <c r="K85" i="1" s="1"/>
  <c r="F67" i="1"/>
  <c r="G67" i="1" s="1"/>
  <c r="H67" i="1" s="1"/>
  <c r="G79" i="1"/>
  <c r="H79" i="1" s="1"/>
  <c r="G69" i="1"/>
  <c r="H69" i="1" s="1"/>
  <c r="J86" i="1"/>
  <c r="K86" i="1" s="1"/>
  <c r="J83" i="1"/>
  <c r="K83" i="1" s="1"/>
  <c r="G78" i="1"/>
  <c r="H78" i="1" s="1"/>
  <c r="J70" i="1"/>
  <c r="K70" i="1" s="1"/>
  <c r="J84" i="1"/>
  <c r="K84" i="1" s="1"/>
  <c r="J79" i="1"/>
  <c r="K79" i="1" s="1"/>
  <c r="G70" i="1"/>
  <c r="H70" i="1" s="1"/>
  <c r="L80" i="1"/>
  <c r="M80" i="1" s="1"/>
  <c r="J65" i="1"/>
  <c r="K65" i="1" s="1"/>
  <c r="L224" i="1"/>
  <c r="M224" i="1" s="1"/>
  <c r="L62" i="1"/>
  <c r="M62" i="1" s="1"/>
  <c r="J78" i="1"/>
  <c r="K78" i="1" s="1"/>
  <c r="G87" i="1"/>
  <c r="H87" i="1" s="1"/>
  <c r="G63" i="1"/>
  <c r="H63" i="1" s="1"/>
  <c r="I67" i="1"/>
  <c r="J67" i="1" s="1"/>
  <c r="K67" i="1" s="1"/>
  <c r="G193" i="1"/>
  <c r="H193" i="1" s="1"/>
  <c r="L193" i="1" s="1"/>
  <c r="M193" i="1" s="1"/>
  <c r="G192" i="1"/>
  <c r="H192" i="1" s="1"/>
  <c r="L192" i="1" s="1"/>
  <c r="M192" i="1" s="1"/>
  <c r="G191" i="1"/>
  <c r="H191" i="1" s="1"/>
  <c r="L191" i="1" s="1"/>
  <c r="M191" i="1" s="1"/>
  <c r="G402" i="1"/>
  <c r="H402" i="1" s="1"/>
  <c r="G409" i="1"/>
  <c r="H409" i="1" s="1"/>
  <c r="G408" i="1"/>
  <c r="H408" i="1" s="1"/>
  <c r="G407" i="1"/>
  <c r="H407" i="1" s="1"/>
  <c r="G405" i="1"/>
  <c r="H405" i="1" s="1"/>
  <c r="G411" i="1"/>
  <c r="H411" i="1" s="1"/>
  <c r="J409" i="1"/>
  <c r="K409" i="1" s="1"/>
  <c r="J402" i="1"/>
  <c r="K402" i="1" s="1"/>
  <c r="J407" i="1"/>
  <c r="K407" i="1" s="1"/>
  <c r="J403" i="1"/>
  <c r="K403" i="1" s="1"/>
  <c r="I391" i="1"/>
  <c r="J391" i="1" s="1"/>
  <c r="K391" i="1" s="1"/>
  <c r="J411" i="1"/>
  <c r="K411" i="1" s="1"/>
  <c r="G394" i="1"/>
  <c r="H394" i="1" s="1"/>
  <c r="F391" i="1"/>
  <c r="G391" i="1" s="1"/>
  <c r="H391" i="1" s="1"/>
  <c r="G410" i="1"/>
  <c r="H410" i="1" s="1"/>
  <c r="J410" i="1"/>
  <c r="K410" i="1" s="1"/>
  <c r="J394" i="1"/>
  <c r="K394" i="1" s="1"/>
  <c r="J76" i="1"/>
  <c r="K76" i="1" s="1"/>
  <c r="G73" i="1"/>
  <c r="H73" i="1" s="1"/>
  <c r="J71" i="1"/>
  <c r="K71" i="1" s="1"/>
  <c r="J68" i="1"/>
  <c r="K68" i="1" s="1"/>
  <c r="L68" i="1" s="1"/>
  <c r="M68" i="1" s="1"/>
  <c r="G141" i="1"/>
  <c r="H141" i="1" s="1"/>
  <c r="G186" i="1"/>
  <c r="H186" i="1" s="1"/>
  <c r="G301" i="1"/>
  <c r="H301" i="1" s="1"/>
  <c r="G300" i="1"/>
  <c r="H300" i="1" s="1"/>
  <c r="G299" i="1"/>
  <c r="H299" i="1" s="1"/>
  <c r="G297" i="1"/>
  <c r="H297" i="1" s="1"/>
  <c r="L297" i="1" s="1"/>
  <c r="M297" i="1" s="1"/>
  <c r="G302" i="1"/>
  <c r="H302" i="1" s="1"/>
  <c r="J286" i="1"/>
  <c r="K286" i="1" s="1"/>
  <c r="L286" i="1" s="1"/>
  <c r="M286" i="1" s="1"/>
  <c r="F283" i="1"/>
  <c r="G283" i="1" s="1"/>
  <c r="H283" i="1" s="1"/>
  <c r="J302" i="1"/>
  <c r="K302" i="1" s="1"/>
  <c r="J299" i="1"/>
  <c r="K299" i="1" s="1"/>
  <c r="J295" i="1"/>
  <c r="K295" i="1" s="1"/>
  <c r="G295" i="1"/>
  <c r="H295" i="1" s="1"/>
  <c r="J294" i="1"/>
  <c r="K294" i="1" s="1"/>
  <c r="J301" i="1"/>
  <c r="K301" i="1" s="1"/>
  <c r="J303" i="1"/>
  <c r="K303" i="1" s="1"/>
  <c r="G294" i="1"/>
  <c r="H294" i="1" s="1"/>
  <c r="I283" i="1"/>
  <c r="J283" i="1" s="1"/>
  <c r="K283" i="1" s="1"/>
  <c r="J405" i="1"/>
  <c r="K405" i="1" s="1"/>
  <c r="J63" i="1"/>
  <c r="K63" i="1" s="1"/>
  <c r="K66" i="1" s="1"/>
  <c r="G65" i="1"/>
  <c r="H65" i="1" s="1"/>
  <c r="G76" i="1"/>
  <c r="H76" i="1" s="1"/>
  <c r="J122" i="1"/>
  <c r="K122" i="1" s="1"/>
  <c r="J124" i="1"/>
  <c r="K124" i="1" s="1"/>
  <c r="L124" i="1" s="1"/>
  <c r="M124" i="1" s="1"/>
  <c r="J133" i="1"/>
  <c r="K133" i="1" s="1"/>
  <c r="J135" i="1"/>
  <c r="K135" i="1" s="1"/>
  <c r="G138" i="1"/>
  <c r="H138" i="1" s="1"/>
  <c r="L226" i="1"/>
  <c r="M226" i="1" s="1"/>
  <c r="J291" i="1"/>
  <c r="K291" i="1" s="1"/>
  <c r="G292" i="1"/>
  <c r="H292" i="1" s="1"/>
  <c r="G287" i="1"/>
  <c r="H287" i="1" s="1"/>
  <c r="L287" i="1" s="1"/>
  <c r="M287" i="1" s="1"/>
  <c r="J285" i="1"/>
  <c r="K285" i="1" s="1"/>
  <c r="J279" i="1"/>
  <c r="K279" i="1" s="1"/>
  <c r="G289" i="1"/>
  <c r="H289" i="1" s="1"/>
  <c r="L289" i="1" s="1"/>
  <c r="M289" i="1" s="1"/>
  <c r="G279" i="1"/>
  <c r="H279" i="1" s="1"/>
  <c r="G291" i="1"/>
  <c r="H291" i="1" s="1"/>
  <c r="J284" i="1"/>
  <c r="K284" i="1" s="1"/>
  <c r="J281" i="1"/>
  <c r="K281" i="1" s="1"/>
  <c r="G285" i="1"/>
  <c r="H285" i="1" s="1"/>
  <c r="G281" i="1"/>
  <c r="H281" i="1" s="1"/>
  <c r="J292" i="1"/>
  <c r="K292" i="1" s="1"/>
  <c r="G284" i="1"/>
  <c r="H284" i="1" s="1"/>
  <c r="J300" i="1"/>
  <c r="K300" i="1" s="1"/>
  <c r="I445" i="1"/>
  <c r="J445" i="1" s="1"/>
  <c r="K445" i="1" s="1"/>
  <c r="F445" i="1"/>
  <c r="G445" i="1" s="1"/>
  <c r="H445" i="1" s="1"/>
  <c r="G71" i="1"/>
  <c r="H71" i="1" s="1"/>
  <c r="G75" i="1"/>
  <c r="H75" i="1" s="1"/>
  <c r="G132" i="1"/>
  <c r="H132" i="1" s="1"/>
  <c r="J137" i="1"/>
  <c r="K137" i="1" s="1"/>
  <c r="J129" i="1"/>
  <c r="K129" i="1" s="1"/>
  <c r="L129" i="1" s="1"/>
  <c r="M129" i="1" s="1"/>
  <c r="J123" i="1"/>
  <c r="K123" i="1" s="1"/>
  <c r="G122" i="1"/>
  <c r="H122" i="1" s="1"/>
  <c r="F121" i="1"/>
  <c r="G121" i="1" s="1"/>
  <c r="H121" i="1" s="1"/>
  <c r="J119" i="1"/>
  <c r="K119" i="1" s="1"/>
  <c r="L119" i="1" s="1"/>
  <c r="M119" i="1" s="1"/>
  <c r="G139" i="1"/>
  <c r="H139" i="1" s="1"/>
  <c r="L139" i="1" s="1"/>
  <c r="M139" i="1" s="1"/>
  <c r="I121" i="1"/>
  <c r="J121" i="1" s="1"/>
  <c r="K121" i="1" s="1"/>
  <c r="J140" i="1"/>
  <c r="K140" i="1" s="1"/>
  <c r="G135" i="1"/>
  <c r="H135" i="1" s="1"/>
  <c r="G133" i="1"/>
  <c r="H133" i="1" s="1"/>
  <c r="J125" i="1"/>
  <c r="K125" i="1" s="1"/>
  <c r="G119" i="1"/>
  <c r="H119" i="1" s="1"/>
  <c r="G123" i="1"/>
  <c r="H123" i="1" s="1"/>
  <c r="G125" i="1"/>
  <c r="H125" i="1" s="1"/>
  <c r="J127" i="1"/>
  <c r="K127" i="1" s="1"/>
  <c r="L127" i="1" s="1"/>
  <c r="M127" i="1" s="1"/>
  <c r="G137" i="1"/>
  <c r="H137" i="1" s="1"/>
  <c r="J138" i="1"/>
  <c r="K138" i="1" s="1"/>
  <c r="H463" i="1"/>
  <c r="L463" i="1" s="1"/>
  <c r="M463" i="1" s="1"/>
  <c r="H403" i="1"/>
  <c r="J69" i="1"/>
  <c r="K69" i="1" s="1"/>
  <c r="G117" i="1"/>
  <c r="H117" i="1" s="1"/>
  <c r="H120" i="1" s="1"/>
  <c r="J117" i="1"/>
  <c r="K117" i="1" s="1"/>
  <c r="G130" i="1"/>
  <c r="H130" i="1" s="1"/>
  <c r="L130" i="1" s="1"/>
  <c r="M130" i="1" s="1"/>
  <c r="J132" i="1"/>
  <c r="K132" i="1" s="1"/>
  <c r="L134" i="1"/>
  <c r="M134" i="1" s="1"/>
  <c r="J408" i="1"/>
  <c r="K408" i="1" s="1"/>
  <c r="J73" i="1"/>
  <c r="K73" i="1" s="1"/>
  <c r="J75" i="1"/>
  <c r="K75" i="1" s="1"/>
  <c r="J183" i="1"/>
  <c r="K183" i="1" s="1"/>
  <c r="L183" i="1" s="1"/>
  <c r="M183" i="1" s="1"/>
  <c r="J177" i="1"/>
  <c r="K177" i="1" s="1"/>
  <c r="G176" i="1"/>
  <c r="H176" i="1" s="1"/>
  <c r="J173" i="1"/>
  <c r="K173" i="1" s="1"/>
  <c r="L173" i="1" s="1"/>
  <c r="M173" i="1" s="1"/>
  <c r="J181" i="1"/>
  <c r="K181" i="1" s="1"/>
  <c r="J184" i="1"/>
  <c r="K184" i="1" s="1"/>
  <c r="L184" i="1" s="1"/>
  <c r="M184" i="1" s="1"/>
  <c r="G181" i="1"/>
  <c r="H181" i="1" s="1"/>
  <c r="J179" i="1"/>
  <c r="K179" i="1" s="1"/>
  <c r="L179" i="1" s="1"/>
  <c r="M179" i="1" s="1"/>
  <c r="J176" i="1"/>
  <c r="K176" i="1" s="1"/>
  <c r="G171" i="1"/>
  <c r="H171" i="1" s="1"/>
  <c r="H174" i="1" s="1"/>
  <c r="G177" i="1"/>
  <c r="H177" i="1" s="1"/>
  <c r="J171" i="1"/>
  <c r="K171" i="1" s="1"/>
  <c r="J247" i="1"/>
  <c r="K247" i="1" s="1"/>
  <c r="L247" i="1" s="1"/>
  <c r="M247" i="1" s="1"/>
  <c r="J246" i="1"/>
  <c r="K246" i="1" s="1"/>
  <c r="J245" i="1"/>
  <c r="K245" i="1" s="1"/>
  <c r="J243" i="1"/>
  <c r="G232" i="1"/>
  <c r="H232" i="1" s="1"/>
  <c r="G243" i="1"/>
  <c r="H243" i="1" s="1"/>
  <c r="G245" i="1"/>
  <c r="H245" i="1" s="1"/>
  <c r="J240" i="1"/>
  <c r="K240" i="1" s="1"/>
  <c r="F229" i="1"/>
  <c r="G229" i="1" s="1"/>
  <c r="H229" i="1" s="1"/>
  <c r="L229" i="1" s="1"/>
  <c r="M229" i="1" s="1"/>
  <c r="J248" i="1"/>
  <c r="K248" i="1" s="1"/>
  <c r="G246" i="1"/>
  <c r="H246" i="1" s="1"/>
  <c r="J241" i="1"/>
  <c r="K241" i="1" s="1"/>
  <c r="L241" i="1" s="1"/>
  <c r="M241" i="1" s="1"/>
  <c r="G248" i="1"/>
  <c r="H248" i="1" s="1"/>
  <c r="J249" i="1"/>
  <c r="K249" i="1" s="1"/>
  <c r="J232" i="1"/>
  <c r="K232" i="1" s="1"/>
  <c r="K174" i="1"/>
  <c r="G238" i="1"/>
  <c r="H238" i="1" s="1"/>
  <c r="G235" i="1"/>
  <c r="H235" i="1" s="1"/>
  <c r="J233" i="1"/>
  <c r="K233" i="1" s="1"/>
  <c r="J235" i="1"/>
  <c r="K235" i="1" s="1"/>
  <c r="J230" i="1"/>
  <c r="K230" i="1" s="1"/>
  <c r="J227" i="1"/>
  <c r="K227" i="1" s="1"/>
  <c r="G237" i="1"/>
  <c r="H237" i="1" s="1"/>
  <c r="L237" i="1" s="1"/>
  <c r="M237" i="1" s="1"/>
  <c r="J238" i="1"/>
  <c r="K238" i="1" s="1"/>
  <c r="G233" i="1"/>
  <c r="H233" i="1" s="1"/>
  <c r="G230" i="1"/>
  <c r="H230" i="1" s="1"/>
  <c r="G227" i="1"/>
  <c r="H227" i="1" s="1"/>
  <c r="H228" i="1" s="1"/>
  <c r="J225" i="1"/>
  <c r="K225" i="1" s="1"/>
  <c r="L225" i="1" s="1"/>
  <c r="M225" i="1" s="1"/>
  <c r="G231" i="1"/>
  <c r="H231" i="1" s="1"/>
  <c r="J231" i="1"/>
  <c r="K231" i="1" s="1"/>
  <c r="L387" i="1"/>
  <c r="M387" i="1" s="1"/>
  <c r="K459" i="1"/>
  <c r="L451" i="1"/>
  <c r="M451" i="1" s="1"/>
  <c r="J333" i="1"/>
  <c r="K333" i="1" s="1"/>
  <c r="L333" i="1" s="1"/>
  <c r="M333" i="1" s="1"/>
  <c r="G339" i="1"/>
  <c r="H339" i="1" s="1"/>
  <c r="G345" i="1"/>
  <c r="H345" i="1" s="1"/>
  <c r="G343" i="1"/>
  <c r="H343" i="1" s="1"/>
  <c r="L343" i="1" s="1"/>
  <c r="M343" i="1" s="1"/>
  <c r="J346" i="1"/>
  <c r="K346" i="1" s="1"/>
  <c r="G338" i="1"/>
  <c r="H338" i="1" s="1"/>
  <c r="L338" i="1" s="1"/>
  <c r="M338" i="1" s="1"/>
  <c r="G335" i="1"/>
  <c r="H335" i="1" s="1"/>
  <c r="L335" i="1" s="1"/>
  <c r="M335" i="1" s="1"/>
  <c r="G346" i="1"/>
  <c r="H346" i="1" s="1"/>
  <c r="J345" i="1"/>
  <c r="K345" i="1" s="1"/>
  <c r="J341" i="1"/>
  <c r="K341" i="1" s="1"/>
  <c r="L341" i="1" s="1"/>
  <c r="M341" i="1" s="1"/>
  <c r="J339" i="1"/>
  <c r="K339" i="1" s="1"/>
  <c r="L386" i="1"/>
  <c r="M386" i="1" s="1"/>
  <c r="K390" i="1"/>
  <c r="L353" i="1"/>
  <c r="M353" i="1" s="1"/>
  <c r="G194" i="1"/>
  <c r="H194" i="1" s="1"/>
  <c r="J186" i="1"/>
  <c r="K186" i="1" s="1"/>
  <c r="F175" i="1"/>
  <c r="G175" i="1" s="1"/>
  <c r="H175" i="1" s="1"/>
  <c r="L175" i="1" s="1"/>
  <c r="M175" i="1" s="1"/>
  <c r="G187" i="1"/>
  <c r="H187" i="1" s="1"/>
  <c r="L187" i="1" s="1"/>
  <c r="M187" i="1" s="1"/>
  <c r="G195" i="1"/>
  <c r="H195" i="1" s="1"/>
  <c r="H351" i="1"/>
  <c r="L357" i="1"/>
  <c r="M357" i="1" s="1"/>
  <c r="L278" i="1"/>
  <c r="M278" i="1" s="1"/>
  <c r="K355" i="1"/>
  <c r="L355" i="1" s="1"/>
  <c r="M355" i="1" s="1"/>
  <c r="L332" i="1"/>
  <c r="M332" i="1" s="1"/>
  <c r="L340" i="1"/>
  <c r="M340" i="1" s="1"/>
  <c r="K351" i="1"/>
  <c r="F337" i="1"/>
  <c r="G337" i="1" s="1"/>
  <c r="H337" i="1" s="1"/>
  <c r="J348" i="1"/>
  <c r="K348" i="1" s="1"/>
  <c r="J354" i="1"/>
  <c r="K354" i="1" s="1"/>
  <c r="H459" i="1"/>
  <c r="K461" i="1"/>
  <c r="L461" i="1" s="1"/>
  <c r="M461" i="1" s="1"/>
  <c r="J400" i="1"/>
  <c r="K400" i="1" s="1"/>
  <c r="L400" i="1" s="1"/>
  <c r="M400" i="1" s="1"/>
  <c r="G399" i="1"/>
  <c r="H399" i="1" s="1"/>
  <c r="L399" i="1" s="1"/>
  <c r="M399" i="1" s="1"/>
  <c r="J397" i="1"/>
  <c r="K397" i="1" s="1"/>
  <c r="L397" i="1" s="1"/>
  <c r="M397" i="1" s="1"/>
  <c r="G449" i="1"/>
  <c r="H449" i="1" s="1"/>
  <c r="L449" i="1" s="1"/>
  <c r="M449" i="1" s="1"/>
  <c r="J446" i="1"/>
  <c r="K446" i="1" s="1"/>
  <c r="L446" i="1" s="1"/>
  <c r="M446" i="1" s="1"/>
  <c r="J441" i="1"/>
  <c r="K441" i="1" s="1"/>
  <c r="L441" i="1" s="1"/>
  <c r="M441" i="1" s="1"/>
  <c r="G443" i="1"/>
  <c r="H443" i="1" s="1"/>
  <c r="H444" i="1" s="1"/>
  <c r="J454" i="1"/>
  <c r="K454" i="1" s="1"/>
  <c r="L454" i="1" s="1"/>
  <c r="M454" i="1" s="1"/>
  <c r="J393" i="1"/>
  <c r="K393" i="1" s="1"/>
  <c r="L393" i="1" s="1"/>
  <c r="M393" i="1" s="1"/>
  <c r="G395" i="1"/>
  <c r="H395" i="1" s="1"/>
  <c r="L395" i="1" s="1"/>
  <c r="M395" i="1" s="1"/>
  <c r="L456" i="1"/>
  <c r="M456" i="1" s="1"/>
  <c r="G349" i="1"/>
  <c r="H349" i="1" s="1"/>
  <c r="L349" i="1" s="1"/>
  <c r="M349" i="1" s="1"/>
  <c r="G354" i="1"/>
  <c r="H354" i="1" s="1"/>
  <c r="J356" i="1"/>
  <c r="K356" i="1" s="1"/>
  <c r="G389" i="1"/>
  <c r="H389" i="1" s="1"/>
  <c r="G392" i="1"/>
  <c r="H392" i="1" s="1"/>
  <c r="L392" i="1" s="1"/>
  <c r="M392" i="1" s="1"/>
  <c r="J443" i="1"/>
  <c r="K443" i="1" s="1"/>
  <c r="G447" i="1"/>
  <c r="H447" i="1" s="1"/>
  <c r="L447" i="1" s="1"/>
  <c r="M447" i="1" s="1"/>
  <c r="G453" i="1"/>
  <c r="H453" i="1" s="1"/>
  <c r="L453" i="1" s="1"/>
  <c r="M453" i="1" s="1"/>
  <c r="G457" i="1"/>
  <c r="H457" i="1" s="1"/>
  <c r="L457" i="1" s="1"/>
  <c r="M457" i="1" s="1"/>
  <c r="K28" i="4" l="1"/>
  <c r="L28" i="4" s="1"/>
  <c r="N28" i="4" s="1"/>
  <c r="O28" i="4" s="1"/>
  <c r="L24" i="4"/>
  <c r="N24" i="4" s="1"/>
  <c r="O24" i="4" s="1"/>
  <c r="K26" i="4"/>
  <c r="H26" i="4"/>
  <c r="G27" i="4"/>
  <c r="H27" i="4" s="1"/>
  <c r="L16" i="4"/>
  <c r="H22" i="4"/>
  <c r="L230" i="1"/>
  <c r="M230" i="1" s="1"/>
  <c r="L84" i="1"/>
  <c r="M84" i="1" s="1"/>
  <c r="L339" i="1"/>
  <c r="M339" i="1" s="1"/>
  <c r="L235" i="1"/>
  <c r="M235" i="1" s="1"/>
  <c r="L69" i="1"/>
  <c r="M69" i="1" s="1"/>
  <c r="H390" i="1"/>
  <c r="L337" i="1"/>
  <c r="M337" i="1" s="1"/>
  <c r="L281" i="1"/>
  <c r="M281" i="1" s="1"/>
  <c r="L75" i="1"/>
  <c r="M75" i="1" s="1"/>
  <c r="L245" i="1"/>
  <c r="M245" i="1" s="1"/>
  <c r="L125" i="1"/>
  <c r="M125" i="1" s="1"/>
  <c r="H282" i="1"/>
  <c r="L176" i="1"/>
  <c r="M176" i="1" s="1"/>
  <c r="L300" i="1"/>
  <c r="M300" i="1" s="1"/>
  <c r="H336" i="1"/>
  <c r="H344" i="1" s="1"/>
  <c r="L181" i="1"/>
  <c r="M181" i="1" s="1"/>
  <c r="L138" i="1"/>
  <c r="M138" i="1" s="1"/>
  <c r="L409" i="1"/>
  <c r="M409" i="1" s="1"/>
  <c r="L83" i="1"/>
  <c r="M83" i="1" s="1"/>
  <c r="K282" i="1"/>
  <c r="L282" i="1" s="1"/>
  <c r="L141" i="1"/>
  <c r="M141" i="1" s="1"/>
  <c r="L177" i="1"/>
  <c r="M177" i="1" s="1"/>
  <c r="L405" i="1"/>
  <c r="M405" i="1" s="1"/>
  <c r="L135" i="1"/>
  <c r="M135" i="1" s="1"/>
  <c r="L391" i="1"/>
  <c r="M391" i="1" s="1"/>
  <c r="L246" i="1"/>
  <c r="M246" i="1" s="1"/>
  <c r="L79" i="1"/>
  <c r="M79" i="1" s="1"/>
  <c r="L443" i="1"/>
  <c r="M443" i="1" s="1"/>
  <c r="L238" i="1"/>
  <c r="M238" i="1" s="1"/>
  <c r="L122" i="1"/>
  <c r="M122" i="1" s="1"/>
  <c r="L459" i="1"/>
  <c r="M459" i="1" s="1"/>
  <c r="K336" i="1"/>
  <c r="K344" i="1" s="1"/>
  <c r="L445" i="1"/>
  <c r="M445" i="1" s="1"/>
  <c r="L301" i="1"/>
  <c r="M301" i="1" s="1"/>
  <c r="H128" i="1"/>
  <c r="H398" i="1"/>
  <c r="H452" i="1"/>
  <c r="K182" i="1"/>
  <c r="L174" i="1"/>
  <c r="H32" i="1" s="1"/>
  <c r="K120" i="1"/>
  <c r="L117" i="1"/>
  <c r="M117" i="1" s="1"/>
  <c r="L140" i="1"/>
  <c r="M140" i="1" s="1"/>
  <c r="L137" i="1"/>
  <c r="M137" i="1" s="1"/>
  <c r="L303" i="1"/>
  <c r="M303" i="1" s="1"/>
  <c r="L85" i="1"/>
  <c r="M85" i="1" s="1"/>
  <c r="L240" i="1"/>
  <c r="M240" i="1" s="1"/>
  <c r="L171" i="1"/>
  <c r="M171" i="1" s="1"/>
  <c r="L121" i="1"/>
  <c r="M121" i="1" s="1"/>
  <c r="L292" i="1"/>
  <c r="M292" i="1" s="1"/>
  <c r="L279" i="1"/>
  <c r="M279" i="1" s="1"/>
  <c r="L63" i="1"/>
  <c r="M63" i="1" s="1"/>
  <c r="L76" i="1"/>
  <c r="M76" i="1" s="1"/>
  <c r="L403" i="1"/>
  <c r="M403" i="1" s="1"/>
  <c r="L70" i="1"/>
  <c r="M70" i="1" s="1"/>
  <c r="L356" i="1"/>
  <c r="M356" i="1" s="1"/>
  <c r="L354" i="1"/>
  <c r="M354" i="1" s="1"/>
  <c r="L345" i="1"/>
  <c r="M345" i="1" s="1"/>
  <c r="L231" i="1"/>
  <c r="M231" i="1" s="1"/>
  <c r="L227" i="1"/>
  <c r="M227" i="1" s="1"/>
  <c r="L232" i="1"/>
  <c r="M232" i="1" s="1"/>
  <c r="L408" i="1"/>
  <c r="M408" i="1" s="1"/>
  <c r="L285" i="1"/>
  <c r="M285" i="1" s="1"/>
  <c r="L294" i="1"/>
  <c r="M294" i="1" s="1"/>
  <c r="L195" i="1"/>
  <c r="M195" i="1" s="1"/>
  <c r="L394" i="1"/>
  <c r="M394" i="1" s="1"/>
  <c r="L407" i="1"/>
  <c r="M407" i="1" s="1"/>
  <c r="L65" i="1"/>
  <c r="M65" i="1" s="1"/>
  <c r="L348" i="1"/>
  <c r="M348" i="1" s="1"/>
  <c r="L249" i="1"/>
  <c r="M249" i="1" s="1"/>
  <c r="H182" i="1"/>
  <c r="M174" i="1"/>
  <c r="I32" i="1" s="1"/>
  <c r="L410" i="1"/>
  <c r="M410" i="1" s="1"/>
  <c r="L78" i="1"/>
  <c r="M78" i="1" s="1"/>
  <c r="L133" i="1"/>
  <c r="M133" i="1" s="1"/>
  <c r="L295" i="1"/>
  <c r="M295" i="1" s="1"/>
  <c r="K74" i="1"/>
  <c r="L389" i="1"/>
  <c r="M389" i="1" s="1"/>
  <c r="L86" i="1"/>
  <c r="M86" i="1" s="1"/>
  <c r="K444" i="1"/>
  <c r="L186" i="1"/>
  <c r="M186" i="1" s="1"/>
  <c r="L233" i="1"/>
  <c r="M233" i="1" s="1"/>
  <c r="K243" i="1"/>
  <c r="L243" i="1" s="1"/>
  <c r="M243" i="1" s="1"/>
  <c r="L284" i="1"/>
  <c r="M284" i="1" s="1"/>
  <c r="L291" i="1"/>
  <c r="M291" i="1" s="1"/>
  <c r="L299" i="1"/>
  <c r="M299" i="1" s="1"/>
  <c r="L67" i="1"/>
  <c r="M67" i="1" s="1"/>
  <c r="L87" i="1"/>
  <c r="M87" i="1" s="1"/>
  <c r="H236" i="1"/>
  <c r="L402" i="1"/>
  <c r="M402" i="1" s="1"/>
  <c r="L351" i="1"/>
  <c r="M351" i="1" s="1"/>
  <c r="L390" i="1"/>
  <c r="K398" i="1"/>
  <c r="L346" i="1"/>
  <c r="M346" i="1" s="1"/>
  <c r="L73" i="1"/>
  <c r="M73" i="1" s="1"/>
  <c r="L132" i="1"/>
  <c r="M132" i="1" s="1"/>
  <c r="L123" i="1"/>
  <c r="M123" i="1" s="1"/>
  <c r="L283" i="1"/>
  <c r="M283" i="1" s="1"/>
  <c r="L302" i="1"/>
  <c r="M302" i="1" s="1"/>
  <c r="H66" i="1"/>
  <c r="L248" i="1"/>
  <c r="M248" i="1" s="1"/>
  <c r="H290" i="1"/>
  <c r="L71" i="1"/>
  <c r="M71" i="1" s="1"/>
  <c r="L411" i="1"/>
  <c r="M411" i="1" s="1"/>
  <c r="L194" i="1"/>
  <c r="M194" i="1" s="1"/>
  <c r="K228" i="1"/>
  <c r="K27" i="4" l="1"/>
  <c r="L27" i="4" s="1"/>
  <c r="N27" i="4" s="1"/>
  <c r="O27" i="4" s="1"/>
  <c r="L26" i="4"/>
  <c r="N26" i="4" s="1"/>
  <c r="O26" i="4" s="1"/>
  <c r="K31" i="4"/>
  <c r="L31" i="4" s="1"/>
  <c r="N31" i="4" s="1"/>
  <c r="H25" i="4"/>
  <c r="N16" i="4"/>
  <c r="O16" i="4" s="1"/>
  <c r="L22" i="4"/>
  <c r="K290" i="1"/>
  <c r="H34" i="1"/>
  <c r="M282" i="1"/>
  <c r="I34" i="1" s="1"/>
  <c r="L336" i="1"/>
  <c r="H35" i="1" s="1"/>
  <c r="M390" i="1"/>
  <c r="I36" i="1" s="1"/>
  <c r="H36" i="1"/>
  <c r="L228" i="1"/>
  <c r="K236" i="1"/>
  <c r="K293" i="1"/>
  <c r="L290" i="1"/>
  <c r="H74" i="1"/>
  <c r="L74" i="1" s="1"/>
  <c r="J30" i="1" s="1"/>
  <c r="K128" i="1"/>
  <c r="L120" i="1"/>
  <c r="K77" i="1"/>
  <c r="H455" i="1"/>
  <c r="L66" i="1"/>
  <c r="H30" i="1" s="1"/>
  <c r="H185" i="1"/>
  <c r="K185" i="1"/>
  <c r="L182" i="1"/>
  <c r="H401" i="1"/>
  <c r="H347" i="1"/>
  <c r="K452" i="1"/>
  <c r="L444" i="1"/>
  <c r="H239" i="1"/>
  <c r="H293" i="1"/>
  <c r="L398" i="1"/>
  <c r="J36" i="1" s="1"/>
  <c r="K401" i="1"/>
  <c r="K347" i="1"/>
  <c r="L344" i="1"/>
  <c r="H131" i="1"/>
  <c r="H36" i="4" l="1"/>
  <c r="L25" i="4"/>
  <c r="N22" i="4"/>
  <c r="O22" i="4" s="1"/>
  <c r="M398" i="1"/>
  <c r="K36" i="1" s="1"/>
  <c r="M66" i="1"/>
  <c r="I30" i="1" s="1"/>
  <c r="M336" i="1"/>
  <c r="I35" i="1" s="1"/>
  <c r="M444" i="1"/>
  <c r="I37" i="1" s="1"/>
  <c r="H37" i="1"/>
  <c r="M290" i="1"/>
  <c r="K34" i="1" s="1"/>
  <c r="J34" i="1"/>
  <c r="M344" i="1"/>
  <c r="K35" i="1" s="1"/>
  <c r="J35" i="1"/>
  <c r="M228" i="1"/>
  <c r="I33" i="1" s="1"/>
  <c r="H33" i="1"/>
  <c r="M182" i="1"/>
  <c r="K32" i="1" s="1"/>
  <c r="J32" i="1"/>
  <c r="M120" i="1"/>
  <c r="I31" i="1" s="1"/>
  <c r="H31" i="1"/>
  <c r="H418" i="1"/>
  <c r="H413" i="1"/>
  <c r="H423" i="1"/>
  <c r="K131" i="1"/>
  <c r="L128" i="1"/>
  <c r="H153" i="1"/>
  <c r="H148" i="1"/>
  <c r="H143" i="1"/>
  <c r="H315" i="1"/>
  <c r="H305" i="1"/>
  <c r="H310" i="1"/>
  <c r="L347" i="1"/>
  <c r="M347" i="1" s="1"/>
  <c r="K359" i="1"/>
  <c r="K369" i="1"/>
  <c r="K364" i="1"/>
  <c r="H207" i="1"/>
  <c r="H202" i="1"/>
  <c r="H197" i="1"/>
  <c r="L293" i="1"/>
  <c r="M293" i="1" s="1"/>
  <c r="K315" i="1"/>
  <c r="K305" i="1"/>
  <c r="K310" i="1"/>
  <c r="H256" i="1"/>
  <c r="H251" i="1"/>
  <c r="H261" i="1"/>
  <c r="M74" i="1"/>
  <c r="K30" i="1" s="1"/>
  <c r="H77" i="1"/>
  <c r="L77" i="1" s="1"/>
  <c r="L185" i="1"/>
  <c r="M185" i="1" s="1"/>
  <c r="K207" i="1"/>
  <c r="K202" i="1"/>
  <c r="K197" i="1"/>
  <c r="L401" i="1"/>
  <c r="M401" i="1" s="1"/>
  <c r="K423" i="1"/>
  <c r="K413" i="1"/>
  <c r="K418" i="1"/>
  <c r="L452" i="1"/>
  <c r="K455" i="1"/>
  <c r="K89" i="1"/>
  <c r="K94" i="1"/>
  <c r="K99" i="1"/>
  <c r="L236" i="1"/>
  <c r="K239" i="1"/>
  <c r="H467" i="1"/>
  <c r="H359" i="1"/>
  <c r="H364" i="1"/>
  <c r="H369" i="1"/>
  <c r="H39" i="4" l="1"/>
  <c r="H37" i="4"/>
  <c r="L36" i="4"/>
  <c r="N25" i="4"/>
  <c r="O25" i="4" s="1"/>
  <c r="M452" i="1"/>
  <c r="K37" i="1" s="1"/>
  <c r="J37" i="1"/>
  <c r="M236" i="1"/>
  <c r="K33" i="1" s="1"/>
  <c r="J33" i="1"/>
  <c r="M128" i="1"/>
  <c r="K31" i="1" s="1"/>
  <c r="J31" i="1"/>
  <c r="L455" i="1"/>
  <c r="M455" i="1" s="1"/>
  <c r="K467" i="1"/>
  <c r="L418" i="1"/>
  <c r="K419" i="1"/>
  <c r="K421" i="1" s="1"/>
  <c r="H468" i="1"/>
  <c r="H470" i="1" s="1"/>
  <c r="K91" i="1"/>
  <c r="K90" i="1"/>
  <c r="L197" i="1"/>
  <c r="M197" i="1" s="1"/>
  <c r="K198" i="1"/>
  <c r="K200" i="1" s="1"/>
  <c r="H257" i="1"/>
  <c r="H259" i="1" s="1"/>
  <c r="H208" i="1"/>
  <c r="H210" i="1" s="1"/>
  <c r="H316" i="1"/>
  <c r="H154" i="1"/>
  <c r="H156" i="1" s="1"/>
  <c r="L207" i="1"/>
  <c r="K208" i="1"/>
  <c r="K210" i="1" s="1"/>
  <c r="L364" i="1"/>
  <c r="K365" i="1"/>
  <c r="K367" i="1" s="1"/>
  <c r="K306" i="1"/>
  <c r="L305" i="1"/>
  <c r="M305" i="1" s="1"/>
  <c r="L131" i="1"/>
  <c r="M131" i="1" s="1"/>
  <c r="K153" i="1"/>
  <c r="K148" i="1"/>
  <c r="K143" i="1"/>
  <c r="H365" i="1"/>
  <c r="H367" i="1" s="1"/>
  <c r="M77" i="1"/>
  <c r="H94" i="1"/>
  <c r="L94" i="1" s="1"/>
  <c r="H99" i="1"/>
  <c r="L99" i="1" s="1"/>
  <c r="H89" i="1"/>
  <c r="L89" i="1" s="1"/>
  <c r="L30" i="1" s="1"/>
  <c r="H424" i="1"/>
  <c r="H426" i="1" s="1"/>
  <c r="H360" i="1"/>
  <c r="H362" i="1" s="1"/>
  <c r="L413" i="1"/>
  <c r="K414" i="1"/>
  <c r="M413" i="1"/>
  <c r="H414" i="1"/>
  <c r="H416" i="1" s="1"/>
  <c r="L310" i="1"/>
  <c r="L34" i="1" s="1"/>
  <c r="K311" i="1"/>
  <c r="K313" i="1" s="1"/>
  <c r="K370" i="1"/>
  <c r="L369" i="1"/>
  <c r="L239" i="1"/>
  <c r="M239" i="1" s="1"/>
  <c r="K256" i="1"/>
  <c r="K261" i="1"/>
  <c r="K251" i="1"/>
  <c r="K360" i="1"/>
  <c r="K362" i="1" s="1"/>
  <c r="L359" i="1"/>
  <c r="M359" i="1" s="1"/>
  <c r="K100" i="1"/>
  <c r="K102" i="1" s="1"/>
  <c r="L423" i="1"/>
  <c r="K424" i="1"/>
  <c r="H262" i="1"/>
  <c r="H198" i="1"/>
  <c r="H311" i="1"/>
  <c r="H313" i="1" s="1"/>
  <c r="H145" i="1"/>
  <c r="H144" i="1"/>
  <c r="H419" i="1"/>
  <c r="K203" i="1"/>
  <c r="K205" i="1" s="1"/>
  <c r="L202" i="1"/>
  <c r="H370" i="1"/>
  <c r="H372" i="1" s="1"/>
  <c r="L315" i="1"/>
  <c r="K316" i="1"/>
  <c r="K95" i="1"/>
  <c r="H252" i="1"/>
  <c r="H254" i="1" s="1"/>
  <c r="H203" i="1"/>
  <c r="H205" i="1" s="1"/>
  <c r="H306" i="1"/>
  <c r="H308" i="1" s="1"/>
  <c r="H149" i="1"/>
  <c r="H151" i="1" s="1"/>
  <c r="N36" i="4" l="1"/>
  <c r="O36" i="4" s="1"/>
  <c r="L39" i="4"/>
  <c r="N39" i="4" s="1"/>
  <c r="L37" i="4"/>
  <c r="N37" i="4" s="1"/>
  <c r="O37" i="4" s="1"/>
  <c r="L316" i="1"/>
  <c r="M418" i="1"/>
  <c r="M36" i="1" s="1"/>
  <c r="L36" i="1"/>
  <c r="M310" i="1"/>
  <c r="M34" i="1" s="1"/>
  <c r="M364" i="1"/>
  <c r="M35" i="1" s="1"/>
  <c r="L35" i="1"/>
  <c r="O39" i="4"/>
  <c r="H38" i="4"/>
  <c r="M202" i="1"/>
  <c r="M32" i="1" s="1"/>
  <c r="L32" i="1"/>
  <c r="H146" i="1"/>
  <c r="K92" i="1"/>
  <c r="L313" i="1"/>
  <c r="M315" i="1"/>
  <c r="M369" i="1"/>
  <c r="M423" i="1"/>
  <c r="M207" i="1"/>
  <c r="L370" i="1"/>
  <c r="M370" i="1" s="1"/>
  <c r="L424" i="1"/>
  <c r="M424" i="1" s="1"/>
  <c r="L210" i="1"/>
  <c r="L362" i="1"/>
  <c r="M362" i="1" s="1"/>
  <c r="L367" i="1"/>
  <c r="L203" i="1"/>
  <c r="M203" i="1" s="1"/>
  <c r="H95" i="1"/>
  <c r="L95" i="1" s="1"/>
  <c r="M94" i="1"/>
  <c r="L419" i="1"/>
  <c r="M419" i="1" s="1"/>
  <c r="L306" i="1"/>
  <c r="M306" i="1" s="1"/>
  <c r="H200" i="1"/>
  <c r="L200" i="1" s="1"/>
  <c r="K318" i="1"/>
  <c r="K252" i="1"/>
  <c r="L252" i="1" s="1"/>
  <c r="M252" i="1" s="1"/>
  <c r="L251" i="1"/>
  <c r="M251" i="1" s="1"/>
  <c r="L414" i="1"/>
  <c r="M414" i="1" s="1"/>
  <c r="L143" i="1"/>
  <c r="K145" i="1"/>
  <c r="L145" i="1" s="1"/>
  <c r="K144" i="1"/>
  <c r="L144" i="1" s="1"/>
  <c r="M144" i="1" s="1"/>
  <c r="L365" i="1"/>
  <c r="M365" i="1" s="1"/>
  <c r="K426" i="1"/>
  <c r="L426" i="1" s="1"/>
  <c r="K372" i="1"/>
  <c r="L372" i="1" s="1"/>
  <c r="M372" i="1" s="1"/>
  <c r="L360" i="1"/>
  <c r="M360" i="1" s="1"/>
  <c r="L205" i="1"/>
  <c r="K262" i="1"/>
  <c r="L262" i="1" s="1"/>
  <c r="M262" i="1" s="1"/>
  <c r="L261" i="1"/>
  <c r="K416" i="1"/>
  <c r="L416" i="1" s="1"/>
  <c r="M416" i="1" s="1"/>
  <c r="M89" i="1"/>
  <c r="M30" i="1" s="1"/>
  <c r="H91" i="1"/>
  <c r="L91" i="1" s="1"/>
  <c r="H90" i="1"/>
  <c r="L148" i="1"/>
  <c r="M148" i="1" s="1"/>
  <c r="K149" i="1"/>
  <c r="L149" i="1" s="1"/>
  <c r="M149" i="1" s="1"/>
  <c r="M316" i="1"/>
  <c r="L198" i="1"/>
  <c r="M198" i="1" s="1"/>
  <c r="L467" i="1"/>
  <c r="K468" i="1"/>
  <c r="L468" i="1" s="1"/>
  <c r="M468" i="1" s="1"/>
  <c r="H421" i="1"/>
  <c r="L421" i="1" s="1"/>
  <c r="N36" i="1" s="1"/>
  <c r="K97" i="1"/>
  <c r="K308" i="1"/>
  <c r="L308" i="1" s="1"/>
  <c r="M308" i="1" s="1"/>
  <c r="H264" i="1"/>
  <c r="K257" i="1"/>
  <c r="L257" i="1" s="1"/>
  <c r="M257" i="1" s="1"/>
  <c r="L256" i="1"/>
  <c r="L311" i="1"/>
  <c r="M311" i="1" s="1"/>
  <c r="M99" i="1"/>
  <c r="H100" i="1"/>
  <c r="K154" i="1"/>
  <c r="L154" i="1" s="1"/>
  <c r="M154" i="1" s="1"/>
  <c r="L153" i="1"/>
  <c r="M153" i="1" s="1"/>
  <c r="L208" i="1"/>
  <c r="M208" i="1" s="1"/>
  <c r="H318" i="1"/>
  <c r="M256" i="1" l="1"/>
  <c r="M33" i="1" s="1"/>
  <c r="L33" i="1"/>
  <c r="M143" i="1"/>
  <c r="M31" i="1" s="1"/>
  <c r="L31" i="1"/>
  <c r="M205" i="1"/>
  <c r="O32" i="1" s="1"/>
  <c r="N32" i="1"/>
  <c r="H92" i="1"/>
  <c r="H40" i="4"/>
  <c r="M367" i="1"/>
  <c r="O35" i="1" s="1"/>
  <c r="N35" i="1"/>
  <c r="M313" i="1"/>
  <c r="O34" i="1" s="1"/>
  <c r="N34" i="1"/>
  <c r="L38" i="4"/>
  <c r="K151" i="1"/>
  <c r="L151" i="1" s="1"/>
  <c r="M151" i="1" s="1"/>
  <c r="M426" i="1"/>
  <c r="K264" i="1"/>
  <c r="L264" i="1" s="1"/>
  <c r="K156" i="1"/>
  <c r="L156" i="1" s="1"/>
  <c r="M261" i="1"/>
  <c r="M467" i="1"/>
  <c r="M37" i="1" s="1"/>
  <c r="L37" i="1"/>
  <c r="M210" i="1"/>
  <c r="L318" i="1"/>
  <c r="L92" i="1"/>
  <c r="K259" i="1"/>
  <c r="L259" i="1" s="1"/>
  <c r="L90" i="1"/>
  <c r="M90" i="1" s="1"/>
  <c r="H102" i="1"/>
  <c r="K254" i="1"/>
  <c r="L254" i="1" s="1"/>
  <c r="M254" i="1" s="1"/>
  <c r="M95" i="1"/>
  <c r="K146" i="1"/>
  <c r="L146" i="1" s="1"/>
  <c r="L100" i="1"/>
  <c r="M100" i="1" s="1"/>
  <c r="K470" i="1"/>
  <c r="L470" i="1" s="1"/>
  <c r="M421" i="1"/>
  <c r="O36" i="1" s="1"/>
  <c r="M200" i="1"/>
  <c r="H97" i="1"/>
  <c r="L97" i="1" s="1"/>
  <c r="M259" i="1" l="1"/>
  <c r="O33" i="1" s="1"/>
  <c r="N33" i="1"/>
  <c r="O40" i="4"/>
  <c r="M92" i="1"/>
  <c r="O30" i="1" s="1"/>
  <c r="N30" i="1"/>
  <c r="M146" i="1"/>
  <c r="O31" i="1" s="1"/>
  <c r="N31" i="1"/>
  <c r="N38" i="4"/>
  <c r="O38" i="4" s="1"/>
  <c r="L40" i="4"/>
  <c r="N40" i="4" s="1"/>
  <c r="M318" i="1"/>
  <c r="M264" i="1"/>
  <c r="M470" i="1"/>
  <c r="O37" i="1" s="1"/>
  <c r="N37" i="1"/>
  <c r="M156" i="1"/>
  <c r="M97" i="1"/>
  <c r="L102" i="1"/>
  <c r="M102" i="1" l="1"/>
</calcChain>
</file>

<file path=xl/comments1.xml><?xml version="1.0" encoding="utf-8"?>
<comments xmlns="http://schemas.openxmlformats.org/spreadsheetml/2006/main">
  <authors>
    <author>Marc Abramovitz</author>
  </authors>
  <commentList>
    <comment ref="B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</commentList>
</comments>
</file>

<file path=xl/sharedStrings.xml><?xml version="1.0" encoding="utf-8"?>
<sst xmlns="http://schemas.openxmlformats.org/spreadsheetml/2006/main" count="647" uniqueCount="113">
  <si>
    <t>RATE CLASSES / CATEGORIES 
(eg: Residential TOU, Residential Retailer)</t>
  </si>
  <si>
    <t>Table 1</t>
  </si>
  <si>
    <t>Units</t>
  </si>
  <si>
    <t>RPP?
Non-RPP Retailer?
Non-RPP
Other?</t>
  </si>
  <si>
    <t>Current 
Loss Factor 
(eg: 1.0351)</t>
  </si>
  <si>
    <t>Proposed Loss Factor</t>
  </si>
  <si>
    <t>Consumption (kWh)</t>
  </si>
  <si>
    <t>Demand kW
(if applicable)</t>
  </si>
  <si>
    <t>RTSR
Demand or 
Demand-Interval?</t>
  </si>
  <si>
    <t>Billing Determinant Applied to Fixed Charge for Unmetered Classes (e.g. # of devices/connections).</t>
  </si>
  <si>
    <t>RESIDENTIAL SERVICE CLASSIFICATION</t>
  </si>
  <si>
    <t>GENERAL SERVICE LESS THAN 50 kW SERVICE CLASSIFICATION</t>
  </si>
  <si>
    <t>GENERAL SERVICE 50 TO 4,999 KW SERVICE CLASSIFICATION</t>
  </si>
  <si>
    <t>GENERAL SERVICE 1,000 TO 4,999 KW (CO-GENERATION) SERVICE CLASSIFICATION</t>
  </si>
  <si>
    <t>STANDBY POWER SERVICE CLASSIFICATION</t>
  </si>
  <si>
    <t>LARGE USE SERVICE CLASSIFICATION</t>
  </si>
  <si>
    <t>STREET LIGHTING SERVICE CLASSIFICATION</t>
  </si>
  <si>
    <t>SENTINEL LIGHTING SERVICE CLASSIFICATION</t>
  </si>
  <si>
    <t>UNMETERED SCATTERED LOAD SERVICE CLASSIFICATION</t>
  </si>
  <si>
    <t>kWh</t>
  </si>
  <si>
    <t>RPP</t>
  </si>
  <si>
    <t>kW</t>
  </si>
  <si>
    <t>Non-RPP (Other)</t>
  </si>
  <si>
    <t>DEMAND - INTERVAL</t>
  </si>
  <si>
    <t>DEMAND</t>
  </si>
  <si>
    <t>Bill Impacts</t>
  </si>
  <si>
    <t>RESIDENTIAL SERVICE CLASSIFICATION - RPP</t>
  </si>
  <si>
    <t>GENERAL SERVICE LESS THAN 50 kW SERVICE CLASSIFICATION - RPP</t>
  </si>
  <si>
    <t>GENERAL SERVICE 50 TO 4,999 KW SERVICE CLASSIFICATION - Non-RPP (Other)</t>
  </si>
  <si>
    <t>GENERAL SERVICE 1,000 TO 4,999 KW (CO-GENERATION) SERVICE CLASSIFICATION - Non-RPP (Other)</t>
  </si>
  <si>
    <t>LARGE USE SERVICE CLASSIFICATION - Non-RPP (Other)</t>
  </si>
  <si>
    <t>STREET LIGHTING SERVICE CLASSIFICATION - Non-RPP (Other)</t>
  </si>
  <si>
    <t>SENTINEL LIGHTING SERVICE CLASSIFICATION - Non-RPP (Other)</t>
  </si>
  <si>
    <t>UNMETERED SCATTERED LOAD SERVICE CLASSIFICATION - RPP</t>
  </si>
  <si>
    <t>Sub-Total</t>
  </si>
  <si>
    <t>Total</t>
  </si>
  <si>
    <t>A</t>
  </si>
  <si>
    <t>B</t>
  </si>
  <si>
    <t>C</t>
  </si>
  <si>
    <t>A + B + C</t>
  </si>
  <si>
    <t>$</t>
  </si>
  <si>
    <t>%</t>
  </si>
  <si>
    <t>Customer Class:</t>
  </si>
  <si>
    <t>RPP / Non-RPP:</t>
  </si>
  <si>
    <t>Consumption</t>
  </si>
  <si>
    <t>Demand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</si>
  <si>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</si>
  <si>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</si>
  <si>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</si>
  <si>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</si>
  <si>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</si>
  <si>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</si>
  <si>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</si>
  <si>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</si>
  <si>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</si>
  <si>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</si>
  <si>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</si>
  <si>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</si>
  <si>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</si>
  <si>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</si>
  <si>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</si>
  <si>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</si>
  <si>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</si>
  <si>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</si>
  <si>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</si>
  <si>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</si>
  <si>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</si>
  <si>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</si>
  <si>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</si>
  <si>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</si>
  <si>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</si>
  <si>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</si>
  <si>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</si>
  <si>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</si>
  <si>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</si>
  <si>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</si>
  <si>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</si>
  <si>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</si>
  <si>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</si>
  <si>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</si>
  <si>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</si>
  <si>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</si>
  <si>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</si>
  <si>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</si>
  <si>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</si>
  <si>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8% Rebate</t>
  </si>
  <si>
    <t>Total Bill on TOU</t>
  </si>
  <si>
    <t>Total Bill on Non-RPP Avg. Price</t>
  </si>
  <si>
    <t>Total Bill on Average IESO Wholesale Market Price</t>
  </si>
  <si>
    <t/>
  </si>
  <si>
    <r>
      <t xml:space="preserve">Residential  - </t>
    </r>
    <r>
      <rPr>
        <b/>
        <i/>
        <sz val="12"/>
        <rFont val="Arial"/>
        <family val="2"/>
      </rPr>
      <t xml:space="preserve">at the 10th percentile </t>
    </r>
  </si>
  <si>
    <t xml:space="preserve"> kWh</t>
  </si>
  <si>
    <t>Current Board-Approved</t>
  </si>
  <si>
    <t>Charge Unit</t>
  </si>
  <si>
    <t>Monthly</t>
  </si>
  <si>
    <t>per kWh</t>
  </si>
  <si>
    <t>Tax Change Fixed Rate Rider</t>
  </si>
  <si>
    <t>ACM Fixed Rate Rider</t>
  </si>
  <si>
    <t>Rate Rider for Smart Metering Entity Charge</t>
  </si>
  <si>
    <t>Deferral/Variance Account Disposition Rate Rider 1 (2016)</t>
  </si>
  <si>
    <t>Deferral/Variance Account Disposition Rate Rider 2 Non-WMP only (2016)</t>
  </si>
  <si>
    <t>CBR Rate Rider</t>
  </si>
  <si>
    <t>RTSR - Line and Transformation Connection</t>
  </si>
  <si>
    <t>Capacity Based Recovery Charge</t>
  </si>
  <si>
    <r>
      <t>Debt Retirement Charge (DRC)</t>
    </r>
    <r>
      <rPr>
        <vertAlign val="superscript"/>
        <sz val="10"/>
        <rFont val="Arial"/>
        <family val="2"/>
      </rPr>
      <t>2</t>
    </r>
  </si>
  <si>
    <t>OESP</t>
  </si>
  <si>
    <r>
      <t xml:space="preserve">Total Bill </t>
    </r>
    <r>
      <rPr>
        <sz val="10"/>
        <rFont val="Arial"/>
        <family val="2"/>
      </rPr>
      <t>(including HST)</t>
    </r>
  </si>
  <si>
    <t>Total Bill on TOU (including OCEB)</t>
  </si>
  <si>
    <t>Loss Factor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</si>
  <si>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  Program is discountinued effective January 1, 2016.</t>
    </r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</si>
  <si>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0"/>
        <color theme="1"/>
        <rFont val="Arial"/>
        <family val="2"/>
      </rPr>
      <t>Effective January 1, 2016, all electricity users with a residential rate class account will be exempt from the DRC.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</si>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</sst>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-* #,##0_-;\-* #,##0_-;_-* &quot;-&quot;??_-;_-@_-"/>
    <numFmt numFmtId="166" formatCode="0.0%"/>
    <numFmt numFmtId="167" formatCode="_-&quot;$&quot;* #,##0.0000_-;\-&quot;$&quot;* #,##0.0000_-;_-&quot;$&quot;* &quot;-&quot;??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&quot;$&quot;* #,##0.00000_-;\-&quot;$&quot;* #,##0.00000_-;_-&quot;$&quot;* &quot;-&quot;??_-;_-@_-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/>
      <name val="Algerian"/>
      <family val="5"/>
    </font>
    <font>
      <sz val="14"/>
      <color theme="0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sz val="8"/>
      <color rgb="FF000000"/>
      <name val="Tahoma"/>
      <family val="2"/>
    </font>
    <font>
      <b/>
      <i/>
      <sz val="12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0"/>
      <color indexed="81"/>
      <name val="Arial"/>
      <family val="2"/>
    </font>
    <font>
      <sz val="16"/>
      <color indexed="12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2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2" fillId="0" borderId="0"/>
    <xf numFmtId="172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3" fontId="2" fillId="0" borderId="0"/>
    <xf numFmtId="174" fontId="2" fillId="0" borderId="0"/>
    <xf numFmtId="173" fontId="2" fillId="0" borderId="0"/>
    <xf numFmtId="43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9" fillId="17" borderId="0" applyNumberFormat="0" applyBorder="0" applyAlignment="0" applyProtection="0"/>
    <xf numFmtId="10" fontId="9" fillId="18" borderId="1" applyNumberFormat="0" applyBorder="0" applyAlignment="0" applyProtection="0"/>
    <xf numFmtId="175" fontId="2" fillId="0" borderId="0"/>
    <xf numFmtId="176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7" fontId="2" fillId="0" borderId="0"/>
    <xf numFmtId="10" fontId="2" fillId="0" borderId="0" applyFont="0" applyFill="0" applyBorder="0" applyAlignment="0" applyProtection="0"/>
  </cellStyleXfs>
  <cellXfs count="326">
    <xf numFmtId="0" fontId="0" fillId="0" borderId="0" xfId="0"/>
    <xf numFmtId="0" fontId="3" fillId="2" borderId="0" xfId="2" applyFont="1" applyFill="1" applyAlignment="1" applyProtection="1">
      <alignment vertical="top" wrapText="1"/>
    </xf>
    <xf numFmtId="0" fontId="4" fillId="2" borderId="0" xfId="2" applyFont="1" applyFill="1" applyBorder="1" applyAlignment="1" applyProtection="1"/>
    <xf numFmtId="0" fontId="6" fillId="2" borderId="0" xfId="2" applyFont="1" applyFill="1" applyBorder="1" applyProtection="1"/>
    <xf numFmtId="0" fontId="6" fillId="0" borderId="0" xfId="2" applyFont="1" applyProtection="1"/>
    <xf numFmtId="0" fontId="6" fillId="3" borderId="1" xfId="2" applyFont="1" applyFill="1" applyBorder="1" applyProtection="1"/>
    <xf numFmtId="0" fontId="6" fillId="4" borderId="0" xfId="2" applyFont="1" applyFill="1" applyProtection="1"/>
    <xf numFmtId="0" fontId="6" fillId="5" borderId="0" xfId="2" applyFont="1" applyFill="1" applyProtection="1">
      <protection locked="0"/>
    </xf>
    <xf numFmtId="0" fontId="2" fillId="0" borderId="0" xfId="2" applyProtection="1">
      <protection locked="0"/>
    </xf>
    <xf numFmtId="0" fontId="6" fillId="4" borderId="0" xfId="2" applyFont="1" applyFill="1" applyProtection="1">
      <protection locked="0"/>
    </xf>
    <xf numFmtId="0" fontId="6" fillId="0" borderId="0" xfId="2" applyFont="1" applyProtection="1">
      <protection locked="0"/>
    </xf>
    <xf numFmtId="0" fontId="7" fillId="2" borderId="0" xfId="2" applyFont="1" applyFill="1" applyAlignment="1" applyProtection="1">
      <alignment vertical="top" wrapText="1"/>
    </xf>
    <xf numFmtId="0" fontId="8" fillId="0" borderId="0" xfId="2" applyFont="1" applyProtection="1"/>
    <xf numFmtId="0" fontId="9" fillId="0" borderId="0" xfId="2" applyFont="1" applyAlignment="1" applyProtection="1">
      <alignment horizontal="right" vertical="top"/>
    </xf>
    <xf numFmtId="0" fontId="2" fillId="2" borderId="0" xfId="2" applyFill="1" applyBorder="1" applyProtection="1"/>
    <xf numFmtId="0" fontId="5" fillId="2" borderId="0" xfId="2" applyFont="1" applyFill="1" applyBorder="1" applyAlignment="1" applyProtection="1"/>
    <xf numFmtId="0" fontId="2" fillId="0" borderId="0" xfId="2" applyProtection="1"/>
    <xf numFmtId="0" fontId="10" fillId="0" borderId="0" xfId="2" applyFont="1" applyProtection="1"/>
    <xf numFmtId="0" fontId="8" fillId="0" borderId="1" xfId="2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</xf>
    <xf numFmtId="0" fontId="8" fillId="6" borderId="1" xfId="2" applyFont="1" applyFill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wrapText="1"/>
    </xf>
    <xf numFmtId="0" fontId="12" fillId="4" borderId="2" xfId="2" applyFont="1" applyFill="1" applyBorder="1" applyAlignment="1" applyProtection="1">
      <alignment vertical="top"/>
      <protection locked="0"/>
    </xf>
    <xf numFmtId="0" fontId="2" fillId="4" borderId="3" xfId="2" applyFont="1" applyFill="1" applyBorder="1" applyAlignment="1" applyProtection="1">
      <alignment vertical="top"/>
      <protection locked="0"/>
    </xf>
    <xf numFmtId="0" fontId="2" fillId="4" borderId="4" xfId="2" applyFont="1" applyFill="1" applyBorder="1" applyAlignment="1" applyProtection="1">
      <alignment vertical="top"/>
      <protection locked="0"/>
    </xf>
    <xf numFmtId="0" fontId="8" fillId="4" borderId="1" xfId="2" applyFont="1" applyFill="1" applyBorder="1" applyAlignment="1" applyProtection="1">
      <alignment horizontal="center" vertical="center"/>
      <protection locked="0"/>
    </xf>
    <xf numFmtId="0" fontId="2" fillId="7" borderId="1" xfId="2" applyFill="1" applyBorder="1" applyAlignment="1" applyProtection="1">
      <alignment horizontal="center" vertical="center"/>
      <protection locked="0"/>
    </xf>
    <xf numFmtId="164" fontId="2" fillId="8" borderId="1" xfId="2" applyNumberFormat="1" applyFill="1" applyBorder="1" applyAlignment="1" applyProtection="1">
      <alignment horizontal="center" vertical="center"/>
      <protection locked="0"/>
    </xf>
    <xf numFmtId="0" fontId="2" fillId="4" borderId="1" xfId="2" applyFill="1" applyBorder="1" applyAlignment="1" applyProtection="1">
      <alignment horizontal="center" vertical="center"/>
    </xf>
    <xf numFmtId="165" fontId="0" fillId="0" borderId="1" xfId="3" applyNumberFormat="1" applyFont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Protection="1">
      <protection locked="0"/>
    </xf>
    <xf numFmtId="3" fontId="0" fillId="9" borderId="1" xfId="0" applyNumberFormat="1" applyFill="1" applyBorder="1" applyProtection="1">
      <protection locked="0"/>
    </xf>
    <xf numFmtId="0" fontId="12" fillId="10" borderId="2" xfId="2" applyFont="1" applyFill="1" applyBorder="1" applyAlignment="1" applyProtection="1">
      <alignment vertical="top"/>
      <protection locked="0"/>
    </xf>
    <xf numFmtId="0" fontId="2" fillId="10" borderId="3" xfId="2" applyFont="1" applyFill="1" applyBorder="1" applyAlignment="1" applyProtection="1">
      <alignment vertical="top"/>
      <protection locked="0"/>
    </xf>
    <xf numFmtId="0" fontId="2" fillId="10" borderId="4" xfId="2" applyFont="1" applyFill="1" applyBorder="1" applyAlignment="1" applyProtection="1">
      <alignment vertical="top"/>
      <protection locked="0"/>
    </xf>
    <xf numFmtId="0" fontId="2" fillId="0" borderId="1" xfId="2" applyBorder="1" applyAlignment="1" applyProtection="1">
      <alignment horizontal="center" vertical="center"/>
    </xf>
    <xf numFmtId="44" fontId="0" fillId="0" borderId="1" xfId="4" applyFont="1" applyBorder="1" applyAlignment="1" applyProtection="1">
      <alignment horizontal="center" vertical="center"/>
    </xf>
    <xf numFmtId="166" fontId="0" fillId="0" borderId="1" xfId="5" applyNumberFormat="1" applyFont="1" applyBorder="1" applyAlignment="1" applyProtection="1">
      <alignment horizontal="center" vertical="center"/>
    </xf>
    <xf numFmtId="0" fontId="2" fillId="5" borderId="0" xfId="2" applyFill="1" applyProtection="1">
      <protection locked="0"/>
    </xf>
    <xf numFmtId="0" fontId="8" fillId="0" borderId="0" xfId="2" applyFont="1" applyAlignment="1" applyProtection="1">
      <alignment horizontal="right" vertical="center"/>
      <protection locked="0"/>
    </xf>
    <xf numFmtId="0" fontId="14" fillId="4" borderId="0" xfId="2" applyFont="1" applyFill="1" applyBorder="1" applyAlignment="1" applyProtection="1">
      <alignment vertical="top"/>
      <protection locked="0"/>
    </xf>
    <xf numFmtId="165" fontId="8" fillId="4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Protection="1">
      <protection locked="0"/>
    </xf>
    <xf numFmtId="0" fontId="2" fillId="0" borderId="0" xfId="2" applyFont="1" applyProtection="1">
      <protection locked="0"/>
    </xf>
    <xf numFmtId="0" fontId="10" fillId="4" borderId="0" xfId="2" applyFont="1" applyFill="1" applyAlignment="1" applyProtection="1">
      <alignment vertical="center"/>
      <protection locked="0"/>
    </xf>
    <xf numFmtId="0" fontId="8" fillId="0" borderId="0" xfId="2" applyFont="1" applyAlignment="1" applyProtection="1">
      <alignment horizontal="left"/>
      <protection locked="0"/>
    </xf>
    <xf numFmtId="0" fontId="8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164" fontId="8" fillId="4" borderId="1" xfId="5" applyNumberFormat="1" applyFont="1" applyFill="1" applyBorder="1" applyProtection="1">
      <protection locked="0"/>
    </xf>
    <xf numFmtId="0" fontId="8" fillId="0" borderId="0" xfId="2" applyFont="1" applyAlignment="1" applyProtection="1">
      <protection locked="0"/>
    </xf>
    <xf numFmtId="0" fontId="8" fillId="0" borderId="14" xfId="2" applyFont="1" applyBorder="1" applyAlignment="1" applyProtection="1">
      <alignment horizontal="center"/>
      <protection locked="0"/>
    </xf>
    <xf numFmtId="0" fontId="8" fillId="0" borderId="9" xfId="2" applyFont="1" applyBorder="1" applyAlignment="1" applyProtection="1">
      <alignment horizontal="center"/>
      <protection locked="0"/>
    </xf>
    <xf numFmtId="0" fontId="8" fillId="0" borderId="7" xfId="2" applyFont="1" applyBorder="1" applyAlignment="1" applyProtection="1">
      <alignment horizontal="center"/>
      <protection locked="0"/>
    </xf>
    <xf numFmtId="0" fontId="8" fillId="0" borderId="13" xfId="2" quotePrefix="1" applyFont="1" applyBorder="1" applyAlignment="1" applyProtection="1">
      <alignment horizontal="center"/>
      <protection locked="0"/>
    </xf>
    <xf numFmtId="0" fontId="8" fillId="0" borderId="12" xfId="2" quotePrefix="1" applyFont="1" applyBorder="1" applyAlignment="1" applyProtection="1">
      <alignment horizontal="center"/>
      <protection locked="0"/>
    </xf>
    <xf numFmtId="0" fontId="2" fillId="0" borderId="0" xfId="2" applyBorder="1" applyAlignment="1" applyProtection="1">
      <alignment vertical="top"/>
    </xf>
    <xf numFmtId="0" fontId="2" fillId="4" borderId="0" xfId="2" applyFill="1" applyAlignment="1" applyProtection="1">
      <alignment vertical="top"/>
      <protection locked="0"/>
    </xf>
    <xf numFmtId="44" fontId="8" fillId="4" borderId="15" xfId="4" applyNumberFormat="1" applyFont="1" applyFill="1" applyBorder="1" applyAlignment="1" applyProtection="1">
      <alignment horizontal="left" vertical="center"/>
      <protection locked="0"/>
    </xf>
    <xf numFmtId="0" fontId="2" fillId="0" borderId="15" xfId="2" applyFont="1" applyFill="1" applyBorder="1" applyAlignment="1" applyProtection="1">
      <alignment vertical="center"/>
      <protection locked="0"/>
    </xf>
    <xf numFmtId="44" fontId="15" fillId="0" borderId="9" xfId="4" applyFont="1" applyBorder="1" applyAlignment="1" applyProtection="1">
      <alignment vertical="center"/>
      <protection locked="0"/>
    </xf>
    <xf numFmtId="44" fontId="16" fillId="4" borderId="15" xfId="4" applyNumberFormat="1" applyFont="1" applyFill="1" applyBorder="1" applyAlignment="1" applyProtection="1">
      <alignment horizontal="left" vertical="center"/>
      <protection locked="0"/>
    </xf>
    <xf numFmtId="0" fontId="2" fillId="0" borderId="9" xfId="2" applyFont="1" applyFill="1" applyBorder="1" applyAlignment="1" applyProtection="1">
      <alignment vertical="center"/>
      <protection locked="0"/>
    </xf>
    <xf numFmtId="44" fontId="2" fillId="0" borderId="15" xfId="2" applyNumberFormat="1" applyFont="1" applyBorder="1" applyAlignment="1" applyProtection="1">
      <alignment vertical="center"/>
      <protection locked="0"/>
    </xf>
    <xf numFmtId="10" fontId="15" fillId="0" borderId="9" xfId="5" applyNumberFormat="1" applyFont="1" applyBorder="1" applyAlignment="1" applyProtection="1">
      <alignment vertical="center"/>
      <protection locked="0"/>
    </xf>
    <xf numFmtId="167" fontId="8" fillId="4" borderId="15" xfId="4" applyNumberFormat="1" applyFont="1" applyFill="1" applyBorder="1" applyAlignment="1" applyProtection="1">
      <alignment horizontal="left" vertical="center"/>
      <protection locked="0"/>
    </xf>
    <xf numFmtId="167" fontId="16" fillId="4" borderId="15" xfId="4" applyNumberFormat="1" applyFont="1" applyFill="1" applyBorder="1" applyAlignment="1" applyProtection="1">
      <alignment horizontal="left" vertical="center"/>
      <protection locked="0"/>
    </xf>
    <xf numFmtId="0" fontId="2" fillId="0" borderId="0" xfId="2" applyFill="1" applyBorder="1" applyAlignment="1" applyProtection="1">
      <alignment vertical="top"/>
    </xf>
    <xf numFmtId="0" fontId="8" fillId="13" borderId="2" xfId="2" applyFont="1" applyFill="1" applyBorder="1" applyAlignment="1" applyProtection="1">
      <alignment vertical="top"/>
      <protection locked="0"/>
    </xf>
    <xf numFmtId="0" fontId="2" fillId="13" borderId="3" xfId="2" applyFill="1" applyBorder="1" applyAlignment="1" applyProtection="1">
      <alignment vertical="top"/>
      <protection locked="0"/>
    </xf>
    <xf numFmtId="167" fontId="8" fillId="13" borderId="1" xfId="4" applyNumberFormat="1" applyFont="1" applyFill="1" applyBorder="1" applyAlignment="1" applyProtection="1">
      <alignment horizontal="left" vertical="center"/>
      <protection locked="0"/>
    </xf>
    <xf numFmtId="0" fontId="8" fillId="13" borderId="1" xfId="2" applyFont="1" applyFill="1" applyBorder="1" applyAlignment="1" applyProtection="1">
      <alignment vertical="center"/>
      <protection locked="0"/>
    </xf>
    <xf numFmtId="44" fontId="17" fillId="13" borderId="4" xfId="4" applyFont="1" applyFill="1" applyBorder="1" applyAlignment="1" applyProtection="1">
      <alignment vertical="center"/>
      <protection locked="0"/>
    </xf>
    <xf numFmtId="167" fontId="16" fillId="13" borderId="1" xfId="4" applyNumberFormat="1" applyFont="1" applyFill="1" applyBorder="1" applyAlignment="1" applyProtection="1">
      <alignment horizontal="left" vertical="center"/>
      <protection locked="0"/>
    </xf>
    <xf numFmtId="0" fontId="8" fillId="13" borderId="4" xfId="2" applyFont="1" applyFill="1" applyBorder="1" applyAlignment="1" applyProtection="1">
      <alignment vertical="center"/>
      <protection locked="0"/>
    </xf>
    <xf numFmtId="44" fontId="8" fillId="13" borderId="1" xfId="2" applyNumberFormat="1" applyFont="1" applyFill="1" applyBorder="1" applyAlignment="1" applyProtection="1">
      <alignment vertical="center"/>
      <protection locked="0"/>
    </xf>
    <xf numFmtId="10" fontId="8" fillId="13" borderId="4" xfId="5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top" wrapText="1"/>
    </xf>
    <xf numFmtId="165" fontId="2" fillId="3" borderId="15" xfId="3" applyNumberFormat="1" applyFont="1" applyFill="1" applyBorder="1" applyAlignment="1" applyProtection="1">
      <alignment vertical="center"/>
      <protection locked="0"/>
    </xf>
    <xf numFmtId="165" fontId="2" fillId="0" borderId="15" xfId="3" applyNumberFormat="1" applyFont="1" applyFill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top"/>
    </xf>
    <xf numFmtId="0" fontId="2" fillId="0" borderId="0" xfId="2" applyFont="1" applyAlignment="1" applyProtection="1">
      <alignment vertical="top" wrapText="1"/>
    </xf>
    <xf numFmtId="168" fontId="8" fillId="4" borderId="15" xfId="4" applyNumberFormat="1" applyFont="1" applyFill="1" applyBorder="1" applyAlignment="1" applyProtection="1">
      <alignment horizontal="left" vertical="center"/>
      <protection locked="0"/>
    </xf>
    <xf numFmtId="168" fontId="16" fillId="4" borderId="15" xfId="4" applyNumberFormat="1" applyFont="1" applyFill="1" applyBorder="1" applyAlignment="1" applyProtection="1">
      <alignment horizontal="left" vertical="center"/>
      <protection locked="0"/>
    </xf>
    <xf numFmtId="0" fontId="8" fillId="13" borderId="2" xfId="2" applyFont="1" applyFill="1" applyBorder="1" applyAlignment="1" applyProtection="1">
      <alignment vertical="top" wrapText="1"/>
      <protection locked="0"/>
    </xf>
    <xf numFmtId="0" fontId="2" fillId="13" borderId="3" xfId="2" applyFill="1" applyBorder="1" applyProtection="1">
      <protection locked="0"/>
    </xf>
    <xf numFmtId="0" fontId="8" fillId="13" borderId="1" xfId="2" applyFont="1" applyFill="1" applyBorder="1" applyAlignment="1" applyProtection="1">
      <alignment horizontal="left" vertical="center"/>
      <protection locked="0"/>
    </xf>
    <xf numFmtId="0" fontId="2" fillId="13" borderId="1" xfId="2" applyFont="1" applyFill="1" applyBorder="1" applyAlignment="1" applyProtection="1">
      <alignment vertical="center"/>
      <protection locked="0"/>
    </xf>
    <xf numFmtId="44" fontId="8" fillId="13" borderId="4" xfId="2" applyNumberFormat="1" applyFont="1" applyFill="1" applyBorder="1" applyAlignment="1" applyProtection="1">
      <alignment vertical="center"/>
      <protection locked="0"/>
    </xf>
    <xf numFmtId="0" fontId="16" fillId="13" borderId="1" xfId="2" applyFont="1" applyFill="1" applyBorder="1" applyAlignment="1" applyProtection="1">
      <alignment horizontal="left" vertical="center"/>
      <protection locked="0"/>
    </xf>
    <xf numFmtId="0" fontId="2" fillId="13" borderId="4" xfId="2" applyFont="1" applyFill="1" applyBorder="1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2" fillId="0" borderId="11" xfId="2" applyBorder="1" applyAlignment="1" applyProtection="1">
      <alignment vertical="center" wrapText="1"/>
    </xf>
    <xf numFmtId="0" fontId="2" fillId="0" borderId="0" xfId="2" applyAlignment="1" applyProtection="1">
      <alignment vertical="top" wrapText="1"/>
      <protection locked="0"/>
    </xf>
    <xf numFmtId="44" fontId="2" fillId="0" borderId="9" xfId="4" applyFont="1" applyBorder="1" applyAlignment="1" applyProtection="1">
      <alignment vertical="center"/>
      <protection locked="0"/>
    </xf>
    <xf numFmtId="0" fontId="2" fillId="0" borderId="0" xfId="2" applyAlignment="1" applyProtection="1">
      <alignment vertical="top"/>
      <protection locked="0"/>
    </xf>
    <xf numFmtId="167" fontId="8" fillId="14" borderId="15" xfId="4" applyNumberFormat="1" applyFont="1" applyFill="1" applyBorder="1" applyAlignment="1" applyProtection="1">
      <alignment horizontal="left" vertical="center"/>
      <protection locked="0"/>
    </xf>
    <xf numFmtId="165" fontId="2" fillId="14" borderId="15" xfId="3" applyNumberFormat="1" applyFont="1" applyFill="1" applyBorder="1" applyAlignment="1" applyProtection="1">
      <alignment vertical="center"/>
      <protection locked="0"/>
    </xf>
    <xf numFmtId="44" fontId="2" fillId="14" borderId="9" xfId="4" applyFont="1" applyFill="1" applyBorder="1" applyAlignment="1" applyProtection="1">
      <alignment vertical="center"/>
      <protection locked="0"/>
    </xf>
    <xf numFmtId="167" fontId="18" fillId="14" borderId="15" xfId="4" applyNumberFormat="1" applyFont="1" applyFill="1" applyBorder="1" applyAlignment="1" applyProtection="1">
      <alignment horizontal="left" vertical="center"/>
      <protection locked="0"/>
    </xf>
    <xf numFmtId="44" fontId="2" fillId="14" borderId="15" xfId="2" applyNumberFormat="1" applyFont="1" applyFill="1" applyBorder="1" applyAlignment="1" applyProtection="1">
      <alignment vertical="center"/>
      <protection locked="0"/>
    </xf>
    <xf numFmtId="10" fontId="15" fillId="14" borderId="9" xfId="5" applyNumberFormat="1" applyFont="1" applyFill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top"/>
      <protection locked="0"/>
    </xf>
    <xf numFmtId="167" fontId="8" fillId="0" borderId="15" xfId="4" applyNumberFormat="1" applyFont="1" applyFill="1" applyBorder="1" applyAlignment="1" applyProtection="1">
      <alignment horizontal="left" vertical="center"/>
      <protection locked="0"/>
    </xf>
    <xf numFmtId="165" fontId="2" fillId="4" borderId="15" xfId="3" applyNumberFormat="1" applyFont="1" applyFill="1" applyBorder="1" applyAlignment="1" applyProtection="1">
      <alignment vertical="center"/>
      <protection locked="0"/>
    </xf>
    <xf numFmtId="167" fontId="16" fillId="0" borderId="15" xfId="4" applyNumberFormat="1" applyFont="1" applyFill="1" applyBorder="1" applyAlignment="1" applyProtection="1">
      <alignment horizontal="left" vertical="center"/>
      <protection locked="0"/>
    </xf>
    <xf numFmtId="167" fontId="8" fillId="8" borderId="15" xfId="4" applyNumberFormat="1" applyFont="1" applyFill="1" applyBorder="1" applyAlignment="1" applyProtection="1">
      <alignment horizontal="left" vertical="center"/>
      <protection locked="0"/>
    </xf>
    <xf numFmtId="167" fontId="16" fillId="8" borderId="15" xfId="4" applyNumberFormat="1" applyFont="1" applyFill="1" applyBorder="1" applyAlignment="1" applyProtection="1">
      <alignment horizontal="left" vertical="center"/>
      <protection locked="0"/>
    </xf>
    <xf numFmtId="0" fontId="2" fillId="15" borderId="16" xfId="2" applyFont="1" applyFill="1" applyBorder="1" applyProtection="1">
      <protection locked="0"/>
    </xf>
    <xf numFmtId="0" fontId="2" fillId="15" borderId="17" xfId="2" applyFill="1" applyBorder="1" applyAlignment="1" applyProtection="1">
      <alignment vertical="top"/>
      <protection locked="0"/>
    </xf>
    <xf numFmtId="167" fontId="2" fillId="15" borderId="18" xfId="4" applyNumberFormat="1" applyFont="1" applyFill="1" applyBorder="1" applyAlignment="1" applyProtection="1">
      <alignment vertical="top"/>
      <protection locked="0"/>
    </xf>
    <xf numFmtId="0" fontId="2" fillId="15" borderId="19" xfId="2" applyFont="1" applyFill="1" applyBorder="1" applyAlignment="1" applyProtection="1">
      <alignment vertical="center"/>
      <protection locked="0"/>
    </xf>
    <xf numFmtId="44" fontId="2" fillId="15" borderId="17" xfId="4" applyFont="1" applyFill="1" applyBorder="1" applyAlignment="1" applyProtection="1">
      <alignment vertical="center"/>
      <protection locked="0"/>
    </xf>
    <xf numFmtId="0" fontId="2" fillId="15" borderId="18" xfId="2" applyFont="1" applyFill="1" applyBorder="1" applyAlignment="1" applyProtection="1">
      <alignment vertical="center"/>
      <protection locked="0"/>
    </xf>
    <xf numFmtId="44" fontId="2" fillId="15" borderId="18" xfId="2" applyNumberFormat="1" applyFont="1" applyFill="1" applyBorder="1" applyAlignment="1" applyProtection="1">
      <alignment vertical="center"/>
      <protection locked="0"/>
    </xf>
    <xf numFmtId="10" fontId="2" fillId="15" borderId="20" xfId="5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Alignment="1" applyProtection="1">
      <alignment vertical="top"/>
      <protection locked="0"/>
    </xf>
    <xf numFmtId="9" fontId="2" fillId="0" borderId="15" xfId="2" applyNumberFormat="1" applyFont="1" applyFill="1" applyBorder="1" applyAlignment="1" applyProtection="1">
      <alignment vertical="top"/>
      <protection locked="0"/>
    </xf>
    <xf numFmtId="9" fontId="2" fillId="0" borderId="0" xfId="2" applyNumberFormat="1" applyFont="1" applyFill="1" applyBorder="1" applyAlignment="1" applyProtection="1">
      <alignment vertical="center"/>
      <protection locked="0"/>
    </xf>
    <xf numFmtId="44" fontId="8" fillId="0" borderId="8" xfId="2" applyNumberFormat="1" applyFont="1" applyFill="1" applyBorder="1" applyAlignment="1" applyProtection="1">
      <alignment vertical="center"/>
      <protection locked="0"/>
    </xf>
    <xf numFmtId="9" fontId="8" fillId="0" borderId="15" xfId="2" applyNumberFormat="1" applyFont="1" applyFill="1" applyBorder="1" applyAlignment="1" applyProtection="1">
      <alignment vertical="center"/>
      <protection locked="0"/>
    </xf>
    <xf numFmtId="44" fontId="8" fillId="0" borderId="15" xfId="2" applyNumberFormat="1" applyFont="1" applyFill="1" applyBorder="1" applyAlignment="1" applyProtection="1">
      <alignment vertical="center"/>
      <protection locked="0"/>
    </xf>
    <xf numFmtId="10" fontId="8" fillId="0" borderId="9" xfId="5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horizontal="left" vertical="top" indent="1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44" fontId="2" fillId="0" borderId="8" xfId="2" applyNumberFormat="1" applyFont="1" applyFill="1" applyBorder="1" applyAlignment="1" applyProtection="1">
      <alignment vertical="center"/>
      <protection locked="0"/>
    </xf>
    <xf numFmtId="9" fontId="2" fillId="0" borderId="15" xfId="2" applyNumberFormat="1" applyFont="1" applyFill="1" applyBorder="1" applyAlignment="1" applyProtection="1">
      <alignment vertical="center"/>
      <protection locked="0"/>
    </xf>
    <xf numFmtId="44" fontId="2" fillId="0" borderId="15" xfId="2" applyNumberFormat="1" applyFont="1" applyFill="1" applyBorder="1" applyAlignment="1" applyProtection="1">
      <alignment vertical="center"/>
      <protection locked="0"/>
    </xf>
    <xf numFmtId="10" fontId="2" fillId="0" borderId="9" xfId="5" applyNumberFormat="1" applyFont="1" applyFill="1" applyBorder="1" applyAlignment="1" applyProtection="1">
      <alignment vertical="center"/>
      <protection locked="0"/>
    </xf>
    <xf numFmtId="0" fontId="2" fillId="16" borderId="13" xfId="2" applyFont="1" applyFill="1" applyBorder="1" applyAlignment="1" applyProtection="1">
      <alignment vertical="top"/>
      <protection locked="0"/>
    </xf>
    <xf numFmtId="0" fontId="2" fillId="16" borderId="11" xfId="2" applyFont="1" applyFill="1" applyBorder="1" applyAlignment="1" applyProtection="1">
      <alignment vertical="center"/>
      <protection locked="0"/>
    </xf>
    <xf numFmtId="44" fontId="8" fillId="16" borderId="8" xfId="2" applyNumberFormat="1" applyFont="1" applyFill="1" applyBorder="1" applyAlignment="1" applyProtection="1">
      <alignment vertical="center"/>
      <protection locked="0"/>
    </xf>
    <xf numFmtId="0" fontId="8" fillId="16" borderId="13" xfId="2" applyFont="1" applyFill="1" applyBorder="1" applyAlignment="1" applyProtection="1">
      <alignment vertical="center"/>
      <protection locked="0"/>
    </xf>
    <xf numFmtId="44" fontId="8" fillId="16" borderId="10" xfId="2" applyNumberFormat="1" applyFont="1" applyFill="1" applyBorder="1" applyAlignment="1" applyProtection="1">
      <alignment vertical="center"/>
      <protection locked="0"/>
    </xf>
    <xf numFmtId="44" fontId="8" fillId="16" borderId="13" xfId="2" applyNumberFormat="1" applyFont="1" applyFill="1" applyBorder="1" applyAlignment="1" applyProtection="1">
      <alignment vertical="center"/>
      <protection locked="0"/>
    </xf>
    <xf numFmtId="10" fontId="8" fillId="16" borderId="12" xfId="5" applyNumberFormat="1" applyFont="1" applyFill="1" applyBorder="1" applyAlignment="1" applyProtection="1">
      <alignment vertical="center"/>
      <protection locked="0"/>
    </xf>
    <xf numFmtId="0" fontId="2" fillId="16" borderId="15" xfId="2" applyFont="1" applyFill="1" applyBorder="1" applyAlignment="1" applyProtection="1">
      <alignment vertical="top"/>
      <protection locked="0"/>
    </xf>
    <xf numFmtId="0" fontId="2" fillId="16" borderId="0" xfId="2" applyFont="1" applyFill="1" applyBorder="1" applyAlignment="1" applyProtection="1">
      <alignment vertical="center"/>
      <protection locked="0"/>
    </xf>
    <xf numFmtId="0" fontId="8" fillId="16" borderId="15" xfId="2" applyFont="1" applyFill="1" applyBorder="1" applyAlignment="1" applyProtection="1">
      <alignment vertical="center"/>
      <protection locked="0"/>
    </xf>
    <xf numFmtId="44" fontId="8" fillId="16" borderId="15" xfId="2" applyNumberFormat="1" applyFont="1" applyFill="1" applyBorder="1" applyAlignment="1" applyProtection="1">
      <alignment vertical="center"/>
      <protection locked="0"/>
    </xf>
    <xf numFmtId="10" fontId="8" fillId="16" borderId="9" xfId="5" applyNumberFormat="1" applyFont="1" applyFill="1" applyBorder="1" applyAlignment="1" applyProtection="1">
      <alignment vertical="center"/>
      <protection locked="0"/>
    </xf>
    <xf numFmtId="167" fontId="2" fillId="15" borderId="19" xfId="4" applyNumberFormat="1" applyFont="1" applyFill="1" applyBorder="1" applyAlignment="1" applyProtection="1">
      <alignment vertical="top"/>
      <protection locked="0"/>
    </xf>
    <xf numFmtId="0" fontId="2" fillId="15" borderId="17" xfId="2" applyFont="1" applyFill="1" applyBorder="1" applyAlignment="1" applyProtection="1">
      <alignment vertical="center"/>
      <protection locked="0"/>
    </xf>
    <xf numFmtId="44" fontId="2" fillId="15" borderId="21" xfId="4" applyFont="1" applyFill="1" applyBorder="1" applyAlignment="1" applyProtection="1">
      <alignment vertical="center"/>
      <protection locked="0"/>
    </xf>
    <xf numFmtId="44" fontId="2" fillId="15" borderId="19" xfId="2" applyNumberFormat="1" applyFont="1" applyFill="1" applyBorder="1" applyAlignment="1" applyProtection="1">
      <alignment vertical="center"/>
      <protection locked="0"/>
    </xf>
    <xf numFmtId="167" fontId="2" fillId="15" borderId="19" xfId="4" applyNumberFormat="1" applyFill="1" applyBorder="1" applyAlignment="1" applyProtection="1">
      <alignment vertical="top"/>
      <protection locked="0"/>
    </xf>
    <xf numFmtId="0" fontId="2" fillId="15" borderId="17" xfId="2" applyFill="1" applyBorder="1" applyAlignment="1" applyProtection="1">
      <alignment vertical="center"/>
      <protection locked="0"/>
    </xf>
    <xf numFmtId="44" fontId="2" fillId="15" borderId="21" xfId="4" applyFill="1" applyBorder="1" applyAlignment="1" applyProtection="1">
      <alignment vertical="center"/>
      <protection locked="0"/>
    </xf>
    <xf numFmtId="0" fontId="2" fillId="15" borderId="19" xfId="2" applyFill="1" applyBorder="1" applyAlignment="1" applyProtection="1">
      <alignment vertical="center"/>
      <protection locked="0"/>
    </xf>
    <xf numFmtId="44" fontId="2" fillId="15" borderId="19" xfId="2" applyNumberFormat="1" applyFill="1" applyBorder="1" applyAlignment="1" applyProtection="1">
      <alignment vertical="center"/>
      <protection locked="0"/>
    </xf>
    <xf numFmtId="10" fontId="2" fillId="15" borderId="20" xfId="5" applyNumberFormat="1" applyFill="1" applyBorder="1" applyAlignment="1" applyProtection="1">
      <alignment vertical="center"/>
      <protection locked="0"/>
    </xf>
    <xf numFmtId="167" fontId="18" fillId="4" borderId="15" xfId="4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Protection="1">
      <protection locked="0"/>
    </xf>
    <xf numFmtId="0" fontId="0" fillId="4" borderId="0" xfId="0" applyFill="1" applyProtection="1"/>
    <xf numFmtId="0" fontId="0" fillId="4" borderId="0" xfId="0" applyFill="1"/>
    <xf numFmtId="0" fontId="0" fillId="0" borderId="0" xfId="0" applyProtection="1"/>
    <xf numFmtId="0" fontId="8" fillId="4" borderId="0" xfId="0" applyFont="1" applyFill="1" applyAlignment="1" applyProtection="1">
      <alignment horizontal="right"/>
    </xf>
    <xf numFmtId="0" fontId="2" fillId="4" borderId="0" xfId="0" applyFont="1" applyFill="1" applyAlignment="1" applyProtection="1">
      <alignment horizontal="right"/>
    </xf>
    <xf numFmtId="0" fontId="10" fillId="4" borderId="0" xfId="0" applyFont="1" applyFill="1" applyAlignment="1" applyProtection="1">
      <alignment horizontal="center"/>
    </xf>
    <xf numFmtId="0" fontId="2" fillId="4" borderId="0" xfId="0" applyFont="1" applyFill="1" applyProtection="1"/>
    <xf numFmtId="0" fontId="8" fillId="4" borderId="0" xfId="0" applyFont="1" applyFill="1" applyProtection="1"/>
    <xf numFmtId="0" fontId="8" fillId="8" borderId="1" xfId="0" applyFont="1" applyFill="1" applyBorder="1" applyProtection="1">
      <protection locked="0"/>
    </xf>
    <xf numFmtId="0" fontId="2" fillId="16" borderId="0" xfId="0" applyFont="1" applyFill="1" applyProtection="1"/>
    <xf numFmtId="0" fontId="0" fillId="16" borderId="0" xfId="0" applyFill="1" applyProtection="1"/>
    <xf numFmtId="0" fontId="8" fillId="16" borderId="0" xfId="0" applyFont="1" applyFill="1" applyAlignment="1" applyProtection="1"/>
    <xf numFmtId="0" fontId="2" fillId="16" borderId="0" xfId="0" applyFont="1" applyFill="1" applyBorder="1" applyProtection="1"/>
    <xf numFmtId="0" fontId="0" fillId="16" borderId="0" xfId="0" applyFill="1" applyBorder="1" applyProtection="1"/>
    <xf numFmtId="0" fontId="8" fillId="16" borderId="0" xfId="0" applyFont="1" applyFill="1" applyBorder="1" applyAlignment="1" applyProtection="1">
      <alignment horizontal="center"/>
    </xf>
    <xf numFmtId="0" fontId="8" fillId="16" borderId="14" xfId="0" applyFont="1" applyFill="1" applyBorder="1" applyAlignment="1" applyProtection="1">
      <alignment horizontal="center"/>
    </xf>
    <xf numFmtId="0" fontId="8" fillId="16" borderId="9" xfId="0" applyFont="1" applyFill="1" applyBorder="1" applyAlignment="1" applyProtection="1">
      <alignment horizontal="center"/>
    </xf>
    <xf numFmtId="0" fontId="8" fillId="16" borderId="7" xfId="0" applyFont="1" applyFill="1" applyBorder="1" applyAlignment="1" applyProtection="1">
      <alignment horizontal="center"/>
    </xf>
    <xf numFmtId="0" fontId="2" fillId="16" borderId="22" xfId="0" applyFont="1" applyFill="1" applyBorder="1" applyProtection="1"/>
    <xf numFmtId="0" fontId="0" fillId="16" borderId="22" xfId="0" applyFill="1" applyBorder="1" applyProtection="1"/>
    <xf numFmtId="0" fontId="8" fillId="16" borderId="22" xfId="0" applyFont="1" applyFill="1" applyBorder="1" applyAlignment="1" applyProtection="1">
      <alignment horizontal="center"/>
    </xf>
    <xf numFmtId="0" fontId="8" fillId="16" borderId="23" xfId="0" quotePrefix="1" applyFont="1" applyFill="1" applyBorder="1" applyAlignment="1" applyProtection="1">
      <alignment horizontal="center"/>
    </xf>
    <xf numFmtId="0" fontId="8" fillId="16" borderId="24" xfId="0" quotePrefix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vertical="top"/>
    </xf>
    <xf numFmtId="0" fontId="0" fillId="7" borderId="0" xfId="0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/>
    </xf>
    <xf numFmtId="168" fontId="0" fillId="8" borderId="15" xfId="6" applyNumberFormat="1" applyFont="1" applyFill="1" applyBorder="1" applyAlignment="1" applyProtection="1">
      <alignment vertical="top"/>
      <protection locked="0"/>
    </xf>
    <xf numFmtId="165" fontId="0" fillId="4" borderId="15" xfId="7" applyNumberFormat="1" applyFont="1" applyFill="1" applyBorder="1" applyAlignment="1" applyProtection="1">
      <alignment vertical="center"/>
    </xf>
    <xf numFmtId="168" fontId="0" fillId="4" borderId="9" xfId="6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8" fontId="0" fillId="8" borderId="15" xfId="6" applyNumberFormat="1" applyFont="1" applyFill="1" applyBorder="1" applyAlignment="1" applyProtection="1">
      <alignment vertical="center"/>
      <protection locked="0"/>
    </xf>
    <xf numFmtId="165" fontId="0" fillId="4" borderId="9" xfId="7" applyNumberFormat="1" applyFont="1" applyFill="1" applyBorder="1" applyAlignment="1" applyProtection="1">
      <alignment vertical="center"/>
    </xf>
    <xf numFmtId="168" fontId="0" fillId="4" borderId="15" xfId="0" applyNumberFormat="1" applyFill="1" applyBorder="1" applyAlignment="1" applyProtection="1">
      <alignment vertical="center"/>
    </xf>
    <xf numFmtId="10" fontId="0" fillId="4" borderId="9" xfId="1" applyNumberFormat="1" applyFont="1" applyFill="1" applyBorder="1" applyAlignment="1" applyProtection="1">
      <alignment vertical="center"/>
    </xf>
    <xf numFmtId="0" fontId="0" fillId="4" borderId="0" xfId="0" applyFill="1" applyAlignment="1" applyProtection="1">
      <alignment vertical="top"/>
    </xf>
    <xf numFmtId="0" fontId="0" fillId="7" borderId="0" xfId="0" applyFill="1" applyAlignment="1" applyProtection="1">
      <alignment vertical="top"/>
      <protection locked="0"/>
    </xf>
    <xf numFmtId="167" fontId="0" fillId="8" borderId="15" xfId="6" applyNumberFormat="1" applyFont="1" applyFill="1" applyBorder="1" applyAlignment="1" applyProtection="1">
      <alignment vertical="top"/>
      <protection locked="0"/>
    </xf>
    <xf numFmtId="167" fontId="0" fillId="8" borderId="15" xfId="6" applyNumberFormat="1" applyFont="1" applyFill="1" applyBorder="1" applyAlignment="1" applyProtection="1">
      <alignment vertical="center"/>
      <protection locked="0"/>
    </xf>
    <xf numFmtId="0" fontId="0" fillId="0" borderId="0" xfId="0" applyFill="1" applyProtection="1"/>
    <xf numFmtId="0" fontId="8" fillId="13" borderId="2" xfId="0" applyFont="1" applyFill="1" applyBorder="1" applyAlignment="1" applyProtection="1">
      <alignment vertical="top"/>
      <protection locked="0"/>
    </xf>
    <xf numFmtId="0" fontId="0" fillId="13" borderId="3" xfId="0" applyFill="1" applyBorder="1" applyAlignment="1" applyProtection="1">
      <alignment vertical="top"/>
    </xf>
    <xf numFmtId="0" fontId="0" fillId="13" borderId="3" xfId="0" applyFill="1" applyBorder="1" applyAlignment="1" applyProtection="1">
      <alignment vertical="top"/>
      <protection locked="0"/>
    </xf>
    <xf numFmtId="167" fontId="0" fillId="13" borderId="1" xfId="6" applyNumberFormat="1" applyFont="1" applyFill="1" applyBorder="1" applyAlignment="1" applyProtection="1">
      <alignment vertical="top"/>
      <protection locked="0"/>
    </xf>
    <xf numFmtId="0" fontId="0" fillId="13" borderId="1" xfId="0" applyFill="1" applyBorder="1" applyAlignment="1" applyProtection="1">
      <alignment vertical="center"/>
      <protection locked="0"/>
    </xf>
    <xf numFmtId="168" fontId="0" fillId="13" borderId="4" xfId="6" applyFont="1" applyFill="1" applyBorder="1" applyAlignment="1" applyProtection="1">
      <alignment vertical="center"/>
    </xf>
    <xf numFmtId="0" fontId="0" fillId="13" borderId="0" xfId="0" applyFill="1" applyAlignment="1" applyProtection="1">
      <alignment vertical="center"/>
    </xf>
    <xf numFmtId="167" fontId="0" fillId="13" borderId="1" xfId="6" applyNumberFormat="1" applyFont="1" applyFill="1" applyBorder="1" applyAlignment="1" applyProtection="1">
      <alignment vertical="center"/>
      <protection locked="0"/>
    </xf>
    <xf numFmtId="0" fontId="0" fillId="13" borderId="4" xfId="0" applyFill="1" applyBorder="1" applyAlignment="1" applyProtection="1">
      <alignment vertical="center"/>
      <protection locked="0"/>
    </xf>
    <xf numFmtId="168" fontId="8" fillId="13" borderId="1" xfId="0" applyNumberFormat="1" applyFont="1" applyFill="1" applyBorder="1" applyAlignment="1" applyProtection="1">
      <alignment vertical="center"/>
    </xf>
    <xf numFmtId="10" fontId="8" fillId="13" borderId="4" xfId="1" applyNumberFormat="1" applyFont="1" applyFill="1" applyBorder="1" applyAlignment="1" applyProtection="1">
      <alignment vertical="center"/>
    </xf>
    <xf numFmtId="0" fontId="0" fillId="4" borderId="0" xfId="0" applyFill="1" applyAlignment="1" applyProtection="1">
      <alignment vertical="top" wrapText="1"/>
    </xf>
    <xf numFmtId="0" fontId="2" fillId="4" borderId="0" xfId="0" applyFont="1" applyFill="1" applyAlignment="1" applyProtection="1">
      <alignment vertical="top" wrapText="1"/>
    </xf>
    <xf numFmtId="170" fontId="0" fillId="8" borderId="15" xfId="6" applyNumberFormat="1" applyFont="1" applyFill="1" applyBorder="1" applyAlignment="1" applyProtection="1">
      <alignment vertical="top"/>
      <protection locked="0"/>
    </xf>
    <xf numFmtId="0" fontId="8" fillId="13" borderId="2" xfId="0" applyFont="1" applyFill="1" applyBorder="1" applyAlignment="1" applyProtection="1">
      <alignment vertical="top" wrapText="1"/>
    </xf>
    <xf numFmtId="0" fontId="0" fillId="13" borderId="3" xfId="0" applyFill="1" applyBorder="1" applyProtection="1"/>
    <xf numFmtId="0" fontId="0" fillId="13" borderId="1" xfId="0" applyFill="1" applyBorder="1" applyProtection="1"/>
    <xf numFmtId="0" fontId="0" fillId="13" borderId="1" xfId="0" applyFill="1" applyBorder="1" applyAlignment="1" applyProtection="1">
      <alignment vertical="center"/>
    </xf>
    <xf numFmtId="168" fontId="8" fillId="13" borderId="4" xfId="0" applyNumberFormat="1" applyFont="1" applyFill="1" applyBorder="1" applyAlignment="1" applyProtection="1">
      <alignment vertical="center"/>
    </xf>
    <xf numFmtId="0" fontId="0" fillId="13" borderId="4" xfId="0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 wrapText="1"/>
    </xf>
    <xf numFmtId="0" fontId="0" fillId="7" borderId="0" xfId="0" applyFill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</xf>
    <xf numFmtId="0" fontId="0" fillId="4" borderId="15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13" borderId="1" xfId="0" applyFill="1" applyBorder="1" applyAlignment="1" applyProtection="1">
      <alignment vertical="top"/>
    </xf>
    <xf numFmtId="0" fontId="8" fillId="4" borderId="0" xfId="0" applyFont="1" applyFill="1" applyAlignment="1" applyProtection="1">
      <alignment vertical="center"/>
    </xf>
    <xf numFmtId="0" fontId="8" fillId="13" borderId="1" xfId="0" applyFont="1" applyFill="1" applyBorder="1" applyAlignment="1" applyProtection="1">
      <alignment vertical="center"/>
    </xf>
    <xf numFmtId="0" fontId="8" fillId="13" borderId="4" xfId="0" applyFont="1" applyFill="1" applyBorder="1" applyAlignment="1" applyProtection="1">
      <alignment vertical="center"/>
    </xf>
    <xf numFmtId="0" fontId="8" fillId="13" borderId="0" xfId="0" applyFont="1" applyFill="1" applyAlignment="1" applyProtection="1">
      <alignment vertical="center"/>
    </xf>
    <xf numFmtId="0" fontId="2" fillId="15" borderId="16" xfId="0" applyFont="1" applyFill="1" applyBorder="1" applyProtection="1"/>
    <xf numFmtId="0" fontId="0" fillId="15" borderId="17" xfId="0" applyFill="1" applyBorder="1" applyAlignment="1" applyProtection="1">
      <alignment vertical="top"/>
    </xf>
    <xf numFmtId="0" fontId="0" fillId="15" borderId="17" xfId="0" applyFill="1" applyBorder="1" applyAlignment="1" applyProtection="1">
      <alignment vertical="top"/>
      <protection locked="0"/>
    </xf>
    <xf numFmtId="167" fontId="1" fillId="15" borderId="18" xfId="6" applyNumberFormat="1" applyFill="1" applyBorder="1" applyAlignment="1" applyProtection="1">
      <alignment vertical="top"/>
      <protection locked="0"/>
    </xf>
    <xf numFmtId="0" fontId="0" fillId="15" borderId="19" xfId="0" applyFill="1" applyBorder="1" applyAlignment="1" applyProtection="1">
      <alignment vertical="center"/>
      <protection locked="0"/>
    </xf>
    <xf numFmtId="168" fontId="1" fillId="15" borderId="17" xfId="6" applyFill="1" applyBorder="1" applyAlignment="1" applyProtection="1">
      <alignment vertical="center"/>
    </xf>
    <xf numFmtId="0" fontId="0" fillId="15" borderId="17" xfId="0" applyFill="1" applyBorder="1" applyAlignment="1" applyProtection="1">
      <alignment vertical="center"/>
    </xf>
    <xf numFmtId="0" fontId="0" fillId="15" borderId="18" xfId="0" applyFill="1" applyBorder="1" applyAlignment="1" applyProtection="1">
      <alignment vertical="center"/>
      <protection locked="0"/>
    </xf>
    <xf numFmtId="168" fontId="0" fillId="15" borderId="18" xfId="0" applyNumberFormat="1" applyFill="1" applyBorder="1" applyAlignment="1" applyProtection="1">
      <alignment vertical="center"/>
    </xf>
    <xf numFmtId="10" fontId="1" fillId="15" borderId="20" xfId="1" applyNumberFormat="1" applyFill="1" applyBorder="1" applyAlignment="1" applyProtection="1">
      <alignment vertical="center"/>
    </xf>
    <xf numFmtId="0" fontId="8" fillId="4" borderId="0" xfId="0" applyFont="1" applyFill="1" applyAlignment="1" applyProtection="1">
      <alignment vertical="top"/>
    </xf>
    <xf numFmtId="9" fontId="0" fillId="4" borderId="15" xfId="0" applyNumberFormat="1" applyFill="1" applyBorder="1" applyAlignment="1" applyProtection="1">
      <alignment vertical="top"/>
    </xf>
    <xf numFmtId="9" fontId="0" fillId="4" borderId="0" xfId="0" applyNumberFormat="1" applyFill="1" applyBorder="1" applyAlignment="1" applyProtection="1">
      <alignment vertical="center"/>
    </xf>
    <xf numFmtId="168" fontId="8" fillId="4" borderId="8" xfId="0" applyNumberFormat="1" applyFont="1" applyFill="1" applyBorder="1" applyAlignment="1" applyProtection="1">
      <alignment vertical="center"/>
    </xf>
    <xf numFmtId="0" fontId="8" fillId="4" borderId="15" xfId="0" applyFont="1" applyFill="1" applyBorder="1" applyAlignment="1" applyProtection="1">
      <alignment vertical="center"/>
    </xf>
    <xf numFmtId="9" fontId="8" fillId="4" borderId="15" xfId="0" applyNumberFormat="1" applyFont="1" applyFill="1" applyBorder="1" applyAlignment="1" applyProtection="1">
      <alignment vertical="center"/>
    </xf>
    <xf numFmtId="168" fontId="8" fillId="4" borderId="25" xfId="0" applyNumberFormat="1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168" fontId="8" fillId="4" borderId="15" xfId="0" applyNumberFormat="1" applyFont="1" applyFill="1" applyBorder="1" applyAlignment="1" applyProtection="1">
      <alignment vertical="center"/>
    </xf>
    <xf numFmtId="10" fontId="8" fillId="4" borderId="9" xfId="1" applyNumberFormat="1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horizontal="left" vertical="top" indent="1"/>
    </xf>
    <xf numFmtId="9" fontId="0" fillId="4" borderId="15" xfId="0" applyNumberFormat="1" applyFill="1" applyBorder="1" applyAlignment="1" applyProtection="1">
      <alignment vertical="top"/>
      <protection locked="0"/>
    </xf>
    <xf numFmtId="0" fontId="0" fillId="4" borderId="0" xfId="0" applyFill="1" applyBorder="1" applyAlignment="1" applyProtection="1">
      <alignment vertical="center"/>
    </xf>
    <xf numFmtId="168" fontId="2" fillId="4" borderId="8" xfId="0" applyNumberFormat="1" applyFont="1" applyFill="1" applyBorder="1" applyAlignment="1" applyProtection="1">
      <alignment vertical="center"/>
    </xf>
    <xf numFmtId="0" fontId="2" fillId="4" borderId="15" xfId="0" applyFont="1" applyFill="1" applyBorder="1" applyAlignment="1" applyProtection="1">
      <alignment vertical="center"/>
    </xf>
    <xf numFmtId="9" fontId="2" fillId="4" borderId="15" xfId="0" applyNumberFormat="1" applyFont="1" applyFill="1" applyBorder="1" applyAlignment="1" applyProtection="1">
      <alignment vertical="center"/>
      <protection locked="0"/>
    </xf>
    <xf numFmtId="168" fontId="2" fillId="4" borderId="9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168" fontId="2" fillId="4" borderId="15" xfId="0" applyNumberFormat="1" applyFont="1" applyFill="1" applyBorder="1" applyAlignment="1" applyProtection="1">
      <alignment vertical="center"/>
    </xf>
    <xf numFmtId="10" fontId="2" fillId="4" borderId="9" xfId="1" applyNumberFormat="1" applyFont="1" applyFill="1" applyBorder="1" applyAlignment="1" applyProtection="1">
      <alignment vertical="center"/>
    </xf>
    <xf numFmtId="0" fontId="8" fillId="4" borderId="0" xfId="0" applyFont="1" applyFill="1" applyAlignment="1" applyProtection="1">
      <alignment horizontal="left" vertical="top" wrapText="1" indent="1"/>
    </xf>
    <xf numFmtId="0" fontId="0" fillId="4" borderId="15" xfId="0" applyFill="1" applyBorder="1" applyAlignment="1" applyProtection="1">
      <alignment vertical="top"/>
    </xf>
    <xf numFmtId="168" fontId="23" fillId="4" borderId="8" xfId="0" applyNumberFormat="1" applyFont="1" applyFill="1" applyBorder="1" applyAlignment="1" applyProtection="1">
      <alignment vertical="center"/>
    </xf>
    <xf numFmtId="168" fontId="23" fillId="4" borderId="15" xfId="0" applyNumberFormat="1" applyFont="1" applyFill="1" applyBorder="1" applyAlignment="1" applyProtection="1">
      <alignment vertical="center"/>
    </xf>
    <xf numFmtId="10" fontId="23" fillId="4" borderId="9" xfId="1" applyNumberFormat="1" applyFont="1" applyFill="1" applyBorder="1" applyAlignment="1" applyProtection="1">
      <alignment vertical="center"/>
    </xf>
    <xf numFmtId="0" fontId="0" fillId="16" borderId="0" xfId="0" applyFill="1" applyAlignment="1" applyProtection="1">
      <alignment vertical="top"/>
    </xf>
    <xf numFmtId="0" fontId="0" fillId="16" borderId="13" xfId="0" applyFill="1" applyBorder="1" applyAlignment="1" applyProtection="1">
      <alignment vertical="top"/>
    </xf>
    <xf numFmtId="0" fontId="0" fillId="16" borderId="11" xfId="0" applyFill="1" applyBorder="1" applyAlignment="1" applyProtection="1">
      <alignment vertical="center"/>
    </xf>
    <xf numFmtId="168" fontId="8" fillId="16" borderId="10" xfId="0" applyNumberFormat="1" applyFont="1" applyFill="1" applyBorder="1" applyAlignment="1" applyProtection="1">
      <alignment vertical="center"/>
    </xf>
    <xf numFmtId="0" fontId="8" fillId="16" borderId="13" xfId="0" applyFont="1" applyFill="1" applyBorder="1" applyAlignment="1" applyProtection="1">
      <alignment vertical="center"/>
    </xf>
    <xf numFmtId="168" fontId="8" fillId="16" borderId="12" xfId="0" applyNumberFormat="1" applyFont="1" applyFill="1" applyBorder="1" applyAlignment="1" applyProtection="1">
      <alignment vertical="center"/>
    </xf>
    <xf numFmtId="0" fontId="8" fillId="16" borderId="11" xfId="0" applyFont="1" applyFill="1" applyBorder="1" applyAlignment="1" applyProtection="1">
      <alignment vertical="center"/>
    </xf>
    <xf numFmtId="168" fontId="8" fillId="16" borderId="13" xfId="0" applyNumberFormat="1" applyFont="1" applyFill="1" applyBorder="1" applyAlignment="1" applyProtection="1">
      <alignment vertical="center"/>
    </xf>
    <xf numFmtId="10" fontId="8" fillId="16" borderId="12" xfId="1" applyNumberFormat="1" applyFont="1" applyFill="1" applyBorder="1" applyAlignment="1" applyProtection="1">
      <alignment vertical="center"/>
    </xf>
    <xf numFmtId="167" fontId="1" fillId="15" borderId="19" xfId="6" applyNumberFormat="1" applyFill="1" applyBorder="1" applyAlignment="1" applyProtection="1">
      <alignment vertical="top"/>
      <protection locked="0"/>
    </xf>
    <xf numFmtId="0" fontId="0" fillId="15" borderId="17" xfId="0" applyFill="1" applyBorder="1" applyAlignment="1" applyProtection="1">
      <alignment vertical="center"/>
      <protection locked="0"/>
    </xf>
    <xf numFmtId="168" fontId="1" fillId="15" borderId="21" xfId="6" applyFill="1" applyBorder="1" applyAlignment="1" applyProtection="1">
      <alignment vertical="center"/>
    </xf>
    <xf numFmtId="0" fontId="0" fillId="15" borderId="19" xfId="0" applyFill="1" applyBorder="1" applyAlignment="1" applyProtection="1">
      <alignment vertical="center"/>
    </xf>
    <xf numFmtId="168" fontId="1" fillId="15" borderId="18" xfId="6" applyFill="1" applyBorder="1" applyAlignment="1" applyProtection="1">
      <alignment vertical="center"/>
    </xf>
    <xf numFmtId="168" fontId="0" fillId="15" borderId="19" xfId="0" applyNumberFormat="1" applyFill="1" applyBorder="1" applyAlignment="1" applyProtection="1">
      <alignment vertical="center"/>
    </xf>
    <xf numFmtId="168" fontId="0" fillId="4" borderId="0" xfId="0" applyNumberFormat="1" applyFill="1" applyProtection="1"/>
    <xf numFmtId="164" fontId="1" fillId="8" borderId="1" xfId="1" applyNumberFormat="1" applyFill="1" applyBorder="1" applyProtection="1">
      <protection locked="0"/>
    </xf>
    <xf numFmtId="44" fontId="0" fillId="4" borderId="0" xfId="0" applyNumberFormat="1" applyFill="1" applyProtection="1"/>
    <xf numFmtId="0" fontId="21" fillId="4" borderId="0" xfId="0" applyFont="1" applyFill="1" applyProtection="1"/>
    <xf numFmtId="0" fontId="24" fillId="4" borderId="0" xfId="0" applyFont="1" applyFill="1" applyProtection="1"/>
    <xf numFmtId="0" fontId="2" fillId="0" borderId="13" xfId="2" applyBorder="1" applyAlignment="1" applyProtection="1">
      <alignment horizontal="center" vertical="center"/>
    </xf>
    <xf numFmtId="44" fontId="0" fillId="0" borderId="13" xfId="4" applyFont="1" applyBorder="1" applyAlignment="1" applyProtection="1">
      <alignment horizontal="center" vertical="center"/>
    </xf>
    <xf numFmtId="166" fontId="0" fillId="0" borderId="13" xfId="5" applyNumberFormat="1" applyFont="1" applyBorder="1" applyAlignment="1" applyProtection="1">
      <alignment horizontal="center" vertical="center"/>
    </xf>
    <xf numFmtId="0" fontId="8" fillId="13" borderId="26" xfId="2" applyFont="1" applyFill="1" applyBorder="1" applyAlignment="1" applyProtection="1">
      <alignment horizontal="center" vertical="center"/>
    </xf>
    <xf numFmtId="0" fontId="27" fillId="2" borderId="0" xfId="2" applyFont="1" applyFill="1" applyAlignment="1" applyProtection="1">
      <alignment vertical="top" wrapText="1"/>
    </xf>
    <xf numFmtId="0" fontId="8" fillId="0" borderId="5" xfId="2" applyFont="1" applyBorder="1" applyAlignment="1" applyProtection="1">
      <alignment horizontal="left" vertical="center" wrapText="1"/>
    </xf>
    <xf numFmtId="0" fontId="8" fillId="0" borderId="6" xfId="2" applyFont="1" applyBorder="1" applyAlignment="1" applyProtection="1">
      <alignment horizontal="left" vertical="center"/>
    </xf>
    <xf numFmtId="0" fontId="8" fillId="0" borderId="7" xfId="2" applyFont="1" applyBorder="1" applyAlignment="1" applyProtection="1">
      <alignment horizontal="left" vertical="center"/>
    </xf>
    <xf numFmtId="0" fontId="8" fillId="0" borderId="8" xfId="2" applyFont="1" applyBorder="1" applyAlignment="1" applyProtection="1">
      <alignment horizontal="left" vertical="center"/>
    </xf>
    <xf numFmtId="0" fontId="8" fillId="0" borderId="0" xfId="2" applyFont="1" applyBorder="1" applyAlignment="1" applyProtection="1">
      <alignment horizontal="left" vertical="center"/>
    </xf>
    <xf numFmtId="0" fontId="8" fillId="0" borderId="9" xfId="2" applyFont="1" applyBorder="1" applyAlignment="1" applyProtection="1">
      <alignment horizontal="left" vertical="center"/>
    </xf>
    <xf numFmtId="0" fontId="8" fillId="0" borderId="27" xfId="2" applyFont="1" applyBorder="1" applyAlignment="1" applyProtection="1">
      <alignment horizontal="left" vertical="center"/>
    </xf>
    <xf numFmtId="0" fontId="8" fillId="0" borderId="22" xfId="2" applyFont="1" applyBorder="1" applyAlignment="1" applyProtection="1">
      <alignment horizontal="left" vertical="center"/>
    </xf>
    <xf numFmtId="0" fontId="8" fillId="0" borderId="24" xfId="2" applyFont="1" applyBorder="1" applyAlignment="1" applyProtection="1">
      <alignment horizontal="left" vertical="center"/>
    </xf>
    <xf numFmtId="0" fontId="8" fillId="0" borderId="1" xfId="2" applyFont="1" applyBorder="1" applyAlignment="1" applyProtection="1">
      <alignment horizontal="center" vertical="center"/>
    </xf>
    <xf numFmtId="0" fontId="8" fillId="0" borderId="26" xfId="2" applyFont="1" applyBorder="1" applyAlignment="1" applyProtection="1">
      <alignment horizontal="center" vertical="center"/>
    </xf>
    <xf numFmtId="0" fontId="8" fillId="11" borderId="1" xfId="2" applyFont="1" applyFill="1" applyBorder="1" applyAlignment="1" applyProtection="1">
      <alignment horizontal="center" vertical="center"/>
    </xf>
    <xf numFmtId="0" fontId="8" fillId="12" borderId="1" xfId="2" applyFont="1" applyFill="1" applyBorder="1" applyAlignment="1" applyProtection="1">
      <alignment horizontal="center" vertical="center"/>
    </xf>
    <xf numFmtId="0" fontId="8" fillId="0" borderId="2" xfId="2" applyFont="1" applyBorder="1" applyAlignment="1" applyProtection="1">
      <alignment horizontal="left" vertical="center" wrapText="1"/>
    </xf>
    <xf numFmtId="0" fontId="8" fillId="0" borderId="3" xfId="2" applyFont="1" applyBorder="1" applyAlignment="1" applyProtection="1">
      <alignment horizontal="left" vertical="center"/>
    </xf>
    <xf numFmtId="0" fontId="8" fillId="0" borderId="4" xfId="2" applyFont="1" applyBorder="1" applyAlignment="1" applyProtection="1">
      <alignment horizontal="left" vertical="center"/>
    </xf>
    <xf numFmtId="0" fontId="2" fillId="4" borderId="1" xfId="2" applyFont="1" applyFill="1" applyBorder="1" applyAlignment="1" applyProtection="1">
      <alignment horizontal="left" vertical="top" wrapText="1"/>
    </xf>
    <xf numFmtId="0" fontId="2" fillId="4" borderId="1" xfId="2" applyFill="1" applyBorder="1" applyAlignment="1" applyProtection="1">
      <alignment horizontal="left" vertical="top" wrapText="1"/>
    </xf>
    <xf numFmtId="0" fontId="2" fillId="4" borderId="1" xfId="2" applyFont="1" applyFill="1" applyBorder="1" applyAlignment="1" applyProtection="1">
      <alignment horizontal="left" vertical="top"/>
    </xf>
    <xf numFmtId="0" fontId="2" fillId="4" borderId="1" xfId="2" applyFill="1" applyBorder="1" applyAlignment="1" applyProtection="1">
      <alignment horizontal="left" vertical="top"/>
    </xf>
    <xf numFmtId="0" fontId="2" fillId="4" borderId="13" xfId="2" applyFont="1" applyFill="1" applyBorder="1" applyAlignment="1" applyProtection="1">
      <alignment horizontal="left" vertical="top" wrapText="1"/>
    </xf>
    <xf numFmtId="0" fontId="2" fillId="4" borderId="13" xfId="2" applyFill="1" applyBorder="1" applyAlignment="1" applyProtection="1">
      <alignment horizontal="left" vertical="top" wrapText="1"/>
    </xf>
    <xf numFmtId="0" fontId="13" fillId="4" borderId="1" xfId="2" applyFont="1" applyFill="1" applyBorder="1" applyAlignment="1" applyProtection="1">
      <alignment horizontal="left" vertical="top"/>
      <protection locked="0"/>
    </xf>
    <xf numFmtId="0" fontId="8" fillId="4" borderId="13" xfId="2" applyFont="1" applyFill="1" applyBorder="1" applyAlignment="1" applyProtection="1">
      <alignment horizontal="left" vertical="top"/>
      <protection locked="0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3" xfId="2" applyFont="1" applyBorder="1" applyAlignment="1" applyProtection="1">
      <alignment horizontal="center"/>
      <protection locked="0"/>
    </xf>
    <xf numFmtId="0" fontId="8" fillId="0" borderId="4" xfId="2" applyFont="1" applyBorder="1" applyAlignment="1" applyProtection="1">
      <alignment horizontal="center"/>
      <protection locked="0"/>
    </xf>
    <xf numFmtId="0" fontId="8" fillId="16" borderId="0" xfId="2" applyFont="1" applyFill="1" applyAlignment="1" applyProtection="1">
      <alignment horizontal="left" vertical="top" wrapText="1"/>
      <protection locked="0"/>
    </xf>
    <xf numFmtId="0" fontId="8" fillId="4" borderId="0" xfId="2" applyFont="1" applyFill="1" applyAlignment="1" applyProtection="1">
      <alignment horizontal="center" wrapText="1"/>
      <protection locked="0"/>
    </xf>
    <xf numFmtId="0" fontId="2" fillId="4" borderId="0" xfId="2" applyFill="1" applyAlignment="1" applyProtection="1">
      <alignment horizontal="center" wrapText="1"/>
      <protection locked="0"/>
    </xf>
    <xf numFmtId="0" fontId="8" fillId="0" borderId="15" xfId="2" applyFont="1" applyFill="1" applyBorder="1" applyAlignment="1" applyProtection="1">
      <alignment horizontal="center" wrapText="1"/>
      <protection locked="0"/>
    </xf>
    <xf numFmtId="0" fontId="2" fillId="0" borderId="13" xfId="2" applyBorder="1" applyAlignment="1" applyProtection="1">
      <alignment wrapText="1"/>
      <protection locked="0"/>
    </xf>
    <xf numFmtId="0" fontId="8" fillId="0" borderId="9" xfId="2" applyFont="1" applyFill="1" applyBorder="1" applyAlignment="1" applyProtection="1">
      <alignment horizontal="center" wrapText="1"/>
      <protection locked="0"/>
    </xf>
    <xf numFmtId="0" fontId="2" fillId="0" borderId="12" xfId="2" applyBorder="1" applyAlignment="1" applyProtection="1">
      <alignment wrapText="1"/>
      <protection locked="0"/>
    </xf>
    <xf numFmtId="0" fontId="22" fillId="4" borderId="0" xfId="0" applyFont="1" applyFill="1" applyAlignment="1" applyProtection="1">
      <alignment horizontal="left" vertical="top" wrapText="1" indent="1"/>
    </xf>
    <xf numFmtId="0" fontId="8" fillId="16" borderId="0" xfId="0" applyFont="1" applyFill="1" applyAlignment="1" applyProtection="1">
      <alignment horizontal="left" vertical="top" wrapText="1"/>
    </xf>
    <xf numFmtId="0" fontId="11" fillId="4" borderId="0" xfId="0" applyFont="1" applyFill="1" applyAlignment="1" applyProtection="1">
      <alignment horizontal="center"/>
    </xf>
    <xf numFmtId="0" fontId="10" fillId="8" borderId="0" xfId="0" applyFont="1" applyFill="1" applyAlignment="1" applyProtection="1">
      <alignment horizontal="left" vertical="center"/>
    </xf>
    <xf numFmtId="0" fontId="8" fillId="16" borderId="2" xfId="0" applyFont="1" applyFill="1" applyBorder="1" applyAlignment="1" applyProtection="1">
      <alignment horizontal="center"/>
    </xf>
    <xf numFmtId="0" fontId="8" fillId="16" borderId="3" xfId="0" applyFont="1" applyFill="1" applyBorder="1" applyAlignment="1" applyProtection="1">
      <alignment horizontal="center"/>
    </xf>
    <xf numFmtId="0" fontId="8" fillId="16" borderId="4" xfId="0" applyFont="1" applyFill="1" applyBorder="1" applyAlignment="1" applyProtection="1">
      <alignment horizontal="center"/>
    </xf>
    <xf numFmtId="0" fontId="8" fillId="16" borderId="0" xfId="0" applyFont="1" applyFill="1" applyBorder="1" applyAlignment="1" applyProtection="1">
      <alignment horizontal="center" wrapText="1"/>
    </xf>
    <xf numFmtId="0" fontId="8" fillId="16" borderId="22" xfId="0" applyFont="1" applyFill="1" applyBorder="1" applyAlignment="1" applyProtection="1">
      <alignment horizontal="center" wrapText="1"/>
    </xf>
    <xf numFmtId="0" fontId="8" fillId="16" borderId="14" xfId="0" applyFont="1" applyFill="1" applyBorder="1" applyAlignment="1" applyProtection="1">
      <alignment horizontal="center" wrapText="1"/>
    </xf>
    <xf numFmtId="0" fontId="8" fillId="16" borderId="23" xfId="0" applyFont="1" applyFill="1" applyBorder="1" applyAlignment="1" applyProtection="1">
      <alignment horizontal="center" wrapText="1"/>
    </xf>
  </cellXfs>
  <cellStyles count="32">
    <cellStyle name="$" xfId="8"/>
    <cellStyle name="$.00" xfId="9"/>
    <cellStyle name="$_9. Rev2Cost_GDPIPI" xfId="10"/>
    <cellStyle name="$_lists" xfId="11"/>
    <cellStyle name="$_lists_4. Current Monthly Fixed Charge" xfId="12"/>
    <cellStyle name="$_Sheet4" xfId="13"/>
    <cellStyle name="$M" xfId="14"/>
    <cellStyle name="$M.00" xfId="15"/>
    <cellStyle name="$M_9. Rev2Cost_GDPIPI" xfId="16"/>
    <cellStyle name="Comma 2" xfId="7"/>
    <cellStyle name="Comma 3" xfId="17"/>
    <cellStyle name="Comma 4" xfId="3"/>
    <cellStyle name="Comma0" xfId="18"/>
    <cellStyle name="Currency 2" xfId="4"/>
    <cellStyle name="Currency 3" xfId="6"/>
    <cellStyle name="Currency0" xfId="19"/>
    <cellStyle name="Date" xfId="20"/>
    <cellStyle name="Fixed" xfId="21"/>
    <cellStyle name="Grey" xfId="22"/>
    <cellStyle name="Input [yellow]" xfId="23"/>
    <cellStyle name="M" xfId="24"/>
    <cellStyle name="M.00" xfId="25"/>
    <cellStyle name="M_9. Rev2Cost_GDPIPI" xfId="26"/>
    <cellStyle name="M_lists" xfId="27"/>
    <cellStyle name="M_lists_4. Current Monthly Fixed Charge" xfId="28"/>
    <cellStyle name="M_Sheet4" xfId="29"/>
    <cellStyle name="Normal" xfId="0" builtinId="0"/>
    <cellStyle name="Normal - Style1" xfId="30"/>
    <cellStyle name="Normal 2" xfId="2"/>
    <cellStyle name="Percent" xfId="1" builtinId="5"/>
    <cellStyle name="Percent [2]" xfId="31"/>
    <cellStyle name="Percent 2" xfId="5"/>
  </cellStyles>
  <dxfs count="8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5" name="Option Button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6" name="Option Butto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08" name="Option Button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50</xdr:row>
          <xdr:rowOff>57150</xdr:rowOff>
        </xdr:from>
        <xdr:to>
          <xdr:col>10</xdr:col>
          <xdr:colOff>209550</xdr:colOff>
          <xdr:row>52</xdr:row>
          <xdr:rowOff>19050</xdr:rowOff>
        </xdr:to>
        <xdr:sp macro="" textlink="">
          <xdr:nvSpPr>
            <xdr:cNvPr id="4109" name="Option Button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50</xdr:row>
          <xdr:rowOff>57150</xdr:rowOff>
        </xdr:from>
        <xdr:to>
          <xdr:col>16</xdr:col>
          <xdr:colOff>314325</xdr:colOff>
          <xdr:row>52</xdr:row>
          <xdr:rowOff>38100</xdr:rowOff>
        </xdr:to>
        <xdr:sp macro="" textlink="">
          <xdr:nvSpPr>
            <xdr:cNvPr id="4110" name="Option Button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Management\99%20Budget\NEWCHARTOFACCOUN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4%20IRM%20Rate%20Application/LH%20Draft%20Work%20Forms/London_Hydro_2014%20IRM%20Rate%20Generator_V2.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ondon_Hydro_2018%20IRM%20Rate%20Generator%20Model%20-%20V1.1%20-WIP_20170921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5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Department\Monthly%20Reconciliations\2008\12.08\Regulatory%20account%20reconciliations%20Dec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Units"/>
      <sheetName val="Dept. Discussions"/>
      <sheetName val="Accounting Practices"/>
      <sheetName val="Corp. Reorg Needs"/>
      <sheetName val="Balance Sheet"/>
      <sheetName val="Income Statement"/>
      <sheetName val="Oper - WOs"/>
      <sheetName val="G&amp;A -Ops"/>
      <sheetName val="Current Op Exp"/>
      <sheetName val="G&amp;A"/>
      <sheetName val="Capital vs Operating"/>
      <sheetName val="Capital Accounts"/>
      <sheetName val="FTE 2003"/>
      <sheetName val="Headcount Reconciliation 2003"/>
      <sheetName val="FTE 2002"/>
      <sheetName val="HCR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RESIDENTIAL</v>
          </cell>
        </row>
        <row r="20">
          <cell r="B20" t="str">
            <v>GENERAL SERVICE LESS THAN 50 KW</v>
          </cell>
        </row>
        <row r="21">
          <cell r="B21" t="str">
            <v>GENERAL SERVICE 50 TO 4,999 KW</v>
          </cell>
        </row>
        <row r="22">
          <cell r="B22" t="str">
            <v>GENERAL SERVICE 1,000 TO 4,999 KW (CO-GENERATION)</v>
          </cell>
        </row>
        <row r="23">
          <cell r="B23" t="str">
            <v>STANDBY POWER - APPROVED ON AN INTERIM BASIS</v>
          </cell>
        </row>
        <row r="24">
          <cell r="B24" t="str">
            <v>LARGE USE</v>
          </cell>
        </row>
        <row r="25">
          <cell r="B25" t="str">
            <v>STREET LIGHTING</v>
          </cell>
        </row>
        <row r="26">
          <cell r="B26" t="str">
            <v>SENTINEL LIGHTING</v>
          </cell>
        </row>
        <row r="27">
          <cell r="B27" t="str">
            <v>UNMETERED SCATTERED LOAD</v>
          </cell>
        </row>
        <row r="28">
          <cell r="B28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  <row r="29">
          <cell r="D29">
            <v>7.0000000000000001E-3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 and Notes"/>
      <sheetName val="WP"/>
      <sheetName val="Reg AC summary"/>
      <sheetName val="10.1508 Summary"/>
      <sheetName val="10.1508 OMERS "/>
      <sheetName val="10.1508 OEB Cost Assess"/>
      <sheetName val="10.1509 "/>
      <sheetName val="10.1518 )"/>
      <sheetName val="10.1548"/>
      <sheetName val="10.1550 "/>
      <sheetName val="10.1555 "/>
      <sheetName val="10.1556"/>
      <sheetName val="1555 REC"/>
      <sheetName val="1556 REC"/>
      <sheetName val=" 1562  PILs  "/>
      <sheetName val=" 1592  PILs "/>
      <sheetName val="10.1590 Recoveries "/>
      <sheetName val="10.3416 - OPC"/>
      <sheetName val="10.3511"/>
      <sheetName val="10.1480"/>
      <sheetName val="10.34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5"/>
  <sheetViews>
    <sheetView tabSelected="1" topLeftCell="C1" zoomScaleNormal="100" workbookViewId="0">
      <selection activeCell="D1" sqref="D1"/>
    </sheetView>
  </sheetViews>
  <sheetFormatPr defaultRowHeight="15" x14ac:dyDescent="0.25"/>
  <cols>
    <col min="1" max="1" width="9" style="8" hidden="1" customWidth="1"/>
    <col min="2" max="2" width="4.7109375" style="8" hidden="1" customWidth="1"/>
    <col min="3" max="3" width="3.42578125" style="10" customWidth="1"/>
    <col min="4" max="4" width="34.7109375" style="8" customWidth="1"/>
    <col min="5" max="5" width="13.140625" style="8" customWidth="1"/>
    <col min="6" max="6" width="12.5703125" style="8" customWidth="1"/>
    <col min="7" max="7" width="10.28515625" style="8" bestFit="1" customWidth="1"/>
    <col min="8" max="8" width="18.140625" style="8" customWidth="1"/>
    <col min="9" max="9" width="12.85546875" style="8" customWidth="1"/>
    <col min="10" max="10" width="14.28515625" style="8" bestFit="1" customWidth="1"/>
    <col min="11" max="11" width="18.85546875" style="8" bestFit="1" customWidth="1"/>
    <col min="12" max="12" width="13.5703125" style="8" bestFit="1" customWidth="1"/>
    <col min="13" max="13" width="15.85546875" style="8" customWidth="1"/>
    <col min="14" max="14" width="19.28515625" style="8" customWidth="1"/>
    <col min="15" max="15" width="14.42578125" style="8" customWidth="1"/>
  </cols>
  <sheetData>
    <row r="1" spans="1:15" ht="24.75" x14ac:dyDescent="0.25">
      <c r="A1" s="14"/>
      <c r="B1" s="14"/>
      <c r="C1" s="1"/>
      <c r="D1" s="280" t="s">
        <v>25</v>
      </c>
      <c r="E1" s="11"/>
      <c r="F1" s="11"/>
      <c r="G1" s="11"/>
      <c r="H1" s="11"/>
      <c r="I1" s="11"/>
      <c r="J1" s="11"/>
      <c r="K1" s="11"/>
      <c r="L1" s="12"/>
      <c r="M1" s="13"/>
      <c r="N1" s="14"/>
      <c r="O1" s="14"/>
    </row>
    <row r="2" spans="1:15" ht="18" x14ac:dyDescent="0.25">
      <c r="A2" s="14"/>
      <c r="B2" s="14"/>
      <c r="C2" s="2"/>
      <c r="D2" s="15"/>
      <c r="E2" s="15"/>
      <c r="F2" s="15"/>
      <c r="G2" s="15"/>
      <c r="H2" s="15"/>
      <c r="I2" s="15"/>
      <c r="J2" s="15"/>
      <c r="K2" s="15"/>
      <c r="L2" s="12"/>
      <c r="M2" s="13"/>
      <c r="N2" s="14"/>
      <c r="O2" s="14"/>
    </row>
    <row r="3" spans="1:15" ht="15.75" x14ac:dyDescent="0.25">
      <c r="A3" s="14"/>
      <c r="B3" s="14"/>
      <c r="C3" s="4"/>
      <c r="D3" s="17" t="s">
        <v>1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5.25" customHeight="1" x14ac:dyDescent="0.25">
      <c r="A4" s="14"/>
      <c r="B4" s="14"/>
      <c r="C4" s="2"/>
      <c r="D4" s="294" t="s">
        <v>0</v>
      </c>
      <c r="E4" s="295"/>
      <c r="F4" s="296"/>
      <c r="G4" s="18" t="s">
        <v>2</v>
      </c>
      <c r="H4" s="19" t="s">
        <v>3</v>
      </c>
      <c r="I4" s="19" t="s">
        <v>4</v>
      </c>
      <c r="J4" s="19" t="s">
        <v>5</v>
      </c>
      <c r="K4" s="19" t="s">
        <v>6</v>
      </c>
      <c r="L4" s="19" t="s">
        <v>7</v>
      </c>
      <c r="M4" s="20" t="s">
        <v>8</v>
      </c>
      <c r="N4" s="21" t="s">
        <v>9</v>
      </c>
      <c r="O4" s="16"/>
    </row>
    <row r="5" spans="1:15" x14ac:dyDescent="0.25">
      <c r="A5" s="14"/>
      <c r="B5" s="14"/>
      <c r="C5" s="3"/>
      <c r="D5" s="22" t="s">
        <v>10</v>
      </c>
      <c r="E5" s="23"/>
      <c r="F5" s="24"/>
      <c r="G5" s="25" t="s">
        <v>19</v>
      </c>
      <c r="H5" s="26" t="s">
        <v>20</v>
      </c>
      <c r="I5" s="27">
        <v>1.0315000000000001</v>
      </c>
      <c r="J5" s="28">
        <v>1.0315000000000001</v>
      </c>
      <c r="K5" s="29">
        <v>800</v>
      </c>
      <c r="L5" s="29"/>
      <c r="M5" s="26"/>
      <c r="N5" s="30"/>
      <c r="O5" s="16"/>
    </row>
    <row r="6" spans="1:15" x14ac:dyDescent="0.25">
      <c r="A6" s="14"/>
      <c r="B6" s="14"/>
      <c r="C6" s="3"/>
      <c r="D6" s="22" t="s">
        <v>11</v>
      </c>
      <c r="E6" s="23"/>
      <c r="F6" s="24"/>
      <c r="G6" s="25" t="s">
        <v>19</v>
      </c>
      <c r="H6" s="26" t="s">
        <v>20</v>
      </c>
      <c r="I6" s="27">
        <v>1.0315000000000001</v>
      </c>
      <c r="J6" s="28">
        <v>1.0315000000000001</v>
      </c>
      <c r="K6" s="29">
        <v>2000</v>
      </c>
      <c r="L6" s="29"/>
      <c r="M6" s="26"/>
      <c r="N6" s="30"/>
      <c r="O6" s="16"/>
    </row>
    <row r="7" spans="1:15" x14ac:dyDescent="0.25">
      <c r="A7" s="14"/>
      <c r="B7" s="14"/>
      <c r="C7" s="3"/>
      <c r="D7" s="22" t="s">
        <v>12</v>
      </c>
      <c r="E7" s="23"/>
      <c r="F7" s="24"/>
      <c r="G7" s="25" t="s">
        <v>21</v>
      </c>
      <c r="H7" s="26" t="s">
        <v>22</v>
      </c>
      <c r="I7" s="27">
        <v>1.0315000000000001</v>
      </c>
      <c r="J7" s="28">
        <v>1.0315000000000001</v>
      </c>
      <c r="K7" s="29">
        <v>1095000</v>
      </c>
      <c r="L7" s="29">
        <v>2500</v>
      </c>
      <c r="M7" s="26" t="s">
        <v>23</v>
      </c>
      <c r="N7" s="30"/>
      <c r="O7" s="16"/>
    </row>
    <row r="8" spans="1:15" x14ac:dyDescent="0.25">
      <c r="A8" s="14"/>
      <c r="B8" s="14"/>
      <c r="C8" s="3"/>
      <c r="D8" s="22" t="s">
        <v>13</v>
      </c>
      <c r="E8" s="23"/>
      <c r="F8" s="24"/>
      <c r="G8" s="25" t="s">
        <v>21</v>
      </c>
      <c r="H8" s="26" t="s">
        <v>22</v>
      </c>
      <c r="I8" s="27">
        <v>1.0315000000000001</v>
      </c>
      <c r="J8" s="28">
        <v>1.0315000000000001</v>
      </c>
      <c r="K8" s="29">
        <v>1095000</v>
      </c>
      <c r="L8" s="29">
        <v>2500</v>
      </c>
      <c r="M8" s="26" t="s">
        <v>24</v>
      </c>
      <c r="N8" s="30"/>
      <c r="O8" s="16"/>
    </row>
    <row r="9" spans="1:15" x14ac:dyDescent="0.25">
      <c r="A9" s="16"/>
      <c r="B9" s="16"/>
      <c r="C9" s="4"/>
      <c r="D9" s="22" t="s">
        <v>14</v>
      </c>
      <c r="E9" s="23"/>
      <c r="F9" s="24"/>
      <c r="G9" s="25" t="s">
        <v>21</v>
      </c>
      <c r="H9" s="26" t="s">
        <v>22</v>
      </c>
      <c r="I9" s="27">
        <v>1.0315000000000001</v>
      </c>
      <c r="J9" s="28">
        <v>1.0315000000000001</v>
      </c>
      <c r="K9" s="29"/>
      <c r="L9" s="29">
        <v>3500</v>
      </c>
      <c r="M9" s="26" t="s">
        <v>24</v>
      </c>
      <c r="N9" s="30"/>
      <c r="O9" s="16"/>
    </row>
    <row r="10" spans="1:15" x14ac:dyDescent="0.25">
      <c r="A10" s="16"/>
      <c r="B10" s="16"/>
      <c r="C10" s="4"/>
      <c r="D10" s="22" t="s">
        <v>15</v>
      </c>
      <c r="E10" s="23"/>
      <c r="F10" s="24"/>
      <c r="G10" s="25" t="s">
        <v>21</v>
      </c>
      <c r="H10" s="26" t="s">
        <v>22</v>
      </c>
      <c r="I10" s="27">
        <v>1.0145999999999999</v>
      </c>
      <c r="J10" s="28">
        <v>1.0145999999999999</v>
      </c>
      <c r="K10" s="29">
        <v>5600000</v>
      </c>
      <c r="L10" s="29">
        <v>10700</v>
      </c>
      <c r="M10" s="26" t="s">
        <v>24</v>
      </c>
      <c r="N10" s="30"/>
      <c r="O10" s="16"/>
    </row>
    <row r="11" spans="1:15" x14ac:dyDescent="0.25">
      <c r="A11" s="16"/>
      <c r="B11" s="16"/>
      <c r="C11" s="4"/>
      <c r="D11" s="22" t="s">
        <v>16</v>
      </c>
      <c r="E11" s="23"/>
      <c r="F11" s="24"/>
      <c r="G11" s="25" t="s">
        <v>21</v>
      </c>
      <c r="H11" s="26" t="s">
        <v>22</v>
      </c>
      <c r="I11" s="27">
        <v>1.0315000000000001</v>
      </c>
      <c r="J11" s="28">
        <v>1.0315000000000001</v>
      </c>
      <c r="K11" s="29">
        <v>256</v>
      </c>
      <c r="L11" s="29">
        <v>0.5</v>
      </c>
      <c r="M11" s="26" t="s">
        <v>24</v>
      </c>
      <c r="N11" s="31"/>
      <c r="O11" s="16"/>
    </row>
    <row r="12" spans="1:15" x14ac:dyDescent="0.25">
      <c r="A12" s="16"/>
      <c r="B12" s="16"/>
      <c r="C12" s="4"/>
      <c r="D12" s="22" t="s">
        <v>17</v>
      </c>
      <c r="E12" s="23"/>
      <c r="F12" s="24"/>
      <c r="G12" s="25" t="s">
        <v>21</v>
      </c>
      <c r="H12" s="26" t="s">
        <v>22</v>
      </c>
      <c r="I12" s="27">
        <v>1.0315000000000001</v>
      </c>
      <c r="J12" s="28">
        <v>1.0315000000000001</v>
      </c>
      <c r="K12" s="29">
        <v>180</v>
      </c>
      <c r="L12" s="29">
        <v>0.1</v>
      </c>
      <c r="M12" s="26" t="s">
        <v>24</v>
      </c>
      <c r="N12" s="31"/>
      <c r="O12" s="16"/>
    </row>
    <row r="13" spans="1:15" x14ac:dyDescent="0.25">
      <c r="A13" s="16"/>
      <c r="B13" s="16"/>
      <c r="C13" s="5"/>
      <c r="D13" s="22" t="s">
        <v>18</v>
      </c>
      <c r="E13" s="23"/>
      <c r="F13" s="24"/>
      <c r="G13" s="25" t="s">
        <v>19</v>
      </c>
      <c r="H13" s="26" t="s">
        <v>20</v>
      </c>
      <c r="I13" s="27">
        <v>1.0315000000000001</v>
      </c>
      <c r="J13" s="28">
        <v>1.0315000000000001</v>
      </c>
      <c r="K13" s="29">
        <v>2000</v>
      </c>
      <c r="L13" s="29"/>
      <c r="M13" s="26"/>
      <c r="N13" s="31"/>
      <c r="O13" s="16"/>
    </row>
    <row r="14" spans="1:15" hidden="1" x14ac:dyDescent="0.25">
      <c r="A14" s="16"/>
      <c r="B14" s="16"/>
      <c r="C14" s="4"/>
      <c r="D14" s="32"/>
      <c r="E14" s="33"/>
      <c r="F14" s="34"/>
      <c r="G14" s="25"/>
      <c r="H14" s="26"/>
      <c r="I14" s="27"/>
      <c r="J14" s="28"/>
      <c r="K14" s="29"/>
      <c r="L14" s="29"/>
      <c r="M14" s="26"/>
      <c r="N14" s="30"/>
      <c r="O14" s="16"/>
    </row>
    <row r="15" spans="1:15" hidden="1" x14ac:dyDescent="0.25">
      <c r="A15" s="16"/>
      <c r="B15" s="16"/>
      <c r="C15" s="4"/>
      <c r="D15" s="32"/>
      <c r="E15" s="33"/>
      <c r="F15" s="34"/>
      <c r="G15" s="25"/>
      <c r="H15" s="26"/>
      <c r="I15" s="27"/>
      <c r="J15" s="28"/>
      <c r="K15" s="29"/>
      <c r="L15" s="29"/>
      <c r="M15" s="26"/>
      <c r="N15" s="30"/>
      <c r="O15" s="16"/>
    </row>
    <row r="16" spans="1:15" hidden="1" x14ac:dyDescent="0.25">
      <c r="A16" s="16"/>
      <c r="B16" s="16"/>
      <c r="C16" s="4"/>
      <c r="D16" s="32"/>
      <c r="E16" s="33"/>
      <c r="F16" s="34"/>
      <c r="G16" s="25"/>
      <c r="H16" s="26"/>
      <c r="I16" s="27"/>
      <c r="J16" s="28"/>
      <c r="K16" s="29"/>
      <c r="L16" s="29"/>
      <c r="M16" s="26"/>
      <c r="N16" s="30"/>
      <c r="O16" s="16"/>
    </row>
    <row r="17" spans="1:15" hidden="1" x14ac:dyDescent="0.25">
      <c r="A17" s="16"/>
      <c r="B17" s="16"/>
      <c r="C17" s="4"/>
      <c r="D17" s="32"/>
      <c r="E17" s="33"/>
      <c r="F17" s="34"/>
      <c r="G17" s="25"/>
      <c r="H17" s="26"/>
      <c r="I17" s="27"/>
      <c r="J17" s="28"/>
      <c r="K17" s="29"/>
      <c r="L17" s="29"/>
      <c r="M17" s="26"/>
      <c r="N17" s="30"/>
      <c r="O17" s="16"/>
    </row>
    <row r="18" spans="1:15" hidden="1" x14ac:dyDescent="0.25">
      <c r="A18" s="16"/>
      <c r="B18" s="16"/>
      <c r="C18" s="4"/>
      <c r="D18" s="32"/>
      <c r="E18" s="33"/>
      <c r="F18" s="34"/>
      <c r="G18" s="25"/>
      <c r="H18" s="26"/>
      <c r="I18" s="27"/>
      <c r="J18" s="28"/>
      <c r="K18" s="29"/>
      <c r="L18" s="29"/>
      <c r="M18" s="26"/>
      <c r="N18" s="30"/>
      <c r="O18" s="16"/>
    </row>
    <row r="19" spans="1:15" hidden="1" x14ac:dyDescent="0.25">
      <c r="A19" s="16"/>
      <c r="B19" s="16"/>
      <c r="C19" s="4"/>
      <c r="D19" s="32"/>
      <c r="E19" s="33"/>
      <c r="F19" s="34"/>
      <c r="G19" s="25"/>
      <c r="H19" s="26"/>
      <c r="I19" s="27"/>
      <c r="J19" s="28"/>
      <c r="K19" s="29"/>
      <c r="L19" s="29"/>
      <c r="M19" s="26"/>
      <c r="N19" s="30"/>
      <c r="O19" s="16"/>
    </row>
    <row r="20" spans="1:15" hidden="1" x14ac:dyDescent="0.25">
      <c r="A20" s="16"/>
      <c r="B20" s="16"/>
      <c r="C20" s="4"/>
      <c r="D20" s="32"/>
      <c r="E20" s="33"/>
      <c r="F20" s="34"/>
      <c r="G20" s="25"/>
      <c r="H20" s="26"/>
      <c r="I20" s="27"/>
      <c r="J20" s="28"/>
      <c r="K20" s="29"/>
      <c r="L20" s="29"/>
      <c r="M20" s="26"/>
      <c r="N20" s="30"/>
      <c r="O20" s="16"/>
    </row>
    <row r="21" spans="1:15" hidden="1" x14ac:dyDescent="0.25">
      <c r="A21" s="16"/>
      <c r="B21" s="16"/>
      <c r="C21" s="4"/>
      <c r="D21" s="32"/>
      <c r="E21" s="33"/>
      <c r="F21" s="34"/>
      <c r="G21" s="25"/>
      <c r="H21" s="26"/>
      <c r="I21" s="27"/>
      <c r="J21" s="28"/>
      <c r="K21" s="29"/>
      <c r="L21" s="29"/>
      <c r="M21" s="26"/>
      <c r="N21" s="30"/>
      <c r="O21" s="16"/>
    </row>
    <row r="22" spans="1:15" hidden="1" x14ac:dyDescent="0.25">
      <c r="A22" s="16"/>
      <c r="B22" s="16"/>
      <c r="C22" s="4"/>
      <c r="D22" s="32"/>
      <c r="E22" s="33"/>
      <c r="F22" s="34"/>
      <c r="G22" s="25"/>
      <c r="H22" s="26"/>
      <c r="I22" s="27"/>
      <c r="J22" s="28"/>
      <c r="K22" s="29"/>
      <c r="L22" s="29"/>
      <c r="M22" s="26"/>
      <c r="N22" s="30"/>
      <c r="O22" s="16"/>
    </row>
    <row r="23" spans="1:15" hidden="1" x14ac:dyDescent="0.25">
      <c r="A23" s="16"/>
      <c r="B23" s="16"/>
      <c r="C23" s="4"/>
      <c r="D23" s="32"/>
      <c r="E23" s="33"/>
      <c r="F23" s="34"/>
      <c r="G23" s="25"/>
      <c r="H23" s="26"/>
      <c r="I23" s="27"/>
      <c r="J23" s="28"/>
      <c r="K23" s="29"/>
      <c r="L23" s="29"/>
      <c r="M23" s="26"/>
      <c r="N23" s="30"/>
      <c r="O23" s="16"/>
    </row>
    <row r="24" spans="1:15" hidden="1" x14ac:dyDescent="0.25">
      <c r="A24" s="16"/>
      <c r="B24" s="16"/>
      <c r="C24" s="4"/>
      <c r="D24" s="32"/>
      <c r="E24" s="33"/>
      <c r="F24" s="34"/>
      <c r="G24" s="25"/>
      <c r="H24" s="26"/>
      <c r="I24" s="27"/>
      <c r="J24" s="28"/>
      <c r="K24" s="29"/>
      <c r="L24" s="29"/>
      <c r="M24" s="26"/>
      <c r="N24" s="30"/>
      <c r="O24" s="16"/>
    </row>
    <row r="25" spans="1:15" x14ac:dyDescent="0.25">
      <c r="A25" s="16"/>
      <c r="B25" s="16"/>
      <c r="C25" s="4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15.75" x14ac:dyDescent="0.25">
      <c r="A26" s="16"/>
      <c r="B26" s="16"/>
      <c r="C26" s="4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x14ac:dyDescent="0.25">
      <c r="A27" s="16"/>
      <c r="B27" s="16"/>
      <c r="C27" s="4"/>
      <c r="D27" s="281" t="s">
        <v>0</v>
      </c>
      <c r="E27" s="282"/>
      <c r="F27" s="283"/>
      <c r="G27" s="290" t="s">
        <v>2</v>
      </c>
      <c r="H27" s="292" t="s">
        <v>34</v>
      </c>
      <c r="I27" s="292"/>
      <c r="J27" s="292"/>
      <c r="K27" s="292"/>
      <c r="L27" s="292"/>
      <c r="M27" s="292"/>
      <c r="N27" s="292" t="s">
        <v>35</v>
      </c>
      <c r="O27" s="292"/>
    </row>
    <row r="28" spans="1:15" x14ac:dyDescent="0.25">
      <c r="A28" s="16"/>
      <c r="B28" s="16"/>
      <c r="C28" s="4"/>
      <c r="D28" s="284"/>
      <c r="E28" s="285"/>
      <c r="F28" s="286"/>
      <c r="G28" s="290"/>
      <c r="H28" s="293" t="s">
        <v>36</v>
      </c>
      <c r="I28" s="293"/>
      <c r="J28" s="293" t="s">
        <v>37</v>
      </c>
      <c r="K28" s="293"/>
      <c r="L28" s="293" t="s">
        <v>38</v>
      </c>
      <c r="M28" s="293"/>
      <c r="N28" s="293" t="s">
        <v>39</v>
      </c>
      <c r="O28" s="293"/>
    </row>
    <row r="29" spans="1:15" ht="15.75" thickBot="1" x14ac:dyDescent="0.3">
      <c r="A29" s="16"/>
      <c r="B29" s="16"/>
      <c r="C29" s="4"/>
      <c r="D29" s="287"/>
      <c r="E29" s="288"/>
      <c r="F29" s="289"/>
      <c r="G29" s="291"/>
      <c r="H29" s="279" t="s">
        <v>40</v>
      </c>
      <c r="I29" s="279" t="s">
        <v>41</v>
      </c>
      <c r="J29" s="279" t="s">
        <v>40</v>
      </c>
      <c r="K29" s="279" t="s">
        <v>41</v>
      </c>
      <c r="L29" s="279" t="s">
        <v>40</v>
      </c>
      <c r="M29" s="279" t="s">
        <v>41</v>
      </c>
      <c r="N29" s="279" t="s">
        <v>40</v>
      </c>
      <c r="O29" s="279" t="s">
        <v>41</v>
      </c>
    </row>
    <row r="30" spans="1:15" ht="18.75" customHeight="1" x14ac:dyDescent="0.25">
      <c r="A30" s="16"/>
      <c r="B30" s="16"/>
      <c r="C30" s="6"/>
      <c r="D30" s="301" t="s">
        <v>26</v>
      </c>
      <c r="E30" s="302"/>
      <c r="F30" s="302"/>
      <c r="G30" s="276" t="str">
        <f t="shared" ref="G30:G33" si="0">IF(ISBLANK(G5), "", G5)</f>
        <v>kWh</v>
      </c>
      <c r="H30" s="277">
        <f>+L66</f>
        <v>0.20826299215138633</v>
      </c>
      <c r="I30" s="278">
        <f>+M66</f>
        <v>8.0070354537249647E-3</v>
      </c>
      <c r="J30" s="277">
        <f>+L74</f>
        <v>1.0582629921513877</v>
      </c>
      <c r="K30" s="278">
        <f>+M74</f>
        <v>3.8763598764715065E-2</v>
      </c>
      <c r="L30" s="277">
        <f>+L89</f>
        <v>-2.2425370078486111</v>
      </c>
      <c r="M30" s="278">
        <f>+M89</f>
        <v>-2.0898361884810941E-2</v>
      </c>
      <c r="N30" s="277">
        <f>+L92</f>
        <v>-2.3546638582410537</v>
      </c>
      <c r="O30" s="278">
        <f>+M92</f>
        <v>-2.0898361884811048E-2</v>
      </c>
    </row>
    <row r="31" spans="1:15" ht="29.25" customHeight="1" x14ac:dyDescent="0.25">
      <c r="A31" s="16"/>
      <c r="B31" s="16"/>
      <c r="C31" s="6"/>
      <c r="D31" s="297" t="s">
        <v>27</v>
      </c>
      <c r="E31" s="298"/>
      <c r="F31" s="298"/>
      <c r="G31" s="35" t="str">
        <f t="shared" si="0"/>
        <v>kWh</v>
      </c>
      <c r="H31" s="36">
        <f>+L120</f>
        <v>1.8645350547807169</v>
      </c>
      <c r="I31" s="37">
        <f>+M120</f>
        <v>3.3777808963418782E-2</v>
      </c>
      <c r="J31" s="36">
        <f>+L128</f>
        <v>4.7145350547807112</v>
      </c>
      <c r="K31" s="37">
        <f>+M128</f>
        <v>8.3125192269647527E-2</v>
      </c>
      <c r="L31" s="36">
        <f>+L143</f>
        <v>-2.7122649452192604</v>
      </c>
      <c r="M31" s="37">
        <f>+M143</f>
        <v>-1.0117077866134966E-2</v>
      </c>
      <c r="N31" s="36">
        <f>+L146</f>
        <v>-2.8478781924802661</v>
      </c>
      <c r="O31" s="37">
        <f>+M146</f>
        <v>-1.0117077866135117E-2</v>
      </c>
    </row>
    <row r="32" spans="1:15" ht="29.25" customHeight="1" x14ac:dyDescent="0.25">
      <c r="A32" s="16"/>
      <c r="B32" s="16"/>
      <c r="C32" s="6"/>
      <c r="D32" s="297" t="s">
        <v>28</v>
      </c>
      <c r="E32" s="298"/>
      <c r="F32" s="298"/>
      <c r="G32" s="35" t="str">
        <f t="shared" si="0"/>
        <v>kW</v>
      </c>
      <c r="H32" s="36">
        <f>+L174</f>
        <v>145.67487363615965</v>
      </c>
      <c r="I32" s="37">
        <f>+M174</f>
        <v>2.0616809863265837E-2</v>
      </c>
      <c r="J32" s="36">
        <f>+L182</f>
        <v>1353.0748736361597</v>
      </c>
      <c r="K32" s="37">
        <f>+M182</f>
        <v>0.33475960089268242</v>
      </c>
      <c r="L32" s="36">
        <f>+L202</f>
        <v>-3016.9251263638434</v>
      </c>
      <c r="M32" s="37">
        <f>+M202</f>
        <v>-1.9494932541393225E-2</v>
      </c>
      <c r="N32" s="36">
        <f>+L205</f>
        <v>-3409.1253927911457</v>
      </c>
      <c r="O32" s="37">
        <f>+M205</f>
        <v>-1.9494932541393239E-2</v>
      </c>
    </row>
    <row r="33" spans="1:15" ht="29.25" customHeight="1" x14ac:dyDescent="0.25">
      <c r="A33" s="16"/>
      <c r="B33" s="16"/>
      <c r="C33" s="6"/>
      <c r="D33" s="297" t="s">
        <v>29</v>
      </c>
      <c r="E33" s="298"/>
      <c r="F33" s="298"/>
      <c r="G33" s="35" t="str">
        <f t="shared" si="0"/>
        <v>kW</v>
      </c>
      <c r="H33" s="36">
        <f>+L228</f>
        <v>636.0768519822559</v>
      </c>
      <c r="I33" s="37">
        <f>+M228</f>
        <v>5.7072793293344366E-2</v>
      </c>
      <c r="J33" s="36">
        <f>+L236</f>
        <v>832.97685198225554</v>
      </c>
      <c r="K33" s="37">
        <f>+M236</f>
        <v>8.7345173178126762E-2</v>
      </c>
      <c r="L33" s="36">
        <f>+L256</f>
        <v>-3988.2731480177317</v>
      </c>
      <c r="M33" s="37">
        <f>+M256</f>
        <v>-2.4652371730560067E-2</v>
      </c>
      <c r="N33" s="36">
        <f>+L259</f>
        <v>-4506.7486572600319</v>
      </c>
      <c r="O33" s="37">
        <f>+M259</f>
        <v>-2.4652371730560039E-2</v>
      </c>
    </row>
    <row r="34" spans="1:15" ht="18.75" customHeight="1" x14ac:dyDescent="0.25">
      <c r="A34" s="16"/>
      <c r="B34" s="16"/>
      <c r="C34" s="6"/>
      <c r="D34" s="297" t="s">
        <v>30</v>
      </c>
      <c r="E34" s="298"/>
      <c r="F34" s="298"/>
      <c r="G34" s="35" t="str">
        <f>IF(ISBLANK(G10), "", G10)</f>
        <v>kW</v>
      </c>
      <c r="H34" s="36">
        <f>+L282</f>
        <v>3335.373134660942</v>
      </c>
      <c r="I34" s="37">
        <f>+M282</f>
        <v>7.9081409996833357E-2</v>
      </c>
      <c r="J34" s="36">
        <f>+L290</f>
        <v>12061.843134660943</v>
      </c>
      <c r="K34" s="37">
        <f>+M290</f>
        <v>0.50681397326653643</v>
      </c>
      <c r="L34" s="36">
        <f>+L310</f>
        <v>-6855.7568653390044</v>
      </c>
      <c r="M34" s="37">
        <f>+M310</f>
        <v>-8.873366187013761E-3</v>
      </c>
      <c r="N34" s="36">
        <f>+L313</f>
        <v>-7747.0052578330506</v>
      </c>
      <c r="O34" s="37">
        <f>+M313</f>
        <v>-8.8733661870137315E-3</v>
      </c>
    </row>
    <row r="35" spans="1:15" ht="29.25" customHeight="1" x14ac:dyDescent="0.25">
      <c r="A35" s="16"/>
      <c r="B35" s="16"/>
      <c r="C35" s="6"/>
      <c r="D35" s="297" t="s">
        <v>31</v>
      </c>
      <c r="E35" s="298"/>
      <c r="F35" s="298"/>
      <c r="G35" s="35" t="str">
        <f>IF(ISBLANK(G11), "", G11)</f>
        <v>kW</v>
      </c>
      <c r="H35" s="36">
        <f>+L336</f>
        <v>0.21452778017131724</v>
      </c>
      <c r="I35" s="37">
        <f>+M336</f>
        <v>3.8534924856984287E-2</v>
      </c>
      <c r="J35" s="36">
        <f>+L344</f>
        <v>0.41812778017131702</v>
      </c>
      <c r="K35" s="37">
        <f>+M344</f>
        <v>7.1234992694224675E-2</v>
      </c>
      <c r="L35" s="36">
        <f>+L364</f>
        <v>-0.1566722198286854</v>
      </c>
      <c r="M35" s="37">
        <f>+M364</f>
        <v>-4.015959948440115E-3</v>
      </c>
      <c r="N35" s="36">
        <f>+L367</f>
        <v>-0.17703960840641741</v>
      </c>
      <c r="O35" s="37">
        <f>+M367</f>
        <v>-4.0159599484401818E-3</v>
      </c>
    </row>
    <row r="36" spans="1:15" ht="29.25" customHeight="1" x14ac:dyDescent="0.25">
      <c r="A36" s="16"/>
      <c r="B36" s="16"/>
      <c r="C36" s="6"/>
      <c r="D36" s="297" t="s">
        <v>32</v>
      </c>
      <c r="E36" s="298"/>
      <c r="F36" s="298"/>
      <c r="G36" s="35" t="str">
        <f>IF(ISBLANK(G12), "", G12)</f>
        <v>kW</v>
      </c>
      <c r="H36" s="36">
        <f>+L390</f>
        <v>0.22027533364953111</v>
      </c>
      <c r="I36" s="37">
        <f>+M390</f>
        <v>3.5985234052660825E-2</v>
      </c>
      <c r="J36" s="36">
        <f>+L398</f>
        <v>0.22497533364953082</v>
      </c>
      <c r="K36" s="37">
        <f>+M398</f>
        <v>3.4357675995039548E-2</v>
      </c>
      <c r="L36" s="36">
        <f>+L418</f>
        <v>0.10985533364953071</v>
      </c>
      <c r="M36" s="37">
        <f>+M418</f>
        <v>3.7910288166156225E-3</v>
      </c>
      <c r="N36" s="36">
        <f>+L421</f>
        <v>0.12413652702397115</v>
      </c>
      <c r="O36" s="37">
        <f>+M421</f>
        <v>3.7910288166156667E-3</v>
      </c>
    </row>
    <row r="37" spans="1:15" ht="29.25" customHeight="1" x14ac:dyDescent="0.25">
      <c r="A37" s="16"/>
      <c r="B37" s="16"/>
      <c r="C37" s="6"/>
      <c r="D37" s="297" t="s">
        <v>33</v>
      </c>
      <c r="E37" s="298"/>
      <c r="F37" s="298"/>
      <c r="G37" s="35" t="str">
        <f>IF(ISBLANK(G13), "", G13)</f>
        <v>kWh</v>
      </c>
      <c r="H37" s="36">
        <f>+L444</f>
        <v>1.6909704433402268</v>
      </c>
      <c r="I37" s="37">
        <f>+M444</f>
        <v>4.1092841879470883E-2</v>
      </c>
      <c r="J37" s="36">
        <f>+L452</f>
        <v>4.8909704433402226</v>
      </c>
      <c r="K37" s="37">
        <f>+M452</f>
        <v>0.11778069211782626</v>
      </c>
      <c r="L37" s="36">
        <f>+L467</f>
        <v>-2.5358295566597917</v>
      </c>
      <c r="M37" s="37">
        <f>+M467</f>
        <v>-1.0027092988557636E-2</v>
      </c>
      <c r="N37" s="36">
        <f>+L470</f>
        <v>-2.8654873990255396</v>
      </c>
      <c r="O37" s="37">
        <f>+M470</f>
        <v>-1.002709298855755E-2</v>
      </c>
    </row>
    <row r="38" spans="1:15" hidden="1" x14ac:dyDescent="0.25">
      <c r="A38" s="16"/>
      <c r="B38" s="16"/>
      <c r="C38" s="6"/>
      <c r="D38" s="299"/>
      <c r="E38" s="300"/>
      <c r="F38" s="300"/>
      <c r="G38" s="35"/>
      <c r="H38" s="36"/>
      <c r="I38" s="37"/>
      <c r="J38" s="36"/>
      <c r="K38" s="37"/>
      <c r="L38" s="36"/>
      <c r="M38" s="37"/>
      <c r="N38" s="36"/>
      <c r="O38" s="37"/>
    </row>
    <row r="39" spans="1:15" hidden="1" x14ac:dyDescent="0.25">
      <c r="A39" s="16"/>
      <c r="B39" s="16"/>
      <c r="C39" s="6"/>
      <c r="D39" s="299"/>
      <c r="E39" s="300"/>
      <c r="F39" s="300"/>
      <c r="G39" s="35"/>
      <c r="H39" s="36"/>
      <c r="I39" s="37"/>
      <c r="J39" s="36"/>
      <c r="K39" s="37"/>
      <c r="L39" s="36"/>
      <c r="M39" s="37"/>
      <c r="N39" s="36"/>
      <c r="O39" s="37"/>
    </row>
    <row r="40" spans="1:15" hidden="1" x14ac:dyDescent="0.25">
      <c r="A40" s="16"/>
      <c r="B40" s="16"/>
      <c r="C40" s="6"/>
      <c r="D40" s="299"/>
      <c r="E40" s="300"/>
      <c r="F40" s="300"/>
      <c r="G40" s="35"/>
      <c r="H40" s="36"/>
      <c r="I40" s="37"/>
      <c r="J40" s="36"/>
      <c r="K40" s="37"/>
      <c r="L40" s="36"/>
      <c r="M40" s="37"/>
      <c r="N40" s="36"/>
      <c r="O40" s="37"/>
    </row>
    <row r="41" spans="1:15" hidden="1" x14ac:dyDescent="0.25">
      <c r="A41" s="16"/>
      <c r="B41" s="16"/>
      <c r="C41" s="6"/>
      <c r="D41" s="299"/>
      <c r="E41" s="300"/>
      <c r="F41" s="300"/>
      <c r="G41" s="35"/>
      <c r="H41" s="36"/>
      <c r="I41" s="37"/>
      <c r="J41" s="36"/>
      <c r="K41" s="37"/>
      <c r="L41" s="36"/>
      <c r="M41" s="37"/>
      <c r="N41" s="36"/>
      <c r="O41" s="37"/>
    </row>
    <row r="42" spans="1:15" hidden="1" x14ac:dyDescent="0.25">
      <c r="A42" s="16"/>
      <c r="B42" s="16"/>
      <c r="C42" s="6"/>
      <c r="D42" s="299"/>
      <c r="E42" s="300"/>
      <c r="F42" s="300"/>
      <c r="G42" s="35"/>
      <c r="H42" s="36"/>
      <c r="I42" s="37"/>
      <c r="J42" s="36"/>
      <c r="K42" s="37"/>
      <c r="L42" s="36"/>
      <c r="M42" s="37"/>
      <c r="N42" s="36"/>
      <c r="O42" s="37"/>
    </row>
    <row r="43" spans="1:15" hidden="1" x14ac:dyDescent="0.25">
      <c r="A43" s="16"/>
      <c r="B43" s="16"/>
      <c r="C43" s="6"/>
      <c r="D43" s="299"/>
      <c r="E43" s="300"/>
      <c r="F43" s="300"/>
      <c r="G43" s="35"/>
      <c r="H43" s="36"/>
      <c r="I43" s="37"/>
      <c r="J43" s="36"/>
      <c r="K43" s="37"/>
      <c r="L43" s="36"/>
      <c r="M43" s="37"/>
      <c r="N43" s="36"/>
      <c r="O43" s="37"/>
    </row>
    <row r="44" spans="1:15" hidden="1" x14ac:dyDescent="0.25">
      <c r="A44" s="16"/>
      <c r="B44" s="16"/>
      <c r="C44" s="6"/>
      <c r="D44" s="299"/>
      <c r="E44" s="300"/>
      <c r="F44" s="300"/>
      <c r="G44" s="35"/>
      <c r="H44" s="36"/>
      <c r="I44" s="37"/>
      <c r="J44" s="36"/>
      <c r="K44" s="37"/>
      <c r="L44" s="36"/>
      <c r="M44" s="37"/>
      <c r="N44" s="36"/>
      <c r="O44" s="37"/>
    </row>
    <row r="45" spans="1:15" hidden="1" x14ac:dyDescent="0.25">
      <c r="A45" s="16"/>
      <c r="B45" s="16"/>
      <c r="C45" s="6"/>
      <c r="D45" s="299"/>
      <c r="E45" s="300"/>
      <c r="F45" s="300"/>
      <c r="G45" s="35"/>
      <c r="H45" s="36"/>
      <c r="I45" s="37"/>
      <c r="J45" s="36"/>
      <c r="K45" s="37"/>
      <c r="L45" s="36"/>
      <c r="M45" s="37"/>
      <c r="N45" s="36"/>
      <c r="O45" s="37"/>
    </row>
    <row r="46" spans="1:15" hidden="1" x14ac:dyDescent="0.25">
      <c r="A46" s="16"/>
      <c r="B46" s="16"/>
      <c r="C46" s="6"/>
      <c r="D46" s="299"/>
      <c r="E46" s="300"/>
      <c r="F46" s="300"/>
      <c r="G46" s="35"/>
      <c r="H46" s="36"/>
      <c r="I46" s="37"/>
      <c r="J46" s="36"/>
      <c r="K46" s="37"/>
      <c r="L46" s="36"/>
      <c r="M46" s="37"/>
      <c r="N46" s="36"/>
      <c r="O46" s="37"/>
    </row>
    <row r="47" spans="1:15" hidden="1" x14ac:dyDescent="0.25">
      <c r="A47" s="16"/>
      <c r="B47" s="16"/>
      <c r="C47" s="6"/>
      <c r="D47" s="299"/>
      <c r="E47" s="300"/>
      <c r="F47" s="300"/>
      <c r="G47" s="35"/>
      <c r="H47" s="36"/>
      <c r="I47" s="37"/>
      <c r="J47" s="36"/>
      <c r="K47" s="37"/>
      <c r="L47" s="36"/>
      <c r="M47" s="37"/>
      <c r="N47" s="36"/>
      <c r="O47" s="37"/>
    </row>
    <row r="48" spans="1:15" hidden="1" x14ac:dyDescent="0.25">
      <c r="A48" s="16"/>
      <c r="B48" s="16"/>
      <c r="C48" s="6"/>
      <c r="D48" s="299"/>
      <c r="E48" s="300"/>
      <c r="F48" s="300"/>
      <c r="G48" s="35"/>
      <c r="H48" s="36"/>
      <c r="I48" s="37"/>
      <c r="J48" s="36"/>
      <c r="K48" s="37"/>
      <c r="L48" s="36"/>
      <c r="M48" s="37"/>
      <c r="N48" s="36"/>
      <c r="O48" s="37"/>
    </row>
    <row r="49" spans="1:15" x14ac:dyDescent="0.25">
      <c r="A49" s="16"/>
      <c r="B49" s="16"/>
      <c r="C49" s="4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4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x14ac:dyDescent="0.25">
      <c r="A51" s="16"/>
      <c r="B51" s="16"/>
      <c r="C51" s="4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4"/>
      <c r="D52" s="39" t="s">
        <v>42</v>
      </c>
      <c r="E52" s="303" t="s">
        <v>10</v>
      </c>
      <c r="F52" s="303"/>
      <c r="G52" s="303"/>
      <c r="H52" s="303"/>
      <c r="I52" s="303"/>
      <c r="J52" s="303"/>
      <c r="K52" s="8" t="s">
        <v>89</v>
      </c>
    </row>
    <row r="53" spans="1:15" x14ac:dyDescent="0.25">
      <c r="A53" s="16"/>
      <c r="B53" s="16"/>
      <c r="C53" s="4"/>
      <c r="D53" s="39" t="s">
        <v>43</v>
      </c>
      <c r="E53" s="304" t="s">
        <v>20</v>
      </c>
      <c r="F53" s="304"/>
      <c r="G53" s="304"/>
      <c r="H53" s="40"/>
      <c r="I53" s="40"/>
    </row>
    <row r="54" spans="1:15" ht="15.75" x14ac:dyDescent="0.25">
      <c r="A54" s="16"/>
      <c r="B54" s="16"/>
      <c r="C54" s="4"/>
      <c r="D54" s="39" t="s">
        <v>44</v>
      </c>
      <c r="E54" s="41">
        <v>800</v>
      </c>
      <c r="F54" s="42" t="s">
        <v>19</v>
      </c>
      <c r="G54" s="43"/>
      <c r="J54" s="44"/>
      <c r="K54" s="44"/>
      <c r="L54" s="44"/>
      <c r="M54" s="44"/>
    </row>
    <row r="55" spans="1:15" ht="15.75" x14ac:dyDescent="0.25">
      <c r="A55" s="16"/>
      <c r="B55" s="16"/>
      <c r="C55" s="4"/>
      <c r="D55" s="39" t="s">
        <v>45</v>
      </c>
      <c r="E55" s="41">
        <v>0</v>
      </c>
      <c r="F55" s="45" t="s">
        <v>21</v>
      </c>
      <c r="G55" s="46"/>
      <c r="H55" s="47"/>
      <c r="I55" s="47"/>
      <c r="J55" s="47"/>
    </row>
    <row r="56" spans="1:15" x14ac:dyDescent="0.25">
      <c r="A56" s="16"/>
      <c r="B56" s="16"/>
      <c r="C56" s="4"/>
      <c r="D56" s="39" t="s">
        <v>46</v>
      </c>
      <c r="E56" s="48">
        <v>1.0315000000000001</v>
      </c>
    </row>
    <row r="57" spans="1:15" x14ac:dyDescent="0.25">
      <c r="A57" s="16"/>
      <c r="B57" s="16"/>
      <c r="C57" s="4"/>
      <c r="D57" s="39" t="s">
        <v>47</v>
      </c>
      <c r="E57" s="48">
        <v>1.0315000000000001</v>
      </c>
    </row>
    <row r="58" spans="1:15" x14ac:dyDescent="0.25">
      <c r="A58" s="16"/>
      <c r="B58" s="16"/>
      <c r="C58" s="4"/>
      <c r="D58" s="43"/>
    </row>
    <row r="59" spans="1:15" x14ac:dyDescent="0.25">
      <c r="A59" s="16"/>
      <c r="B59" s="16"/>
      <c r="C59" s="4"/>
      <c r="D59" s="43"/>
      <c r="E59" s="49"/>
      <c r="F59" s="305" t="s">
        <v>48</v>
      </c>
      <c r="G59" s="306"/>
      <c r="H59" s="307"/>
      <c r="I59" s="305" t="s">
        <v>49</v>
      </c>
      <c r="J59" s="306"/>
      <c r="K59" s="307"/>
      <c r="L59" s="305" t="s">
        <v>50</v>
      </c>
      <c r="M59" s="307"/>
    </row>
    <row r="60" spans="1:15" x14ac:dyDescent="0.25">
      <c r="A60" s="16"/>
      <c r="B60" s="16"/>
      <c r="C60" s="4"/>
      <c r="D60" s="43"/>
      <c r="E60" s="309"/>
      <c r="F60" s="50" t="s">
        <v>51</v>
      </c>
      <c r="G60" s="50" t="s">
        <v>52</v>
      </c>
      <c r="H60" s="51" t="s">
        <v>53</v>
      </c>
      <c r="I60" s="50" t="s">
        <v>51</v>
      </c>
      <c r="J60" s="52" t="s">
        <v>52</v>
      </c>
      <c r="K60" s="51" t="s">
        <v>53</v>
      </c>
      <c r="L60" s="311" t="s">
        <v>54</v>
      </c>
      <c r="M60" s="313" t="s">
        <v>55</v>
      </c>
    </row>
    <row r="61" spans="1:15" x14ac:dyDescent="0.25">
      <c r="A61" s="16"/>
      <c r="B61" s="16"/>
      <c r="C61" s="4"/>
      <c r="D61" s="43"/>
      <c r="E61" s="310"/>
      <c r="F61" s="53" t="s">
        <v>56</v>
      </c>
      <c r="G61" s="53"/>
      <c r="H61" s="54" t="s">
        <v>56</v>
      </c>
      <c r="I61" s="53" t="s">
        <v>56</v>
      </c>
      <c r="J61" s="54"/>
      <c r="K61" s="54" t="s">
        <v>56</v>
      </c>
      <c r="L61" s="312"/>
      <c r="M61" s="314"/>
    </row>
    <row r="62" spans="1:15" x14ac:dyDescent="0.25">
      <c r="A62" s="16"/>
      <c r="B62" s="16"/>
      <c r="C62" s="4"/>
      <c r="D62" s="55" t="s">
        <v>57</v>
      </c>
      <c r="E62" s="56"/>
      <c r="F62" s="57">
        <v>19.34</v>
      </c>
      <c r="G62" s="58">
        <v>1</v>
      </c>
      <c r="H62" s="59">
        <f>G62*F62</f>
        <v>19.34</v>
      </c>
      <c r="I62" s="60">
        <v>22.32</v>
      </c>
      <c r="J62" s="61">
        <f>G62</f>
        <v>1</v>
      </c>
      <c r="K62" s="59">
        <f>J62*I62</f>
        <v>22.32</v>
      </c>
      <c r="L62" s="62">
        <f t="shared" ref="L62:L80" si="1">K62-H62</f>
        <v>2.9800000000000004</v>
      </c>
      <c r="M62" s="63">
        <f>IF(ISERROR(L62/H62), "", L62/H62)</f>
        <v>0.15408479834539815</v>
      </c>
    </row>
    <row r="63" spans="1:15" x14ac:dyDescent="0.25">
      <c r="A63" s="16"/>
      <c r="B63" s="16"/>
      <c r="C63" s="4"/>
      <c r="D63" s="55" t="s">
        <v>58</v>
      </c>
      <c r="E63" s="56"/>
      <c r="F63" s="64">
        <v>8.2000000000000007E-3</v>
      </c>
      <c r="G63" s="58">
        <f>IF($E55&gt;0, $E55, $E54)</f>
        <v>800</v>
      </c>
      <c r="H63" s="59">
        <f>G63*F63</f>
        <v>6.5600000000000005</v>
      </c>
      <c r="I63" s="65">
        <v>4.1999999999999997E-3</v>
      </c>
      <c r="J63" s="61">
        <f>IF($E55&gt;0, $E55, $E54)</f>
        <v>800</v>
      </c>
      <c r="K63" s="59">
        <f>J63*I63</f>
        <v>3.36</v>
      </c>
      <c r="L63" s="62">
        <f t="shared" si="1"/>
        <v>-3.2000000000000006</v>
      </c>
      <c r="M63" s="63">
        <f>IF(ISERROR(L63/H63), "", L63/H63)</f>
        <v>-0.48780487804878053</v>
      </c>
    </row>
    <row r="64" spans="1:15" x14ac:dyDescent="0.25">
      <c r="A64" s="16"/>
      <c r="B64" s="16"/>
      <c r="C64" s="4"/>
      <c r="D64" s="66" t="s">
        <v>59</v>
      </c>
      <c r="E64" s="56"/>
      <c r="F64" s="57">
        <v>0.03</v>
      </c>
      <c r="G64" s="58">
        <v>1</v>
      </c>
      <c r="H64" s="59">
        <f>G64*F64</f>
        <v>0.03</v>
      </c>
      <c r="I64" s="60">
        <v>0.31</v>
      </c>
      <c r="J64" s="61">
        <f>G64</f>
        <v>1</v>
      </c>
      <c r="K64" s="59">
        <f>J64*I64</f>
        <v>0.31</v>
      </c>
      <c r="L64" s="62">
        <f t="shared" si="1"/>
        <v>0.28000000000000003</v>
      </c>
      <c r="M64" s="63">
        <f>IF(ISERROR(L64/H64), "", L64/H64)</f>
        <v>9.3333333333333339</v>
      </c>
    </row>
    <row r="65" spans="1:13" x14ac:dyDescent="0.25">
      <c r="A65" s="16"/>
      <c r="B65" s="16"/>
      <c r="C65" s="4"/>
      <c r="D65" s="55" t="s">
        <v>60</v>
      </c>
      <c r="E65" s="56"/>
      <c r="F65" s="64">
        <v>1E-4</v>
      </c>
      <c r="G65" s="58">
        <f>IF($E55&gt;0, $E55, $E54)</f>
        <v>800</v>
      </c>
      <c r="H65" s="59">
        <f>G65*F65</f>
        <v>0.08</v>
      </c>
      <c r="I65" s="65">
        <v>2.8532874018923049E-4</v>
      </c>
      <c r="J65" s="61">
        <f>IF($E55&gt;0, $E55, $E54)</f>
        <v>800</v>
      </c>
      <c r="K65" s="59">
        <f>J65*I65</f>
        <v>0.2282629921513844</v>
      </c>
      <c r="L65" s="62">
        <f t="shared" si="1"/>
        <v>0.14826299215138439</v>
      </c>
      <c r="M65" s="63">
        <f>IF(ISERROR(L65/H65), "", L65/H65)</f>
        <v>1.8532874018923049</v>
      </c>
    </row>
    <row r="66" spans="1:13" x14ac:dyDescent="0.25">
      <c r="A66" s="16"/>
      <c r="B66" s="16"/>
      <c r="C66" s="4"/>
      <c r="D66" s="67" t="s">
        <v>61</v>
      </c>
      <c r="E66" s="68"/>
      <c r="F66" s="69"/>
      <c r="G66" s="70"/>
      <c r="H66" s="71">
        <f>SUM(H62:H65)</f>
        <v>26.009999999999998</v>
      </c>
      <c r="I66" s="72"/>
      <c r="J66" s="73"/>
      <c r="K66" s="71">
        <f>SUM(K62:K65)</f>
        <v>26.218262992151384</v>
      </c>
      <c r="L66" s="74">
        <f t="shared" si="1"/>
        <v>0.20826299215138633</v>
      </c>
      <c r="M66" s="75">
        <f>IF((H66)=0,"",(L66/H66))</f>
        <v>8.0070354537249647E-3</v>
      </c>
    </row>
    <row r="67" spans="1:13" x14ac:dyDescent="0.25">
      <c r="A67" s="16"/>
      <c r="B67" s="16"/>
      <c r="C67" s="4"/>
      <c r="D67" s="76" t="s">
        <v>62</v>
      </c>
      <c r="E67" s="56"/>
      <c r="F67" s="64">
        <f>IF((E54*12&gt;=150000), 0, IF(E53="RPP",(F83*0.65+F84*0.17+F85*0.18),IF(E53="Non-RPP (Retailer)",F86,F87)))</f>
        <v>8.2160000000000011E-2</v>
      </c>
      <c r="G67" s="77">
        <f>IF(F67=0, 0, $E54*E56-E54)</f>
        <v>25.200000000000045</v>
      </c>
      <c r="H67" s="59">
        <f t="shared" ref="H67:H73" si="2">G67*F67</f>
        <v>2.0704320000000038</v>
      </c>
      <c r="I67" s="65">
        <f>IF((E54*12&gt;=150000), 0, IF(E53="RPP",(I83*0.65+I84*0.17+I85*0.18),IF(E53="Non-RPP (Retailer)",I86,I87)))</f>
        <v>8.2160000000000011E-2</v>
      </c>
      <c r="J67" s="77">
        <f>IF(I67=0, 0, E54*E57-E54)</f>
        <v>25.200000000000045</v>
      </c>
      <c r="K67" s="59">
        <f t="shared" ref="K67:K73" si="3">J67*I67</f>
        <v>2.0704320000000038</v>
      </c>
      <c r="L67" s="62">
        <f t="shared" si="1"/>
        <v>0</v>
      </c>
      <c r="M67" s="63">
        <f t="shared" ref="M67:M73" si="4">IF(ISERROR(L67/H67), "", L67/H67)</f>
        <v>0</v>
      </c>
    </row>
    <row r="68" spans="1:13" ht="25.5" x14ac:dyDescent="0.25">
      <c r="A68" s="16"/>
      <c r="B68" s="16"/>
      <c r="C68" s="4"/>
      <c r="D68" s="76" t="s">
        <v>63</v>
      </c>
      <c r="E68" s="56"/>
      <c r="F68" s="64">
        <v>-2.7000000000000001E-3</v>
      </c>
      <c r="G68" s="78">
        <f>IF($E55&gt;0, $E55, $E54)</f>
        <v>800</v>
      </c>
      <c r="H68" s="59">
        <f t="shared" si="2"/>
        <v>-2.16</v>
      </c>
      <c r="I68" s="65">
        <v>-8.9999999999999998E-4</v>
      </c>
      <c r="J68" s="78">
        <f>IF($E55&gt;0, $E55, $E54)</f>
        <v>800</v>
      </c>
      <c r="K68" s="59">
        <f t="shared" si="3"/>
        <v>-0.72</v>
      </c>
      <c r="L68" s="62">
        <f t="shared" si="1"/>
        <v>1.4400000000000002</v>
      </c>
      <c r="M68" s="63">
        <f t="shared" si="4"/>
        <v>-0.66666666666666674</v>
      </c>
    </row>
    <row r="69" spans="1:13" x14ac:dyDescent="0.25">
      <c r="A69" s="16"/>
      <c r="B69" s="16"/>
      <c r="C69" s="4"/>
      <c r="D69" s="76" t="s">
        <v>64</v>
      </c>
      <c r="E69" s="56"/>
      <c r="F69" s="64">
        <v>2.9999999999999997E-4</v>
      </c>
      <c r="G69" s="78">
        <f>IF($E55&gt;0, $E55, $E54)</f>
        <v>800</v>
      </c>
      <c r="H69" s="59">
        <f t="shared" si="2"/>
        <v>0.24</v>
      </c>
      <c r="I69" s="65">
        <v>0</v>
      </c>
      <c r="J69" s="78">
        <f>IF($E55&gt;0, $E55, $E54)</f>
        <v>800</v>
      </c>
      <c r="K69" s="59">
        <f t="shared" si="3"/>
        <v>0</v>
      </c>
      <c r="L69" s="62">
        <f t="shared" si="1"/>
        <v>-0.24</v>
      </c>
      <c r="M69" s="63">
        <f t="shared" si="4"/>
        <v>-1</v>
      </c>
    </row>
    <row r="70" spans="1:13" x14ac:dyDescent="0.25">
      <c r="A70" s="16"/>
      <c r="B70" s="16"/>
      <c r="C70" s="4"/>
      <c r="D70" s="76" t="s">
        <v>65</v>
      </c>
      <c r="E70" s="56"/>
      <c r="F70" s="64">
        <v>0</v>
      </c>
      <c r="G70" s="78">
        <f>E54</f>
        <v>800</v>
      </c>
      <c r="H70" s="59">
        <f t="shared" si="2"/>
        <v>0</v>
      </c>
      <c r="I70" s="65">
        <v>0</v>
      </c>
      <c r="J70" s="78">
        <f>E54</f>
        <v>800</v>
      </c>
      <c r="K70" s="59">
        <f t="shared" si="3"/>
        <v>0</v>
      </c>
      <c r="L70" s="62">
        <f t="shared" si="1"/>
        <v>0</v>
      </c>
      <c r="M70" s="63" t="str">
        <f t="shared" si="4"/>
        <v/>
      </c>
    </row>
    <row r="71" spans="1:13" x14ac:dyDescent="0.25">
      <c r="A71" s="16"/>
      <c r="B71" s="16"/>
      <c r="C71" s="4"/>
      <c r="D71" s="79" t="s">
        <v>66</v>
      </c>
      <c r="E71" s="56"/>
      <c r="F71" s="64">
        <v>0</v>
      </c>
      <c r="G71" s="78">
        <f>IF($E55&gt;0, $E55, $E54)</f>
        <v>800</v>
      </c>
      <c r="H71" s="59">
        <f t="shared" si="2"/>
        <v>0</v>
      </c>
      <c r="I71" s="65"/>
      <c r="J71" s="78">
        <f>IF($E55&gt;0, $E55, $E54)</f>
        <v>800</v>
      </c>
      <c r="K71" s="59">
        <f t="shared" si="3"/>
        <v>0</v>
      </c>
      <c r="L71" s="62">
        <f t="shared" si="1"/>
        <v>0</v>
      </c>
      <c r="M71" s="63" t="str">
        <f t="shared" si="4"/>
        <v/>
      </c>
    </row>
    <row r="72" spans="1:13" ht="51" x14ac:dyDescent="0.25">
      <c r="A72" s="16"/>
      <c r="B72" s="16"/>
      <c r="C72" s="4"/>
      <c r="D72" s="80" t="s">
        <v>67</v>
      </c>
      <c r="E72" s="56"/>
      <c r="F72" s="81">
        <v>1.1399999999999999</v>
      </c>
      <c r="G72" s="58">
        <v>1</v>
      </c>
      <c r="H72" s="59">
        <f t="shared" si="2"/>
        <v>1.1399999999999999</v>
      </c>
      <c r="I72" s="82">
        <v>0.79</v>
      </c>
      <c r="J72" s="58">
        <v>1</v>
      </c>
      <c r="K72" s="59">
        <f t="shared" si="3"/>
        <v>0.79</v>
      </c>
      <c r="L72" s="62">
        <f t="shared" si="1"/>
        <v>-0.34999999999999987</v>
      </c>
      <c r="M72" s="63">
        <f t="shared" si="4"/>
        <v>-0.30701754385964902</v>
      </c>
    </row>
    <row r="73" spans="1:13" x14ac:dyDescent="0.25">
      <c r="A73" s="16"/>
      <c r="B73" s="16"/>
      <c r="C73" s="4"/>
      <c r="D73" s="79" t="s">
        <v>68</v>
      </c>
      <c r="E73" s="56"/>
      <c r="F73" s="64"/>
      <c r="G73" s="78">
        <f>IF($E55&gt;0, $E55, $E54)</f>
        <v>800</v>
      </c>
      <c r="H73" s="59">
        <f t="shared" si="2"/>
        <v>0</v>
      </c>
      <c r="I73" s="65">
        <v>0</v>
      </c>
      <c r="J73" s="78">
        <f>IF($E55&gt;0, $E55, $E54)</f>
        <v>800</v>
      </c>
      <c r="K73" s="59">
        <f t="shared" si="3"/>
        <v>0</v>
      </c>
      <c r="L73" s="62">
        <f t="shared" si="1"/>
        <v>0</v>
      </c>
      <c r="M73" s="63" t="str">
        <f t="shared" si="4"/>
        <v/>
      </c>
    </row>
    <row r="74" spans="1:13" ht="25.5" x14ac:dyDescent="0.25">
      <c r="A74" s="16"/>
      <c r="B74" s="16"/>
      <c r="C74" s="4"/>
      <c r="D74" s="83" t="s">
        <v>69</v>
      </c>
      <c r="E74" s="84"/>
      <c r="F74" s="85"/>
      <c r="G74" s="86"/>
      <c r="H74" s="87">
        <f>SUM(H66:H73)</f>
        <v>27.300432000000001</v>
      </c>
      <c r="I74" s="88"/>
      <c r="J74" s="89"/>
      <c r="K74" s="87">
        <f>SUM(K66:K73)</f>
        <v>28.358694992151388</v>
      </c>
      <c r="L74" s="74">
        <f t="shared" si="1"/>
        <v>1.0582629921513877</v>
      </c>
      <c r="M74" s="75">
        <f>IF((H74)=0,"",(L74/H74))</f>
        <v>3.8763598764715065E-2</v>
      </c>
    </row>
    <row r="75" spans="1:13" x14ac:dyDescent="0.25">
      <c r="A75" s="38"/>
      <c r="B75" s="38"/>
      <c r="C75" s="7"/>
      <c r="D75" s="90" t="s">
        <v>70</v>
      </c>
      <c r="E75" s="56"/>
      <c r="F75" s="64">
        <v>6.8999999999999999E-3</v>
      </c>
      <c r="G75" s="77">
        <f>IF($E55&gt;0, $E55, $E54*$E56)</f>
        <v>825.2</v>
      </c>
      <c r="H75" s="59">
        <f>G75*F75</f>
        <v>5.6938800000000001</v>
      </c>
      <c r="I75" s="65">
        <v>5.0000000000000001E-3</v>
      </c>
      <c r="J75" s="77">
        <f>IF($E55&gt;0, $E55, $E54*$E57)</f>
        <v>825.2</v>
      </c>
      <c r="K75" s="59">
        <f>J75*I75</f>
        <v>4.1260000000000003</v>
      </c>
      <c r="L75" s="62">
        <f t="shared" si="1"/>
        <v>-1.5678799999999997</v>
      </c>
      <c r="M75" s="63">
        <f>IF(ISERROR(L75/H75), "", L75/H75)</f>
        <v>-0.27536231884057966</v>
      </c>
    </row>
    <row r="76" spans="1:13" ht="25.5" x14ac:dyDescent="0.25">
      <c r="A76" s="16"/>
      <c r="B76" s="16"/>
      <c r="C76" s="4"/>
      <c r="D76" s="91" t="s">
        <v>71</v>
      </c>
      <c r="E76" s="56"/>
      <c r="F76" s="64">
        <v>6.1999999999999998E-3</v>
      </c>
      <c r="G76" s="77">
        <f>IF($E55&gt;0, $E55, $E54*$E56)</f>
        <v>825.2</v>
      </c>
      <c r="H76" s="59">
        <f>G76*F76</f>
        <v>5.1162400000000003</v>
      </c>
      <c r="I76" s="65">
        <v>4.1000000000000003E-3</v>
      </c>
      <c r="J76" s="77">
        <f>IF($E55&gt;0, $E55, $E54*$E57)</f>
        <v>825.2</v>
      </c>
      <c r="K76" s="59">
        <f>J76*I76</f>
        <v>3.3833200000000003</v>
      </c>
      <c r="L76" s="62">
        <f t="shared" si="1"/>
        <v>-1.73292</v>
      </c>
      <c r="M76" s="63">
        <f>IF(ISERROR(L76/H76), "", L76/H76)</f>
        <v>-0.33870967741935482</v>
      </c>
    </row>
    <row r="77" spans="1:13" ht="25.5" x14ac:dyDescent="0.25">
      <c r="C77" s="8"/>
      <c r="D77" s="83" t="s">
        <v>72</v>
      </c>
      <c r="E77" s="68"/>
      <c r="F77" s="85"/>
      <c r="G77" s="86"/>
      <c r="H77" s="87">
        <f>SUM(H74:H76)</f>
        <v>38.110551999999998</v>
      </c>
      <c r="I77" s="88"/>
      <c r="J77" s="73"/>
      <c r="K77" s="87">
        <f>SUM(K74:K76)</f>
        <v>35.868014992151387</v>
      </c>
      <c r="L77" s="74">
        <f t="shared" si="1"/>
        <v>-2.2425370078486111</v>
      </c>
      <c r="M77" s="75">
        <f>IF((H77)=0,"",(L77/H77))</f>
        <v>-5.8842942181698422E-2</v>
      </c>
    </row>
    <row r="78" spans="1:13" ht="25.5" x14ac:dyDescent="0.25">
      <c r="C78" s="8"/>
      <c r="D78" s="92" t="s">
        <v>73</v>
      </c>
      <c r="E78" s="56"/>
      <c r="F78" s="64">
        <v>3.6000000000000003E-3</v>
      </c>
      <c r="G78" s="77">
        <f>E54*E56</f>
        <v>825.2</v>
      </c>
      <c r="H78" s="93">
        <f>G78*F78</f>
        <v>2.9707200000000005</v>
      </c>
      <c r="I78" s="65">
        <v>3.6000000000000003E-3</v>
      </c>
      <c r="J78" s="77">
        <f>E54*E57</f>
        <v>825.2</v>
      </c>
      <c r="K78" s="93">
        <f>J78*I78</f>
        <v>2.9707200000000005</v>
      </c>
      <c r="L78" s="62">
        <f t="shared" si="1"/>
        <v>0</v>
      </c>
      <c r="M78" s="63">
        <f>IF(ISERROR(L78/H78), "", L78/H78)</f>
        <v>0</v>
      </c>
    </row>
    <row r="79" spans="1:13" ht="25.5" x14ac:dyDescent="0.25">
      <c r="C79" s="8"/>
      <c r="D79" s="92" t="s">
        <v>74</v>
      </c>
      <c r="E79" s="56"/>
      <c r="F79" s="64">
        <v>2.9999999999999997E-4</v>
      </c>
      <c r="G79" s="77">
        <f>E54*E56</f>
        <v>825.2</v>
      </c>
      <c r="H79" s="93">
        <f>G79*F79</f>
        <v>0.24756</v>
      </c>
      <c r="I79" s="65">
        <v>2.9999999999999997E-4</v>
      </c>
      <c r="J79" s="77">
        <f>E54*E57</f>
        <v>825.2</v>
      </c>
      <c r="K79" s="93">
        <f>J79*I79</f>
        <v>0.24756</v>
      </c>
      <c r="L79" s="62">
        <f t="shared" si="1"/>
        <v>0</v>
      </c>
      <c r="M79" s="63">
        <f>IF(ISERROR(L79/H79), "", L79/H79)</f>
        <v>0</v>
      </c>
    </row>
    <row r="80" spans="1:13" x14ac:dyDescent="0.25">
      <c r="C80" s="8"/>
      <c r="D80" s="94" t="s">
        <v>75</v>
      </c>
      <c r="E80" s="56"/>
      <c r="F80" s="81">
        <v>0.25</v>
      </c>
      <c r="G80" s="58">
        <v>1</v>
      </c>
      <c r="H80" s="93">
        <f>G80*F80</f>
        <v>0.25</v>
      </c>
      <c r="I80" s="82">
        <v>0.25</v>
      </c>
      <c r="J80" s="61">
        <v>1</v>
      </c>
      <c r="K80" s="93">
        <f>J80*I80</f>
        <v>0.25</v>
      </c>
      <c r="L80" s="62">
        <f t="shared" si="1"/>
        <v>0</v>
      </c>
      <c r="M80" s="63">
        <f>IF(ISERROR(L80/H80), "", L80/H80)</f>
        <v>0</v>
      </c>
    </row>
    <row r="81" spans="2:13" x14ac:dyDescent="0.25">
      <c r="C81" s="8"/>
      <c r="D81" s="94" t="s">
        <v>76</v>
      </c>
      <c r="E81" s="56"/>
      <c r="F81" s="95"/>
      <c r="G81" s="96"/>
      <c r="H81" s="97"/>
      <c r="I81" s="98"/>
      <c r="J81" s="96"/>
      <c r="K81" s="97"/>
      <c r="L81" s="99"/>
      <c r="M81" s="100"/>
    </row>
    <row r="82" spans="2:13" ht="25.5" x14ac:dyDescent="0.25">
      <c r="C82" s="8"/>
      <c r="D82" s="92" t="s">
        <v>77</v>
      </c>
      <c r="E82" s="56"/>
      <c r="F82" s="64"/>
      <c r="G82" s="77"/>
      <c r="H82" s="93"/>
      <c r="I82" s="65"/>
      <c r="J82" s="77"/>
      <c r="K82" s="93"/>
      <c r="L82" s="62"/>
      <c r="M82" s="63"/>
    </row>
    <row r="83" spans="2:13" x14ac:dyDescent="0.25">
      <c r="C83" s="8"/>
      <c r="D83" s="101" t="s">
        <v>78</v>
      </c>
      <c r="E83" s="56"/>
      <c r="F83" s="102">
        <v>6.5000000000000002E-2</v>
      </c>
      <c r="G83" s="103">
        <f>IF(AND(E54*12&gt;=150000),0.65*E54*E56,0.65*E54)</f>
        <v>520</v>
      </c>
      <c r="H83" s="93">
        <f>G83*F83</f>
        <v>33.800000000000004</v>
      </c>
      <c r="I83" s="104">
        <v>6.5000000000000002E-2</v>
      </c>
      <c r="J83" s="103">
        <f>IF(AND(E54*12&gt;=150000),0.65*E54*E57,0.65*E54)</f>
        <v>520</v>
      </c>
      <c r="K83" s="93">
        <f>J83*I83</f>
        <v>33.800000000000004</v>
      </c>
      <c r="L83" s="62">
        <f>K83-H83</f>
        <v>0</v>
      </c>
      <c r="M83" s="63">
        <f>IF(ISERROR(L83/H83), "", L83/H83)</f>
        <v>0</v>
      </c>
    </row>
    <row r="84" spans="2:13" x14ac:dyDescent="0.25">
      <c r="C84" s="8"/>
      <c r="D84" s="101" t="s">
        <v>79</v>
      </c>
      <c r="E84" s="56"/>
      <c r="F84" s="102">
        <v>9.5000000000000001E-2</v>
      </c>
      <c r="G84" s="103">
        <f>IF(AND(E54*12&gt;=150000),0.17*E54*E56,0.17*E54)</f>
        <v>136</v>
      </c>
      <c r="H84" s="93">
        <f>G84*F84</f>
        <v>12.92</v>
      </c>
      <c r="I84" s="104">
        <v>9.5000000000000001E-2</v>
      </c>
      <c r="J84" s="103">
        <f>IF(AND(E54*12&gt;=150000),0.17*E54*E57,0.17*E54)</f>
        <v>136</v>
      </c>
      <c r="K84" s="93">
        <f>J84*I84</f>
        <v>12.92</v>
      </c>
      <c r="L84" s="62">
        <f>K84-H84</f>
        <v>0</v>
      </c>
      <c r="M84" s="63">
        <f>IF(ISERROR(L84/H84), "", L84/H84)</f>
        <v>0</v>
      </c>
    </row>
    <row r="85" spans="2:13" x14ac:dyDescent="0.25">
      <c r="C85" s="8"/>
      <c r="D85" s="43" t="s">
        <v>80</v>
      </c>
      <c r="E85" s="56"/>
      <c r="F85" s="102">
        <v>0.13200000000000001</v>
      </c>
      <c r="G85" s="103">
        <f>IF(AND(E54*12&gt;=150000),0.18*E54*E56,0.18*E54)</f>
        <v>144</v>
      </c>
      <c r="H85" s="93">
        <f>G85*F85</f>
        <v>19.008000000000003</v>
      </c>
      <c r="I85" s="104">
        <v>0.13200000000000001</v>
      </c>
      <c r="J85" s="103">
        <f>IF(AND(E54*12&gt;=150000),0.18*E54*E57,0.18*E54)</f>
        <v>144</v>
      </c>
      <c r="K85" s="93">
        <f>J85*I85</f>
        <v>19.008000000000003</v>
      </c>
      <c r="L85" s="62">
        <f>K85-H85</f>
        <v>0</v>
      </c>
      <c r="M85" s="63">
        <f>IF(ISERROR(L85/H85), "", L85/H85)</f>
        <v>0</v>
      </c>
    </row>
    <row r="86" spans="2:13" x14ac:dyDescent="0.25">
      <c r="C86" s="8"/>
      <c r="D86" s="101" t="s">
        <v>81</v>
      </c>
      <c r="E86" s="56"/>
      <c r="F86" s="105">
        <v>0.1101</v>
      </c>
      <c r="G86" s="103">
        <f>IF(AND(E54*12&gt;=150000),E54*E56,E54)</f>
        <v>800</v>
      </c>
      <c r="H86" s="93">
        <f>G86*F86</f>
        <v>88.08</v>
      </c>
      <c r="I86" s="106">
        <f>F86</f>
        <v>0.1101</v>
      </c>
      <c r="J86" s="103">
        <f>IF(AND(E54*12&gt;=150000),E54*E57,E54)</f>
        <v>800</v>
      </c>
      <c r="K86" s="93">
        <f>J86*I86</f>
        <v>88.08</v>
      </c>
      <c r="L86" s="62">
        <f>K86-H86</f>
        <v>0</v>
      </c>
      <c r="M86" s="63">
        <f>IF(ISERROR(L86/H86), "", L86/H86)</f>
        <v>0</v>
      </c>
    </row>
    <row r="87" spans="2:13" ht="15.75" thickBot="1" x14ac:dyDescent="0.3">
      <c r="C87" s="9"/>
      <c r="D87" s="101" t="s">
        <v>82</v>
      </c>
      <c r="E87" s="56"/>
      <c r="F87" s="105">
        <v>0.1101</v>
      </c>
      <c r="G87" s="103">
        <f>IF(AND(E54*12&gt;=150000),E54*E56,E54)</f>
        <v>800</v>
      </c>
      <c r="H87" s="93">
        <f>G87*F87</f>
        <v>88.08</v>
      </c>
      <c r="I87" s="106">
        <f>F87</f>
        <v>0.1101</v>
      </c>
      <c r="J87" s="103">
        <f>IF(AND(E54*12&gt;=150000),E54*E57,E54)</f>
        <v>800</v>
      </c>
      <c r="K87" s="93">
        <f>J87*I87</f>
        <v>88.08</v>
      </c>
      <c r="L87" s="62">
        <f>K87-H87</f>
        <v>0</v>
      </c>
      <c r="M87" s="63">
        <f>IF(ISERROR(L87/H87), "", L87/H87)</f>
        <v>0</v>
      </c>
    </row>
    <row r="88" spans="2:13" ht="15.75" thickBot="1" x14ac:dyDescent="0.3">
      <c r="C88" s="9"/>
      <c r="D88" s="107"/>
      <c r="E88" s="108"/>
      <c r="F88" s="109"/>
      <c r="G88" s="110"/>
      <c r="H88" s="111"/>
      <c r="I88" s="109"/>
      <c r="J88" s="112"/>
      <c r="K88" s="111"/>
      <c r="L88" s="113"/>
      <c r="M88" s="114"/>
    </row>
    <row r="89" spans="2:13" x14ac:dyDescent="0.25">
      <c r="C89" s="9"/>
      <c r="D89" s="115" t="s">
        <v>83</v>
      </c>
      <c r="E89" s="94"/>
      <c r="F89" s="116"/>
      <c r="G89" s="117"/>
      <c r="H89" s="118">
        <f>SUM(H78:H85,H77)</f>
        <v>107.306832</v>
      </c>
      <c r="I89" s="119"/>
      <c r="J89" s="119"/>
      <c r="K89" s="118">
        <f>SUM(K78:K85,K77)</f>
        <v>105.06429499215139</v>
      </c>
      <c r="L89" s="120">
        <f>K89-H89</f>
        <v>-2.2425370078486111</v>
      </c>
      <c r="M89" s="121">
        <f>IF((H89)=0,"",(L89/H89))</f>
        <v>-2.0898361884810941E-2</v>
      </c>
    </row>
    <row r="90" spans="2:13" x14ac:dyDescent="0.25">
      <c r="C90" s="9"/>
      <c r="D90" s="122" t="s">
        <v>84</v>
      </c>
      <c r="E90" s="94"/>
      <c r="F90" s="116">
        <v>0.13</v>
      </c>
      <c r="G90" s="123"/>
      <c r="H90" s="124">
        <f>H89*F90</f>
        <v>13.94988816</v>
      </c>
      <c r="I90" s="125">
        <v>0.13</v>
      </c>
      <c r="J90" s="58"/>
      <c r="K90" s="124">
        <f>K89*I90</f>
        <v>13.65835834897968</v>
      </c>
      <c r="L90" s="126">
        <f>K90-H90</f>
        <v>-0.29152981102031994</v>
      </c>
      <c r="M90" s="127">
        <f>IF((H90)=0,"",(L90/H90))</f>
        <v>-2.0898361884810979E-2</v>
      </c>
    </row>
    <row r="91" spans="2:13" x14ac:dyDescent="0.25">
      <c r="B91" s="151"/>
      <c r="C91" s="9"/>
      <c r="D91" s="122" t="s">
        <v>85</v>
      </c>
      <c r="E91" s="94"/>
      <c r="F91" s="116">
        <v>0.08</v>
      </c>
      <c r="G91" s="123"/>
      <c r="H91" s="124">
        <f>H89*-F91</f>
        <v>-8.5845465599999997</v>
      </c>
      <c r="I91" s="116">
        <v>0.08</v>
      </c>
      <c r="J91" s="58"/>
      <c r="K91" s="124">
        <f>K89*-I91</f>
        <v>-8.4051435993721118</v>
      </c>
      <c r="L91" s="126">
        <f>K91-H91</f>
        <v>0.17940296062788796</v>
      </c>
      <c r="M91" s="127"/>
    </row>
    <row r="92" spans="2:13" ht="15.75" thickBot="1" x14ac:dyDescent="0.3">
      <c r="C92" s="9"/>
      <c r="D92" s="308" t="s">
        <v>86</v>
      </c>
      <c r="E92" s="308"/>
      <c r="F92" s="128"/>
      <c r="G92" s="129"/>
      <c r="H92" s="130">
        <f>H89+H90+H91</f>
        <v>112.67217360000001</v>
      </c>
      <c r="I92" s="131"/>
      <c r="J92" s="131"/>
      <c r="K92" s="132">
        <f>K89+K90+K91</f>
        <v>110.31750974175895</v>
      </c>
      <c r="L92" s="133">
        <f>K92-H92</f>
        <v>-2.3546638582410537</v>
      </c>
      <c r="M92" s="134">
        <f>IF((H92)=0,"",(L92/H92))</f>
        <v>-2.0898361884811048E-2</v>
      </c>
    </row>
    <row r="93" spans="2:13" ht="15.75" thickBot="1" x14ac:dyDescent="0.3">
      <c r="C93" s="9"/>
      <c r="D93" s="107"/>
      <c r="E93" s="108"/>
      <c r="F93" s="109"/>
      <c r="G93" s="110"/>
      <c r="H93" s="111"/>
      <c r="I93" s="109"/>
      <c r="J93" s="112"/>
      <c r="K93" s="111"/>
      <c r="L93" s="113"/>
      <c r="M93" s="114"/>
    </row>
    <row r="94" spans="2:13" hidden="1" x14ac:dyDescent="0.25">
      <c r="C94" s="9"/>
      <c r="D94" s="115" t="s">
        <v>87</v>
      </c>
      <c r="E94" s="94"/>
      <c r="F94" s="116"/>
      <c r="G94" s="117"/>
      <c r="H94" s="118">
        <f>SUM(H86,H78:H82,H77)</f>
        <v>129.65883200000002</v>
      </c>
      <c r="I94" s="119"/>
      <c r="J94" s="119"/>
      <c r="K94" s="118">
        <f>SUM(K86,K78:K82,K77)</f>
        <v>127.41629499215139</v>
      </c>
      <c r="L94" s="120">
        <f>K94-H94</f>
        <v>-2.2425370078486253</v>
      </c>
      <c r="M94" s="121">
        <f>IF((H94)=0,"",(L94/H94))</f>
        <v>-1.729567491282526E-2</v>
      </c>
    </row>
    <row r="95" spans="2:13" hidden="1" x14ac:dyDescent="0.25">
      <c r="C95" s="9"/>
      <c r="D95" s="122" t="s">
        <v>84</v>
      </c>
      <c r="E95" s="94"/>
      <c r="F95" s="116">
        <v>0.13</v>
      </c>
      <c r="G95" s="117"/>
      <c r="H95" s="124">
        <f>H94*F95</f>
        <v>16.855648160000001</v>
      </c>
      <c r="I95" s="116">
        <v>0.13</v>
      </c>
      <c r="J95" s="125"/>
      <c r="K95" s="124">
        <f>K94*I95</f>
        <v>16.564118348979683</v>
      </c>
      <c r="L95" s="126">
        <f>K95-H95</f>
        <v>-0.29152981102031816</v>
      </c>
      <c r="M95" s="127">
        <f>IF((H95)=0,"",(L95/H95))</f>
        <v>-1.7295674912825076E-2</v>
      </c>
    </row>
    <row r="96" spans="2:13" hidden="1" x14ac:dyDescent="0.25">
      <c r="C96" s="9"/>
      <c r="D96" s="122" t="s">
        <v>85</v>
      </c>
      <c r="E96" s="94"/>
      <c r="F96" s="116">
        <v>0.08</v>
      </c>
      <c r="G96" s="117"/>
      <c r="H96" s="124"/>
      <c r="I96" s="116">
        <v>0.08</v>
      </c>
      <c r="J96" s="125"/>
      <c r="K96" s="124"/>
      <c r="L96" s="126"/>
      <c r="M96" s="127"/>
    </row>
    <row r="97" spans="2:13" ht="15.75" hidden="1" thickBot="1" x14ac:dyDescent="0.3">
      <c r="C97" s="9"/>
      <c r="D97" s="308" t="s">
        <v>87</v>
      </c>
      <c r="E97" s="308"/>
      <c r="F97" s="135"/>
      <c r="G97" s="136"/>
      <c r="H97" s="130">
        <f>SUM(H94,H95)</f>
        <v>146.51448016000001</v>
      </c>
      <c r="I97" s="137"/>
      <c r="J97" s="137"/>
      <c r="K97" s="130">
        <f>SUM(K94,K95)</f>
        <v>143.98041334113108</v>
      </c>
      <c r="L97" s="138">
        <f>K97-H97</f>
        <v>-2.5340668188689222</v>
      </c>
      <c r="M97" s="139">
        <f>IF((H97)=0,"",(L97/H97))</f>
        <v>-1.7295674912825094E-2</v>
      </c>
    </row>
    <row r="98" spans="2:13" ht="15.75" hidden="1" thickBot="1" x14ac:dyDescent="0.3">
      <c r="C98" s="9"/>
      <c r="D98" s="107"/>
      <c r="E98" s="108"/>
      <c r="F98" s="140"/>
      <c r="G98" s="141"/>
      <c r="H98" s="142"/>
      <c r="I98" s="140"/>
      <c r="J98" s="110"/>
      <c r="K98" s="142"/>
      <c r="L98" s="143"/>
      <c r="M98" s="114"/>
    </row>
    <row r="99" spans="2:13" hidden="1" x14ac:dyDescent="0.25">
      <c r="B99" s="43"/>
      <c r="C99" s="9"/>
      <c r="D99" s="115" t="s">
        <v>88</v>
      </c>
      <c r="E99" s="94"/>
      <c r="F99" s="116"/>
      <c r="G99" s="117"/>
      <c r="H99" s="118">
        <f>SUM(H87,H78:H82,H77)</f>
        <v>129.65883200000002</v>
      </c>
      <c r="I99" s="119"/>
      <c r="J99" s="119"/>
      <c r="K99" s="118">
        <f>SUM(K87,K78:K82,K77)</f>
        <v>127.41629499215139</v>
      </c>
      <c r="L99" s="120">
        <f>K99-H99</f>
        <v>-2.2425370078486253</v>
      </c>
      <c r="M99" s="121">
        <f>IF((H99)=0,"",(L99/H99))</f>
        <v>-1.729567491282526E-2</v>
      </c>
    </row>
    <row r="100" spans="2:13" hidden="1" x14ac:dyDescent="0.25">
      <c r="C100" s="9"/>
      <c r="D100" s="122" t="s">
        <v>84</v>
      </c>
      <c r="E100" s="94"/>
      <c r="F100" s="116">
        <v>0.13</v>
      </c>
      <c r="G100" s="117"/>
      <c r="H100" s="124">
        <f>H99*F100</f>
        <v>16.855648160000001</v>
      </c>
      <c r="I100" s="116">
        <v>0.13</v>
      </c>
      <c r="J100" s="125"/>
      <c r="K100" s="124">
        <f>K99*I100</f>
        <v>16.564118348979683</v>
      </c>
      <c r="L100" s="126">
        <f>K100-H100</f>
        <v>-0.29152981102031816</v>
      </c>
      <c r="M100" s="127">
        <f>IF((H100)=0,"",(L100/H100))</f>
        <v>-1.7295674912825076E-2</v>
      </c>
    </row>
    <row r="101" spans="2:13" hidden="1" x14ac:dyDescent="0.25">
      <c r="C101" s="9"/>
      <c r="D101" s="122" t="s">
        <v>85</v>
      </c>
      <c r="E101" s="94"/>
      <c r="F101" s="116">
        <v>0.08</v>
      </c>
      <c r="G101" s="117"/>
      <c r="H101" s="124"/>
      <c r="I101" s="116">
        <v>0.08</v>
      </c>
      <c r="J101" s="125"/>
      <c r="K101" s="124"/>
      <c r="L101" s="126"/>
      <c r="M101" s="127"/>
    </row>
    <row r="102" spans="2:13" ht="15.75" hidden="1" thickBot="1" x14ac:dyDescent="0.3">
      <c r="B102" s="43"/>
      <c r="C102" s="9"/>
      <c r="D102" s="308" t="s">
        <v>88</v>
      </c>
      <c r="E102" s="308"/>
      <c r="F102" s="135"/>
      <c r="G102" s="136"/>
      <c r="H102" s="130">
        <f>SUM(H99,H100)</f>
        <v>146.51448016000001</v>
      </c>
      <c r="I102" s="137"/>
      <c r="J102" s="137"/>
      <c r="K102" s="130">
        <f>SUM(K99,K100)</f>
        <v>143.98041334113108</v>
      </c>
      <c r="L102" s="138">
        <f>K102-H102</f>
        <v>-2.5340668188689222</v>
      </c>
      <c r="M102" s="139">
        <f>IF((H102)=0,"",(L102/H102))</f>
        <v>-1.7295674912825094E-2</v>
      </c>
    </row>
    <row r="103" spans="2:13" ht="15.75" hidden="1" thickBot="1" x14ac:dyDescent="0.3">
      <c r="C103" s="9"/>
      <c r="D103" s="107"/>
      <c r="E103" s="108"/>
      <c r="F103" s="144"/>
      <c r="G103" s="145"/>
      <c r="H103" s="146"/>
      <c r="I103" s="144"/>
      <c r="J103" s="147"/>
      <c r="K103" s="146"/>
      <c r="L103" s="148"/>
      <c r="M103" s="149"/>
    </row>
    <row r="104" spans="2:13" x14ac:dyDescent="0.25">
      <c r="C104" s="9"/>
    </row>
    <row r="105" spans="2:13" x14ac:dyDescent="0.25">
      <c r="C105" s="9"/>
    </row>
    <row r="106" spans="2:13" x14ac:dyDescent="0.25">
      <c r="C106" s="9"/>
      <c r="D106" s="39" t="s">
        <v>42</v>
      </c>
      <c r="E106" s="303" t="s">
        <v>11</v>
      </c>
      <c r="F106" s="303"/>
      <c r="G106" s="303"/>
      <c r="H106" s="303"/>
      <c r="I106" s="303"/>
      <c r="J106" s="303"/>
      <c r="K106" s="8" t="s">
        <v>89</v>
      </c>
    </row>
    <row r="107" spans="2:13" x14ac:dyDescent="0.25">
      <c r="C107" s="9"/>
      <c r="D107" s="39" t="s">
        <v>43</v>
      </c>
      <c r="E107" s="304" t="s">
        <v>20</v>
      </c>
      <c r="F107" s="304"/>
      <c r="G107" s="304"/>
      <c r="H107" s="40"/>
      <c r="I107" s="40"/>
    </row>
    <row r="108" spans="2:13" ht="15.75" x14ac:dyDescent="0.25">
      <c r="B108" s="43"/>
      <c r="C108" s="9"/>
      <c r="D108" s="39" t="s">
        <v>44</v>
      </c>
      <c r="E108" s="41">
        <v>2000</v>
      </c>
      <c r="F108" s="42" t="s">
        <v>19</v>
      </c>
      <c r="G108" s="43"/>
      <c r="J108" s="44"/>
      <c r="K108" s="44"/>
      <c r="L108" s="44"/>
      <c r="M108" s="44"/>
    </row>
    <row r="109" spans="2:13" ht="15.75" x14ac:dyDescent="0.25">
      <c r="B109" s="43"/>
      <c r="C109" s="9"/>
      <c r="D109" s="39" t="s">
        <v>45</v>
      </c>
      <c r="E109" s="41">
        <v>0</v>
      </c>
      <c r="F109" s="45" t="s">
        <v>21</v>
      </c>
      <c r="G109" s="46"/>
      <c r="H109" s="47"/>
      <c r="I109" s="47"/>
      <c r="J109" s="47"/>
    </row>
    <row r="110" spans="2:13" x14ac:dyDescent="0.25">
      <c r="B110" s="43"/>
      <c r="C110" s="9"/>
      <c r="D110" s="39" t="s">
        <v>46</v>
      </c>
      <c r="E110" s="48">
        <v>1.0315000000000001</v>
      </c>
    </row>
    <row r="111" spans="2:13" x14ac:dyDescent="0.25">
      <c r="C111" s="9"/>
      <c r="D111" s="39" t="s">
        <v>47</v>
      </c>
      <c r="E111" s="48">
        <v>1.0315000000000001</v>
      </c>
    </row>
    <row r="112" spans="2:13" x14ac:dyDescent="0.25">
      <c r="C112" s="9"/>
      <c r="D112" s="43"/>
    </row>
    <row r="113" spans="2:13" x14ac:dyDescent="0.25">
      <c r="B113" s="43"/>
      <c r="C113" s="9"/>
      <c r="D113" s="43"/>
      <c r="E113" s="49"/>
      <c r="F113" s="305" t="s">
        <v>48</v>
      </c>
      <c r="G113" s="306"/>
      <c r="H113" s="307"/>
      <c r="I113" s="305" t="s">
        <v>49</v>
      </c>
      <c r="J113" s="306"/>
      <c r="K113" s="307"/>
      <c r="L113" s="305" t="s">
        <v>50</v>
      </c>
      <c r="M113" s="307"/>
    </row>
    <row r="114" spans="2:13" x14ac:dyDescent="0.25">
      <c r="B114" s="43"/>
      <c r="C114" s="9"/>
      <c r="D114" s="43"/>
      <c r="E114" s="309"/>
      <c r="F114" s="50" t="s">
        <v>51</v>
      </c>
      <c r="G114" s="50" t="s">
        <v>52</v>
      </c>
      <c r="H114" s="51" t="s">
        <v>53</v>
      </c>
      <c r="I114" s="50" t="s">
        <v>51</v>
      </c>
      <c r="J114" s="52" t="s">
        <v>52</v>
      </c>
      <c r="K114" s="51" t="s">
        <v>53</v>
      </c>
      <c r="L114" s="311" t="s">
        <v>54</v>
      </c>
      <c r="M114" s="313" t="s">
        <v>55</v>
      </c>
    </row>
    <row r="115" spans="2:13" x14ac:dyDescent="0.25">
      <c r="B115" s="43"/>
      <c r="C115" s="9"/>
      <c r="D115" s="43"/>
      <c r="E115" s="310"/>
      <c r="F115" s="53" t="s">
        <v>56</v>
      </c>
      <c r="G115" s="53"/>
      <c r="H115" s="54" t="s">
        <v>56</v>
      </c>
      <c r="I115" s="53" t="s">
        <v>56</v>
      </c>
      <c r="J115" s="54"/>
      <c r="K115" s="54" t="s">
        <v>56</v>
      </c>
      <c r="L115" s="312"/>
      <c r="M115" s="314"/>
    </row>
    <row r="116" spans="2:13" x14ac:dyDescent="0.25">
      <c r="B116" s="43"/>
      <c r="C116" s="9"/>
      <c r="D116" s="55" t="s">
        <v>57</v>
      </c>
      <c r="E116" s="56"/>
      <c r="F116" s="57">
        <v>32.25</v>
      </c>
      <c r="G116" s="58">
        <v>1</v>
      </c>
      <c r="H116" s="59">
        <f>G116*F116</f>
        <v>32.25</v>
      </c>
      <c r="I116" s="60">
        <v>32.81</v>
      </c>
      <c r="J116" s="61">
        <f>G116</f>
        <v>1</v>
      </c>
      <c r="K116" s="59">
        <f>J116*I116</f>
        <v>32.81</v>
      </c>
      <c r="L116" s="62">
        <f t="shared" ref="L116:L135" si="5">K116-H116</f>
        <v>0.56000000000000227</v>
      </c>
      <c r="M116" s="63">
        <f>IF(ISERROR(L116/H116), "", L116/H116)</f>
        <v>1.7364341085271389E-2</v>
      </c>
    </row>
    <row r="117" spans="2:13" x14ac:dyDescent="0.25">
      <c r="B117" s="43"/>
      <c r="C117" s="9"/>
      <c r="D117" s="55" t="s">
        <v>58</v>
      </c>
      <c r="E117" s="56"/>
      <c r="F117" s="64">
        <v>1.0800000000000001E-2</v>
      </c>
      <c r="G117" s="58">
        <f>IF($E109&gt;0, $E109, $E108)</f>
        <v>2000</v>
      </c>
      <c r="H117" s="59">
        <f>G117*F117</f>
        <v>21.6</v>
      </c>
      <c r="I117" s="65">
        <v>1.0999999999999999E-2</v>
      </c>
      <c r="J117" s="61">
        <f>IF($E109&gt;0, $E109, $E108)</f>
        <v>2000</v>
      </c>
      <c r="K117" s="59">
        <f>J117*I117</f>
        <v>22</v>
      </c>
      <c r="L117" s="62">
        <f t="shared" si="5"/>
        <v>0.39999999999999858</v>
      </c>
      <c r="M117" s="63">
        <f>IF(ISERROR(L117/H117), "", L117/H117)</f>
        <v>1.8518518518518452E-2</v>
      </c>
    </row>
    <row r="118" spans="2:13" x14ac:dyDescent="0.25">
      <c r="C118" s="9"/>
      <c r="D118" s="66" t="s">
        <v>59</v>
      </c>
      <c r="E118" s="56"/>
      <c r="F118" s="57">
        <v>-0.05</v>
      </c>
      <c r="G118" s="58">
        <v>1</v>
      </c>
      <c r="H118" s="59">
        <f>G118*F118</f>
        <v>-0.05</v>
      </c>
      <c r="I118" s="60">
        <v>0.76</v>
      </c>
      <c r="J118" s="61">
        <f>G118</f>
        <v>1</v>
      </c>
      <c r="K118" s="59">
        <f>J118*I118</f>
        <v>0.76</v>
      </c>
      <c r="L118" s="62">
        <f t="shared" si="5"/>
        <v>0.81</v>
      </c>
      <c r="M118" s="63">
        <f>IF(ISERROR(L118/H118), "", L118/H118)</f>
        <v>-16.2</v>
      </c>
    </row>
    <row r="119" spans="2:13" x14ac:dyDescent="0.25">
      <c r="C119" s="9"/>
      <c r="D119" s="55" t="s">
        <v>60</v>
      </c>
      <c r="E119" s="56"/>
      <c r="F119" s="64">
        <v>6.9999999999999999E-4</v>
      </c>
      <c r="G119" s="58">
        <f>IF($E109&gt;0, $E109, $E108)</f>
        <v>2000</v>
      </c>
      <c r="H119" s="59">
        <f>G119*F119</f>
        <v>1.4</v>
      </c>
      <c r="I119" s="65">
        <v>7.4726752739035917E-4</v>
      </c>
      <c r="J119" s="61">
        <f>IF($E109&gt;0, $E109, $E108)</f>
        <v>2000</v>
      </c>
      <c r="K119" s="59">
        <f>J119*I119</f>
        <v>1.4945350547807184</v>
      </c>
      <c r="L119" s="62">
        <f t="shared" si="5"/>
        <v>9.4535054780718442E-2</v>
      </c>
      <c r="M119" s="63">
        <f>IF(ISERROR(L119/H119), "", L119/H119)</f>
        <v>6.7525039129084599E-2</v>
      </c>
    </row>
    <row r="120" spans="2:13" x14ac:dyDescent="0.25">
      <c r="C120" s="9"/>
      <c r="D120" s="67" t="s">
        <v>61</v>
      </c>
      <c r="E120" s="68"/>
      <c r="F120" s="69"/>
      <c r="G120" s="70"/>
      <c r="H120" s="71">
        <f>SUM(H116:H119)</f>
        <v>55.2</v>
      </c>
      <c r="I120" s="72"/>
      <c r="J120" s="73"/>
      <c r="K120" s="71">
        <f>SUM(K116:K119)</f>
        <v>57.06453505478072</v>
      </c>
      <c r="L120" s="74">
        <f t="shared" si="5"/>
        <v>1.8645350547807169</v>
      </c>
      <c r="M120" s="75">
        <f>IF((H120)=0,"",(L120/H120))</f>
        <v>3.3777808963418782E-2</v>
      </c>
    </row>
    <row r="121" spans="2:13" x14ac:dyDescent="0.25">
      <c r="C121" s="9"/>
      <c r="D121" s="76" t="s">
        <v>62</v>
      </c>
      <c r="E121" s="56"/>
      <c r="F121" s="64">
        <f>IF((E108*12&gt;=150000), 0, IF(E107="RPP",(F137*0.65+F138*0.17+F139*0.18),IF(E107="Non-RPP (Retailer)",F140,F141)))</f>
        <v>8.2160000000000011E-2</v>
      </c>
      <c r="G121" s="77">
        <f>IF(F121=0, 0, $E108*E110-E108)</f>
        <v>63</v>
      </c>
      <c r="H121" s="59">
        <f t="shared" ref="H121:H127" si="6">G121*F121</f>
        <v>5.1760800000000007</v>
      </c>
      <c r="I121" s="65">
        <f>IF((E108*12&gt;=150000), 0, IF(E107="RPP",(I137*0.65+I138*0.17+I139*0.18),IF(E107="Non-RPP (Retailer)",I140,I141)))</f>
        <v>8.2160000000000011E-2</v>
      </c>
      <c r="J121" s="77">
        <f>IF(I121=0, 0, E108*E111-E108)</f>
        <v>63</v>
      </c>
      <c r="K121" s="59">
        <f t="shared" ref="K121:K127" si="7">J121*I121</f>
        <v>5.1760800000000007</v>
      </c>
      <c r="L121" s="62">
        <f t="shared" si="5"/>
        <v>0</v>
      </c>
      <c r="M121" s="63">
        <f t="shared" ref="M121:M127" si="8">IF(ISERROR(L121/H121), "", L121/H121)</f>
        <v>0</v>
      </c>
    </row>
    <row r="122" spans="2:13" ht="25.5" x14ac:dyDescent="0.25">
      <c r="C122" s="9"/>
      <c r="D122" s="76" t="s">
        <v>63</v>
      </c>
      <c r="E122" s="56"/>
      <c r="F122" s="64">
        <v>-2.7000000000000001E-3</v>
      </c>
      <c r="G122" s="78">
        <f>IF($E109&gt;0, $E109, $E108)</f>
        <v>2000</v>
      </c>
      <c r="H122" s="59">
        <f t="shared" si="6"/>
        <v>-5.4</v>
      </c>
      <c r="I122" s="65">
        <v>-8.0000000000000004E-4</v>
      </c>
      <c r="J122" s="78">
        <f>IF($E109&gt;0, $E109, $E108)</f>
        <v>2000</v>
      </c>
      <c r="K122" s="59">
        <f t="shared" si="7"/>
        <v>-1.6</v>
      </c>
      <c r="L122" s="62">
        <f t="shared" si="5"/>
        <v>3.8000000000000003</v>
      </c>
      <c r="M122" s="63">
        <f t="shared" si="8"/>
        <v>-0.70370370370370372</v>
      </c>
    </row>
    <row r="123" spans="2:13" x14ac:dyDescent="0.25">
      <c r="C123" s="9"/>
      <c r="D123" s="76" t="s">
        <v>64</v>
      </c>
      <c r="E123" s="56"/>
      <c r="F123" s="64">
        <v>2.9999999999999997E-4</v>
      </c>
      <c r="G123" s="78">
        <f>IF($E109&gt;0, $E109, $E108)</f>
        <v>2000</v>
      </c>
      <c r="H123" s="59">
        <f t="shared" si="6"/>
        <v>0.6</v>
      </c>
      <c r="I123" s="65">
        <v>0</v>
      </c>
      <c r="J123" s="78">
        <f>IF($E109&gt;0, $E109, $E108)</f>
        <v>2000</v>
      </c>
      <c r="K123" s="59">
        <f t="shared" si="7"/>
        <v>0</v>
      </c>
      <c r="L123" s="62">
        <f t="shared" si="5"/>
        <v>-0.6</v>
      </c>
      <c r="M123" s="63">
        <f t="shared" si="8"/>
        <v>-1</v>
      </c>
    </row>
    <row r="124" spans="2:13" x14ac:dyDescent="0.25">
      <c r="C124" s="9"/>
      <c r="D124" s="76" t="s">
        <v>65</v>
      </c>
      <c r="E124" s="56"/>
      <c r="F124" s="64">
        <v>0</v>
      </c>
      <c r="G124" s="78">
        <f>E108</f>
        <v>2000</v>
      </c>
      <c r="H124" s="59">
        <f t="shared" si="6"/>
        <v>0</v>
      </c>
      <c r="I124" s="65">
        <v>0</v>
      </c>
      <c r="J124" s="78">
        <f>E108</f>
        <v>2000</v>
      </c>
      <c r="K124" s="59">
        <f t="shared" si="7"/>
        <v>0</v>
      </c>
      <c r="L124" s="62">
        <f t="shared" si="5"/>
        <v>0</v>
      </c>
      <c r="M124" s="63" t="str">
        <f t="shared" si="8"/>
        <v/>
      </c>
    </row>
    <row r="125" spans="2:13" x14ac:dyDescent="0.25">
      <c r="C125" s="9"/>
      <c r="D125" s="79" t="s">
        <v>66</v>
      </c>
      <c r="E125" s="56"/>
      <c r="F125" s="64">
        <v>0</v>
      </c>
      <c r="G125" s="78">
        <f>IF($E109&gt;0, $E109, $E108)</f>
        <v>2000</v>
      </c>
      <c r="H125" s="59">
        <f t="shared" si="6"/>
        <v>0</v>
      </c>
      <c r="I125" s="65"/>
      <c r="J125" s="78">
        <f>IF($E109&gt;0, $E109, $E108)</f>
        <v>2000</v>
      </c>
      <c r="K125" s="59">
        <f t="shared" si="7"/>
        <v>0</v>
      </c>
      <c r="L125" s="62">
        <f t="shared" si="5"/>
        <v>0</v>
      </c>
      <c r="M125" s="63" t="str">
        <f t="shared" si="8"/>
        <v/>
      </c>
    </row>
    <row r="126" spans="2:13" ht="51" x14ac:dyDescent="0.25">
      <c r="C126" s="9"/>
      <c r="D126" s="80" t="s">
        <v>67</v>
      </c>
      <c r="E126" s="56"/>
      <c r="F126" s="81">
        <v>1.1399999999999999</v>
      </c>
      <c r="G126" s="58">
        <v>1</v>
      </c>
      <c r="H126" s="59">
        <f t="shared" si="6"/>
        <v>1.1399999999999999</v>
      </c>
      <c r="I126" s="82">
        <v>0.79</v>
      </c>
      <c r="J126" s="58">
        <v>1</v>
      </c>
      <c r="K126" s="59">
        <f t="shared" si="7"/>
        <v>0.79</v>
      </c>
      <c r="L126" s="62">
        <f t="shared" si="5"/>
        <v>-0.34999999999999987</v>
      </c>
      <c r="M126" s="63">
        <f t="shared" si="8"/>
        <v>-0.30701754385964902</v>
      </c>
    </row>
    <row r="127" spans="2:13" x14ac:dyDescent="0.25">
      <c r="C127" s="9"/>
      <c r="D127" s="79" t="s">
        <v>68</v>
      </c>
      <c r="E127" s="56"/>
      <c r="F127" s="64"/>
      <c r="G127" s="78">
        <f>IF($E109&gt;0, $E109, $E108)</f>
        <v>2000</v>
      </c>
      <c r="H127" s="59">
        <f t="shared" si="6"/>
        <v>0</v>
      </c>
      <c r="I127" s="65">
        <v>0</v>
      </c>
      <c r="J127" s="78">
        <f>IF($E109&gt;0, $E109, $E108)</f>
        <v>2000</v>
      </c>
      <c r="K127" s="59">
        <f t="shared" si="7"/>
        <v>0</v>
      </c>
      <c r="L127" s="62">
        <f t="shared" si="5"/>
        <v>0</v>
      </c>
      <c r="M127" s="63" t="str">
        <f t="shared" si="8"/>
        <v/>
      </c>
    </row>
    <row r="128" spans="2:13" ht="25.5" x14ac:dyDescent="0.25">
      <c r="C128" s="9"/>
      <c r="D128" s="83" t="s">
        <v>69</v>
      </c>
      <c r="E128" s="84"/>
      <c r="F128" s="85"/>
      <c r="G128" s="86"/>
      <c r="H128" s="87">
        <f>SUM(H120:H127)</f>
        <v>56.716080000000005</v>
      </c>
      <c r="I128" s="88"/>
      <c r="J128" s="89"/>
      <c r="K128" s="87">
        <f>SUM(K120:K127)</f>
        <v>61.430615054780716</v>
      </c>
      <c r="L128" s="74">
        <f t="shared" si="5"/>
        <v>4.7145350547807112</v>
      </c>
      <c r="M128" s="75">
        <f>IF((H128)=0,"",(L128/H128))</f>
        <v>8.3125192269647527E-2</v>
      </c>
    </row>
    <row r="129" spans="3:13" x14ac:dyDescent="0.25">
      <c r="D129" s="90" t="s">
        <v>70</v>
      </c>
      <c r="E129" s="56"/>
      <c r="F129" s="64">
        <v>6.4999999999999997E-3</v>
      </c>
      <c r="G129" s="77">
        <f>IF($E109&gt;0, $E109, $E108*$E110)</f>
        <v>2063</v>
      </c>
      <c r="H129" s="59">
        <f>G129*F129</f>
        <v>13.4095</v>
      </c>
      <c r="I129" s="65">
        <v>4.7000000000000002E-3</v>
      </c>
      <c r="J129" s="77">
        <f>IF($E109&gt;0, $E109, $E108*$E111)</f>
        <v>2063</v>
      </c>
      <c r="K129" s="59">
        <f>J129*I129</f>
        <v>9.6960999999999995</v>
      </c>
      <c r="L129" s="62">
        <f t="shared" si="5"/>
        <v>-3.7134</v>
      </c>
      <c r="M129" s="63">
        <f>IF(ISERROR(L129/H129), "", L129/H129)</f>
        <v>-0.27692307692307694</v>
      </c>
    </row>
    <row r="130" spans="3:13" ht="25.5" x14ac:dyDescent="0.25">
      <c r="D130" s="91" t="s">
        <v>71</v>
      </c>
      <c r="E130" s="56"/>
      <c r="F130" s="64">
        <v>5.4999999999999997E-3</v>
      </c>
      <c r="G130" s="77">
        <f>IF($E109&gt;0, $E109, $E108*$E110)</f>
        <v>2063</v>
      </c>
      <c r="H130" s="59">
        <f>G130*F130</f>
        <v>11.346499999999999</v>
      </c>
      <c r="I130" s="65">
        <v>3.7000000000000002E-3</v>
      </c>
      <c r="J130" s="77">
        <f>IF($E109&gt;0, $E109, $E108*$E111)</f>
        <v>2063</v>
      </c>
      <c r="K130" s="59">
        <f>J130*I130</f>
        <v>7.6331000000000007</v>
      </c>
      <c r="L130" s="62">
        <f t="shared" si="5"/>
        <v>-3.7133999999999983</v>
      </c>
      <c r="M130" s="63">
        <f>IF(ISERROR(L130/H130), "", L130/H130)</f>
        <v>-0.32727272727272716</v>
      </c>
    </row>
    <row r="131" spans="3:13" ht="25.5" x14ac:dyDescent="0.25">
      <c r="C131" s="8"/>
      <c r="D131" s="83" t="s">
        <v>72</v>
      </c>
      <c r="E131" s="68"/>
      <c r="F131" s="85"/>
      <c r="G131" s="86"/>
      <c r="H131" s="87">
        <f>SUM(H128:H130)</f>
        <v>81.472080000000005</v>
      </c>
      <c r="I131" s="88"/>
      <c r="J131" s="73"/>
      <c r="K131" s="87">
        <f>SUM(K128:K130)</f>
        <v>78.759815054780717</v>
      </c>
      <c r="L131" s="74">
        <f t="shared" si="5"/>
        <v>-2.7122649452192888</v>
      </c>
      <c r="M131" s="75">
        <f>IF((H131)=0,"",(L131/H131))</f>
        <v>-3.3290729108908089E-2</v>
      </c>
    </row>
    <row r="132" spans="3:13" ht="25.5" x14ac:dyDescent="0.25">
      <c r="C132" s="8"/>
      <c r="D132" s="92" t="s">
        <v>73</v>
      </c>
      <c r="E132" s="56"/>
      <c r="F132" s="64">
        <v>3.6000000000000003E-3</v>
      </c>
      <c r="G132" s="77">
        <f>E108*E110</f>
        <v>2063</v>
      </c>
      <c r="H132" s="93">
        <f>G132*F132</f>
        <v>7.426800000000001</v>
      </c>
      <c r="I132" s="65">
        <v>3.6000000000000003E-3</v>
      </c>
      <c r="J132" s="77">
        <f>E108*E111</f>
        <v>2063</v>
      </c>
      <c r="K132" s="93">
        <f>J132*I132</f>
        <v>7.426800000000001</v>
      </c>
      <c r="L132" s="62">
        <f t="shared" si="5"/>
        <v>0</v>
      </c>
      <c r="M132" s="63">
        <f>IF(ISERROR(L132/H132), "", L132/H132)</f>
        <v>0</v>
      </c>
    </row>
    <row r="133" spans="3:13" ht="25.5" x14ac:dyDescent="0.25">
      <c r="C133" s="8"/>
      <c r="D133" s="92" t="s">
        <v>74</v>
      </c>
      <c r="E133" s="56"/>
      <c r="F133" s="64">
        <v>2.9999999999999997E-4</v>
      </c>
      <c r="G133" s="77">
        <f>E108*E110</f>
        <v>2063</v>
      </c>
      <c r="H133" s="93">
        <f>G133*F133</f>
        <v>0.61889999999999989</v>
      </c>
      <c r="I133" s="65">
        <v>2.9999999999999997E-4</v>
      </c>
      <c r="J133" s="77">
        <f>E108*E111</f>
        <v>2063</v>
      </c>
      <c r="K133" s="93">
        <f>J133*I133</f>
        <v>0.61889999999999989</v>
      </c>
      <c r="L133" s="62">
        <f t="shared" si="5"/>
        <v>0</v>
      </c>
      <c r="M133" s="63">
        <f>IF(ISERROR(L133/H133), "", L133/H133)</f>
        <v>0</v>
      </c>
    </row>
    <row r="134" spans="3:13" x14ac:dyDescent="0.25">
      <c r="C134" s="8"/>
      <c r="D134" s="94" t="s">
        <v>75</v>
      </c>
      <c r="E134" s="56"/>
      <c r="F134" s="81">
        <v>0.25</v>
      </c>
      <c r="G134" s="58">
        <v>1</v>
      </c>
      <c r="H134" s="93">
        <f>G134*F134</f>
        <v>0.25</v>
      </c>
      <c r="I134" s="82">
        <v>0.25</v>
      </c>
      <c r="J134" s="61">
        <v>1</v>
      </c>
      <c r="K134" s="93">
        <f>J134*I134</f>
        <v>0.25</v>
      </c>
      <c r="L134" s="62">
        <f t="shared" si="5"/>
        <v>0</v>
      </c>
      <c r="M134" s="63">
        <f>IF(ISERROR(L134/H134), "", L134/H134)</f>
        <v>0</v>
      </c>
    </row>
    <row r="135" spans="3:13" x14ac:dyDescent="0.25">
      <c r="C135" s="8"/>
      <c r="D135" s="94" t="s">
        <v>76</v>
      </c>
      <c r="E135" s="56"/>
      <c r="F135" s="64">
        <v>7.0000000000000001E-3</v>
      </c>
      <c r="G135" s="78">
        <f>E108</f>
        <v>2000</v>
      </c>
      <c r="H135" s="93">
        <f>G135*F135</f>
        <v>14</v>
      </c>
      <c r="I135" s="150">
        <v>7.0000000000000001E-3</v>
      </c>
      <c r="J135" s="78">
        <f>E108</f>
        <v>2000</v>
      </c>
      <c r="K135" s="93">
        <f>J135*I135</f>
        <v>14</v>
      </c>
      <c r="L135" s="62">
        <f t="shared" si="5"/>
        <v>0</v>
      </c>
      <c r="M135" s="63">
        <f>IF(ISERROR(L135/H135), "", L135/H135)</f>
        <v>0</v>
      </c>
    </row>
    <row r="136" spans="3:13" ht="25.5" x14ac:dyDescent="0.25">
      <c r="C136" s="8"/>
      <c r="D136" s="92" t="s">
        <v>77</v>
      </c>
      <c r="E136" s="56"/>
      <c r="F136" s="64"/>
      <c r="G136" s="77"/>
      <c r="H136" s="93"/>
      <c r="I136" s="65"/>
      <c r="J136" s="77"/>
      <c r="K136" s="93"/>
      <c r="L136" s="62"/>
      <c r="M136" s="63"/>
    </row>
    <row r="137" spans="3:13" x14ac:dyDescent="0.25">
      <c r="C137" s="8"/>
      <c r="D137" s="101" t="s">
        <v>78</v>
      </c>
      <c r="E137" s="56"/>
      <c r="F137" s="102">
        <v>6.5000000000000002E-2</v>
      </c>
      <c r="G137" s="103">
        <f>IF(AND(E108*12&gt;=150000),0.65*E108*E110,0.65*E108)</f>
        <v>1300</v>
      </c>
      <c r="H137" s="93">
        <f>G137*F137</f>
        <v>84.5</v>
      </c>
      <c r="I137" s="104">
        <v>6.5000000000000002E-2</v>
      </c>
      <c r="J137" s="103">
        <f>IF(AND(E108*12&gt;=150000),0.65*E108*E111,0.65*E108)</f>
        <v>1300</v>
      </c>
      <c r="K137" s="93">
        <f>J137*I137</f>
        <v>84.5</v>
      </c>
      <c r="L137" s="62">
        <f>K137-H137</f>
        <v>0</v>
      </c>
      <c r="M137" s="63">
        <f>IF(ISERROR(L137/H137), "", L137/H137)</f>
        <v>0</v>
      </c>
    </row>
    <row r="138" spans="3:13" x14ac:dyDescent="0.25">
      <c r="C138" s="8"/>
      <c r="D138" s="101" t="s">
        <v>79</v>
      </c>
      <c r="E138" s="56"/>
      <c r="F138" s="102">
        <v>9.5000000000000001E-2</v>
      </c>
      <c r="G138" s="103">
        <f>IF(AND(E108*12&gt;=150000),0.17*E108*E110,0.17*E108)</f>
        <v>340</v>
      </c>
      <c r="H138" s="93">
        <f>G138*F138</f>
        <v>32.299999999999997</v>
      </c>
      <c r="I138" s="104">
        <v>9.5000000000000001E-2</v>
      </c>
      <c r="J138" s="103">
        <f>IF(AND(E108*12&gt;=150000),0.17*E108*E111,0.17*E108)</f>
        <v>340</v>
      </c>
      <c r="K138" s="93">
        <f>J138*I138</f>
        <v>32.299999999999997</v>
      </c>
      <c r="L138" s="62">
        <f>K138-H138</f>
        <v>0</v>
      </c>
      <c r="M138" s="63">
        <f>IF(ISERROR(L138/H138), "", L138/H138)</f>
        <v>0</v>
      </c>
    </row>
    <row r="139" spans="3:13" x14ac:dyDescent="0.25">
      <c r="C139" s="8"/>
      <c r="D139" s="43" t="s">
        <v>80</v>
      </c>
      <c r="E139" s="56"/>
      <c r="F139" s="102">
        <v>0.13200000000000001</v>
      </c>
      <c r="G139" s="103">
        <f>IF(AND(E108*12&gt;=150000),0.18*E108*E110,0.18*E108)</f>
        <v>360</v>
      </c>
      <c r="H139" s="93">
        <f>G139*F139</f>
        <v>47.52</v>
      </c>
      <c r="I139" s="104">
        <v>0.13200000000000001</v>
      </c>
      <c r="J139" s="103">
        <f>IF(AND(E108*12&gt;=150000),0.18*E108*E111,0.18*E108)</f>
        <v>360</v>
      </c>
      <c r="K139" s="93">
        <f>J139*I139</f>
        <v>47.52</v>
      </c>
      <c r="L139" s="62">
        <f>K139-H139</f>
        <v>0</v>
      </c>
      <c r="M139" s="63">
        <f>IF(ISERROR(L139/H139), "", L139/H139)</f>
        <v>0</v>
      </c>
    </row>
    <row r="140" spans="3:13" x14ac:dyDescent="0.25">
      <c r="C140" s="8"/>
      <c r="D140" s="101" t="s">
        <v>81</v>
      </c>
      <c r="E140" s="56"/>
      <c r="F140" s="105">
        <v>0.1101</v>
      </c>
      <c r="G140" s="103">
        <f>IF(AND(E108*12&gt;=150000),E108*E110,E108)</f>
        <v>2000</v>
      </c>
      <c r="H140" s="93">
        <f>G140*F140</f>
        <v>220.20000000000002</v>
      </c>
      <c r="I140" s="106">
        <f>F140</f>
        <v>0.1101</v>
      </c>
      <c r="J140" s="103">
        <f>IF(AND(E108*12&gt;=150000),E108*E111,E108)</f>
        <v>2000</v>
      </c>
      <c r="K140" s="93">
        <f>J140*I140</f>
        <v>220.20000000000002</v>
      </c>
      <c r="L140" s="62">
        <f>K140-H140</f>
        <v>0</v>
      </c>
      <c r="M140" s="63">
        <f>IF(ISERROR(L140/H140), "", L140/H140)</f>
        <v>0</v>
      </c>
    </row>
    <row r="141" spans="3:13" ht="15.75" thickBot="1" x14ac:dyDescent="0.3">
      <c r="C141" s="9"/>
      <c r="D141" s="101" t="s">
        <v>82</v>
      </c>
      <c r="E141" s="56"/>
      <c r="F141" s="105">
        <v>0.1101</v>
      </c>
      <c r="G141" s="103">
        <f>IF(AND(E108*12&gt;=150000),E108*E110,E108)</f>
        <v>2000</v>
      </c>
      <c r="H141" s="93">
        <f>G141*F141</f>
        <v>220.20000000000002</v>
      </c>
      <c r="I141" s="106">
        <f>F141</f>
        <v>0.1101</v>
      </c>
      <c r="J141" s="103">
        <f>IF(AND(E108*12&gt;=150000),E108*E111,E108)</f>
        <v>2000</v>
      </c>
      <c r="K141" s="93">
        <f>J141*I141</f>
        <v>220.20000000000002</v>
      </c>
      <c r="L141" s="62">
        <f>K141-H141</f>
        <v>0</v>
      </c>
      <c r="M141" s="63">
        <f>IF(ISERROR(L141/H141), "", L141/H141)</f>
        <v>0</v>
      </c>
    </row>
    <row r="142" spans="3:13" ht="15.75" thickBot="1" x14ac:dyDescent="0.3">
      <c r="C142" s="9"/>
      <c r="D142" s="107"/>
      <c r="E142" s="108"/>
      <c r="F142" s="109"/>
      <c r="G142" s="110"/>
      <c r="H142" s="111"/>
      <c r="I142" s="109"/>
      <c r="J142" s="112"/>
      <c r="K142" s="111"/>
      <c r="L142" s="113"/>
      <c r="M142" s="114"/>
    </row>
    <row r="143" spans="3:13" x14ac:dyDescent="0.25">
      <c r="C143" s="9"/>
      <c r="D143" s="115" t="s">
        <v>83</v>
      </c>
      <c r="E143" s="94"/>
      <c r="F143" s="116"/>
      <c r="G143" s="117"/>
      <c r="H143" s="118">
        <f>SUM(H132:H139,H131)</f>
        <v>268.08778000000001</v>
      </c>
      <c r="I143" s="119"/>
      <c r="J143" s="119"/>
      <c r="K143" s="118">
        <f>SUM(K132:K139,K131)</f>
        <v>265.37551505478075</v>
      </c>
      <c r="L143" s="120">
        <f>K143-H143</f>
        <v>-2.7122649452192604</v>
      </c>
      <c r="M143" s="121">
        <f>IF((H143)=0,"",(L143/H143))</f>
        <v>-1.0117077866134966E-2</v>
      </c>
    </row>
    <row r="144" spans="3:13" x14ac:dyDescent="0.25">
      <c r="C144" s="9"/>
      <c r="D144" s="122" t="s">
        <v>84</v>
      </c>
      <c r="E144" s="94"/>
      <c r="F144" s="116">
        <v>0.13</v>
      </c>
      <c r="G144" s="123"/>
      <c r="H144" s="124">
        <f>H143*F144</f>
        <v>34.851411400000003</v>
      </c>
      <c r="I144" s="125">
        <v>0.13</v>
      </c>
      <c r="J144" s="58"/>
      <c r="K144" s="124">
        <f>K143*I144</f>
        <v>34.498816957121498</v>
      </c>
      <c r="L144" s="126">
        <f>K144-H144</f>
        <v>-0.35259444287850528</v>
      </c>
      <c r="M144" s="127">
        <f>IF((H144)=0,"",(L144/H144))</f>
        <v>-1.0117077866135006E-2</v>
      </c>
    </row>
    <row r="145" spans="2:13" x14ac:dyDescent="0.25">
      <c r="B145" s="151"/>
      <c r="C145" s="9"/>
      <c r="D145" s="122" t="s">
        <v>85</v>
      </c>
      <c r="E145" s="94"/>
      <c r="F145" s="116">
        <v>0.08</v>
      </c>
      <c r="G145" s="123"/>
      <c r="H145" s="124">
        <f>H143*-F145</f>
        <v>-21.447022400000002</v>
      </c>
      <c r="I145" s="116">
        <v>0.08</v>
      </c>
      <c r="J145" s="58"/>
      <c r="K145" s="124">
        <f>K143*-I145</f>
        <v>-21.230041204382459</v>
      </c>
      <c r="L145" s="126">
        <f>K145-H145</f>
        <v>0.21698119561754226</v>
      </c>
      <c r="M145" s="127"/>
    </row>
    <row r="146" spans="2:13" ht="15.75" thickBot="1" x14ac:dyDescent="0.3">
      <c r="C146" s="9"/>
      <c r="D146" s="308" t="s">
        <v>86</v>
      </c>
      <c r="E146" s="308"/>
      <c r="F146" s="128"/>
      <c r="G146" s="129"/>
      <c r="H146" s="130">
        <f>H143+H144+H145</f>
        <v>281.49216900000005</v>
      </c>
      <c r="I146" s="131"/>
      <c r="J146" s="131"/>
      <c r="K146" s="132">
        <f>K143+K144+K145</f>
        <v>278.64429080751978</v>
      </c>
      <c r="L146" s="133">
        <f>K146-H146</f>
        <v>-2.8478781924802661</v>
      </c>
      <c r="M146" s="134">
        <f>IF((H146)=0,"",(L146/H146))</f>
        <v>-1.0117077866135117E-2</v>
      </c>
    </row>
    <row r="147" spans="2:13" ht="15.75" thickBot="1" x14ac:dyDescent="0.3">
      <c r="C147" s="9"/>
      <c r="D147" s="107"/>
      <c r="E147" s="108"/>
      <c r="F147" s="109"/>
      <c r="G147" s="110"/>
      <c r="H147" s="111"/>
      <c r="I147" s="109"/>
      <c r="J147" s="112"/>
      <c r="K147" s="111"/>
      <c r="L147" s="113"/>
      <c r="M147" s="114"/>
    </row>
    <row r="148" spans="2:13" hidden="1" x14ac:dyDescent="0.25">
      <c r="C148" s="9"/>
      <c r="D148" s="115" t="s">
        <v>87</v>
      </c>
      <c r="E148" s="94"/>
      <c r="F148" s="116"/>
      <c r="G148" s="117"/>
      <c r="H148" s="118">
        <f>SUM(H140,H132:H136,H131)</f>
        <v>323.96778000000006</v>
      </c>
      <c r="I148" s="119"/>
      <c r="J148" s="119"/>
      <c r="K148" s="118">
        <f>SUM(K140,K132:K136,K131)</f>
        <v>321.25551505478074</v>
      </c>
      <c r="L148" s="120">
        <f>K148-H148</f>
        <v>-2.7122649452193173</v>
      </c>
      <c r="M148" s="121">
        <f>IF((H148)=0,"",(L148/H148))</f>
        <v>-8.3720206534715173E-3</v>
      </c>
    </row>
    <row r="149" spans="2:13" hidden="1" x14ac:dyDescent="0.25">
      <c r="C149" s="9"/>
      <c r="D149" s="122" t="s">
        <v>84</v>
      </c>
      <c r="E149" s="94"/>
      <c r="F149" s="116">
        <v>0.13</v>
      </c>
      <c r="G149" s="117"/>
      <c r="H149" s="124">
        <f>H148*F149</f>
        <v>42.115811400000013</v>
      </c>
      <c r="I149" s="116">
        <v>0.13</v>
      </c>
      <c r="J149" s="125"/>
      <c r="K149" s="124">
        <f>K148*I149</f>
        <v>41.7632169571215</v>
      </c>
      <c r="L149" s="126">
        <f>K149-H149</f>
        <v>-0.35259444287851238</v>
      </c>
      <c r="M149" s="127">
        <f>IF((H149)=0,"",(L149/H149))</f>
        <v>-8.3720206534715434E-3</v>
      </c>
    </row>
    <row r="150" spans="2:13" hidden="1" x14ac:dyDescent="0.25">
      <c r="C150" s="9"/>
      <c r="D150" s="122" t="s">
        <v>85</v>
      </c>
      <c r="E150" s="94"/>
      <c r="F150" s="116">
        <v>0.08</v>
      </c>
      <c r="G150" s="117"/>
      <c r="H150" s="124"/>
      <c r="I150" s="116">
        <v>0.08</v>
      </c>
      <c r="J150" s="125"/>
      <c r="K150" s="124"/>
      <c r="L150" s="126"/>
      <c r="M150" s="127"/>
    </row>
    <row r="151" spans="2:13" ht="15.75" hidden="1" thickBot="1" x14ac:dyDescent="0.3">
      <c r="C151" s="9"/>
      <c r="D151" s="308" t="s">
        <v>87</v>
      </c>
      <c r="E151" s="308"/>
      <c r="F151" s="135"/>
      <c r="G151" s="136"/>
      <c r="H151" s="130">
        <f>SUM(H148,H149)</f>
        <v>366.08359140000005</v>
      </c>
      <c r="I151" s="137"/>
      <c r="J151" s="137"/>
      <c r="K151" s="130">
        <f>SUM(K148,K149)</f>
        <v>363.01873201190222</v>
      </c>
      <c r="L151" s="138">
        <f>K151-H151</f>
        <v>-3.0648593880978297</v>
      </c>
      <c r="M151" s="139">
        <f>IF((H151)=0,"",(L151/H151))</f>
        <v>-8.3720206534715208E-3</v>
      </c>
    </row>
    <row r="152" spans="2:13" ht="15.75" hidden="1" thickBot="1" x14ac:dyDescent="0.3">
      <c r="C152" s="9"/>
      <c r="D152" s="107"/>
      <c r="E152" s="108"/>
      <c r="F152" s="140"/>
      <c r="G152" s="141"/>
      <c r="H152" s="142"/>
      <c r="I152" s="140"/>
      <c r="J152" s="110"/>
      <c r="K152" s="142"/>
      <c r="L152" s="143"/>
      <c r="M152" s="114"/>
    </row>
    <row r="153" spans="2:13" hidden="1" x14ac:dyDescent="0.25">
      <c r="B153" s="43"/>
      <c r="C153" s="9"/>
      <c r="D153" s="115" t="s">
        <v>88</v>
      </c>
      <c r="E153" s="94"/>
      <c r="F153" s="116"/>
      <c r="G153" s="117"/>
      <c r="H153" s="118">
        <f>SUM(H141,H132:H136,H131)</f>
        <v>323.96778000000006</v>
      </c>
      <c r="I153" s="119"/>
      <c r="J153" s="119"/>
      <c r="K153" s="118">
        <f>SUM(K141,K132:K136,K131)</f>
        <v>321.25551505478074</v>
      </c>
      <c r="L153" s="120">
        <f>K153-H153</f>
        <v>-2.7122649452193173</v>
      </c>
      <c r="M153" s="121">
        <f>IF((H153)=0,"",(L153/H153))</f>
        <v>-8.3720206534715173E-3</v>
      </c>
    </row>
    <row r="154" spans="2:13" hidden="1" x14ac:dyDescent="0.25">
      <c r="C154" s="9"/>
      <c r="D154" s="122" t="s">
        <v>84</v>
      </c>
      <c r="E154" s="94"/>
      <c r="F154" s="116">
        <v>0.13</v>
      </c>
      <c r="G154" s="117"/>
      <c r="H154" s="124">
        <f>H153*F154</f>
        <v>42.115811400000013</v>
      </c>
      <c r="I154" s="116">
        <v>0.13</v>
      </c>
      <c r="J154" s="125"/>
      <c r="K154" s="124">
        <f>K153*I154</f>
        <v>41.7632169571215</v>
      </c>
      <c r="L154" s="126">
        <f>K154-H154</f>
        <v>-0.35259444287851238</v>
      </c>
      <c r="M154" s="127">
        <f>IF((H154)=0,"",(L154/H154))</f>
        <v>-8.3720206534715434E-3</v>
      </c>
    </row>
    <row r="155" spans="2:13" hidden="1" x14ac:dyDescent="0.25">
      <c r="C155" s="9"/>
      <c r="D155" s="122" t="s">
        <v>85</v>
      </c>
      <c r="E155" s="94"/>
      <c r="F155" s="116">
        <v>0.08</v>
      </c>
      <c r="G155" s="117"/>
      <c r="H155" s="124"/>
      <c r="I155" s="116">
        <v>0.08</v>
      </c>
      <c r="J155" s="125"/>
      <c r="K155" s="124"/>
      <c r="L155" s="126"/>
      <c r="M155" s="127"/>
    </row>
    <row r="156" spans="2:13" ht="15.75" hidden="1" thickBot="1" x14ac:dyDescent="0.3">
      <c r="B156" s="43"/>
      <c r="C156" s="9"/>
      <c r="D156" s="308" t="s">
        <v>88</v>
      </c>
      <c r="E156" s="308"/>
      <c r="F156" s="135"/>
      <c r="G156" s="136"/>
      <c r="H156" s="130">
        <f>SUM(H153,H154)</f>
        <v>366.08359140000005</v>
      </c>
      <c r="I156" s="137"/>
      <c r="J156" s="137"/>
      <c r="K156" s="130">
        <f>SUM(K153,K154)</f>
        <v>363.01873201190222</v>
      </c>
      <c r="L156" s="138">
        <f>K156-H156</f>
        <v>-3.0648593880978297</v>
      </c>
      <c r="M156" s="139">
        <f>IF((H156)=0,"",(L156/H156))</f>
        <v>-8.3720206534715208E-3</v>
      </c>
    </row>
    <row r="157" spans="2:13" ht="15.75" hidden="1" thickBot="1" x14ac:dyDescent="0.3">
      <c r="C157" s="9"/>
      <c r="D157" s="107"/>
      <c r="E157" s="108"/>
      <c r="F157" s="144"/>
      <c r="G157" s="145"/>
      <c r="H157" s="146"/>
      <c r="I157" s="144"/>
      <c r="J157" s="147"/>
      <c r="K157" s="146"/>
      <c r="L157" s="148"/>
      <c r="M157" s="149"/>
    </row>
    <row r="158" spans="2:13" x14ac:dyDescent="0.25">
      <c r="C158" s="9"/>
    </row>
    <row r="159" spans="2:13" x14ac:dyDescent="0.25">
      <c r="C159" s="9"/>
    </row>
    <row r="160" spans="2:13" x14ac:dyDescent="0.25">
      <c r="C160" s="9"/>
      <c r="D160" s="39" t="s">
        <v>42</v>
      </c>
      <c r="E160" s="303" t="s">
        <v>12</v>
      </c>
      <c r="F160" s="303"/>
      <c r="G160" s="303"/>
      <c r="H160" s="303"/>
      <c r="I160" s="303"/>
      <c r="J160" s="303"/>
      <c r="K160" s="8" t="s">
        <v>89</v>
      </c>
    </row>
    <row r="161" spans="2:13" x14ac:dyDescent="0.25">
      <c r="C161" s="9"/>
      <c r="D161" s="39" t="s">
        <v>43</v>
      </c>
      <c r="E161" s="304" t="s">
        <v>22</v>
      </c>
      <c r="F161" s="304"/>
      <c r="G161" s="304"/>
      <c r="H161" s="40"/>
      <c r="I161" s="40"/>
    </row>
    <row r="162" spans="2:13" ht="15.75" x14ac:dyDescent="0.25">
      <c r="B162" s="43"/>
      <c r="C162" s="9"/>
      <c r="D162" s="39" t="s">
        <v>44</v>
      </c>
      <c r="E162" s="41">
        <v>1095000</v>
      </c>
      <c r="F162" s="42" t="s">
        <v>19</v>
      </c>
      <c r="G162" s="43"/>
      <c r="J162" s="44"/>
      <c r="K162" s="44"/>
      <c r="L162" s="44"/>
      <c r="M162" s="44"/>
    </row>
    <row r="163" spans="2:13" ht="15.75" x14ac:dyDescent="0.25">
      <c r="B163" s="43"/>
      <c r="C163" s="9"/>
      <c r="D163" s="39" t="s">
        <v>45</v>
      </c>
      <c r="E163" s="41">
        <v>2500</v>
      </c>
      <c r="F163" s="45" t="s">
        <v>21</v>
      </c>
      <c r="G163" s="46"/>
      <c r="H163" s="47"/>
      <c r="I163" s="47"/>
      <c r="J163" s="47"/>
    </row>
    <row r="164" spans="2:13" x14ac:dyDescent="0.25">
      <c r="B164" s="43"/>
      <c r="C164" s="9"/>
      <c r="D164" s="39" t="s">
        <v>46</v>
      </c>
      <c r="E164" s="48">
        <v>1.0315000000000001</v>
      </c>
    </row>
    <row r="165" spans="2:13" x14ac:dyDescent="0.25">
      <c r="C165" s="9"/>
      <c r="D165" s="39" t="s">
        <v>47</v>
      </c>
      <c r="E165" s="48">
        <v>1.0315000000000001</v>
      </c>
    </row>
    <row r="166" spans="2:13" x14ac:dyDescent="0.25">
      <c r="C166" s="9"/>
      <c r="D166" s="43"/>
    </row>
    <row r="167" spans="2:13" x14ac:dyDescent="0.25">
      <c r="B167" s="43"/>
      <c r="C167" s="9"/>
      <c r="D167" s="43"/>
      <c r="E167" s="49"/>
      <c r="F167" s="305" t="s">
        <v>48</v>
      </c>
      <c r="G167" s="306"/>
      <c r="H167" s="307"/>
      <c r="I167" s="305" t="s">
        <v>49</v>
      </c>
      <c r="J167" s="306"/>
      <c r="K167" s="307"/>
      <c r="L167" s="305" t="s">
        <v>50</v>
      </c>
      <c r="M167" s="307"/>
    </row>
    <row r="168" spans="2:13" x14ac:dyDescent="0.25">
      <c r="B168" s="43"/>
      <c r="C168" s="9"/>
      <c r="D168" s="43"/>
      <c r="E168" s="309"/>
      <c r="F168" s="50" t="s">
        <v>51</v>
      </c>
      <c r="G168" s="50" t="s">
        <v>52</v>
      </c>
      <c r="H168" s="51" t="s">
        <v>53</v>
      </c>
      <c r="I168" s="50" t="s">
        <v>51</v>
      </c>
      <c r="J168" s="52" t="s">
        <v>52</v>
      </c>
      <c r="K168" s="51" t="s">
        <v>53</v>
      </c>
      <c r="L168" s="311" t="s">
        <v>54</v>
      </c>
      <c r="M168" s="313" t="s">
        <v>55</v>
      </c>
    </row>
    <row r="169" spans="2:13" x14ac:dyDescent="0.25">
      <c r="B169" s="43"/>
      <c r="C169" s="9"/>
      <c r="D169" s="43"/>
      <c r="E169" s="310"/>
      <c r="F169" s="53" t="s">
        <v>56</v>
      </c>
      <c r="G169" s="53"/>
      <c r="H169" s="54" t="s">
        <v>56</v>
      </c>
      <c r="I169" s="53" t="s">
        <v>56</v>
      </c>
      <c r="J169" s="54"/>
      <c r="K169" s="54" t="s">
        <v>56</v>
      </c>
      <c r="L169" s="312"/>
      <c r="M169" s="314"/>
    </row>
    <row r="170" spans="2:13" x14ac:dyDescent="0.25">
      <c r="B170" s="43"/>
      <c r="C170" s="9"/>
      <c r="D170" s="55" t="s">
        <v>57</v>
      </c>
      <c r="E170" s="56"/>
      <c r="F170" s="57">
        <v>157.55000000000001</v>
      </c>
      <c r="G170" s="58">
        <v>1</v>
      </c>
      <c r="H170" s="59">
        <f>G170*F170</f>
        <v>157.55000000000001</v>
      </c>
      <c r="I170" s="60">
        <v>160.31</v>
      </c>
      <c r="J170" s="61">
        <f>G170</f>
        <v>1</v>
      </c>
      <c r="K170" s="59">
        <f>J170*I170</f>
        <v>160.31</v>
      </c>
      <c r="L170" s="62">
        <f t="shared" ref="L170:L189" si="9">K170-H170</f>
        <v>2.7599999999999909</v>
      </c>
      <c r="M170" s="63">
        <f>IF(ISERROR(L170/H170), "", L170/H170)</f>
        <v>1.7518248175182424E-2</v>
      </c>
    </row>
    <row r="171" spans="2:13" x14ac:dyDescent="0.25">
      <c r="B171" s="43"/>
      <c r="C171" s="9"/>
      <c r="D171" s="55" t="s">
        <v>58</v>
      </c>
      <c r="E171" s="56"/>
      <c r="F171" s="64">
        <v>2.7202000000000002</v>
      </c>
      <c r="G171" s="58">
        <f>IF($E163&gt;0, $E163, $E162)</f>
        <v>2500</v>
      </c>
      <c r="H171" s="59">
        <f>G171*F171</f>
        <v>6800.5</v>
      </c>
      <c r="I171" s="65">
        <v>2.7677999999999998</v>
      </c>
      <c r="J171" s="61">
        <f>IF($E163&gt;0, $E163, $E162)</f>
        <v>2500</v>
      </c>
      <c r="K171" s="59">
        <f>J171*I171</f>
        <v>6919.4999999999991</v>
      </c>
      <c r="L171" s="62">
        <f t="shared" si="9"/>
        <v>118.99999999999909</v>
      </c>
      <c r="M171" s="63">
        <f>IF(ISERROR(L171/H171), "", L171/H171)</f>
        <v>1.749871332990208E-2</v>
      </c>
    </row>
    <row r="172" spans="2:13" x14ac:dyDescent="0.25">
      <c r="C172" s="9"/>
      <c r="D172" s="66" t="s">
        <v>59</v>
      </c>
      <c r="E172" s="56"/>
      <c r="F172" s="57">
        <v>-3.47</v>
      </c>
      <c r="G172" s="58">
        <v>1</v>
      </c>
      <c r="H172" s="59">
        <f>G172*F172</f>
        <v>-3.47</v>
      </c>
      <c r="I172" s="60">
        <v>9.11</v>
      </c>
      <c r="J172" s="61">
        <f>G172</f>
        <v>1</v>
      </c>
      <c r="K172" s="59">
        <f>J172*I172</f>
        <v>9.11</v>
      </c>
      <c r="L172" s="62">
        <f t="shared" si="9"/>
        <v>12.58</v>
      </c>
      <c r="M172" s="63">
        <f>IF(ISERROR(L172/H172), "", L172/H172)</f>
        <v>-3.6253602305475501</v>
      </c>
    </row>
    <row r="173" spans="2:13" x14ac:dyDescent="0.25">
      <c r="C173" s="9"/>
      <c r="D173" s="55" t="s">
        <v>60</v>
      </c>
      <c r="E173" s="56"/>
      <c r="F173" s="64">
        <v>4.4499999999999998E-2</v>
      </c>
      <c r="G173" s="58">
        <f>IF($E163&gt;0, $E163, $E162)</f>
        <v>2500</v>
      </c>
      <c r="H173" s="59">
        <f>G173*F173</f>
        <v>111.25</v>
      </c>
      <c r="I173" s="65">
        <v>4.9033949454464126E-2</v>
      </c>
      <c r="J173" s="61">
        <f>IF($E163&gt;0, $E163, $E162)</f>
        <v>2500</v>
      </c>
      <c r="K173" s="59">
        <f>J173*I173</f>
        <v>122.58487363616031</v>
      </c>
      <c r="L173" s="62">
        <f t="shared" si="9"/>
        <v>11.33487363616031</v>
      </c>
      <c r="M173" s="63">
        <f>IF(ISERROR(L173/H173), "", L173/H173)</f>
        <v>0.10188650459469942</v>
      </c>
    </row>
    <row r="174" spans="2:13" x14ac:dyDescent="0.25">
      <c r="C174" s="9"/>
      <c r="D174" s="67" t="s">
        <v>61</v>
      </c>
      <c r="E174" s="68"/>
      <c r="F174" s="69"/>
      <c r="G174" s="70"/>
      <c r="H174" s="71">
        <f>SUM(H170:H173)</f>
        <v>7065.83</v>
      </c>
      <c r="I174" s="72"/>
      <c r="J174" s="73"/>
      <c r="K174" s="71">
        <f>SUM(K170:K173)</f>
        <v>7211.5048736361596</v>
      </c>
      <c r="L174" s="74">
        <f t="shared" si="9"/>
        <v>145.67487363615965</v>
      </c>
      <c r="M174" s="75">
        <f>IF((H174)=0,"",(L174/H174))</f>
        <v>2.0616809863265837E-2</v>
      </c>
    </row>
    <row r="175" spans="2:13" x14ac:dyDescent="0.25">
      <c r="C175" s="9"/>
      <c r="D175" s="76" t="s">
        <v>62</v>
      </c>
      <c r="E175" s="56"/>
      <c r="F175" s="64">
        <f>IF((E162*12&gt;=150000), 0, IF(E161="RPP",(F191*0.65+F192*0.17+F193*0.18),IF(E161="Non-RPP (Retailer)",F194,F195)))</f>
        <v>0</v>
      </c>
      <c r="G175" s="77">
        <f>IF(F175=0, 0, $E162*E164-E162)</f>
        <v>0</v>
      </c>
      <c r="H175" s="59">
        <f t="shared" ref="H175:H181" si="10">G175*F175</f>
        <v>0</v>
      </c>
      <c r="I175" s="65">
        <f>IF((E162*12&gt;=150000), 0, IF(E161="RPP",(I191*0.65+I192*0.17+I193*0.18),IF(E161="Non-RPP (Retailer)",I194,I195)))</f>
        <v>0</v>
      </c>
      <c r="J175" s="77">
        <f>IF(I175=0, 0, E162*E165-E162)</f>
        <v>0</v>
      </c>
      <c r="K175" s="59">
        <f t="shared" ref="K175:K181" si="11">J175*I175</f>
        <v>0</v>
      </c>
      <c r="L175" s="62">
        <f t="shared" si="9"/>
        <v>0</v>
      </c>
      <c r="M175" s="63" t="str">
        <f t="shared" ref="M175:M181" si="12">IF(ISERROR(L175/H175), "", L175/H175)</f>
        <v/>
      </c>
    </row>
    <row r="176" spans="2:13" ht="25.5" x14ac:dyDescent="0.25">
      <c r="C176" s="9"/>
      <c r="D176" s="76" t="s">
        <v>63</v>
      </c>
      <c r="E176" s="56"/>
      <c r="F176" s="64">
        <v>-1.0592999999999999</v>
      </c>
      <c r="G176" s="78">
        <f>IF($E163&gt;0, $E163, $E162)</f>
        <v>2500</v>
      </c>
      <c r="H176" s="59">
        <f t="shared" si="10"/>
        <v>-2648.2499999999995</v>
      </c>
      <c r="I176" s="65">
        <v>-0.33239999999999997</v>
      </c>
      <c r="J176" s="78">
        <f>IF($E163&gt;0, $E163, $E162)</f>
        <v>2500</v>
      </c>
      <c r="K176" s="59">
        <f t="shared" si="11"/>
        <v>-830.99999999999989</v>
      </c>
      <c r="L176" s="62">
        <f t="shared" si="9"/>
        <v>1817.2499999999995</v>
      </c>
      <c r="M176" s="63">
        <f t="shared" si="12"/>
        <v>-0.68620787312376097</v>
      </c>
    </row>
    <row r="177" spans="3:13" x14ac:dyDescent="0.25">
      <c r="C177" s="9"/>
      <c r="D177" s="76" t="s">
        <v>64</v>
      </c>
      <c r="E177" s="56"/>
      <c r="F177" s="64">
        <v>0.1124</v>
      </c>
      <c r="G177" s="78">
        <f>IF($E163&gt;0, $E163, $E162)</f>
        <v>2500</v>
      </c>
      <c r="H177" s="59">
        <f t="shared" si="10"/>
        <v>281</v>
      </c>
      <c r="I177" s="65">
        <v>0</v>
      </c>
      <c r="J177" s="78">
        <f>IF($E163&gt;0, $E163, $E162)</f>
        <v>2500</v>
      </c>
      <c r="K177" s="59">
        <f t="shared" si="11"/>
        <v>0</v>
      </c>
      <c r="L177" s="62">
        <f t="shared" si="9"/>
        <v>-281</v>
      </c>
      <c r="M177" s="63">
        <f t="shared" si="12"/>
        <v>-1</v>
      </c>
    </row>
    <row r="178" spans="3:13" x14ac:dyDescent="0.25">
      <c r="C178" s="9"/>
      <c r="D178" s="76" t="s">
        <v>65</v>
      </c>
      <c r="E178" s="56"/>
      <c r="F178" s="64">
        <v>-5.9999999999999995E-4</v>
      </c>
      <c r="G178" s="78">
        <f>E162</f>
        <v>1095000</v>
      </c>
      <c r="H178" s="59">
        <f t="shared" si="10"/>
        <v>-656.99999999999989</v>
      </c>
      <c r="I178" s="65">
        <v>-8.9999999999999998E-4</v>
      </c>
      <c r="J178" s="78">
        <f>E162</f>
        <v>1095000</v>
      </c>
      <c r="K178" s="59">
        <f t="shared" si="11"/>
        <v>-985.5</v>
      </c>
      <c r="L178" s="62">
        <f t="shared" si="9"/>
        <v>-328.50000000000011</v>
      </c>
      <c r="M178" s="63">
        <f t="shared" si="12"/>
        <v>0.50000000000000022</v>
      </c>
    </row>
    <row r="179" spans="3:13" x14ac:dyDescent="0.25">
      <c r="C179" s="9"/>
      <c r="D179" s="79" t="s">
        <v>66</v>
      </c>
      <c r="E179" s="56"/>
      <c r="F179" s="64">
        <v>0</v>
      </c>
      <c r="G179" s="78">
        <f>IF($E163&gt;0, $E163, $E162)</f>
        <v>2500</v>
      </c>
      <c r="H179" s="59">
        <f t="shared" si="10"/>
        <v>0</v>
      </c>
      <c r="I179" s="65"/>
      <c r="J179" s="78">
        <f>IF($E163&gt;0, $E163, $E162)</f>
        <v>2500</v>
      </c>
      <c r="K179" s="59">
        <f t="shared" si="11"/>
        <v>0</v>
      </c>
      <c r="L179" s="62">
        <f t="shared" si="9"/>
        <v>0</v>
      </c>
      <c r="M179" s="63" t="str">
        <f t="shared" si="12"/>
        <v/>
      </c>
    </row>
    <row r="180" spans="3:13" ht="51" x14ac:dyDescent="0.25">
      <c r="C180" s="9"/>
      <c r="D180" s="80" t="s">
        <v>67</v>
      </c>
      <c r="E180" s="56"/>
      <c r="F180" s="81">
        <v>0.35</v>
      </c>
      <c r="G180" s="58">
        <v>1</v>
      </c>
      <c r="H180" s="59">
        <f t="shared" si="10"/>
        <v>0.35</v>
      </c>
      <c r="I180" s="82">
        <v>0</v>
      </c>
      <c r="J180" s="58">
        <v>1</v>
      </c>
      <c r="K180" s="59">
        <f t="shared" si="11"/>
        <v>0</v>
      </c>
      <c r="L180" s="62">
        <f t="shared" si="9"/>
        <v>-0.35</v>
      </c>
      <c r="M180" s="63">
        <f t="shared" si="12"/>
        <v>-1</v>
      </c>
    </row>
    <row r="181" spans="3:13" x14ac:dyDescent="0.25">
      <c r="C181" s="9"/>
      <c r="D181" s="79" t="s">
        <v>68</v>
      </c>
      <c r="E181" s="56"/>
      <c r="F181" s="64"/>
      <c r="G181" s="78">
        <f>IF($E163&gt;0, $E163, $E162)</f>
        <v>2500</v>
      </c>
      <c r="H181" s="59">
        <f t="shared" si="10"/>
        <v>0</v>
      </c>
      <c r="I181" s="65">
        <v>0</v>
      </c>
      <c r="J181" s="78">
        <f>IF($E163&gt;0, $E163, $E162)</f>
        <v>2500</v>
      </c>
      <c r="K181" s="59">
        <f t="shared" si="11"/>
        <v>0</v>
      </c>
      <c r="L181" s="62">
        <f t="shared" si="9"/>
        <v>0</v>
      </c>
      <c r="M181" s="63" t="str">
        <f t="shared" si="12"/>
        <v/>
      </c>
    </row>
    <row r="182" spans="3:13" ht="25.5" x14ac:dyDescent="0.25">
      <c r="C182" s="9"/>
      <c r="D182" s="83" t="s">
        <v>69</v>
      </c>
      <c r="E182" s="84"/>
      <c r="F182" s="85"/>
      <c r="G182" s="86"/>
      <c r="H182" s="87">
        <f>SUM(H174:H181)</f>
        <v>4041.93</v>
      </c>
      <c r="I182" s="88"/>
      <c r="J182" s="89"/>
      <c r="K182" s="87">
        <f>SUM(K174:K181)</f>
        <v>5395.0048736361596</v>
      </c>
      <c r="L182" s="74">
        <f t="shared" si="9"/>
        <v>1353.0748736361597</v>
      </c>
      <c r="M182" s="75">
        <f>IF((H182)=0,"",(L182/H182))</f>
        <v>0.33475960089268242</v>
      </c>
    </row>
    <row r="183" spans="3:13" x14ac:dyDescent="0.25">
      <c r="D183" s="90" t="s">
        <v>70</v>
      </c>
      <c r="E183" s="56"/>
      <c r="F183" s="64">
        <v>2.9222000000000001</v>
      </c>
      <c r="G183" s="77">
        <f>IF($E163&gt;0, $E163, $E162*$E164)</f>
        <v>2500</v>
      </c>
      <c r="H183" s="59">
        <f>G183*F183</f>
        <v>7305.5</v>
      </c>
      <c r="I183" s="65">
        <v>2.0988000000000002</v>
      </c>
      <c r="J183" s="77">
        <f>IF($E163&gt;0, $E163, $E162*$E165)</f>
        <v>2500</v>
      </c>
      <c r="K183" s="59">
        <f>J183*I183</f>
        <v>5247.0000000000009</v>
      </c>
      <c r="L183" s="62">
        <f t="shared" si="9"/>
        <v>-2058.4999999999991</v>
      </c>
      <c r="M183" s="63">
        <f>IF(ISERROR(L183/H183), "", L183/H183)</f>
        <v>-0.28177400588597618</v>
      </c>
    </row>
    <row r="184" spans="3:13" ht="25.5" x14ac:dyDescent="0.25">
      <c r="D184" s="91" t="s">
        <v>71</v>
      </c>
      <c r="E184" s="56"/>
      <c r="F184" s="64">
        <v>2.7917999999999998</v>
      </c>
      <c r="G184" s="77">
        <f>IF($E163&gt;0, $E163, $E162*$E164)</f>
        <v>2500</v>
      </c>
      <c r="H184" s="59">
        <f>G184*F184</f>
        <v>6979.5</v>
      </c>
      <c r="I184" s="65">
        <v>1.8672</v>
      </c>
      <c r="J184" s="77">
        <f>IF($E163&gt;0, $E163, $E162*$E165)</f>
        <v>2500</v>
      </c>
      <c r="K184" s="59">
        <f>J184*I184</f>
        <v>4668</v>
      </c>
      <c r="L184" s="62">
        <f t="shared" si="9"/>
        <v>-2311.5</v>
      </c>
      <c r="M184" s="63">
        <f>IF(ISERROR(L184/H184), "", L184/H184)</f>
        <v>-0.33118418224801205</v>
      </c>
    </row>
    <row r="185" spans="3:13" ht="25.5" x14ac:dyDescent="0.25">
      <c r="C185" s="8"/>
      <c r="D185" s="83" t="s">
        <v>72</v>
      </c>
      <c r="E185" s="68"/>
      <c r="F185" s="85"/>
      <c r="G185" s="86"/>
      <c r="H185" s="87">
        <f>SUM(H182:H184)</f>
        <v>18326.93</v>
      </c>
      <c r="I185" s="88"/>
      <c r="J185" s="73"/>
      <c r="K185" s="87">
        <f>SUM(K182:K184)</f>
        <v>15310.00487363616</v>
      </c>
      <c r="L185" s="74">
        <f t="shared" si="9"/>
        <v>-3016.9251263638398</v>
      </c>
      <c r="M185" s="75">
        <f>IF((H185)=0,"",(L185/H185))</f>
        <v>-0.16461704859263607</v>
      </c>
    </row>
    <row r="186" spans="3:13" ht="25.5" x14ac:dyDescent="0.25">
      <c r="C186" s="8"/>
      <c r="D186" s="92" t="s">
        <v>73</v>
      </c>
      <c r="E186" s="56"/>
      <c r="F186" s="64">
        <v>3.6000000000000003E-3</v>
      </c>
      <c r="G186" s="77">
        <f>E162*E164</f>
        <v>1129492.5</v>
      </c>
      <c r="H186" s="93">
        <f>G186*F186</f>
        <v>4066.1730000000002</v>
      </c>
      <c r="I186" s="65">
        <v>3.6000000000000003E-3</v>
      </c>
      <c r="J186" s="77">
        <f>E162*E165</f>
        <v>1129492.5</v>
      </c>
      <c r="K186" s="93">
        <f>J186*I186</f>
        <v>4066.1730000000002</v>
      </c>
      <c r="L186" s="62">
        <f t="shared" si="9"/>
        <v>0</v>
      </c>
      <c r="M186" s="63">
        <f>IF(ISERROR(L186/H186), "", L186/H186)</f>
        <v>0</v>
      </c>
    </row>
    <row r="187" spans="3:13" ht="25.5" x14ac:dyDescent="0.25">
      <c r="C187" s="8"/>
      <c r="D187" s="92" t="s">
        <v>74</v>
      </c>
      <c r="E187" s="56"/>
      <c r="F187" s="64">
        <v>2.9999999999999997E-4</v>
      </c>
      <c r="G187" s="77">
        <f>E162*E164</f>
        <v>1129492.5</v>
      </c>
      <c r="H187" s="93">
        <f>G187*F187</f>
        <v>338.84774999999996</v>
      </c>
      <c r="I187" s="65">
        <v>2.9999999999999997E-4</v>
      </c>
      <c r="J187" s="77">
        <f>E162*E165</f>
        <v>1129492.5</v>
      </c>
      <c r="K187" s="93">
        <f>J187*I187</f>
        <v>338.84774999999996</v>
      </c>
      <c r="L187" s="62">
        <f t="shared" si="9"/>
        <v>0</v>
      </c>
      <c r="M187" s="63">
        <f>IF(ISERROR(L187/H187), "", L187/H187)</f>
        <v>0</v>
      </c>
    </row>
    <row r="188" spans="3:13" x14ac:dyDescent="0.25">
      <c r="C188" s="8"/>
      <c r="D188" s="94" t="s">
        <v>75</v>
      </c>
      <c r="E188" s="56"/>
      <c r="F188" s="81">
        <v>0.25</v>
      </c>
      <c r="G188" s="58">
        <v>1</v>
      </c>
      <c r="H188" s="93">
        <f>G188*F188</f>
        <v>0.25</v>
      </c>
      <c r="I188" s="82">
        <v>0.25</v>
      </c>
      <c r="J188" s="61">
        <v>1</v>
      </c>
      <c r="K188" s="93">
        <f>J188*I188</f>
        <v>0.25</v>
      </c>
      <c r="L188" s="62">
        <f t="shared" si="9"/>
        <v>0</v>
      </c>
      <c r="M188" s="63">
        <f>IF(ISERROR(L188/H188), "", L188/H188)</f>
        <v>0</v>
      </c>
    </row>
    <row r="189" spans="3:13" x14ac:dyDescent="0.25">
      <c r="C189" s="8"/>
      <c r="D189" s="94" t="s">
        <v>76</v>
      </c>
      <c r="E189" s="56"/>
      <c r="F189" s="64">
        <v>7.0000000000000001E-3</v>
      </c>
      <c r="G189" s="78">
        <f>E162</f>
        <v>1095000</v>
      </c>
      <c r="H189" s="93">
        <f>G189*F189</f>
        <v>7665</v>
      </c>
      <c r="I189" s="150">
        <v>7.0000000000000001E-3</v>
      </c>
      <c r="J189" s="78">
        <f>E162</f>
        <v>1095000</v>
      </c>
      <c r="K189" s="93">
        <f>J189*I189</f>
        <v>7665</v>
      </c>
      <c r="L189" s="62">
        <f t="shared" si="9"/>
        <v>0</v>
      </c>
      <c r="M189" s="63">
        <f>IF(ISERROR(L189/H189), "", L189/H189)</f>
        <v>0</v>
      </c>
    </row>
    <row r="190" spans="3:13" ht="25.5" x14ac:dyDescent="0.25">
      <c r="C190" s="8"/>
      <c r="D190" s="92" t="s">
        <v>77</v>
      </c>
      <c r="E190" s="56"/>
      <c r="F190" s="64"/>
      <c r="G190" s="77"/>
      <c r="H190" s="93"/>
      <c r="I190" s="65"/>
      <c r="J190" s="77"/>
      <c r="K190" s="93"/>
      <c r="L190" s="62"/>
      <c r="M190" s="63"/>
    </row>
    <row r="191" spans="3:13" x14ac:dyDescent="0.25">
      <c r="C191" s="8"/>
      <c r="D191" s="101" t="s">
        <v>78</v>
      </c>
      <c r="E191" s="56"/>
      <c r="F191" s="102">
        <v>6.5000000000000002E-2</v>
      </c>
      <c r="G191" s="103">
        <f>IF(AND(E162*12&gt;=150000),0.65*E162*E164,0.65*E162)</f>
        <v>734170.12500000012</v>
      </c>
      <c r="H191" s="93">
        <f>G191*F191</f>
        <v>47721.05812500001</v>
      </c>
      <c r="I191" s="104">
        <v>6.5000000000000002E-2</v>
      </c>
      <c r="J191" s="103">
        <f>IF(AND(E162*12&gt;=150000),0.65*E162*E165,0.65*E162)</f>
        <v>734170.12500000012</v>
      </c>
      <c r="K191" s="93">
        <f>J191*I191</f>
        <v>47721.05812500001</v>
      </c>
      <c r="L191" s="62">
        <f>K191-H191</f>
        <v>0</v>
      </c>
      <c r="M191" s="63">
        <f>IF(ISERROR(L191/H191), "", L191/H191)</f>
        <v>0</v>
      </c>
    </row>
    <row r="192" spans="3:13" x14ac:dyDescent="0.25">
      <c r="C192" s="8"/>
      <c r="D192" s="101" t="s">
        <v>79</v>
      </c>
      <c r="E192" s="56"/>
      <c r="F192" s="102">
        <v>9.5000000000000001E-2</v>
      </c>
      <c r="G192" s="103">
        <f>IF(AND(E162*12&gt;=150000),0.17*E162*E164,0.17*E162)</f>
        <v>192013.72500000001</v>
      </c>
      <c r="H192" s="93">
        <f>G192*F192</f>
        <v>18241.303875000001</v>
      </c>
      <c r="I192" s="104">
        <v>9.5000000000000001E-2</v>
      </c>
      <c r="J192" s="103">
        <f>IF(AND(E162*12&gt;=150000),0.17*E162*E165,0.17*E162)</f>
        <v>192013.72500000001</v>
      </c>
      <c r="K192" s="93">
        <f>J192*I192</f>
        <v>18241.303875000001</v>
      </c>
      <c r="L192" s="62">
        <f>K192-H192</f>
        <v>0</v>
      </c>
      <c r="M192" s="63">
        <f>IF(ISERROR(L192/H192), "", L192/H192)</f>
        <v>0</v>
      </c>
    </row>
    <row r="193" spans="2:13" x14ac:dyDescent="0.25">
      <c r="C193" s="8"/>
      <c r="D193" s="43" t="s">
        <v>80</v>
      </c>
      <c r="E193" s="56"/>
      <c r="F193" s="102">
        <v>0.13200000000000001</v>
      </c>
      <c r="G193" s="103">
        <f>IF(AND(E162*12&gt;=150000),0.18*E162*E164,0.18*E162)</f>
        <v>203308.65000000002</v>
      </c>
      <c r="H193" s="93">
        <f>G193*F193</f>
        <v>26836.741800000003</v>
      </c>
      <c r="I193" s="104">
        <v>0.13200000000000001</v>
      </c>
      <c r="J193" s="103">
        <f>IF(AND(E162*12&gt;=150000),0.18*E162*E165,0.18*E162)</f>
        <v>203308.65000000002</v>
      </c>
      <c r="K193" s="93">
        <f>J193*I193</f>
        <v>26836.741800000003</v>
      </c>
      <c r="L193" s="62">
        <f>K193-H193</f>
        <v>0</v>
      </c>
      <c r="M193" s="63">
        <f>IF(ISERROR(L193/H193), "", L193/H193)</f>
        <v>0</v>
      </c>
    </row>
    <row r="194" spans="2:13" x14ac:dyDescent="0.25">
      <c r="C194" s="8"/>
      <c r="D194" s="101" t="s">
        <v>81</v>
      </c>
      <c r="E194" s="56"/>
      <c r="F194" s="105">
        <v>0.1101</v>
      </c>
      <c r="G194" s="103">
        <f>IF(AND(E162*12&gt;=150000),E162*E164,E162)</f>
        <v>1129492.5</v>
      </c>
      <c r="H194" s="93">
        <f>G194*F194</f>
        <v>124357.12425000001</v>
      </c>
      <c r="I194" s="106">
        <f>F194</f>
        <v>0.1101</v>
      </c>
      <c r="J194" s="103">
        <f>IF(AND(E162*12&gt;=150000),E162*E165,E162)</f>
        <v>1129492.5</v>
      </c>
      <c r="K194" s="93">
        <f>J194*I194</f>
        <v>124357.12425000001</v>
      </c>
      <c r="L194" s="62">
        <f>K194-H194</f>
        <v>0</v>
      </c>
      <c r="M194" s="63">
        <f>IF(ISERROR(L194/H194), "", L194/H194)</f>
        <v>0</v>
      </c>
    </row>
    <row r="195" spans="2:13" ht="15.75" thickBot="1" x14ac:dyDescent="0.3">
      <c r="C195" s="9"/>
      <c r="D195" s="101" t="s">
        <v>82</v>
      </c>
      <c r="E195" s="56"/>
      <c r="F195" s="105">
        <v>0.1101</v>
      </c>
      <c r="G195" s="103">
        <f>IF(AND(E162*12&gt;=150000),E162*E164,E162)</f>
        <v>1129492.5</v>
      </c>
      <c r="H195" s="93">
        <f>G195*F195</f>
        <v>124357.12425000001</v>
      </c>
      <c r="I195" s="106">
        <f>F195</f>
        <v>0.1101</v>
      </c>
      <c r="J195" s="103">
        <f>IF(AND(E162*12&gt;=150000),E162*E165,E162)</f>
        <v>1129492.5</v>
      </c>
      <c r="K195" s="93">
        <f>J195*I195</f>
        <v>124357.12425000001</v>
      </c>
      <c r="L195" s="62">
        <f>K195-H195</f>
        <v>0</v>
      </c>
      <c r="M195" s="63">
        <f>IF(ISERROR(L195/H195), "", L195/H195)</f>
        <v>0</v>
      </c>
    </row>
    <row r="196" spans="2:13" ht="15.75" thickBot="1" x14ac:dyDescent="0.3">
      <c r="C196" s="9"/>
      <c r="D196" s="107"/>
      <c r="E196" s="108"/>
      <c r="F196" s="109"/>
      <c r="G196" s="110"/>
      <c r="H196" s="111"/>
      <c r="I196" s="109"/>
      <c r="J196" s="112"/>
      <c r="K196" s="111"/>
      <c r="L196" s="113"/>
      <c r="M196" s="114"/>
    </row>
    <row r="197" spans="2:13" hidden="1" x14ac:dyDescent="0.25">
      <c r="C197" s="9"/>
      <c r="D197" s="115" t="s">
        <v>83</v>
      </c>
      <c r="E197" s="94"/>
      <c r="F197" s="116"/>
      <c r="G197" s="117"/>
      <c r="H197" s="118">
        <f>SUM(H186:H193,H185)</f>
        <v>123196.30455</v>
      </c>
      <c r="I197" s="119"/>
      <c r="J197" s="119"/>
      <c r="K197" s="118">
        <f>SUM(K186:K193,K185)</f>
        <v>120179.37942363617</v>
      </c>
      <c r="L197" s="120">
        <f>K197-H197</f>
        <v>-3016.9251263638289</v>
      </c>
      <c r="M197" s="121">
        <f>IF((H197)=0,"",(L197/H197))</f>
        <v>-2.4488763176653491E-2</v>
      </c>
    </row>
    <row r="198" spans="2:13" hidden="1" x14ac:dyDescent="0.25">
      <c r="C198" s="9"/>
      <c r="D198" s="122" t="s">
        <v>84</v>
      </c>
      <c r="E198" s="94"/>
      <c r="F198" s="116">
        <v>0.13</v>
      </c>
      <c r="G198" s="123"/>
      <c r="H198" s="124">
        <f>H197*F198</f>
        <v>16015.5195915</v>
      </c>
      <c r="I198" s="125">
        <v>0.13</v>
      </c>
      <c r="J198" s="58"/>
      <c r="K198" s="124">
        <f>K197*I198</f>
        <v>15623.319325072704</v>
      </c>
      <c r="L198" s="126">
        <f>K198-H198</f>
        <v>-392.20026642729681</v>
      </c>
      <c r="M198" s="127">
        <f>IF((H198)=0,"",(L198/H198))</f>
        <v>-2.4488763176653432E-2</v>
      </c>
    </row>
    <row r="199" spans="2:13" hidden="1" x14ac:dyDescent="0.25">
      <c r="B199" s="151"/>
      <c r="C199" s="9"/>
      <c r="D199" s="122" t="s">
        <v>85</v>
      </c>
      <c r="E199" s="94"/>
      <c r="F199" s="116">
        <v>0.08</v>
      </c>
      <c r="G199" s="123"/>
      <c r="H199" s="124">
        <v>0</v>
      </c>
      <c r="I199" s="116">
        <v>0.08</v>
      </c>
      <c r="J199" s="58"/>
      <c r="K199" s="124">
        <v>0</v>
      </c>
      <c r="L199" s="126">
        <f>K199-H199</f>
        <v>0</v>
      </c>
      <c r="M199" s="127"/>
    </row>
    <row r="200" spans="2:13" ht="15.75" hidden="1" thickBot="1" x14ac:dyDescent="0.3">
      <c r="C200" s="9"/>
      <c r="D200" s="308" t="s">
        <v>86</v>
      </c>
      <c r="E200" s="308"/>
      <c r="F200" s="128"/>
      <c r="G200" s="129"/>
      <c r="H200" s="130">
        <f>H197+H198+H199</f>
        <v>139211.82414149999</v>
      </c>
      <c r="I200" s="131"/>
      <c r="J200" s="131"/>
      <c r="K200" s="132">
        <f>K197+K198+K199</f>
        <v>135802.69874870888</v>
      </c>
      <c r="L200" s="133">
        <f>K200-H200</f>
        <v>-3409.1253927911166</v>
      </c>
      <c r="M200" s="134">
        <f>IF((H200)=0,"",(L200/H200))</f>
        <v>-2.4488763176653421E-2</v>
      </c>
    </row>
    <row r="201" spans="2:13" ht="15.75" hidden="1" thickBot="1" x14ac:dyDescent="0.3">
      <c r="C201" s="9"/>
      <c r="D201" s="107"/>
      <c r="E201" s="108"/>
      <c r="F201" s="109"/>
      <c r="G201" s="110"/>
      <c r="H201" s="111"/>
      <c r="I201" s="109"/>
      <c r="J201" s="112"/>
      <c r="K201" s="111"/>
      <c r="L201" s="113"/>
      <c r="M201" s="114"/>
    </row>
    <row r="202" spans="2:13" x14ac:dyDescent="0.25">
      <c r="C202" s="9"/>
      <c r="D202" s="115" t="s">
        <v>87</v>
      </c>
      <c r="E202" s="94"/>
      <c r="F202" s="116"/>
      <c r="G202" s="117"/>
      <c r="H202" s="118">
        <f>SUM(H194,H186:H190,H185)</f>
        <v>154754.32500000001</v>
      </c>
      <c r="I202" s="119"/>
      <c r="J202" s="119"/>
      <c r="K202" s="118">
        <f>SUM(K194,K186:K190,K185)</f>
        <v>151737.39987363617</v>
      </c>
      <c r="L202" s="120">
        <f>K202-H202</f>
        <v>-3016.9251263638434</v>
      </c>
      <c r="M202" s="121">
        <f>IF((H202)=0,"",(L202/H202))</f>
        <v>-1.9494932541393225E-2</v>
      </c>
    </row>
    <row r="203" spans="2:13" x14ac:dyDescent="0.25">
      <c r="C203" s="9"/>
      <c r="D203" s="122" t="s">
        <v>84</v>
      </c>
      <c r="E203" s="94"/>
      <c r="F203" s="116">
        <v>0.13</v>
      </c>
      <c r="G203" s="117"/>
      <c r="H203" s="124">
        <f>H202*F203</f>
        <v>20118.062250000003</v>
      </c>
      <c r="I203" s="116">
        <v>0.13</v>
      </c>
      <c r="J203" s="125"/>
      <c r="K203" s="124">
        <f>K202*I203</f>
        <v>19725.861983572704</v>
      </c>
      <c r="L203" s="126">
        <f>K203-H203</f>
        <v>-392.20026642729863</v>
      </c>
      <c r="M203" s="127">
        <f>IF((H203)=0,"",(L203/H203))</f>
        <v>-1.9494932541393173E-2</v>
      </c>
    </row>
    <row r="204" spans="2:13" x14ac:dyDescent="0.25">
      <c r="C204" s="9"/>
      <c r="D204" s="122" t="s">
        <v>85</v>
      </c>
      <c r="E204" s="94"/>
      <c r="F204" s="116">
        <v>0.08</v>
      </c>
      <c r="G204" s="117"/>
      <c r="H204" s="124">
        <v>0</v>
      </c>
      <c r="I204" s="116">
        <v>0.08</v>
      </c>
      <c r="J204" s="125"/>
      <c r="K204" s="124">
        <v>0</v>
      </c>
      <c r="L204" s="126"/>
      <c r="M204" s="127"/>
    </row>
    <row r="205" spans="2:13" ht="15.75" thickBot="1" x14ac:dyDescent="0.3">
      <c r="C205" s="9"/>
      <c r="D205" s="308" t="s">
        <v>87</v>
      </c>
      <c r="E205" s="308"/>
      <c r="F205" s="135"/>
      <c r="G205" s="136"/>
      <c r="H205" s="130">
        <f>SUM(H202,H203)</f>
        <v>174872.38725000003</v>
      </c>
      <c r="I205" s="137"/>
      <c r="J205" s="137"/>
      <c r="K205" s="130">
        <f>SUM(K202,K203)</f>
        <v>171463.26185720888</v>
      </c>
      <c r="L205" s="138">
        <f>K205-H205</f>
        <v>-3409.1253927911457</v>
      </c>
      <c r="M205" s="139">
        <f>IF((H205)=0,"",(L205/H205))</f>
        <v>-1.9494932541393239E-2</v>
      </c>
    </row>
    <row r="206" spans="2:13" ht="15.75" thickBot="1" x14ac:dyDescent="0.3">
      <c r="C206" s="9"/>
      <c r="D206" s="107"/>
      <c r="E206" s="108"/>
      <c r="F206" s="140"/>
      <c r="G206" s="141"/>
      <c r="H206" s="142"/>
      <c r="I206" s="140"/>
      <c r="J206" s="110"/>
      <c r="K206" s="142"/>
      <c r="L206" s="143"/>
      <c r="M206" s="114"/>
    </row>
    <row r="207" spans="2:13" hidden="1" x14ac:dyDescent="0.25">
      <c r="B207" s="43"/>
      <c r="C207" s="9"/>
      <c r="D207" s="115" t="s">
        <v>88</v>
      </c>
      <c r="E207" s="94"/>
      <c r="F207" s="116"/>
      <c r="G207" s="117"/>
      <c r="H207" s="118">
        <f>SUM(H195,H186:H190,H185)</f>
        <v>154754.32500000001</v>
      </c>
      <c r="I207" s="119"/>
      <c r="J207" s="119"/>
      <c r="K207" s="118">
        <f>SUM(K195,K186:K190,K185)</f>
        <v>151737.39987363617</v>
      </c>
      <c r="L207" s="120">
        <f>K207-H207</f>
        <v>-3016.9251263638434</v>
      </c>
      <c r="M207" s="121">
        <f>IF((H207)=0,"",(L207/H207))</f>
        <v>-1.9494932541393225E-2</v>
      </c>
    </row>
    <row r="208" spans="2:13" hidden="1" x14ac:dyDescent="0.25">
      <c r="C208" s="9"/>
      <c r="D208" s="122" t="s">
        <v>84</v>
      </c>
      <c r="E208" s="94"/>
      <c r="F208" s="116">
        <v>0.13</v>
      </c>
      <c r="G208" s="117"/>
      <c r="H208" s="124">
        <f>H207*F208</f>
        <v>20118.062250000003</v>
      </c>
      <c r="I208" s="116">
        <v>0.13</v>
      </c>
      <c r="J208" s="125"/>
      <c r="K208" s="124">
        <f>K207*I208</f>
        <v>19725.861983572704</v>
      </c>
      <c r="L208" s="126">
        <f>K208-H208</f>
        <v>-392.20026642729863</v>
      </c>
      <c r="M208" s="127">
        <f>IF((H208)=0,"",(L208/H208))</f>
        <v>-1.9494932541393173E-2</v>
      </c>
    </row>
    <row r="209" spans="2:13" hidden="1" x14ac:dyDescent="0.25">
      <c r="C209" s="9"/>
      <c r="D209" s="122" t="s">
        <v>85</v>
      </c>
      <c r="E209" s="94"/>
      <c r="F209" s="116">
        <v>0.08</v>
      </c>
      <c r="G209" s="117"/>
      <c r="H209" s="124">
        <v>0</v>
      </c>
      <c r="I209" s="116">
        <v>0.08</v>
      </c>
      <c r="J209" s="125"/>
      <c r="K209" s="124">
        <v>0</v>
      </c>
      <c r="L209" s="126"/>
      <c r="M209" s="127"/>
    </row>
    <row r="210" spans="2:13" ht="15.75" hidden="1" thickBot="1" x14ac:dyDescent="0.3">
      <c r="B210" s="43"/>
      <c r="C210" s="9"/>
      <c r="D210" s="308" t="s">
        <v>88</v>
      </c>
      <c r="E210" s="308"/>
      <c r="F210" s="135"/>
      <c r="G210" s="136"/>
      <c r="H210" s="130">
        <f>SUM(H207,H208)</f>
        <v>174872.38725000003</v>
      </c>
      <c r="I210" s="137"/>
      <c r="J210" s="137"/>
      <c r="K210" s="130">
        <f>SUM(K207,K208)</f>
        <v>171463.26185720888</v>
      </c>
      <c r="L210" s="138">
        <f>K210-H210</f>
        <v>-3409.1253927911457</v>
      </c>
      <c r="M210" s="139">
        <f>IF((H210)=0,"",(L210/H210))</f>
        <v>-1.9494932541393239E-2</v>
      </c>
    </row>
    <row r="211" spans="2:13" ht="15.75" hidden="1" thickBot="1" x14ac:dyDescent="0.3">
      <c r="C211" s="9"/>
      <c r="D211" s="107"/>
      <c r="E211" s="108"/>
      <c r="F211" s="144"/>
      <c r="G211" s="145"/>
      <c r="H211" s="146"/>
      <c r="I211" s="144"/>
      <c r="J211" s="147"/>
      <c r="K211" s="146"/>
      <c r="L211" s="148"/>
      <c r="M211" s="149"/>
    </row>
    <row r="212" spans="2:13" x14ac:dyDescent="0.25">
      <c r="C212" s="9"/>
    </row>
    <row r="213" spans="2:13" x14ac:dyDescent="0.25">
      <c r="C213" s="9"/>
    </row>
    <row r="214" spans="2:13" x14ac:dyDescent="0.25">
      <c r="C214" s="9"/>
      <c r="D214" s="39" t="s">
        <v>42</v>
      </c>
      <c r="E214" s="303" t="s">
        <v>13</v>
      </c>
      <c r="F214" s="303"/>
      <c r="G214" s="303"/>
      <c r="H214" s="303"/>
      <c r="I214" s="303"/>
      <c r="J214" s="303"/>
      <c r="K214" s="8" t="s">
        <v>89</v>
      </c>
    </row>
    <row r="215" spans="2:13" x14ac:dyDescent="0.25">
      <c r="C215" s="9"/>
      <c r="D215" s="39" t="s">
        <v>43</v>
      </c>
      <c r="E215" s="304" t="s">
        <v>22</v>
      </c>
      <c r="F215" s="304"/>
      <c r="G215" s="304"/>
      <c r="H215" s="40"/>
      <c r="I215" s="40"/>
    </row>
    <row r="216" spans="2:13" ht="15.75" x14ac:dyDescent="0.25">
      <c r="B216" s="43"/>
      <c r="C216" s="9"/>
      <c r="D216" s="39" t="s">
        <v>44</v>
      </c>
      <c r="E216" s="41">
        <v>1095000</v>
      </c>
      <c r="F216" s="42" t="s">
        <v>19</v>
      </c>
      <c r="G216" s="43"/>
      <c r="J216" s="44"/>
      <c r="K216" s="44"/>
      <c r="L216" s="44"/>
      <c r="M216" s="44"/>
    </row>
    <row r="217" spans="2:13" ht="15.75" x14ac:dyDescent="0.25">
      <c r="B217" s="43"/>
      <c r="C217" s="9"/>
      <c r="D217" s="39" t="s">
        <v>45</v>
      </c>
      <c r="E217" s="41">
        <v>2500</v>
      </c>
      <c r="F217" s="45" t="s">
        <v>21</v>
      </c>
      <c r="G217" s="46"/>
      <c r="H217" s="47"/>
      <c r="I217" s="47"/>
      <c r="J217" s="47"/>
    </row>
    <row r="218" spans="2:13" x14ac:dyDescent="0.25">
      <c r="B218" s="43"/>
      <c r="C218" s="9"/>
      <c r="D218" s="39" t="s">
        <v>46</v>
      </c>
      <c r="E218" s="48">
        <v>1.0315000000000001</v>
      </c>
    </row>
    <row r="219" spans="2:13" x14ac:dyDescent="0.25">
      <c r="C219" s="9"/>
      <c r="D219" s="39" t="s">
        <v>47</v>
      </c>
      <c r="E219" s="48">
        <v>1.0315000000000001</v>
      </c>
    </row>
    <row r="220" spans="2:13" x14ac:dyDescent="0.25">
      <c r="C220" s="9"/>
      <c r="D220" s="43"/>
    </row>
    <row r="221" spans="2:13" x14ac:dyDescent="0.25">
      <c r="B221" s="43"/>
      <c r="C221" s="9"/>
      <c r="D221" s="43"/>
      <c r="E221" s="49"/>
      <c r="F221" s="305" t="s">
        <v>48</v>
      </c>
      <c r="G221" s="306"/>
      <c r="H221" s="307"/>
      <c r="I221" s="305" t="s">
        <v>49</v>
      </c>
      <c r="J221" s="306"/>
      <c r="K221" s="307"/>
      <c r="L221" s="305" t="s">
        <v>50</v>
      </c>
      <c r="M221" s="307"/>
    </row>
    <row r="222" spans="2:13" x14ac:dyDescent="0.25">
      <c r="B222" s="43"/>
      <c r="C222" s="9"/>
      <c r="D222" s="43"/>
      <c r="E222" s="309"/>
      <c r="F222" s="50" t="s">
        <v>51</v>
      </c>
      <c r="G222" s="50" t="s">
        <v>52</v>
      </c>
      <c r="H222" s="51" t="s">
        <v>53</v>
      </c>
      <c r="I222" s="50" t="s">
        <v>51</v>
      </c>
      <c r="J222" s="52" t="s">
        <v>52</v>
      </c>
      <c r="K222" s="51" t="s">
        <v>53</v>
      </c>
      <c r="L222" s="311" t="s">
        <v>54</v>
      </c>
      <c r="M222" s="313" t="s">
        <v>55</v>
      </c>
    </row>
    <row r="223" spans="2:13" x14ac:dyDescent="0.25">
      <c r="B223" s="43"/>
      <c r="C223" s="9"/>
      <c r="D223" s="43"/>
      <c r="E223" s="310"/>
      <c r="F223" s="53" t="s">
        <v>56</v>
      </c>
      <c r="G223" s="53"/>
      <c r="H223" s="54" t="s">
        <v>56</v>
      </c>
      <c r="I223" s="53" t="s">
        <v>56</v>
      </c>
      <c r="J223" s="54"/>
      <c r="K223" s="54" t="s">
        <v>56</v>
      </c>
      <c r="L223" s="312"/>
      <c r="M223" s="314"/>
    </row>
    <row r="224" spans="2:13" x14ac:dyDescent="0.25">
      <c r="B224" s="43"/>
      <c r="C224" s="9"/>
      <c r="D224" s="55" t="s">
        <v>57</v>
      </c>
      <c r="E224" s="56"/>
      <c r="F224" s="57">
        <v>2150.92</v>
      </c>
      <c r="G224" s="58">
        <v>1</v>
      </c>
      <c r="H224" s="59">
        <f>G224*F224</f>
        <v>2150.92</v>
      </c>
      <c r="I224" s="60">
        <v>2188.56</v>
      </c>
      <c r="J224" s="61">
        <f>G224</f>
        <v>1</v>
      </c>
      <c r="K224" s="59">
        <f>J224*I224</f>
        <v>2188.56</v>
      </c>
      <c r="L224" s="62">
        <f t="shared" ref="L224:L243" si="13">K224-H224</f>
        <v>37.639999999999873</v>
      </c>
      <c r="M224" s="63">
        <f>IF(ISERROR(L224/H224), "", L224/H224)</f>
        <v>1.7499488590928473E-2</v>
      </c>
    </row>
    <row r="225" spans="2:13" x14ac:dyDescent="0.25">
      <c r="B225" s="43"/>
      <c r="C225" s="9"/>
      <c r="D225" s="55" t="s">
        <v>58</v>
      </c>
      <c r="E225" s="56"/>
      <c r="F225" s="64">
        <v>3.7572999999999999</v>
      </c>
      <c r="G225" s="58">
        <f>IF($E217&gt;0, $E217, $E216)</f>
        <v>2500</v>
      </c>
      <c r="H225" s="59">
        <f>G225*F225</f>
        <v>9393.25</v>
      </c>
      <c r="I225" s="65">
        <v>3.8231000000000002</v>
      </c>
      <c r="J225" s="61">
        <f>IF($E217&gt;0, $E217, $E216)</f>
        <v>2500</v>
      </c>
      <c r="K225" s="59">
        <f>J225*I225</f>
        <v>9557.75</v>
      </c>
      <c r="L225" s="62">
        <f t="shared" si="13"/>
        <v>164.5</v>
      </c>
      <c r="M225" s="63">
        <f>IF(ISERROR(L225/H225), "", L225/H225)</f>
        <v>1.7512575519655071E-2</v>
      </c>
    </row>
    <row r="226" spans="2:13" x14ac:dyDescent="0.25">
      <c r="C226" s="9"/>
      <c r="D226" s="66" t="s">
        <v>59</v>
      </c>
      <c r="E226" s="56"/>
      <c r="F226" s="57">
        <v>-9.91</v>
      </c>
      <c r="G226" s="58">
        <v>1</v>
      </c>
      <c r="H226" s="59">
        <f>G226*F226</f>
        <v>-9.91</v>
      </c>
      <c r="I226" s="60">
        <v>99.73</v>
      </c>
      <c r="J226" s="61">
        <f>G226</f>
        <v>1</v>
      </c>
      <c r="K226" s="59">
        <f>J226*I226</f>
        <v>99.73</v>
      </c>
      <c r="L226" s="62">
        <f t="shared" si="13"/>
        <v>109.64</v>
      </c>
      <c r="M226" s="63">
        <f>IF(ISERROR(L226/H226), "", L226/H226)</f>
        <v>-11.063572149344097</v>
      </c>
    </row>
    <row r="227" spans="2:13" x14ac:dyDescent="0.25">
      <c r="C227" s="9"/>
      <c r="D227" s="55" t="s">
        <v>60</v>
      </c>
      <c r="E227" s="56"/>
      <c r="F227" s="64">
        <v>-0.15570000000000001</v>
      </c>
      <c r="G227" s="58">
        <f>IF($E217&gt;0, $E217, $E216)</f>
        <v>2500</v>
      </c>
      <c r="H227" s="59">
        <f>G227*F227</f>
        <v>-389.25</v>
      </c>
      <c r="I227" s="65">
        <v>-2.5981259207097217E-2</v>
      </c>
      <c r="J227" s="61">
        <f>IF($E217&gt;0, $E217, $E216)</f>
        <v>2500</v>
      </c>
      <c r="K227" s="59">
        <f>J227*I227</f>
        <v>-64.953148017743047</v>
      </c>
      <c r="L227" s="62">
        <f t="shared" si="13"/>
        <v>324.29685198225695</v>
      </c>
      <c r="M227" s="63">
        <f>IF(ISERROR(L227/H227), "", L227/H227)</f>
        <v>-0.83313256771292732</v>
      </c>
    </row>
    <row r="228" spans="2:13" x14ac:dyDescent="0.25">
      <c r="C228" s="9"/>
      <c r="D228" s="67" t="s">
        <v>61</v>
      </c>
      <c r="E228" s="68"/>
      <c r="F228" s="69"/>
      <c r="G228" s="70"/>
      <c r="H228" s="71">
        <f>SUM(H224:H227)</f>
        <v>11145.01</v>
      </c>
      <c r="I228" s="72"/>
      <c r="J228" s="73"/>
      <c r="K228" s="71">
        <f>SUM(K224:K227)</f>
        <v>11781.086851982256</v>
      </c>
      <c r="L228" s="74">
        <f t="shared" si="13"/>
        <v>636.0768519822559</v>
      </c>
      <c r="M228" s="75">
        <f>IF((H228)=0,"",(L228/H228))</f>
        <v>5.7072793293344366E-2</v>
      </c>
    </row>
    <row r="229" spans="2:13" x14ac:dyDescent="0.25">
      <c r="C229" s="9"/>
      <c r="D229" s="76" t="s">
        <v>62</v>
      </c>
      <c r="E229" s="56"/>
      <c r="F229" s="64">
        <f>IF((E216*12&gt;=150000), 0, IF(E215="RPP",(F245*0.65+F246*0.17+F247*0.18),IF(E215="Non-RPP (Retailer)",F248,F249)))</f>
        <v>0</v>
      </c>
      <c r="G229" s="77">
        <f>IF(F229=0, 0, $E216*E218-E216)</f>
        <v>0</v>
      </c>
      <c r="H229" s="59">
        <f t="shared" ref="H229:H235" si="14">G229*F229</f>
        <v>0</v>
      </c>
      <c r="I229" s="65">
        <f>IF((E216*12&gt;=150000), 0, IF(E215="RPP",(I245*0.65+I246*0.17+I247*0.18),IF(E215="Non-RPP (Retailer)",I248,I249)))</f>
        <v>0</v>
      </c>
      <c r="J229" s="77">
        <f>IF(I229=0, 0, E216*E219-E216)</f>
        <v>0</v>
      </c>
      <c r="K229" s="59">
        <f t="shared" ref="K229:K235" si="15">J229*I229</f>
        <v>0</v>
      </c>
      <c r="L229" s="62">
        <f t="shared" si="13"/>
        <v>0</v>
      </c>
      <c r="M229" s="63" t="str">
        <f t="shared" ref="M229:M235" si="16">IF(ISERROR(L229/H229), "", L229/H229)</f>
        <v/>
      </c>
    </row>
    <row r="230" spans="2:13" ht="25.5" x14ac:dyDescent="0.25">
      <c r="C230" s="9"/>
      <c r="D230" s="76" t="s">
        <v>63</v>
      </c>
      <c r="E230" s="56"/>
      <c r="F230" s="64">
        <v>-0.40860000000000002</v>
      </c>
      <c r="G230" s="78">
        <f>IF($E217&gt;0, $E217, $E216)</f>
        <v>2500</v>
      </c>
      <c r="H230" s="59">
        <f t="shared" si="14"/>
        <v>-1021.5</v>
      </c>
      <c r="I230" s="65">
        <v>-0.1704</v>
      </c>
      <c r="J230" s="78">
        <f>IF($E217&gt;0, $E217, $E216)</f>
        <v>2500</v>
      </c>
      <c r="K230" s="59">
        <f t="shared" si="15"/>
        <v>-426</v>
      </c>
      <c r="L230" s="62">
        <f t="shared" si="13"/>
        <v>595.5</v>
      </c>
      <c r="M230" s="63">
        <f t="shared" si="16"/>
        <v>-0.58296622613803228</v>
      </c>
    </row>
    <row r="231" spans="2:13" x14ac:dyDescent="0.25">
      <c r="C231" s="9"/>
      <c r="D231" s="76" t="s">
        <v>64</v>
      </c>
      <c r="E231" s="56"/>
      <c r="F231" s="64">
        <v>2.7900000000000001E-2</v>
      </c>
      <c r="G231" s="78">
        <f>IF($E217&gt;0, $E217, $E216)</f>
        <v>2500</v>
      </c>
      <c r="H231" s="59">
        <f t="shared" si="14"/>
        <v>69.75</v>
      </c>
      <c r="I231" s="65">
        <v>0</v>
      </c>
      <c r="J231" s="78">
        <f>IF($E217&gt;0, $E217, $E216)</f>
        <v>2500</v>
      </c>
      <c r="K231" s="59">
        <f t="shared" si="15"/>
        <v>0</v>
      </c>
      <c r="L231" s="62">
        <f t="shared" si="13"/>
        <v>-69.75</v>
      </c>
      <c r="M231" s="63">
        <f t="shared" si="16"/>
        <v>-1</v>
      </c>
    </row>
    <row r="232" spans="2:13" x14ac:dyDescent="0.25">
      <c r="C232" s="9"/>
      <c r="D232" s="76" t="s">
        <v>65</v>
      </c>
      <c r="E232" s="56"/>
      <c r="F232" s="64">
        <v>-5.9999999999999995E-4</v>
      </c>
      <c r="G232" s="78">
        <f>E216</f>
        <v>1095000</v>
      </c>
      <c r="H232" s="59">
        <f t="shared" si="14"/>
        <v>-656.99999999999989</v>
      </c>
      <c r="I232" s="65">
        <v>-8.9999999999999998E-4</v>
      </c>
      <c r="J232" s="78">
        <f>E216</f>
        <v>1095000</v>
      </c>
      <c r="K232" s="59">
        <f t="shared" si="15"/>
        <v>-985.5</v>
      </c>
      <c r="L232" s="62">
        <f t="shared" si="13"/>
        <v>-328.50000000000011</v>
      </c>
      <c r="M232" s="63">
        <f t="shared" si="16"/>
        <v>0.50000000000000022</v>
      </c>
    </row>
    <row r="233" spans="2:13" x14ac:dyDescent="0.25">
      <c r="C233" s="9"/>
      <c r="D233" s="79" t="s">
        <v>66</v>
      </c>
      <c r="E233" s="56"/>
      <c r="F233" s="64">
        <v>0</v>
      </c>
      <c r="G233" s="78">
        <f>IF($E217&gt;0, $E217, $E216)</f>
        <v>2500</v>
      </c>
      <c r="H233" s="59">
        <f t="shared" si="14"/>
        <v>0</v>
      </c>
      <c r="I233" s="65"/>
      <c r="J233" s="78">
        <f>IF($E217&gt;0, $E217, $E216)</f>
        <v>2500</v>
      </c>
      <c r="K233" s="59">
        <f t="shared" si="15"/>
        <v>0</v>
      </c>
      <c r="L233" s="62">
        <f t="shared" si="13"/>
        <v>0</v>
      </c>
      <c r="M233" s="63" t="str">
        <f t="shared" si="16"/>
        <v/>
      </c>
    </row>
    <row r="234" spans="2:13" ht="51" x14ac:dyDescent="0.25">
      <c r="C234" s="9"/>
      <c r="D234" s="80" t="s">
        <v>67</v>
      </c>
      <c r="E234" s="56"/>
      <c r="F234" s="81">
        <v>0.35</v>
      </c>
      <c r="G234" s="58">
        <v>1</v>
      </c>
      <c r="H234" s="59">
        <f t="shared" si="14"/>
        <v>0.35</v>
      </c>
      <c r="I234" s="82">
        <v>0</v>
      </c>
      <c r="J234" s="58">
        <v>1</v>
      </c>
      <c r="K234" s="59">
        <f t="shared" si="15"/>
        <v>0</v>
      </c>
      <c r="L234" s="62">
        <f t="shared" si="13"/>
        <v>-0.35</v>
      </c>
      <c r="M234" s="63">
        <f t="shared" si="16"/>
        <v>-1</v>
      </c>
    </row>
    <row r="235" spans="2:13" x14ac:dyDescent="0.25">
      <c r="C235" s="9"/>
      <c r="D235" s="79" t="s">
        <v>68</v>
      </c>
      <c r="E235" s="56"/>
      <c r="F235" s="64"/>
      <c r="G235" s="78">
        <f>IF($E217&gt;0, $E217, $E216)</f>
        <v>2500</v>
      </c>
      <c r="H235" s="59">
        <f t="shared" si="14"/>
        <v>0</v>
      </c>
      <c r="I235" s="65">
        <v>0</v>
      </c>
      <c r="J235" s="78">
        <f>IF($E217&gt;0, $E217, $E216)</f>
        <v>2500</v>
      </c>
      <c r="K235" s="59">
        <f t="shared" si="15"/>
        <v>0</v>
      </c>
      <c r="L235" s="62">
        <f t="shared" si="13"/>
        <v>0</v>
      </c>
      <c r="M235" s="63" t="str">
        <f t="shared" si="16"/>
        <v/>
      </c>
    </row>
    <row r="236" spans="2:13" ht="25.5" x14ac:dyDescent="0.25">
      <c r="C236" s="9"/>
      <c r="D236" s="83" t="s">
        <v>69</v>
      </c>
      <c r="E236" s="84"/>
      <c r="F236" s="85"/>
      <c r="G236" s="86"/>
      <c r="H236" s="87">
        <f>SUM(H228:H235)</f>
        <v>9536.61</v>
      </c>
      <c r="I236" s="88"/>
      <c r="J236" s="89"/>
      <c r="K236" s="87">
        <f>SUM(K228:K235)</f>
        <v>10369.586851982256</v>
      </c>
      <c r="L236" s="74">
        <f t="shared" si="13"/>
        <v>832.97685198225554</v>
      </c>
      <c r="M236" s="75">
        <f>IF((H236)=0,"",(L236/H236))</f>
        <v>8.7345173178126762E-2</v>
      </c>
    </row>
    <row r="237" spans="2:13" x14ac:dyDescent="0.25">
      <c r="D237" s="90" t="s">
        <v>70</v>
      </c>
      <c r="E237" s="56"/>
      <c r="F237" s="64">
        <v>3.3734999999999999</v>
      </c>
      <c r="G237" s="77">
        <f>IF($E217&gt;0, $E217, $E216*$E218)</f>
        <v>2500</v>
      </c>
      <c r="H237" s="59">
        <f>G237*F237</f>
        <v>8433.75</v>
      </c>
      <c r="I237" s="65">
        <v>2.423</v>
      </c>
      <c r="J237" s="77">
        <f>IF($E217&gt;0, $E217, $E216*$E219)</f>
        <v>2500</v>
      </c>
      <c r="K237" s="59">
        <f>J237*I237</f>
        <v>6057.5</v>
      </c>
      <c r="L237" s="62">
        <f t="shared" si="13"/>
        <v>-2376.25</v>
      </c>
      <c r="M237" s="63">
        <f>IF(ISERROR(L237/H237), "", L237/H237)</f>
        <v>-0.28175485400918926</v>
      </c>
    </row>
    <row r="238" spans="2:13" ht="25.5" x14ac:dyDescent="0.25">
      <c r="D238" s="91" t="s">
        <v>71</v>
      </c>
      <c r="E238" s="56"/>
      <c r="F238" s="64">
        <v>2.9531000000000001</v>
      </c>
      <c r="G238" s="77">
        <f>IF($E217&gt;0, $E217, $E216*$E218)</f>
        <v>2500</v>
      </c>
      <c r="H238" s="59">
        <f>G238*F238</f>
        <v>7382.75</v>
      </c>
      <c r="I238" s="65">
        <v>1.9751000000000001</v>
      </c>
      <c r="J238" s="77">
        <f>IF($E217&gt;0, $E217, $E216*$E219)</f>
        <v>2500</v>
      </c>
      <c r="K238" s="59">
        <f>J238*I238</f>
        <v>4937.75</v>
      </c>
      <c r="L238" s="62">
        <f t="shared" si="13"/>
        <v>-2445</v>
      </c>
      <c r="M238" s="63">
        <f>IF(ISERROR(L238/H238), "", L238/H238)</f>
        <v>-0.33117740679286173</v>
      </c>
    </row>
    <row r="239" spans="2:13" ht="25.5" x14ac:dyDescent="0.25">
      <c r="C239" s="8"/>
      <c r="D239" s="83" t="s">
        <v>72</v>
      </c>
      <c r="E239" s="68"/>
      <c r="F239" s="85"/>
      <c r="G239" s="86"/>
      <c r="H239" s="87">
        <f>SUM(H236:H238)</f>
        <v>25353.11</v>
      </c>
      <c r="I239" s="88"/>
      <c r="J239" s="73"/>
      <c r="K239" s="87">
        <f>SUM(K236:K238)</f>
        <v>21364.836851982254</v>
      </c>
      <c r="L239" s="74">
        <f t="shared" si="13"/>
        <v>-3988.2731480177463</v>
      </c>
      <c r="M239" s="75">
        <f>IF((H239)=0,"",(L239/H239))</f>
        <v>-0.15730903025379317</v>
      </c>
    </row>
    <row r="240" spans="2:13" ht="25.5" x14ac:dyDescent="0.25">
      <c r="C240" s="8"/>
      <c r="D240" s="92" t="s">
        <v>73</v>
      </c>
      <c r="E240" s="56"/>
      <c r="F240" s="64">
        <v>3.6000000000000003E-3</v>
      </c>
      <c r="G240" s="77">
        <f>E216*E218</f>
        <v>1129492.5</v>
      </c>
      <c r="H240" s="93">
        <f>G240*F240</f>
        <v>4066.1730000000002</v>
      </c>
      <c r="I240" s="65">
        <v>3.6000000000000003E-3</v>
      </c>
      <c r="J240" s="77">
        <f>E216*E219</f>
        <v>1129492.5</v>
      </c>
      <c r="K240" s="93">
        <f>J240*I240</f>
        <v>4066.1730000000002</v>
      </c>
      <c r="L240" s="62">
        <f t="shared" si="13"/>
        <v>0</v>
      </c>
      <c r="M240" s="63">
        <f>IF(ISERROR(L240/H240), "", L240/H240)</f>
        <v>0</v>
      </c>
    </row>
    <row r="241" spans="2:13" ht="25.5" x14ac:dyDescent="0.25">
      <c r="C241" s="8"/>
      <c r="D241" s="92" t="s">
        <v>74</v>
      </c>
      <c r="E241" s="56"/>
      <c r="F241" s="64">
        <v>2.9999999999999997E-4</v>
      </c>
      <c r="G241" s="77">
        <f>E216*E218</f>
        <v>1129492.5</v>
      </c>
      <c r="H241" s="93">
        <f>G241*F241</f>
        <v>338.84774999999996</v>
      </c>
      <c r="I241" s="65">
        <v>2.9999999999999997E-4</v>
      </c>
      <c r="J241" s="77">
        <f>E216*E219</f>
        <v>1129492.5</v>
      </c>
      <c r="K241" s="93">
        <f>J241*I241</f>
        <v>338.84774999999996</v>
      </c>
      <c r="L241" s="62">
        <f t="shared" si="13"/>
        <v>0</v>
      </c>
      <c r="M241" s="63">
        <f>IF(ISERROR(L241/H241), "", L241/H241)</f>
        <v>0</v>
      </c>
    </row>
    <row r="242" spans="2:13" x14ac:dyDescent="0.25">
      <c r="C242" s="8"/>
      <c r="D242" s="94" t="s">
        <v>75</v>
      </c>
      <c r="E242" s="56"/>
      <c r="F242" s="81">
        <v>0.25</v>
      </c>
      <c r="G242" s="58">
        <v>1</v>
      </c>
      <c r="H242" s="93">
        <f>G242*F242</f>
        <v>0.25</v>
      </c>
      <c r="I242" s="82">
        <v>0.25</v>
      </c>
      <c r="J242" s="61">
        <v>1</v>
      </c>
      <c r="K242" s="93">
        <f>J242*I242</f>
        <v>0.25</v>
      </c>
      <c r="L242" s="62">
        <f t="shared" si="13"/>
        <v>0</v>
      </c>
      <c r="M242" s="63">
        <f>IF(ISERROR(L242/H242), "", L242/H242)</f>
        <v>0</v>
      </c>
    </row>
    <row r="243" spans="2:13" x14ac:dyDescent="0.25">
      <c r="C243" s="8"/>
      <c r="D243" s="94" t="s">
        <v>76</v>
      </c>
      <c r="E243" s="56"/>
      <c r="F243" s="64">
        <v>7.0000000000000001E-3</v>
      </c>
      <c r="G243" s="78">
        <f>E216</f>
        <v>1095000</v>
      </c>
      <c r="H243" s="93">
        <f>G243*F243</f>
        <v>7665</v>
      </c>
      <c r="I243" s="150">
        <v>7.0000000000000001E-3</v>
      </c>
      <c r="J243" s="78">
        <f>E216</f>
        <v>1095000</v>
      </c>
      <c r="K243" s="93">
        <f>J243*I243</f>
        <v>7665</v>
      </c>
      <c r="L243" s="62">
        <f t="shared" si="13"/>
        <v>0</v>
      </c>
      <c r="M243" s="63">
        <f>IF(ISERROR(L243/H243), "", L243/H243)</f>
        <v>0</v>
      </c>
    </row>
    <row r="244" spans="2:13" ht="25.5" x14ac:dyDescent="0.25">
      <c r="C244" s="8"/>
      <c r="D244" s="92" t="s">
        <v>77</v>
      </c>
      <c r="E244" s="56"/>
      <c r="F244" s="64"/>
      <c r="G244" s="77"/>
      <c r="H244" s="93"/>
      <c r="I244" s="65"/>
      <c r="J244" s="77"/>
      <c r="K244" s="93"/>
      <c r="L244" s="62"/>
      <c r="M244" s="63"/>
    </row>
    <row r="245" spans="2:13" x14ac:dyDescent="0.25">
      <c r="C245" s="8"/>
      <c r="D245" s="101" t="s">
        <v>78</v>
      </c>
      <c r="E245" s="56"/>
      <c r="F245" s="102">
        <v>6.5000000000000002E-2</v>
      </c>
      <c r="G245" s="103">
        <f>IF(AND(E216*12&gt;=150000),0.65*E216*E218,0.65*E216)</f>
        <v>734170.12500000012</v>
      </c>
      <c r="H245" s="93">
        <f>G245*F245</f>
        <v>47721.05812500001</v>
      </c>
      <c r="I245" s="104">
        <v>6.5000000000000002E-2</v>
      </c>
      <c r="J245" s="103">
        <f>IF(AND(E216*12&gt;=150000),0.65*E216*E219,0.65*E216)</f>
        <v>734170.12500000012</v>
      </c>
      <c r="K245" s="93">
        <f>J245*I245</f>
        <v>47721.05812500001</v>
      </c>
      <c r="L245" s="62">
        <f>K245-H245</f>
        <v>0</v>
      </c>
      <c r="M245" s="63">
        <f>IF(ISERROR(L245/H245), "", L245/H245)</f>
        <v>0</v>
      </c>
    </row>
    <row r="246" spans="2:13" x14ac:dyDescent="0.25">
      <c r="C246" s="8"/>
      <c r="D246" s="101" t="s">
        <v>79</v>
      </c>
      <c r="E246" s="56"/>
      <c r="F246" s="102">
        <v>9.5000000000000001E-2</v>
      </c>
      <c r="G246" s="103">
        <f>IF(AND(E216*12&gt;=150000),0.17*E216*E218,0.17*E216)</f>
        <v>192013.72500000001</v>
      </c>
      <c r="H246" s="93">
        <f>G246*F246</f>
        <v>18241.303875000001</v>
      </c>
      <c r="I246" s="104">
        <v>9.5000000000000001E-2</v>
      </c>
      <c r="J246" s="103">
        <f>IF(AND(E216*12&gt;=150000),0.17*E216*E219,0.17*E216)</f>
        <v>192013.72500000001</v>
      </c>
      <c r="K246" s="93">
        <f>J246*I246</f>
        <v>18241.303875000001</v>
      </c>
      <c r="L246" s="62">
        <f>K246-H246</f>
        <v>0</v>
      </c>
      <c r="M246" s="63">
        <f>IF(ISERROR(L246/H246), "", L246/H246)</f>
        <v>0</v>
      </c>
    </row>
    <row r="247" spans="2:13" x14ac:dyDescent="0.25">
      <c r="C247" s="8"/>
      <c r="D247" s="43" t="s">
        <v>80</v>
      </c>
      <c r="E247" s="56"/>
      <c r="F247" s="102">
        <v>0.13200000000000001</v>
      </c>
      <c r="G247" s="103">
        <f>IF(AND(E216*12&gt;=150000),0.18*E216*E218,0.18*E216)</f>
        <v>203308.65000000002</v>
      </c>
      <c r="H247" s="93">
        <f>G247*F247</f>
        <v>26836.741800000003</v>
      </c>
      <c r="I247" s="104">
        <v>0.13200000000000001</v>
      </c>
      <c r="J247" s="103">
        <f>IF(AND(E216*12&gt;=150000),0.18*E216*E219,0.18*E216)</f>
        <v>203308.65000000002</v>
      </c>
      <c r="K247" s="93">
        <f>J247*I247</f>
        <v>26836.741800000003</v>
      </c>
      <c r="L247" s="62">
        <f>K247-H247</f>
        <v>0</v>
      </c>
      <c r="M247" s="63">
        <f>IF(ISERROR(L247/H247), "", L247/H247)</f>
        <v>0</v>
      </c>
    </row>
    <row r="248" spans="2:13" x14ac:dyDescent="0.25">
      <c r="C248" s="8"/>
      <c r="D248" s="101" t="s">
        <v>81</v>
      </c>
      <c r="E248" s="56"/>
      <c r="F248" s="105">
        <v>0.1101</v>
      </c>
      <c r="G248" s="103">
        <f>IF(AND(E216*12&gt;=150000),E216*E218,E216)</f>
        <v>1129492.5</v>
      </c>
      <c r="H248" s="93">
        <f>G248*F248</f>
        <v>124357.12425000001</v>
      </c>
      <c r="I248" s="106">
        <f>F248</f>
        <v>0.1101</v>
      </c>
      <c r="J248" s="103">
        <f>IF(AND(E216*12&gt;=150000),E216*E219,E216)</f>
        <v>1129492.5</v>
      </c>
      <c r="K248" s="93">
        <f>J248*I248</f>
        <v>124357.12425000001</v>
      </c>
      <c r="L248" s="62">
        <f>K248-H248</f>
        <v>0</v>
      </c>
      <c r="M248" s="63">
        <f>IF(ISERROR(L248/H248), "", L248/H248)</f>
        <v>0</v>
      </c>
    </row>
    <row r="249" spans="2:13" ht="15.75" thickBot="1" x14ac:dyDescent="0.3">
      <c r="C249" s="9"/>
      <c r="D249" s="101" t="s">
        <v>82</v>
      </c>
      <c r="E249" s="56"/>
      <c r="F249" s="105">
        <v>0.1101</v>
      </c>
      <c r="G249" s="103">
        <f>IF(AND(E216*12&gt;=150000),E216*E218,E216)</f>
        <v>1129492.5</v>
      </c>
      <c r="H249" s="93">
        <f>G249*F249</f>
        <v>124357.12425000001</v>
      </c>
      <c r="I249" s="106">
        <f>F249</f>
        <v>0.1101</v>
      </c>
      <c r="J249" s="103">
        <f>IF(AND(E216*12&gt;=150000),E216*E219,E216)</f>
        <v>1129492.5</v>
      </c>
      <c r="K249" s="93">
        <f>J249*I249</f>
        <v>124357.12425000001</v>
      </c>
      <c r="L249" s="62">
        <f>K249-H249</f>
        <v>0</v>
      </c>
      <c r="M249" s="63">
        <f>IF(ISERROR(L249/H249), "", L249/H249)</f>
        <v>0</v>
      </c>
    </row>
    <row r="250" spans="2:13" ht="15.75" thickBot="1" x14ac:dyDescent="0.3">
      <c r="C250" s="9"/>
      <c r="D250" s="107"/>
      <c r="E250" s="108"/>
      <c r="F250" s="109"/>
      <c r="G250" s="110"/>
      <c r="H250" s="111"/>
      <c r="I250" s="109"/>
      <c r="J250" s="112"/>
      <c r="K250" s="111"/>
      <c r="L250" s="113"/>
      <c r="M250" s="114"/>
    </row>
    <row r="251" spans="2:13" hidden="1" x14ac:dyDescent="0.25">
      <c r="C251" s="9"/>
      <c r="D251" s="115" t="s">
        <v>83</v>
      </c>
      <c r="E251" s="94"/>
      <c r="F251" s="116"/>
      <c r="G251" s="117"/>
      <c r="H251" s="118">
        <f>SUM(H240:H247,H239)</f>
        <v>130222.48455000001</v>
      </c>
      <c r="I251" s="119"/>
      <c r="J251" s="119"/>
      <c r="K251" s="118">
        <f>SUM(K240:K247,K239)</f>
        <v>126234.21140198226</v>
      </c>
      <c r="L251" s="120">
        <f>K251-H251</f>
        <v>-3988.2731480177463</v>
      </c>
      <c r="M251" s="121">
        <f>IF((H251)=0,"",(L251/H251))</f>
        <v>-3.0626609235722389E-2</v>
      </c>
    </row>
    <row r="252" spans="2:13" hidden="1" x14ac:dyDescent="0.25">
      <c r="C252" s="9"/>
      <c r="D252" s="122" t="s">
        <v>84</v>
      </c>
      <c r="E252" s="94"/>
      <c r="F252" s="116">
        <v>0.13</v>
      </c>
      <c r="G252" s="123"/>
      <c r="H252" s="124">
        <f>H251*F252</f>
        <v>16928.922991500003</v>
      </c>
      <c r="I252" s="125">
        <v>0.13</v>
      </c>
      <c r="J252" s="58"/>
      <c r="K252" s="124">
        <f>K251*I252</f>
        <v>16410.447482257696</v>
      </c>
      <c r="L252" s="126">
        <f>K252-H252</f>
        <v>-518.47550924230745</v>
      </c>
      <c r="M252" s="127">
        <f>IF((H252)=0,"",(L252/H252))</f>
        <v>-3.0626609235722409E-2</v>
      </c>
    </row>
    <row r="253" spans="2:13" hidden="1" x14ac:dyDescent="0.25">
      <c r="B253" s="151"/>
      <c r="C253" s="9"/>
      <c r="D253" s="122" t="s">
        <v>85</v>
      </c>
      <c r="E253" s="94"/>
      <c r="F253" s="116">
        <v>0.08</v>
      </c>
      <c r="G253" s="123"/>
      <c r="H253" s="124">
        <v>0</v>
      </c>
      <c r="I253" s="116">
        <v>0.08</v>
      </c>
      <c r="J253" s="58"/>
      <c r="K253" s="124">
        <v>0</v>
      </c>
      <c r="L253" s="126">
        <f>K253-H253</f>
        <v>0</v>
      </c>
      <c r="M253" s="127"/>
    </row>
    <row r="254" spans="2:13" ht="15.75" hidden="1" thickBot="1" x14ac:dyDescent="0.3">
      <c r="C254" s="9"/>
      <c r="D254" s="308" t="s">
        <v>86</v>
      </c>
      <c r="E254" s="308"/>
      <c r="F254" s="128"/>
      <c r="G254" s="129"/>
      <c r="H254" s="130">
        <f>H251+H252+H253</f>
        <v>147151.4075415</v>
      </c>
      <c r="I254" s="131"/>
      <c r="J254" s="131"/>
      <c r="K254" s="132">
        <f>K251+K252+K253</f>
        <v>142644.65888423997</v>
      </c>
      <c r="L254" s="133">
        <f>K254-H254</f>
        <v>-4506.7486572600319</v>
      </c>
      <c r="M254" s="134">
        <f>IF((H254)=0,"",(L254/H254))</f>
        <v>-3.0626609235722246E-2</v>
      </c>
    </row>
    <row r="255" spans="2:13" ht="15.75" hidden="1" thickBot="1" x14ac:dyDescent="0.3">
      <c r="C255" s="9"/>
      <c r="D255" s="107"/>
      <c r="E255" s="108"/>
      <c r="F255" s="109"/>
      <c r="G255" s="110"/>
      <c r="H255" s="111"/>
      <c r="I255" s="109"/>
      <c r="J255" s="112"/>
      <c r="K255" s="111"/>
      <c r="L255" s="113"/>
      <c r="M255" s="114"/>
    </row>
    <row r="256" spans="2:13" x14ac:dyDescent="0.25">
      <c r="C256" s="9"/>
      <c r="D256" s="115" t="s">
        <v>87</v>
      </c>
      <c r="E256" s="94"/>
      <c r="F256" s="116"/>
      <c r="G256" s="117"/>
      <c r="H256" s="118">
        <f>SUM(H248,H240:H244,H239)</f>
        <v>161780.505</v>
      </c>
      <c r="I256" s="119"/>
      <c r="J256" s="119"/>
      <c r="K256" s="118">
        <f>SUM(K248,K240:K244,K239)</f>
        <v>157792.23185198227</v>
      </c>
      <c r="L256" s="120">
        <f>K256-H256</f>
        <v>-3988.2731480177317</v>
      </c>
      <c r="M256" s="121">
        <f>IF((H256)=0,"",(L256/H256))</f>
        <v>-2.4652371730560067E-2</v>
      </c>
    </row>
    <row r="257" spans="2:13" x14ac:dyDescent="0.25">
      <c r="C257" s="9"/>
      <c r="D257" s="122" t="s">
        <v>84</v>
      </c>
      <c r="E257" s="94"/>
      <c r="F257" s="116">
        <v>0.13</v>
      </c>
      <c r="G257" s="117"/>
      <c r="H257" s="124">
        <f>H256*F257</f>
        <v>21031.465650000002</v>
      </c>
      <c r="I257" s="116">
        <v>0.13</v>
      </c>
      <c r="J257" s="125"/>
      <c r="K257" s="124">
        <f>K256*I257</f>
        <v>20512.990140757694</v>
      </c>
      <c r="L257" s="126">
        <f>K257-H257</f>
        <v>-518.47550924230745</v>
      </c>
      <c r="M257" s="127">
        <f>IF((H257)=0,"",(L257/H257))</f>
        <v>-2.4652371730560178E-2</v>
      </c>
    </row>
    <row r="258" spans="2:13" x14ac:dyDescent="0.25">
      <c r="C258" s="9"/>
      <c r="D258" s="122" t="s">
        <v>85</v>
      </c>
      <c r="E258" s="94"/>
      <c r="F258" s="116">
        <v>0.08</v>
      </c>
      <c r="G258" s="117"/>
      <c r="H258" s="124">
        <v>0</v>
      </c>
      <c r="I258" s="116">
        <v>0.08</v>
      </c>
      <c r="J258" s="125"/>
      <c r="K258" s="124">
        <v>0</v>
      </c>
      <c r="L258" s="126"/>
      <c r="M258" s="127"/>
    </row>
    <row r="259" spans="2:13" ht="15.75" thickBot="1" x14ac:dyDescent="0.3">
      <c r="C259" s="9"/>
      <c r="D259" s="308" t="s">
        <v>87</v>
      </c>
      <c r="E259" s="308"/>
      <c r="F259" s="135"/>
      <c r="G259" s="136"/>
      <c r="H259" s="130">
        <f>SUM(H256,H257)</f>
        <v>182811.97065</v>
      </c>
      <c r="I259" s="137"/>
      <c r="J259" s="137"/>
      <c r="K259" s="130">
        <f>SUM(K256,K257)</f>
        <v>178305.22199273997</v>
      </c>
      <c r="L259" s="138">
        <f>K259-H259</f>
        <v>-4506.7486572600319</v>
      </c>
      <c r="M259" s="139">
        <f>IF((H259)=0,"",(L259/H259))</f>
        <v>-2.4652371730560039E-2</v>
      </c>
    </row>
    <row r="260" spans="2:13" ht="15.75" thickBot="1" x14ac:dyDescent="0.3">
      <c r="C260" s="9"/>
      <c r="D260" s="107"/>
      <c r="E260" s="108"/>
      <c r="F260" s="140"/>
      <c r="G260" s="141"/>
      <c r="H260" s="142"/>
      <c r="I260" s="140"/>
      <c r="J260" s="110"/>
      <c r="K260" s="142"/>
      <c r="L260" s="143"/>
      <c r="M260" s="114"/>
    </row>
    <row r="261" spans="2:13" hidden="1" x14ac:dyDescent="0.25">
      <c r="B261" s="43"/>
      <c r="C261" s="9"/>
      <c r="D261" s="115" t="s">
        <v>88</v>
      </c>
      <c r="E261" s="94"/>
      <c r="F261" s="116"/>
      <c r="G261" s="117"/>
      <c r="H261" s="118">
        <f>SUM(H249,H240:H244,H239)</f>
        <v>161780.505</v>
      </c>
      <c r="I261" s="119"/>
      <c r="J261" s="119"/>
      <c r="K261" s="118">
        <f>SUM(K249,K240:K244,K239)</f>
        <v>157792.23185198227</v>
      </c>
      <c r="L261" s="120">
        <f>K261-H261</f>
        <v>-3988.2731480177317</v>
      </c>
      <c r="M261" s="121">
        <f>IF((H261)=0,"",(L261/H261))</f>
        <v>-2.4652371730560067E-2</v>
      </c>
    </row>
    <row r="262" spans="2:13" hidden="1" x14ac:dyDescent="0.25">
      <c r="C262" s="9"/>
      <c r="D262" s="122" t="s">
        <v>84</v>
      </c>
      <c r="E262" s="94"/>
      <c r="F262" s="116">
        <v>0.13</v>
      </c>
      <c r="G262" s="117"/>
      <c r="H262" s="124">
        <f>H261*F262</f>
        <v>21031.465650000002</v>
      </c>
      <c r="I262" s="116">
        <v>0.13</v>
      </c>
      <c r="J262" s="125"/>
      <c r="K262" s="124">
        <f>K261*I262</f>
        <v>20512.990140757694</v>
      </c>
      <c r="L262" s="126">
        <f>K262-H262</f>
        <v>-518.47550924230745</v>
      </c>
      <c r="M262" s="127">
        <f>IF((H262)=0,"",(L262/H262))</f>
        <v>-2.4652371730560178E-2</v>
      </c>
    </row>
    <row r="263" spans="2:13" hidden="1" x14ac:dyDescent="0.25">
      <c r="C263" s="9"/>
      <c r="D263" s="122" t="s">
        <v>85</v>
      </c>
      <c r="E263" s="94"/>
      <c r="F263" s="116">
        <v>0.08</v>
      </c>
      <c r="G263" s="117"/>
      <c r="H263" s="124">
        <v>0</v>
      </c>
      <c r="I263" s="116">
        <v>0.08</v>
      </c>
      <c r="J263" s="125"/>
      <c r="K263" s="124">
        <v>0</v>
      </c>
      <c r="L263" s="126"/>
      <c r="M263" s="127"/>
    </row>
    <row r="264" spans="2:13" ht="15.75" hidden="1" thickBot="1" x14ac:dyDescent="0.3">
      <c r="B264" s="43"/>
      <c r="C264" s="9"/>
      <c r="D264" s="308" t="s">
        <v>88</v>
      </c>
      <c r="E264" s="308"/>
      <c r="F264" s="135"/>
      <c r="G264" s="136"/>
      <c r="H264" s="130">
        <f>SUM(H261,H262)</f>
        <v>182811.97065</v>
      </c>
      <c r="I264" s="137"/>
      <c r="J264" s="137"/>
      <c r="K264" s="130">
        <f>SUM(K261,K262)</f>
        <v>178305.22199273997</v>
      </c>
      <c r="L264" s="138">
        <f>K264-H264</f>
        <v>-4506.7486572600319</v>
      </c>
      <c r="M264" s="139">
        <f>IF((H264)=0,"",(L264/H264))</f>
        <v>-2.4652371730560039E-2</v>
      </c>
    </row>
    <row r="265" spans="2:13" ht="15.75" hidden="1" thickBot="1" x14ac:dyDescent="0.3">
      <c r="C265" s="9"/>
      <c r="D265" s="107"/>
      <c r="E265" s="108"/>
      <c r="F265" s="144"/>
      <c r="G265" s="145"/>
      <c r="H265" s="146"/>
      <c r="I265" s="144"/>
      <c r="J265" s="147"/>
      <c r="K265" s="146"/>
      <c r="L265" s="148"/>
      <c r="M265" s="149"/>
    </row>
    <row r="266" spans="2:13" x14ac:dyDescent="0.25">
      <c r="C266" s="9"/>
    </row>
    <row r="267" spans="2:13" x14ac:dyDescent="0.25">
      <c r="C267" s="9"/>
    </row>
    <row r="268" spans="2:13" x14ac:dyDescent="0.25">
      <c r="C268" s="9"/>
      <c r="D268" s="39" t="s">
        <v>42</v>
      </c>
      <c r="E268" s="303" t="s">
        <v>15</v>
      </c>
      <c r="F268" s="303"/>
      <c r="G268" s="303"/>
      <c r="H268" s="303"/>
      <c r="I268" s="303"/>
      <c r="J268" s="303"/>
      <c r="K268" s="8" t="s">
        <v>89</v>
      </c>
    </row>
    <row r="269" spans="2:13" x14ac:dyDescent="0.25">
      <c r="C269" s="9"/>
      <c r="D269" s="39" t="s">
        <v>43</v>
      </c>
      <c r="E269" s="304" t="s">
        <v>22</v>
      </c>
      <c r="F269" s="304"/>
      <c r="G269" s="304"/>
      <c r="H269" s="40"/>
      <c r="I269" s="40"/>
    </row>
    <row r="270" spans="2:13" ht="15.75" x14ac:dyDescent="0.25">
      <c r="B270" s="43"/>
      <c r="C270" s="9"/>
      <c r="D270" s="39" t="s">
        <v>44</v>
      </c>
      <c r="E270" s="41">
        <v>5600000</v>
      </c>
      <c r="F270" s="42" t="s">
        <v>19</v>
      </c>
      <c r="G270" s="43"/>
      <c r="J270" s="44"/>
      <c r="K270" s="44"/>
      <c r="L270" s="44"/>
      <c r="M270" s="44"/>
    </row>
    <row r="271" spans="2:13" ht="15.75" x14ac:dyDescent="0.25">
      <c r="B271" s="43"/>
      <c r="C271" s="9"/>
      <c r="D271" s="39" t="s">
        <v>45</v>
      </c>
      <c r="E271" s="41">
        <v>10700</v>
      </c>
      <c r="F271" s="45" t="s">
        <v>21</v>
      </c>
      <c r="G271" s="46"/>
      <c r="H271" s="47"/>
      <c r="I271" s="47"/>
      <c r="J271" s="47"/>
    </row>
    <row r="272" spans="2:13" x14ac:dyDescent="0.25">
      <c r="B272" s="43"/>
      <c r="C272" s="9"/>
      <c r="D272" s="39" t="s">
        <v>46</v>
      </c>
      <c r="E272" s="48">
        <v>1.0145999999999999</v>
      </c>
    </row>
    <row r="273" spans="2:13" x14ac:dyDescent="0.25">
      <c r="C273" s="9"/>
      <c r="D273" s="39" t="s">
        <v>47</v>
      </c>
      <c r="E273" s="48">
        <v>1.0145999999999999</v>
      </c>
    </row>
    <row r="274" spans="2:13" x14ac:dyDescent="0.25">
      <c r="C274" s="9"/>
      <c r="D274" s="43"/>
    </row>
    <row r="275" spans="2:13" x14ac:dyDescent="0.25">
      <c r="B275" s="43"/>
      <c r="C275" s="9"/>
      <c r="D275" s="43"/>
      <c r="E275" s="49"/>
      <c r="F275" s="305" t="s">
        <v>48</v>
      </c>
      <c r="G275" s="306"/>
      <c r="H275" s="307"/>
      <c r="I275" s="305" t="s">
        <v>49</v>
      </c>
      <c r="J275" s="306"/>
      <c r="K275" s="307"/>
      <c r="L275" s="305" t="s">
        <v>50</v>
      </c>
      <c r="M275" s="307"/>
    </row>
    <row r="276" spans="2:13" x14ac:dyDescent="0.25">
      <c r="B276" s="43"/>
      <c r="C276" s="9"/>
      <c r="D276" s="43"/>
      <c r="E276" s="309"/>
      <c r="F276" s="50" t="s">
        <v>51</v>
      </c>
      <c r="G276" s="50" t="s">
        <v>52</v>
      </c>
      <c r="H276" s="51" t="s">
        <v>53</v>
      </c>
      <c r="I276" s="50" t="s">
        <v>51</v>
      </c>
      <c r="J276" s="52" t="s">
        <v>52</v>
      </c>
      <c r="K276" s="51" t="s">
        <v>53</v>
      </c>
      <c r="L276" s="311" t="s">
        <v>54</v>
      </c>
      <c r="M276" s="313" t="s">
        <v>55</v>
      </c>
    </row>
    <row r="277" spans="2:13" x14ac:dyDescent="0.25">
      <c r="B277" s="43"/>
      <c r="C277" s="9"/>
      <c r="D277" s="43"/>
      <c r="E277" s="310"/>
      <c r="F277" s="53" t="s">
        <v>56</v>
      </c>
      <c r="G277" s="53"/>
      <c r="H277" s="54" t="s">
        <v>56</v>
      </c>
      <c r="I277" s="53" t="s">
        <v>56</v>
      </c>
      <c r="J277" s="54"/>
      <c r="K277" s="54" t="s">
        <v>56</v>
      </c>
      <c r="L277" s="312"/>
      <c r="M277" s="314"/>
    </row>
    <row r="278" spans="2:13" x14ac:dyDescent="0.25">
      <c r="B278" s="43"/>
      <c r="C278" s="9"/>
      <c r="D278" s="55" t="s">
        <v>57</v>
      </c>
      <c r="E278" s="56"/>
      <c r="F278" s="57">
        <v>20286.64</v>
      </c>
      <c r="G278" s="58">
        <v>1</v>
      </c>
      <c r="H278" s="59">
        <f>G278*F278</f>
        <v>20286.64</v>
      </c>
      <c r="I278" s="60">
        <v>20641.66</v>
      </c>
      <c r="J278" s="61">
        <f>G278</f>
        <v>1</v>
      </c>
      <c r="K278" s="59">
        <f>J278*I278</f>
        <v>20641.66</v>
      </c>
      <c r="L278" s="62">
        <f t="shared" ref="L278:L297" si="17">K278-H278</f>
        <v>355.02000000000044</v>
      </c>
      <c r="M278" s="63">
        <f>IF(ISERROR(L278/H278), "", L278/H278)</f>
        <v>1.7500187315395769E-2</v>
      </c>
    </row>
    <row r="279" spans="2:13" x14ac:dyDescent="0.25">
      <c r="B279" s="43"/>
      <c r="C279" s="9"/>
      <c r="D279" s="55" t="s">
        <v>58</v>
      </c>
      <c r="E279" s="56"/>
      <c r="F279" s="64">
        <v>2.2637999999999998</v>
      </c>
      <c r="G279" s="58">
        <f>IF($E271&gt;0, $E271, $E270)</f>
        <v>10700</v>
      </c>
      <c r="H279" s="59">
        <f>G279*F279</f>
        <v>24222.659999999996</v>
      </c>
      <c r="I279" s="65">
        <v>2.3033999999999999</v>
      </c>
      <c r="J279" s="61">
        <f>IF($E271&gt;0, $E271, $E270)</f>
        <v>10700</v>
      </c>
      <c r="K279" s="59">
        <f>J279*I279</f>
        <v>24646.379999999997</v>
      </c>
      <c r="L279" s="62">
        <f t="shared" si="17"/>
        <v>423.72000000000116</v>
      </c>
      <c r="M279" s="63">
        <f>IF(ISERROR(L279/H279), "", L279/H279)</f>
        <v>1.749271137026244E-2</v>
      </c>
    </row>
    <row r="280" spans="2:13" x14ac:dyDescent="0.25">
      <c r="C280" s="9"/>
      <c r="D280" s="66" t="s">
        <v>59</v>
      </c>
      <c r="E280" s="56"/>
      <c r="F280" s="57">
        <v>-345.86</v>
      </c>
      <c r="G280" s="58">
        <v>1</v>
      </c>
      <c r="H280" s="59">
        <f>G280*F280</f>
        <v>-345.86</v>
      </c>
      <c r="I280" s="60">
        <v>699.62</v>
      </c>
      <c r="J280" s="61">
        <f>G280</f>
        <v>1</v>
      </c>
      <c r="K280" s="59">
        <f>J280*I280</f>
        <v>699.62</v>
      </c>
      <c r="L280" s="62">
        <f t="shared" si="17"/>
        <v>1045.48</v>
      </c>
      <c r="M280" s="63">
        <f>IF(ISERROR(L280/H280), "", L280/H280)</f>
        <v>-3.0228416122130342</v>
      </c>
    </row>
    <row r="281" spans="2:13" x14ac:dyDescent="0.25">
      <c r="C281" s="9"/>
      <c r="D281" s="55" t="s">
        <v>60</v>
      </c>
      <c r="E281" s="56"/>
      <c r="F281" s="64">
        <v>-0.1857</v>
      </c>
      <c r="G281" s="58">
        <f>IF($E271&gt;0, $E271, $E270)</f>
        <v>10700</v>
      </c>
      <c r="H281" s="59">
        <f>G281*F281</f>
        <v>-1986.99</v>
      </c>
      <c r="I281" s="65">
        <v>-4.4470735078416861E-2</v>
      </c>
      <c r="J281" s="61">
        <f>IF($E271&gt;0, $E271, $E270)</f>
        <v>10700</v>
      </c>
      <c r="K281" s="59">
        <f>J281*I281</f>
        <v>-475.83686533906041</v>
      </c>
      <c r="L281" s="62">
        <f t="shared" si="17"/>
        <v>1511.1531346609395</v>
      </c>
      <c r="M281" s="63">
        <f>IF(ISERROR(L281/H281), "", L281/H281)</f>
        <v>-0.76052377448348485</v>
      </c>
    </row>
    <row r="282" spans="2:13" x14ac:dyDescent="0.25">
      <c r="C282" s="9"/>
      <c r="D282" s="67" t="s">
        <v>61</v>
      </c>
      <c r="E282" s="68"/>
      <c r="F282" s="69"/>
      <c r="G282" s="70"/>
      <c r="H282" s="71">
        <f>SUM(H278:H281)</f>
        <v>42176.45</v>
      </c>
      <c r="I282" s="72"/>
      <c r="J282" s="73"/>
      <c r="K282" s="71">
        <f>SUM(K278:K281)</f>
        <v>45511.823134660939</v>
      </c>
      <c r="L282" s="74">
        <f t="shared" si="17"/>
        <v>3335.373134660942</v>
      </c>
      <c r="M282" s="75">
        <f>IF((H282)=0,"",(L282/H282))</f>
        <v>7.9081409996833357E-2</v>
      </c>
    </row>
    <row r="283" spans="2:13" x14ac:dyDescent="0.25">
      <c r="C283" s="9"/>
      <c r="D283" s="76" t="s">
        <v>62</v>
      </c>
      <c r="E283" s="56"/>
      <c r="F283" s="64">
        <f>IF((E270*12&gt;=150000), 0, IF(E269="RPP",(F299*0.65+F300*0.17+F301*0.18),IF(E269="Non-RPP (Retailer)",F302,F303)))</f>
        <v>0</v>
      </c>
      <c r="G283" s="77">
        <f>IF(F283=0, 0, $E270*E272-E270)</f>
        <v>0</v>
      </c>
      <c r="H283" s="59">
        <f t="shared" ref="H283:H289" si="18">G283*F283</f>
        <v>0</v>
      </c>
      <c r="I283" s="65">
        <f>IF((E270*12&gt;=150000), 0, IF(E269="RPP",(I299*0.65+I300*0.17+I301*0.18),IF(E269="Non-RPP (Retailer)",I302,I303)))</f>
        <v>0</v>
      </c>
      <c r="J283" s="77">
        <f>IF(I283=0, 0, E270*E273-E270)</f>
        <v>0</v>
      </c>
      <c r="K283" s="59">
        <f t="shared" ref="K283:K289" si="19">J283*I283</f>
        <v>0</v>
      </c>
      <c r="L283" s="62">
        <f t="shared" si="17"/>
        <v>0</v>
      </c>
      <c r="M283" s="63" t="str">
        <f t="shared" ref="M283:M289" si="20">IF(ISERROR(L283/H283), "", L283/H283)</f>
        <v/>
      </c>
    </row>
    <row r="284" spans="2:13" ht="25.5" x14ac:dyDescent="0.25">
      <c r="C284" s="9"/>
      <c r="D284" s="76" t="s">
        <v>63</v>
      </c>
      <c r="E284" s="56"/>
      <c r="F284" s="64">
        <v>-1.4035</v>
      </c>
      <c r="G284" s="78">
        <f>IF($E271&gt;0, $E271, $E270)</f>
        <v>10700</v>
      </c>
      <c r="H284" s="59">
        <f t="shared" si="18"/>
        <v>-15017.449999999999</v>
      </c>
      <c r="I284" s="65">
        <v>-0.43090000000000001</v>
      </c>
      <c r="J284" s="78">
        <f>IF($E271&gt;0, $E271, $E270)</f>
        <v>10700</v>
      </c>
      <c r="K284" s="59">
        <f t="shared" si="19"/>
        <v>-4610.63</v>
      </c>
      <c r="L284" s="62">
        <f t="shared" si="17"/>
        <v>10406.82</v>
      </c>
      <c r="M284" s="63">
        <f t="shared" si="20"/>
        <v>-0.69298183113644463</v>
      </c>
    </row>
    <row r="285" spans="2:13" x14ac:dyDescent="0.25">
      <c r="C285" s="9"/>
      <c r="D285" s="76" t="s">
        <v>64</v>
      </c>
      <c r="E285" s="56"/>
      <c r="F285" s="64">
        <v>0</v>
      </c>
      <c r="G285" s="78">
        <f>IF($E271&gt;0, $E271, $E270)</f>
        <v>10700</v>
      </c>
      <c r="H285" s="59">
        <f t="shared" si="18"/>
        <v>0</v>
      </c>
      <c r="I285" s="65">
        <v>0</v>
      </c>
      <c r="J285" s="78">
        <f>IF($E271&gt;0, $E271, $E270)</f>
        <v>10700</v>
      </c>
      <c r="K285" s="59">
        <f t="shared" si="19"/>
        <v>0</v>
      </c>
      <c r="L285" s="62">
        <f t="shared" si="17"/>
        <v>0</v>
      </c>
      <c r="M285" s="63" t="str">
        <f t="shared" si="20"/>
        <v/>
      </c>
    </row>
    <row r="286" spans="2:13" x14ac:dyDescent="0.25">
      <c r="C286" s="9"/>
      <c r="D286" s="76" t="s">
        <v>65</v>
      </c>
      <c r="E286" s="56"/>
      <c r="F286" s="64">
        <v>-5.9999999999999995E-4</v>
      </c>
      <c r="G286" s="78">
        <f>E270</f>
        <v>5600000</v>
      </c>
      <c r="H286" s="59">
        <f t="shared" si="18"/>
        <v>-3359.9999999999995</v>
      </c>
      <c r="I286" s="65">
        <v>-8.9999999999999998E-4</v>
      </c>
      <c r="J286" s="78">
        <f>E270</f>
        <v>5600000</v>
      </c>
      <c r="K286" s="59">
        <f t="shared" si="19"/>
        <v>-5040</v>
      </c>
      <c r="L286" s="62">
        <f t="shared" si="17"/>
        <v>-1680.0000000000005</v>
      </c>
      <c r="M286" s="63">
        <f t="shared" si="20"/>
        <v>0.50000000000000022</v>
      </c>
    </row>
    <row r="287" spans="2:13" x14ac:dyDescent="0.25">
      <c r="C287" s="9"/>
      <c r="D287" s="79" t="s">
        <v>66</v>
      </c>
      <c r="E287" s="56"/>
      <c r="F287" s="64">
        <v>0</v>
      </c>
      <c r="G287" s="78">
        <f>IF($E271&gt;0, $E271, $E270)</f>
        <v>10700</v>
      </c>
      <c r="H287" s="59">
        <f t="shared" si="18"/>
        <v>0</v>
      </c>
      <c r="I287" s="65"/>
      <c r="J287" s="78">
        <f>IF($E271&gt;0, $E271, $E270)</f>
        <v>10700</v>
      </c>
      <c r="K287" s="59">
        <f t="shared" si="19"/>
        <v>0</v>
      </c>
      <c r="L287" s="62">
        <f t="shared" si="17"/>
        <v>0</v>
      </c>
      <c r="M287" s="63" t="str">
        <f t="shared" si="20"/>
        <v/>
      </c>
    </row>
    <row r="288" spans="2:13" ht="51" x14ac:dyDescent="0.25">
      <c r="C288" s="9"/>
      <c r="D288" s="80" t="s">
        <v>67</v>
      </c>
      <c r="E288" s="56"/>
      <c r="F288" s="81">
        <v>0.35</v>
      </c>
      <c r="G288" s="58">
        <v>1</v>
      </c>
      <c r="H288" s="59">
        <f t="shared" si="18"/>
        <v>0.35</v>
      </c>
      <c r="I288" s="82">
        <v>0</v>
      </c>
      <c r="J288" s="58">
        <v>1</v>
      </c>
      <c r="K288" s="59">
        <f t="shared" si="19"/>
        <v>0</v>
      </c>
      <c r="L288" s="62">
        <f t="shared" si="17"/>
        <v>-0.35</v>
      </c>
      <c r="M288" s="63">
        <f t="shared" si="20"/>
        <v>-1</v>
      </c>
    </row>
    <row r="289" spans="3:13" x14ac:dyDescent="0.25">
      <c r="C289" s="9"/>
      <c r="D289" s="79" t="s">
        <v>68</v>
      </c>
      <c r="E289" s="56"/>
      <c r="F289" s="64"/>
      <c r="G289" s="78">
        <f>IF($E271&gt;0, $E271, $E270)</f>
        <v>10700</v>
      </c>
      <c r="H289" s="59">
        <f t="shared" si="18"/>
        <v>0</v>
      </c>
      <c r="I289" s="65">
        <v>0</v>
      </c>
      <c r="J289" s="78">
        <f>IF($E271&gt;0, $E271, $E270)</f>
        <v>10700</v>
      </c>
      <c r="K289" s="59">
        <f t="shared" si="19"/>
        <v>0</v>
      </c>
      <c r="L289" s="62">
        <f t="shared" si="17"/>
        <v>0</v>
      </c>
      <c r="M289" s="63" t="str">
        <f t="shared" si="20"/>
        <v/>
      </c>
    </row>
    <row r="290" spans="3:13" ht="25.5" x14ac:dyDescent="0.25">
      <c r="C290" s="9"/>
      <c r="D290" s="83" t="s">
        <v>69</v>
      </c>
      <c r="E290" s="84"/>
      <c r="F290" s="85"/>
      <c r="G290" s="86"/>
      <c r="H290" s="87">
        <f>SUM(H282:H289)</f>
        <v>23799.35</v>
      </c>
      <c r="I290" s="88"/>
      <c r="J290" s="89"/>
      <c r="K290" s="87">
        <f>SUM(K282:K289)</f>
        <v>35861.193134660942</v>
      </c>
      <c r="L290" s="74">
        <f t="shared" si="17"/>
        <v>12061.843134660943</v>
      </c>
      <c r="M290" s="75">
        <f>IF((H290)=0,"",(L290/H290))</f>
        <v>0.50681397326653643</v>
      </c>
    </row>
    <row r="291" spans="3:13" x14ac:dyDescent="0.25">
      <c r="D291" s="90" t="s">
        <v>70</v>
      </c>
      <c r="E291" s="56"/>
      <c r="F291" s="64">
        <v>2.9933999999999998</v>
      </c>
      <c r="G291" s="77">
        <f>IF($E271&gt;0, $E271, $E270*$E272)</f>
        <v>10700</v>
      </c>
      <c r="H291" s="59">
        <f>G291*F291</f>
        <v>32029.379999999997</v>
      </c>
      <c r="I291" s="65">
        <v>2.15</v>
      </c>
      <c r="J291" s="77">
        <f>IF($E271&gt;0, $E271, $E270*$E273)</f>
        <v>10700</v>
      </c>
      <c r="K291" s="59">
        <f>J291*I291</f>
        <v>23005</v>
      </c>
      <c r="L291" s="62">
        <f t="shared" si="17"/>
        <v>-9024.3799999999974</v>
      </c>
      <c r="M291" s="63">
        <f>IF(ISERROR(L291/H291), "", L291/H291)</f>
        <v>-0.28175319035210789</v>
      </c>
    </row>
    <row r="292" spans="3:13" ht="25.5" x14ac:dyDescent="0.25">
      <c r="D292" s="91" t="s">
        <v>71</v>
      </c>
      <c r="E292" s="56"/>
      <c r="F292" s="64">
        <v>2.7917999999999998</v>
      </c>
      <c r="G292" s="77">
        <f>IF($E271&gt;0, $E271, $E270*$E272)</f>
        <v>10700</v>
      </c>
      <c r="H292" s="59">
        <f>G292*F292</f>
        <v>29872.26</v>
      </c>
      <c r="I292" s="65">
        <v>1.8672</v>
      </c>
      <c r="J292" s="77">
        <f>IF($E271&gt;0, $E271, $E270*$E273)</f>
        <v>10700</v>
      </c>
      <c r="K292" s="59">
        <f>J292*I292</f>
        <v>19979.04</v>
      </c>
      <c r="L292" s="62">
        <f t="shared" si="17"/>
        <v>-9893.2199999999975</v>
      </c>
      <c r="M292" s="63">
        <f>IF(ISERROR(L292/H292), "", L292/H292)</f>
        <v>-0.33118418224801199</v>
      </c>
    </row>
    <row r="293" spans="3:13" ht="25.5" x14ac:dyDescent="0.25">
      <c r="C293" s="8"/>
      <c r="D293" s="83" t="s">
        <v>72</v>
      </c>
      <c r="E293" s="68"/>
      <c r="F293" s="85"/>
      <c r="G293" s="86"/>
      <c r="H293" s="87">
        <f>SUM(H290:H292)</f>
        <v>85700.989999999991</v>
      </c>
      <c r="I293" s="88"/>
      <c r="J293" s="73"/>
      <c r="K293" s="87">
        <f>SUM(K290:K292)</f>
        <v>78845.233134660943</v>
      </c>
      <c r="L293" s="74">
        <f t="shared" si="17"/>
        <v>-6855.7568653390481</v>
      </c>
      <c r="M293" s="75">
        <f>IF((H293)=0,"",(L293/H293))</f>
        <v>-7.9996238845537831E-2</v>
      </c>
    </row>
    <row r="294" spans="3:13" ht="25.5" x14ac:dyDescent="0.25">
      <c r="C294" s="8"/>
      <c r="D294" s="92" t="s">
        <v>73</v>
      </c>
      <c r="E294" s="56"/>
      <c r="F294" s="64">
        <v>3.6000000000000003E-3</v>
      </c>
      <c r="G294" s="77">
        <f>E270*E272</f>
        <v>5681760</v>
      </c>
      <c r="H294" s="93">
        <f>G294*F294</f>
        <v>20454.336000000003</v>
      </c>
      <c r="I294" s="65">
        <v>3.6000000000000003E-3</v>
      </c>
      <c r="J294" s="77">
        <f>E270*E273</f>
        <v>5681760</v>
      </c>
      <c r="K294" s="93">
        <f>J294*I294</f>
        <v>20454.336000000003</v>
      </c>
      <c r="L294" s="62">
        <f t="shared" si="17"/>
        <v>0</v>
      </c>
      <c r="M294" s="63">
        <f>IF(ISERROR(L294/H294), "", L294/H294)</f>
        <v>0</v>
      </c>
    </row>
    <row r="295" spans="3:13" ht="25.5" x14ac:dyDescent="0.25">
      <c r="C295" s="8"/>
      <c r="D295" s="92" t="s">
        <v>74</v>
      </c>
      <c r="E295" s="56"/>
      <c r="F295" s="64">
        <v>2.9999999999999997E-4</v>
      </c>
      <c r="G295" s="77">
        <f>E270*E272</f>
        <v>5681760</v>
      </c>
      <c r="H295" s="93">
        <f>G295*F295</f>
        <v>1704.5279999999998</v>
      </c>
      <c r="I295" s="65">
        <v>2.9999999999999997E-4</v>
      </c>
      <c r="J295" s="77">
        <f>E270*E273</f>
        <v>5681760</v>
      </c>
      <c r="K295" s="93">
        <f>J295*I295</f>
        <v>1704.5279999999998</v>
      </c>
      <c r="L295" s="62">
        <f t="shared" si="17"/>
        <v>0</v>
      </c>
      <c r="M295" s="63">
        <f>IF(ISERROR(L295/H295), "", L295/H295)</f>
        <v>0</v>
      </c>
    </row>
    <row r="296" spans="3:13" x14ac:dyDescent="0.25">
      <c r="C296" s="8"/>
      <c r="D296" s="94" t="s">
        <v>75</v>
      </c>
      <c r="E296" s="56"/>
      <c r="F296" s="81">
        <v>0.25</v>
      </c>
      <c r="G296" s="58">
        <v>1</v>
      </c>
      <c r="H296" s="93">
        <f>G296*F296</f>
        <v>0.25</v>
      </c>
      <c r="I296" s="82">
        <v>0.25</v>
      </c>
      <c r="J296" s="61">
        <v>1</v>
      </c>
      <c r="K296" s="93">
        <f>J296*I296</f>
        <v>0.25</v>
      </c>
      <c r="L296" s="62">
        <f t="shared" si="17"/>
        <v>0</v>
      </c>
      <c r="M296" s="63">
        <f>IF(ISERROR(L296/H296), "", L296/H296)</f>
        <v>0</v>
      </c>
    </row>
    <row r="297" spans="3:13" x14ac:dyDescent="0.25">
      <c r="C297" s="8"/>
      <c r="D297" s="94" t="s">
        <v>76</v>
      </c>
      <c r="E297" s="56"/>
      <c r="F297" s="64">
        <v>7.0000000000000001E-3</v>
      </c>
      <c r="G297" s="78">
        <f>E270</f>
        <v>5600000</v>
      </c>
      <c r="H297" s="93">
        <f>G297*F297</f>
        <v>39200</v>
      </c>
      <c r="I297" s="150">
        <v>7.0000000000000001E-3</v>
      </c>
      <c r="J297" s="78">
        <f>E270</f>
        <v>5600000</v>
      </c>
      <c r="K297" s="93">
        <f>J297*I297</f>
        <v>39200</v>
      </c>
      <c r="L297" s="62">
        <f t="shared" si="17"/>
        <v>0</v>
      </c>
      <c r="M297" s="63">
        <f>IF(ISERROR(L297/H297), "", L297/H297)</f>
        <v>0</v>
      </c>
    </row>
    <row r="298" spans="3:13" ht="25.5" x14ac:dyDescent="0.25">
      <c r="C298" s="8"/>
      <c r="D298" s="92" t="s">
        <v>77</v>
      </c>
      <c r="E298" s="56"/>
      <c r="F298" s="64"/>
      <c r="G298" s="77"/>
      <c r="H298" s="93"/>
      <c r="I298" s="65"/>
      <c r="J298" s="77"/>
      <c r="K298" s="93"/>
      <c r="L298" s="62"/>
      <c r="M298" s="63"/>
    </row>
    <row r="299" spans="3:13" x14ac:dyDescent="0.25">
      <c r="C299" s="8"/>
      <c r="D299" s="101" t="s">
        <v>78</v>
      </c>
      <c r="E299" s="56"/>
      <c r="F299" s="102">
        <v>6.5000000000000002E-2</v>
      </c>
      <c r="G299" s="103">
        <f>IF(AND(E270*12&gt;=150000),0.65*E270*E272,0.65*E270)</f>
        <v>3693144</v>
      </c>
      <c r="H299" s="93">
        <f>G299*F299</f>
        <v>240054.36000000002</v>
      </c>
      <c r="I299" s="104">
        <v>6.5000000000000002E-2</v>
      </c>
      <c r="J299" s="103">
        <f>IF(AND(E270*12&gt;=150000),0.65*E270*E273,0.65*E270)</f>
        <v>3693144</v>
      </c>
      <c r="K299" s="93">
        <f>J299*I299</f>
        <v>240054.36000000002</v>
      </c>
      <c r="L299" s="62">
        <f>K299-H299</f>
        <v>0</v>
      </c>
      <c r="M299" s="63">
        <f>IF(ISERROR(L299/H299), "", L299/H299)</f>
        <v>0</v>
      </c>
    </row>
    <row r="300" spans="3:13" x14ac:dyDescent="0.25">
      <c r="C300" s="8"/>
      <c r="D300" s="101" t="s">
        <v>79</v>
      </c>
      <c r="E300" s="56"/>
      <c r="F300" s="102">
        <v>9.5000000000000001E-2</v>
      </c>
      <c r="G300" s="103">
        <f>IF(AND(E270*12&gt;=150000),0.17*E270*E272,0.17*E270)</f>
        <v>965899.20000000007</v>
      </c>
      <c r="H300" s="93">
        <f>G300*F300</f>
        <v>91760.424000000014</v>
      </c>
      <c r="I300" s="104">
        <v>9.5000000000000001E-2</v>
      </c>
      <c r="J300" s="103">
        <f>IF(AND(E270*12&gt;=150000),0.17*E270*E273,0.17*E270)</f>
        <v>965899.20000000007</v>
      </c>
      <c r="K300" s="93">
        <f>J300*I300</f>
        <v>91760.424000000014</v>
      </c>
      <c r="L300" s="62">
        <f>K300-H300</f>
        <v>0</v>
      </c>
      <c r="M300" s="63">
        <f>IF(ISERROR(L300/H300), "", L300/H300)</f>
        <v>0</v>
      </c>
    </row>
    <row r="301" spans="3:13" x14ac:dyDescent="0.25">
      <c r="C301" s="8"/>
      <c r="D301" s="43" t="s">
        <v>80</v>
      </c>
      <c r="E301" s="56"/>
      <c r="F301" s="102">
        <v>0.13200000000000001</v>
      </c>
      <c r="G301" s="103">
        <f>IF(AND(E270*12&gt;=150000),0.18*E270*E272,0.18*E270)</f>
        <v>1022716.7999999999</v>
      </c>
      <c r="H301" s="93">
        <f>G301*F301</f>
        <v>134998.6176</v>
      </c>
      <c r="I301" s="104">
        <v>0.13200000000000001</v>
      </c>
      <c r="J301" s="103">
        <f>IF(AND(E270*12&gt;=150000),0.18*E270*E273,0.18*E270)</f>
        <v>1022716.7999999999</v>
      </c>
      <c r="K301" s="93">
        <f>J301*I301</f>
        <v>134998.6176</v>
      </c>
      <c r="L301" s="62">
        <f>K301-H301</f>
        <v>0</v>
      </c>
      <c r="M301" s="63">
        <f>IF(ISERROR(L301/H301), "", L301/H301)</f>
        <v>0</v>
      </c>
    </row>
    <row r="302" spans="3:13" x14ac:dyDescent="0.25">
      <c r="C302" s="8"/>
      <c r="D302" s="101" t="s">
        <v>81</v>
      </c>
      <c r="E302" s="56"/>
      <c r="F302" s="105">
        <v>0.1101</v>
      </c>
      <c r="G302" s="103">
        <f>IF(AND(E270*12&gt;=150000),E270*E272,E270)</f>
        <v>5681760</v>
      </c>
      <c r="H302" s="93">
        <f>G302*F302</f>
        <v>625561.77600000007</v>
      </c>
      <c r="I302" s="106">
        <f>F302</f>
        <v>0.1101</v>
      </c>
      <c r="J302" s="103">
        <f>IF(AND(E270*12&gt;=150000),E270*E273,E270)</f>
        <v>5681760</v>
      </c>
      <c r="K302" s="93">
        <f>J302*I302</f>
        <v>625561.77600000007</v>
      </c>
      <c r="L302" s="62">
        <f>K302-H302</f>
        <v>0</v>
      </c>
      <c r="M302" s="63">
        <f>IF(ISERROR(L302/H302), "", L302/H302)</f>
        <v>0</v>
      </c>
    </row>
    <row r="303" spans="3:13" ht="15.75" thickBot="1" x14ac:dyDescent="0.3">
      <c r="C303" s="9"/>
      <c r="D303" s="101" t="s">
        <v>82</v>
      </c>
      <c r="E303" s="56"/>
      <c r="F303" s="105">
        <v>0.1101</v>
      </c>
      <c r="G303" s="103">
        <f>IF(AND(E270*12&gt;=150000),E270*E272,E270)</f>
        <v>5681760</v>
      </c>
      <c r="H303" s="93">
        <f>G303*F303</f>
        <v>625561.77600000007</v>
      </c>
      <c r="I303" s="106">
        <f>F303</f>
        <v>0.1101</v>
      </c>
      <c r="J303" s="103">
        <f>IF(AND(E270*12&gt;=150000),E270*E273,E270)</f>
        <v>5681760</v>
      </c>
      <c r="K303" s="93">
        <f>J303*I303</f>
        <v>625561.77600000007</v>
      </c>
      <c r="L303" s="62">
        <f>K303-H303</f>
        <v>0</v>
      </c>
      <c r="M303" s="63">
        <f>IF(ISERROR(L303/H303), "", L303/H303)</f>
        <v>0</v>
      </c>
    </row>
    <row r="304" spans="3:13" ht="15.75" thickBot="1" x14ac:dyDescent="0.3">
      <c r="C304" s="9"/>
      <c r="D304" s="107"/>
      <c r="E304" s="108"/>
      <c r="F304" s="109"/>
      <c r="G304" s="110"/>
      <c r="H304" s="111"/>
      <c r="I304" s="109"/>
      <c r="J304" s="112"/>
      <c r="K304" s="111"/>
      <c r="L304" s="113"/>
      <c r="M304" s="114"/>
    </row>
    <row r="305" spans="2:13" hidden="1" x14ac:dyDescent="0.25">
      <c r="C305" s="9"/>
      <c r="D305" s="115" t="s">
        <v>83</v>
      </c>
      <c r="E305" s="94"/>
      <c r="F305" s="116"/>
      <c r="G305" s="117"/>
      <c r="H305" s="118">
        <f>SUM(H294:H301,H293)</f>
        <v>613873.50560000003</v>
      </c>
      <c r="I305" s="119"/>
      <c r="J305" s="119"/>
      <c r="K305" s="118">
        <f>SUM(K294:K301,K293)</f>
        <v>607017.74873466103</v>
      </c>
      <c r="L305" s="120">
        <f>K305-H305</f>
        <v>-6855.7568653390044</v>
      </c>
      <c r="M305" s="121">
        <f>IF((H305)=0,"",(L305/H305))</f>
        <v>-1.1168028596767972E-2</v>
      </c>
    </row>
    <row r="306" spans="2:13" hidden="1" x14ac:dyDescent="0.25">
      <c r="C306" s="9"/>
      <c r="D306" s="122" t="s">
        <v>84</v>
      </c>
      <c r="E306" s="94"/>
      <c r="F306" s="116">
        <v>0.13</v>
      </c>
      <c r="G306" s="123"/>
      <c r="H306" s="124">
        <f>H305*F306</f>
        <v>79803.555728000007</v>
      </c>
      <c r="I306" s="125">
        <v>0.13</v>
      </c>
      <c r="J306" s="58"/>
      <c r="K306" s="124">
        <f>K305*I306</f>
        <v>78912.307335505931</v>
      </c>
      <c r="L306" s="126">
        <f>K306-H306</f>
        <v>-891.24839249407523</v>
      </c>
      <c r="M306" s="127">
        <f>IF((H306)=0,"",(L306/H306))</f>
        <v>-1.1168028596768031E-2</v>
      </c>
    </row>
    <row r="307" spans="2:13" hidden="1" x14ac:dyDescent="0.25">
      <c r="B307" s="151"/>
      <c r="C307" s="9"/>
      <c r="D307" s="122" t="s">
        <v>85</v>
      </c>
      <c r="E307" s="94"/>
      <c r="F307" s="116">
        <v>0.08</v>
      </c>
      <c r="G307" s="123"/>
      <c r="H307" s="124">
        <v>0</v>
      </c>
      <c r="I307" s="116">
        <v>0.08</v>
      </c>
      <c r="J307" s="58"/>
      <c r="K307" s="124">
        <v>0</v>
      </c>
      <c r="L307" s="126">
        <f>K307-H307</f>
        <v>0</v>
      </c>
      <c r="M307" s="127"/>
    </row>
    <row r="308" spans="2:13" ht="15.75" hidden="1" thickBot="1" x14ac:dyDescent="0.3">
      <c r="C308" s="9"/>
      <c r="D308" s="308" t="s">
        <v>86</v>
      </c>
      <c r="E308" s="308"/>
      <c r="F308" s="128"/>
      <c r="G308" s="129"/>
      <c r="H308" s="130">
        <f>H305+H306+H307</f>
        <v>693677.06132800004</v>
      </c>
      <c r="I308" s="131"/>
      <c r="J308" s="131"/>
      <c r="K308" s="132">
        <f>K305+K306+K307</f>
        <v>685930.05607016699</v>
      </c>
      <c r="L308" s="133">
        <f>K308-H308</f>
        <v>-7747.0052578330506</v>
      </c>
      <c r="M308" s="134">
        <f>IF((H308)=0,"",(L308/H308))</f>
        <v>-1.1168028596767937E-2</v>
      </c>
    </row>
    <row r="309" spans="2:13" ht="15.75" hidden="1" thickBot="1" x14ac:dyDescent="0.3">
      <c r="C309" s="9"/>
      <c r="D309" s="107"/>
      <c r="E309" s="108"/>
      <c r="F309" s="109"/>
      <c r="G309" s="110"/>
      <c r="H309" s="111"/>
      <c r="I309" s="109"/>
      <c r="J309" s="112"/>
      <c r="K309" s="111"/>
      <c r="L309" s="113"/>
      <c r="M309" s="114"/>
    </row>
    <row r="310" spans="2:13" x14ac:dyDescent="0.25">
      <c r="C310" s="9"/>
      <c r="D310" s="115" t="s">
        <v>87</v>
      </c>
      <c r="E310" s="94"/>
      <c r="F310" s="116"/>
      <c r="G310" s="117"/>
      <c r="H310" s="118">
        <f>SUM(H302,H294:H298,H293)</f>
        <v>772621.88000000012</v>
      </c>
      <c r="I310" s="119"/>
      <c r="J310" s="119"/>
      <c r="K310" s="118">
        <f>SUM(K302,K294:K298,K293)</f>
        <v>765766.12313466112</v>
      </c>
      <c r="L310" s="120">
        <f>K310-H310</f>
        <v>-6855.7568653390044</v>
      </c>
      <c r="M310" s="121">
        <f>IF((H310)=0,"",(L310/H310))</f>
        <v>-8.873366187013761E-3</v>
      </c>
    </row>
    <row r="311" spans="2:13" x14ac:dyDescent="0.25">
      <c r="C311" s="9"/>
      <c r="D311" s="122" t="s">
        <v>84</v>
      </c>
      <c r="E311" s="94"/>
      <c r="F311" s="116">
        <v>0.13</v>
      </c>
      <c r="G311" s="117"/>
      <c r="H311" s="124">
        <f>H310*F311</f>
        <v>100440.84440000002</v>
      </c>
      <c r="I311" s="116">
        <v>0.13</v>
      </c>
      <c r="J311" s="125"/>
      <c r="K311" s="124">
        <f>K310*I311</f>
        <v>99549.596007505956</v>
      </c>
      <c r="L311" s="126">
        <f>K311-H311</f>
        <v>-891.24839249406068</v>
      </c>
      <c r="M311" s="127">
        <f>IF((H311)=0,"",(L311/H311))</f>
        <v>-8.8733661870136621E-3</v>
      </c>
    </row>
    <row r="312" spans="2:13" x14ac:dyDescent="0.25">
      <c r="C312" s="9"/>
      <c r="D312" s="122" t="s">
        <v>85</v>
      </c>
      <c r="E312" s="94"/>
      <c r="F312" s="116">
        <v>0.08</v>
      </c>
      <c r="G312" s="117"/>
      <c r="H312" s="124">
        <v>0</v>
      </c>
      <c r="I312" s="116">
        <v>0.08</v>
      </c>
      <c r="J312" s="125"/>
      <c r="K312" s="124">
        <v>0</v>
      </c>
      <c r="L312" s="126"/>
      <c r="M312" s="127"/>
    </row>
    <row r="313" spans="2:13" ht="15.75" thickBot="1" x14ac:dyDescent="0.3">
      <c r="C313" s="9"/>
      <c r="D313" s="308" t="s">
        <v>87</v>
      </c>
      <c r="E313" s="308"/>
      <c r="F313" s="135"/>
      <c r="G313" s="136"/>
      <c r="H313" s="130">
        <f>SUM(H310,H311)</f>
        <v>873062.72440000018</v>
      </c>
      <c r="I313" s="137"/>
      <c r="J313" s="137"/>
      <c r="K313" s="130">
        <f>SUM(K310,K311)</f>
        <v>865315.71914216713</v>
      </c>
      <c r="L313" s="138">
        <f>K313-H313</f>
        <v>-7747.0052578330506</v>
      </c>
      <c r="M313" s="139">
        <f>IF((H313)=0,"",(L313/H313))</f>
        <v>-8.8733661870137315E-3</v>
      </c>
    </row>
    <row r="314" spans="2:13" ht="15.75" thickBot="1" x14ac:dyDescent="0.3">
      <c r="C314" s="9"/>
      <c r="D314" s="107"/>
      <c r="E314" s="108"/>
      <c r="F314" s="140"/>
      <c r="G314" s="141"/>
      <c r="H314" s="142"/>
      <c r="I314" s="140"/>
      <c r="J314" s="110"/>
      <c r="K314" s="142"/>
      <c r="L314" s="143"/>
      <c r="M314" s="114"/>
    </row>
    <row r="315" spans="2:13" hidden="1" x14ac:dyDescent="0.25">
      <c r="B315" s="43"/>
      <c r="C315" s="9"/>
      <c r="D315" s="115" t="s">
        <v>88</v>
      </c>
      <c r="E315" s="94"/>
      <c r="F315" s="116"/>
      <c r="G315" s="117"/>
      <c r="H315" s="118">
        <f>SUM(H303,H294:H298,H293)</f>
        <v>772621.88000000012</v>
      </c>
      <c r="I315" s="119"/>
      <c r="J315" s="119"/>
      <c r="K315" s="118">
        <f>SUM(K303,K294:K298,K293)</f>
        <v>765766.12313466112</v>
      </c>
      <c r="L315" s="120">
        <f>K315-H315</f>
        <v>-6855.7568653390044</v>
      </c>
      <c r="M315" s="121">
        <f>IF((H315)=0,"",(L315/H315))</f>
        <v>-8.873366187013761E-3</v>
      </c>
    </row>
    <row r="316" spans="2:13" hidden="1" x14ac:dyDescent="0.25">
      <c r="C316" s="9"/>
      <c r="D316" s="122" t="s">
        <v>84</v>
      </c>
      <c r="E316" s="94"/>
      <c r="F316" s="116">
        <v>0.13</v>
      </c>
      <c r="G316" s="117"/>
      <c r="H316" s="124">
        <f>H315*F316</f>
        <v>100440.84440000002</v>
      </c>
      <c r="I316" s="116">
        <v>0.13</v>
      </c>
      <c r="J316" s="125"/>
      <c r="K316" s="124">
        <f>K315*I316</f>
        <v>99549.596007505956</v>
      </c>
      <c r="L316" s="126">
        <f>K316-H316</f>
        <v>-891.24839249406068</v>
      </c>
      <c r="M316" s="127">
        <f>IF((H316)=0,"",(L316/H316))</f>
        <v>-8.8733661870136621E-3</v>
      </c>
    </row>
    <row r="317" spans="2:13" hidden="1" x14ac:dyDescent="0.25">
      <c r="C317" s="9"/>
      <c r="D317" s="122" t="s">
        <v>85</v>
      </c>
      <c r="E317" s="94"/>
      <c r="F317" s="116">
        <v>0.08</v>
      </c>
      <c r="G317" s="117"/>
      <c r="H317" s="124">
        <v>0</v>
      </c>
      <c r="I317" s="116">
        <v>0.08</v>
      </c>
      <c r="J317" s="125"/>
      <c r="K317" s="124">
        <v>0</v>
      </c>
      <c r="L317" s="126"/>
      <c r="M317" s="127"/>
    </row>
    <row r="318" spans="2:13" ht="15.75" hidden="1" thickBot="1" x14ac:dyDescent="0.3">
      <c r="B318" s="43"/>
      <c r="C318" s="9"/>
      <c r="D318" s="308" t="s">
        <v>88</v>
      </c>
      <c r="E318" s="308"/>
      <c r="F318" s="135"/>
      <c r="G318" s="136"/>
      <c r="H318" s="130">
        <f>SUM(H315,H316)</f>
        <v>873062.72440000018</v>
      </c>
      <c r="I318" s="137"/>
      <c r="J318" s="137"/>
      <c r="K318" s="130">
        <f>SUM(K315,K316)</f>
        <v>865315.71914216713</v>
      </c>
      <c r="L318" s="138">
        <f>K318-H318</f>
        <v>-7747.0052578330506</v>
      </c>
      <c r="M318" s="139">
        <f>IF((H318)=0,"",(L318/H318))</f>
        <v>-8.8733661870137315E-3</v>
      </c>
    </row>
    <row r="319" spans="2:13" ht="15.75" hidden="1" thickBot="1" x14ac:dyDescent="0.3">
      <c r="C319" s="9"/>
      <c r="D319" s="107"/>
      <c r="E319" s="108"/>
      <c r="F319" s="144"/>
      <c r="G319" s="145"/>
      <c r="H319" s="146"/>
      <c r="I319" s="144"/>
      <c r="J319" s="147"/>
      <c r="K319" s="146"/>
      <c r="L319" s="148"/>
      <c r="M319" s="149"/>
    </row>
    <row r="320" spans="2:13" x14ac:dyDescent="0.25">
      <c r="C320" s="9"/>
    </row>
    <row r="321" spans="2:13" x14ac:dyDescent="0.25">
      <c r="C321" s="9"/>
    </row>
    <row r="322" spans="2:13" x14ac:dyDescent="0.25">
      <c r="C322" s="9"/>
      <c r="D322" s="39" t="s">
        <v>42</v>
      </c>
      <c r="E322" s="303" t="s">
        <v>16</v>
      </c>
      <c r="F322" s="303"/>
      <c r="G322" s="303"/>
      <c r="H322" s="303"/>
      <c r="I322" s="303"/>
      <c r="J322" s="303"/>
      <c r="K322" s="8" t="s">
        <v>89</v>
      </c>
    </row>
    <row r="323" spans="2:13" x14ac:dyDescent="0.25">
      <c r="C323" s="9"/>
      <c r="D323" s="39" t="s">
        <v>43</v>
      </c>
      <c r="E323" s="304" t="s">
        <v>22</v>
      </c>
      <c r="F323" s="304"/>
      <c r="G323" s="304"/>
      <c r="H323" s="40"/>
      <c r="I323" s="40"/>
    </row>
    <row r="324" spans="2:13" ht="15.75" x14ac:dyDescent="0.25">
      <c r="B324" s="43"/>
      <c r="C324" s="9"/>
      <c r="D324" s="39" t="s">
        <v>44</v>
      </c>
      <c r="E324" s="41">
        <v>256</v>
      </c>
      <c r="F324" s="42" t="s">
        <v>19</v>
      </c>
      <c r="G324" s="43"/>
      <c r="J324" s="44"/>
      <c r="K324" s="44"/>
      <c r="L324" s="44"/>
      <c r="M324" s="44"/>
    </row>
    <row r="325" spans="2:13" ht="15.75" x14ac:dyDescent="0.25">
      <c r="B325" s="43"/>
      <c r="C325" s="9"/>
      <c r="D325" s="39" t="s">
        <v>45</v>
      </c>
      <c r="E325" s="41">
        <v>0.5</v>
      </c>
      <c r="F325" s="45" t="s">
        <v>21</v>
      </c>
      <c r="G325" s="46"/>
      <c r="H325" s="47"/>
      <c r="I325" s="47"/>
      <c r="J325" s="47"/>
    </row>
    <row r="326" spans="2:13" x14ac:dyDescent="0.25">
      <c r="B326" s="43"/>
      <c r="C326" s="9"/>
      <c r="D326" s="39" t="s">
        <v>46</v>
      </c>
      <c r="E326" s="48">
        <v>1.0315000000000001</v>
      </c>
    </row>
    <row r="327" spans="2:13" x14ac:dyDescent="0.25">
      <c r="C327" s="9"/>
      <c r="D327" s="39" t="s">
        <v>47</v>
      </c>
      <c r="E327" s="48">
        <v>1.0315000000000001</v>
      </c>
    </row>
    <row r="328" spans="2:13" x14ac:dyDescent="0.25">
      <c r="C328" s="9"/>
      <c r="D328" s="43"/>
    </row>
    <row r="329" spans="2:13" x14ac:dyDescent="0.25">
      <c r="B329" s="43"/>
      <c r="C329" s="9"/>
      <c r="D329" s="43"/>
      <c r="E329" s="49"/>
      <c r="F329" s="305" t="s">
        <v>48</v>
      </c>
      <c r="G329" s="306"/>
      <c r="H329" s="307"/>
      <c r="I329" s="305" t="s">
        <v>49</v>
      </c>
      <c r="J329" s="306"/>
      <c r="K329" s="307"/>
      <c r="L329" s="305" t="s">
        <v>50</v>
      </c>
      <c r="M329" s="307"/>
    </row>
    <row r="330" spans="2:13" x14ac:dyDescent="0.25">
      <c r="B330" s="43"/>
      <c r="C330" s="9"/>
      <c r="D330" s="43"/>
      <c r="E330" s="309"/>
      <c r="F330" s="50" t="s">
        <v>51</v>
      </c>
      <c r="G330" s="50" t="s">
        <v>52</v>
      </c>
      <c r="H330" s="51" t="s">
        <v>53</v>
      </c>
      <c r="I330" s="50" t="s">
        <v>51</v>
      </c>
      <c r="J330" s="52" t="s">
        <v>52</v>
      </c>
      <c r="K330" s="51" t="s">
        <v>53</v>
      </c>
      <c r="L330" s="311" t="s">
        <v>54</v>
      </c>
      <c r="M330" s="313" t="s">
        <v>55</v>
      </c>
    </row>
    <row r="331" spans="2:13" x14ac:dyDescent="0.25">
      <c r="B331" s="43"/>
      <c r="C331" s="9"/>
      <c r="D331" s="43"/>
      <c r="E331" s="310"/>
      <c r="F331" s="53" t="s">
        <v>56</v>
      </c>
      <c r="G331" s="53"/>
      <c r="H331" s="54" t="s">
        <v>56</v>
      </c>
      <c r="I331" s="53" t="s">
        <v>56</v>
      </c>
      <c r="J331" s="54"/>
      <c r="K331" s="54" t="s">
        <v>56</v>
      </c>
      <c r="L331" s="312"/>
      <c r="M331" s="314"/>
    </row>
    <row r="332" spans="2:13" x14ac:dyDescent="0.25">
      <c r="B332" s="43"/>
      <c r="C332" s="9"/>
      <c r="D332" s="55" t="s">
        <v>57</v>
      </c>
      <c r="E332" s="56"/>
      <c r="F332" s="57">
        <v>1.64</v>
      </c>
      <c r="G332" s="58">
        <v>1</v>
      </c>
      <c r="H332" s="59">
        <f>G332*F332</f>
        <v>1.64</v>
      </c>
      <c r="I332" s="60">
        <v>1.67</v>
      </c>
      <c r="J332" s="61">
        <f>G332</f>
        <v>1</v>
      </c>
      <c r="K332" s="59">
        <f>J332*I332</f>
        <v>1.67</v>
      </c>
      <c r="L332" s="62">
        <f t="shared" ref="L332:L351" si="21">K332-H332</f>
        <v>3.0000000000000027E-2</v>
      </c>
      <c r="M332" s="63">
        <f>IF(ISERROR(L332/H332), "", L332/H332)</f>
        <v>1.8292682926829285E-2</v>
      </c>
    </row>
    <row r="333" spans="2:13" x14ac:dyDescent="0.25">
      <c r="B333" s="43"/>
      <c r="C333" s="9"/>
      <c r="D333" s="55" t="s">
        <v>58</v>
      </c>
      <c r="E333" s="56"/>
      <c r="F333" s="64">
        <v>8.2073</v>
      </c>
      <c r="G333" s="58">
        <f>IF($E325&gt;0, $E325, $E324)</f>
        <v>0.5</v>
      </c>
      <c r="H333" s="59">
        <f>G333*F333</f>
        <v>4.10365</v>
      </c>
      <c r="I333" s="65">
        <v>8.3508999999999993</v>
      </c>
      <c r="J333" s="61">
        <f>IF($E325&gt;0, $E325, $E324)</f>
        <v>0.5</v>
      </c>
      <c r="K333" s="59">
        <f>J333*I333</f>
        <v>4.1754499999999997</v>
      </c>
      <c r="L333" s="62">
        <f t="shared" si="21"/>
        <v>7.1799999999999642E-2</v>
      </c>
      <c r="M333" s="63">
        <f>IF(ISERROR(L333/H333), "", L333/H333)</f>
        <v>1.7496618863694427E-2</v>
      </c>
    </row>
    <row r="334" spans="2:13" x14ac:dyDescent="0.25">
      <c r="C334" s="9"/>
      <c r="D334" s="66" t="s">
        <v>59</v>
      </c>
      <c r="E334" s="56"/>
      <c r="F334" s="57">
        <v>0.04</v>
      </c>
      <c r="G334" s="58"/>
      <c r="H334" s="59">
        <f>G334*F334</f>
        <v>0</v>
      </c>
      <c r="I334" s="60">
        <v>0.04</v>
      </c>
      <c r="J334" s="61">
        <f>G334</f>
        <v>0</v>
      </c>
      <c r="K334" s="59">
        <f>J334*I334</f>
        <v>0</v>
      </c>
      <c r="L334" s="62">
        <f t="shared" si="21"/>
        <v>0</v>
      </c>
      <c r="M334" s="63" t="str">
        <f>IF(ISERROR(L334/H334), "", L334/H334)</f>
        <v/>
      </c>
    </row>
    <row r="335" spans="2:13" x14ac:dyDescent="0.25">
      <c r="C335" s="9"/>
      <c r="D335" s="55" t="s">
        <v>60</v>
      </c>
      <c r="E335" s="56"/>
      <c r="F335" s="64">
        <v>-0.35310000000000002</v>
      </c>
      <c r="G335" s="58">
        <f>IF($E325&gt;0, $E325, $E324)</f>
        <v>0.5</v>
      </c>
      <c r="H335" s="59">
        <f>G335*F335</f>
        <v>-0.17655000000000001</v>
      </c>
      <c r="I335" s="65">
        <v>-0.12764443965736411</v>
      </c>
      <c r="J335" s="61">
        <f>IF($E325&gt;0, $E325, $E324)</f>
        <v>0.5</v>
      </c>
      <c r="K335" s="59">
        <f>J335*I335</f>
        <v>-6.3822219828682053E-2</v>
      </c>
      <c r="L335" s="62">
        <f t="shared" si="21"/>
        <v>0.11272778017131796</v>
      </c>
      <c r="M335" s="63">
        <f>IF(ISERROR(L335/H335), "", L335/H335)</f>
        <v>-0.63850342776164237</v>
      </c>
    </row>
    <row r="336" spans="2:13" x14ac:dyDescent="0.25">
      <c r="C336" s="9"/>
      <c r="D336" s="67" t="s">
        <v>61</v>
      </c>
      <c r="E336" s="68"/>
      <c r="F336" s="69"/>
      <c r="G336" s="70"/>
      <c r="H336" s="71">
        <f>SUM(H332:H335)</f>
        <v>5.5670999999999999</v>
      </c>
      <c r="I336" s="72"/>
      <c r="J336" s="73"/>
      <c r="K336" s="71">
        <f>SUM(K332:K335)</f>
        <v>5.7816277801713172</v>
      </c>
      <c r="L336" s="74">
        <f t="shared" si="21"/>
        <v>0.21452778017131724</v>
      </c>
      <c r="M336" s="75">
        <f>IF((H336)=0,"",(L336/H336))</f>
        <v>3.8534924856984287E-2</v>
      </c>
    </row>
    <row r="337" spans="3:13" x14ac:dyDescent="0.25">
      <c r="C337" s="9"/>
      <c r="D337" s="76" t="s">
        <v>62</v>
      </c>
      <c r="E337" s="56"/>
      <c r="F337" s="64">
        <f>IF((E324*12&gt;=150000), 0, IF(E323="RPP",(F353*0.65+F354*0.17+F355*0.18),IF(E323="Non-RPP (Retailer)",F356,F357)))</f>
        <v>0.1101</v>
      </c>
      <c r="G337" s="77">
        <f>IF(F337=0, 0, $E324*E326-E324)</f>
        <v>8.0640000000000214</v>
      </c>
      <c r="H337" s="59">
        <f t="shared" ref="H337:H343" si="22">G337*F337</f>
        <v>0.88784640000000237</v>
      </c>
      <c r="I337" s="65">
        <f>IF((E324*12&gt;=150000), 0, IF(E323="RPP",(I353*0.65+I354*0.17+I355*0.18),IF(E323="Non-RPP (Retailer)",I356,I357)))</f>
        <v>0.1101</v>
      </c>
      <c r="J337" s="77">
        <f>IF(I337=0, 0, E324*E327-E324)</f>
        <v>8.0640000000000214</v>
      </c>
      <c r="K337" s="59">
        <f t="shared" ref="K337:K343" si="23">J337*I337</f>
        <v>0.88784640000000237</v>
      </c>
      <c r="L337" s="62">
        <f t="shared" si="21"/>
        <v>0</v>
      </c>
      <c r="M337" s="63">
        <f t="shared" ref="M337:M343" si="24">IF(ISERROR(L337/H337), "", L337/H337)</f>
        <v>0</v>
      </c>
    </row>
    <row r="338" spans="3:13" ht="25.5" x14ac:dyDescent="0.25">
      <c r="C338" s="9"/>
      <c r="D338" s="76" t="s">
        <v>63</v>
      </c>
      <c r="E338" s="56"/>
      <c r="F338" s="64">
        <v>-0.96489999999999998</v>
      </c>
      <c r="G338" s="78">
        <f>IF($E325&gt;0, $E325, $E324)</f>
        <v>0.5</v>
      </c>
      <c r="H338" s="59">
        <f t="shared" si="22"/>
        <v>-0.48244999999999999</v>
      </c>
      <c r="I338" s="65">
        <v>-0.30249999999999999</v>
      </c>
      <c r="J338" s="78">
        <f>IF($E325&gt;0, $E325, $E324)</f>
        <v>0.5</v>
      </c>
      <c r="K338" s="59">
        <f t="shared" si="23"/>
        <v>-0.15125</v>
      </c>
      <c r="L338" s="62">
        <f t="shared" si="21"/>
        <v>0.33119999999999999</v>
      </c>
      <c r="M338" s="63">
        <f t="shared" si="24"/>
        <v>-0.68649600994921756</v>
      </c>
    </row>
    <row r="339" spans="3:13" x14ac:dyDescent="0.25">
      <c r="C339" s="9"/>
      <c r="D339" s="76" t="s">
        <v>64</v>
      </c>
      <c r="E339" s="56"/>
      <c r="F339" s="64">
        <v>0.1016</v>
      </c>
      <c r="G339" s="78">
        <f>IF($E325&gt;0, $E325, $E324)</f>
        <v>0.5</v>
      </c>
      <c r="H339" s="59">
        <f t="shared" si="22"/>
        <v>5.0799999999999998E-2</v>
      </c>
      <c r="I339" s="65">
        <v>0</v>
      </c>
      <c r="J339" s="78">
        <f>IF($E325&gt;0, $E325, $E324)</f>
        <v>0.5</v>
      </c>
      <c r="K339" s="59">
        <f t="shared" si="23"/>
        <v>0</v>
      </c>
      <c r="L339" s="62">
        <f t="shared" si="21"/>
        <v>-5.0799999999999998E-2</v>
      </c>
      <c r="M339" s="63">
        <f t="shared" si="24"/>
        <v>-1</v>
      </c>
    </row>
    <row r="340" spans="3:13" x14ac:dyDescent="0.25">
      <c r="C340" s="9"/>
      <c r="D340" s="76" t="s">
        <v>65</v>
      </c>
      <c r="E340" s="56"/>
      <c r="F340" s="64">
        <v>-5.9999999999999995E-4</v>
      </c>
      <c r="G340" s="78">
        <f>E324</f>
        <v>256</v>
      </c>
      <c r="H340" s="59">
        <f t="shared" si="22"/>
        <v>-0.15359999999999999</v>
      </c>
      <c r="I340" s="65">
        <v>-8.9999999999999998E-4</v>
      </c>
      <c r="J340" s="78">
        <f>E324</f>
        <v>256</v>
      </c>
      <c r="K340" s="59">
        <f t="shared" si="23"/>
        <v>-0.23039999999999999</v>
      </c>
      <c r="L340" s="62">
        <f t="shared" si="21"/>
        <v>-7.6800000000000007E-2</v>
      </c>
      <c r="M340" s="63">
        <f t="shared" si="24"/>
        <v>0.50000000000000011</v>
      </c>
    </row>
    <row r="341" spans="3:13" x14ac:dyDescent="0.25">
      <c r="C341" s="9"/>
      <c r="D341" s="79" t="s">
        <v>66</v>
      </c>
      <c r="E341" s="56"/>
      <c r="F341" s="64">
        <v>0</v>
      </c>
      <c r="G341" s="78">
        <f>IF($E325&gt;0, $E325, $E324)</f>
        <v>0.5</v>
      </c>
      <c r="H341" s="59">
        <f t="shared" si="22"/>
        <v>0</v>
      </c>
      <c r="I341" s="65"/>
      <c r="J341" s="78">
        <f>IF($E325&gt;0, $E325, $E324)</f>
        <v>0.5</v>
      </c>
      <c r="K341" s="59">
        <f t="shared" si="23"/>
        <v>0</v>
      </c>
      <c r="L341" s="62">
        <f t="shared" si="21"/>
        <v>0</v>
      </c>
      <c r="M341" s="63" t="str">
        <f t="shared" si="24"/>
        <v/>
      </c>
    </row>
    <row r="342" spans="3:13" ht="51" x14ac:dyDescent="0.25">
      <c r="C342" s="9"/>
      <c r="D342" s="80" t="s">
        <v>67</v>
      </c>
      <c r="E342" s="56"/>
      <c r="F342" s="81">
        <v>0</v>
      </c>
      <c r="G342" s="58">
        <v>1</v>
      </c>
      <c r="H342" s="59">
        <f t="shared" si="22"/>
        <v>0</v>
      </c>
      <c r="I342" s="82">
        <v>0</v>
      </c>
      <c r="J342" s="58">
        <v>1</v>
      </c>
      <c r="K342" s="59">
        <f t="shared" si="23"/>
        <v>0</v>
      </c>
      <c r="L342" s="62">
        <f t="shared" si="21"/>
        <v>0</v>
      </c>
      <c r="M342" s="63" t="str">
        <f t="shared" si="24"/>
        <v/>
      </c>
    </row>
    <row r="343" spans="3:13" x14ac:dyDescent="0.25">
      <c r="C343" s="9"/>
      <c r="D343" s="79" t="s">
        <v>68</v>
      </c>
      <c r="E343" s="56"/>
      <c r="F343" s="64"/>
      <c r="G343" s="78">
        <f>IF($E325&gt;0, $E325, $E324)</f>
        <v>0.5</v>
      </c>
      <c r="H343" s="59">
        <f t="shared" si="22"/>
        <v>0</v>
      </c>
      <c r="I343" s="65">
        <v>0</v>
      </c>
      <c r="J343" s="78">
        <f>IF($E325&gt;0, $E325, $E324)</f>
        <v>0.5</v>
      </c>
      <c r="K343" s="59">
        <f t="shared" si="23"/>
        <v>0</v>
      </c>
      <c r="L343" s="62">
        <f t="shared" si="21"/>
        <v>0</v>
      </c>
      <c r="M343" s="63" t="str">
        <f t="shared" si="24"/>
        <v/>
      </c>
    </row>
    <row r="344" spans="3:13" ht="25.5" x14ac:dyDescent="0.25">
      <c r="C344" s="9"/>
      <c r="D344" s="83" t="s">
        <v>69</v>
      </c>
      <c r="E344" s="84"/>
      <c r="F344" s="85"/>
      <c r="G344" s="86"/>
      <c r="H344" s="87">
        <f>SUM(H336:H343)</f>
        <v>5.8696964000000023</v>
      </c>
      <c r="I344" s="88"/>
      <c r="J344" s="89"/>
      <c r="K344" s="87">
        <f>SUM(K336:K343)</f>
        <v>6.2878241801713193</v>
      </c>
      <c r="L344" s="74">
        <f t="shared" si="21"/>
        <v>0.41812778017131702</v>
      </c>
      <c r="M344" s="75">
        <f>IF((H344)=0,"",(L344/H344))</f>
        <v>7.1234992694224675E-2</v>
      </c>
    </row>
    <row r="345" spans="3:13" x14ac:dyDescent="0.25">
      <c r="D345" s="90" t="s">
        <v>70</v>
      </c>
      <c r="E345" s="56"/>
      <c r="F345" s="64">
        <v>2.0064000000000002</v>
      </c>
      <c r="G345" s="77">
        <f>IF($E325&gt;0, $E325, $E324*$E326)</f>
        <v>0.5</v>
      </c>
      <c r="H345" s="59">
        <f>G345*F345</f>
        <v>1.0032000000000001</v>
      </c>
      <c r="I345" s="65">
        <v>1.4411</v>
      </c>
      <c r="J345" s="77">
        <f>IF($E325&gt;0, $E325, $E324*$E327)</f>
        <v>0.5</v>
      </c>
      <c r="K345" s="59">
        <f>J345*I345</f>
        <v>0.72055000000000002</v>
      </c>
      <c r="L345" s="62">
        <f t="shared" si="21"/>
        <v>-0.28265000000000007</v>
      </c>
      <c r="M345" s="63">
        <f>IF(ISERROR(L345/H345), "", L345/H345)</f>
        <v>-0.28174840510366828</v>
      </c>
    </row>
    <row r="346" spans="3:13" ht="25.5" x14ac:dyDescent="0.25">
      <c r="D346" s="91" t="s">
        <v>71</v>
      </c>
      <c r="E346" s="56"/>
      <c r="F346" s="64">
        <v>1.7641</v>
      </c>
      <c r="G346" s="77">
        <f>IF($E325&gt;0, $E325, $E324*$E326)</f>
        <v>0.5</v>
      </c>
      <c r="H346" s="59">
        <f>G346*F346</f>
        <v>0.88205</v>
      </c>
      <c r="I346" s="65">
        <v>1.1798</v>
      </c>
      <c r="J346" s="77">
        <f>IF($E325&gt;0, $E325, $E324*$E327)</f>
        <v>0.5</v>
      </c>
      <c r="K346" s="59">
        <f>J346*I346</f>
        <v>0.58989999999999998</v>
      </c>
      <c r="L346" s="62">
        <f t="shared" si="21"/>
        <v>-0.29215000000000002</v>
      </c>
      <c r="M346" s="63">
        <f>IF(ISERROR(L346/H346), "", L346/H346)</f>
        <v>-0.33121705118757444</v>
      </c>
    </row>
    <row r="347" spans="3:13" ht="25.5" x14ac:dyDescent="0.25">
      <c r="C347" s="8"/>
      <c r="D347" s="83" t="s">
        <v>72</v>
      </c>
      <c r="E347" s="68"/>
      <c r="F347" s="85"/>
      <c r="G347" s="86"/>
      <c r="H347" s="87">
        <f>SUM(H344:H346)</f>
        <v>7.7549464000000015</v>
      </c>
      <c r="I347" s="88"/>
      <c r="J347" s="73"/>
      <c r="K347" s="87">
        <f>SUM(K344:K346)</f>
        <v>7.5982741801713196</v>
      </c>
      <c r="L347" s="74">
        <f t="shared" si="21"/>
        <v>-0.15667221982868185</v>
      </c>
      <c r="M347" s="75">
        <f>IF((H347)=0,"",(L347/H347))</f>
        <v>-2.0202875912679656E-2</v>
      </c>
    </row>
    <row r="348" spans="3:13" ht="25.5" x14ac:dyDescent="0.25">
      <c r="C348" s="8"/>
      <c r="D348" s="92" t="s">
        <v>73</v>
      </c>
      <c r="E348" s="56"/>
      <c r="F348" s="64">
        <v>3.6000000000000003E-3</v>
      </c>
      <c r="G348" s="77">
        <f>E324*E326</f>
        <v>264.06400000000002</v>
      </c>
      <c r="H348" s="93">
        <f>G348*F348</f>
        <v>0.95063040000000021</v>
      </c>
      <c r="I348" s="65">
        <v>3.6000000000000003E-3</v>
      </c>
      <c r="J348" s="77">
        <f>E324*E327</f>
        <v>264.06400000000002</v>
      </c>
      <c r="K348" s="93">
        <f>J348*I348</f>
        <v>0.95063040000000021</v>
      </c>
      <c r="L348" s="62">
        <f t="shared" si="21"/>
        <v>0</v>
      </c>
      <c r="M348" s="63">
        <f>IF(ISERROR(L348/H348), "", L348/H348)</f>
        <v>0</v>
      </c>
    </row>
    <row r="349" spans="3:13" ht="25.5" x14ac:dyDescent="0.25">
      <c r="C349" s="8"/>
      <c r="D349" s="92" t="s">
        <v>74</v>
      </c>
      <c r="E349" s="56"/>
      <c r="F349" s="64">
        <v>2.9999999999999997E-4</v>
      </c>
      <c r="G349" s="77">
        <f>E324*E326</f>
        <v>264.06400000000002</v>
      </c>
      <c r="H349" s="93">
        <f>G349*F349</f>
        <v>7.9219200000000004E-2</v>
      </c>
      <c r="I349" s="65">
        <v>2.9999999999999997E-4</v>
      </c>
      <c r="J349" s="77">
        <f>E324*E327</f>
        <v>264.06400000000002</v>
      </c>
      <c r="K349" s="93">
        <f>J349*I349</f>
        <v>7.9219200000000004E-2</v>
      </c>
      <c r="L349" s="62">
        <f t="shared" si="21"/>
        <v>0</v>
      </c>
      <c r="M349" s="63">
        <f>IF(ISERROR(L349/H349), "", L349/H349)</f>
        <v>0</v>
      </c>
    </row>
    <row r="350" spans="3:13" x14ac:dyDescent="0.25">
      <c r="C350" s="8"/>
      <c r="D350" s="94" t="s">
        <v>75</v>
      </c>
      <c r="E350" s="56"/>
      <c r="F350" s="81">
        <v>0.25</v>
      </c>
      <c r="G350" s="58">
        <v>1</v>
      </c>
      <c r="H350" s="93">
        <f>G350*F350</f>
        <v>0.25</v>
      </c>
      <c r="I350" s="82">
        <v>0.25</v>
      </c>
      <c r="J350" s="61">
        <v>1</v>
      </c>
      <c r="K350" s="93">
        <f>J350*I350</f>
        <v>0.25</v>
      </c>
      <c r="L350" s="62">
        <f t="shared" si="21"/>
        <v>0</v>
      </c>
      <c r="M350" s="63">
        <f>IF(ISERROR(L350/H350), "", L350/H350)</f>
        <v>0</v>
      </c>
    </row>
    <row r="351" spans="3:13" x14ac:dyDescent="0.25">
      <c r="C351" s="8"/>
      <c r="D351" s="94" t="s">
        <v>76</v>
      </c>
      <c r="E351" s="56"/>
      <c r="F351" s="64">
        <v>7.0000000000000001E-3</v>
      </c>
      <c r="G351" s="78">
        <f>E324</f>
        <v>256</v>
      </c>
      <c r="H351" s="93">
        <f>G351*F351</f>
        <v>1.792</v>
      </c>
      <c r="I351" s="150">
        <v>7.0000000000000001E-3</v>
      </c>
      <c r="J351" s="78">
        <f>E324</f>
        <v>256</v>
      </c>
      <c r="K351" s="93">
        <f>J351*I351</f>
        <v>1.792</v>
      </c>
      <c r="L351" s="62">
        <f t="shared" si="21"/>
        <v>0</v>
      </c>
      <c r="M351" s="63">
        <f>IF(ISERROR(L351/H351), "", L351/H351)</f>
        <v>0</v>
      </c>
    </row>
    <row r="352" spans="3:13" ht="25.5" x14ac:dyDescent="0.25">
      <c r="C352" s="8"/>
      <c r="D352" s="92" t="s">
        <v>77</v>
      </c>
      <c r="E352" s="56"/>
      <c r="F352" s="64"/>
      <c r="G352" s="77"/>
      <c r="H352" s="93"/>
      <c r="I352" s="65"/>
      <c r="J352" s="77"/>
      <c r="K352" s="93"/>
      <c r="L352" s="62"/>
      <c r="M352" s="63"/>
    </row>
    <row r="353" spans="2:13" x14ac:dyDescent="0.25">
      <c r="C353" s="8"/>
      <c r="D353" s="101" t="s">
        <v>78</v>
      </c>
      <c r="E353" s="56"/>
      <c r="F353" s="102">
        <v>6.5000000000000002E-2</v>
      </c>
      <c r="G353" s="103">
        <f>IF(AND(E324*12&gt;=150000),0.65*E324*E326,0.65*E324)</f>
        <v>166.4</v>
      </c>
      <c r="H353" s="93">
        <f>G353*F353</f>
        <v>10.816000000000001</v>
      </c>
      <c r="I353" s="104">
        <v>6.5000000000000002E-2</v>
      </c>
      <c r="J353" s="103">
        <f>IF(AND(E324*12&gt;=150000),0.65*E324*E327,0.65*E324)</f>
        <v>166.4</v>
      </c>
      <c r="K353" s="93">
        <f>J353*I353</f>
        <v>10.816000000000001</v>
      </c>
      <c r="L353" s="62">
        <f>K353-H353</f>
        <v>0</v>
      </c>
      <c r="M353" s="63">
        <f>IF(ISERROR(L353/H353), "", L353/H353)</f>
        <v>0</v>
      </c>
    </row>
    <row r="354" spans="2:13" x14ac:dyDescent="0.25">
      <c r="C354" s="8"/>
      <c r="D354" s="101" t="s">
        <v>79</v>
      </c>
      <c r="E354" s="56"/>
      <c r="F354" s="102">
        <v>9.5000000000000001E-2</v>
      </c>
      <c r="G354" s="103">
        <f>IF(AND(E324*12&gt;=150000),0.17*E324*E326,0.17*E324)</f>
        <v>43.52</v>
      </c>
      <c r="H354" s="93">
        <f>G354*F354</f>
        <v>4.1344000000000003</v>
      </c>
      <c r="I354" s="104">
        <v>9.5000000000000001E-2</v>
      </c>
      <c r="J354" s="103">
        <f>IF(AND(E324*12&gt;=150000),0.17*E324*E327,0.17*E324)</f>
        <v>43.52</v>
      </c>
      <c r="K354" s="93">
        <f>J354*I354</f>
        <v>4.1344000000000003</v>
      </c>
      <c r="L354" s="62">
        <f>K354-H354</f>
        <v>0</v>
      </c>
      <c r="M354" s="63">
        <f>IF(ISERROR(L354/H354), "", L354/H354)</f>
        <v>0</v>
      </c>
    </row>
    <row r="355" spans="2:13" x14ac:dyDescent="0.25">
      <c r="C355" s="8"/>
      <c r="D355" s="43" t="s">
        <v>80</v>
      </c>
      <c r="E355" s="56"/>
      <c r="F355" s="102">
        <v>0.13200000000000001</v>
      </c>
      <c r="G355" s="103">
        <f>IF(AND(E324*12&gt;=150000),0.18*E324*E326,0.18*E324)</f>
        <v>46.08</v>
      </c>
      <c r="H355" s="93">
        <f>G355*F355</f>
        <v>6.08256</v>
      </c>
      <c r="I355" s="104">
        <v>0.13200000000000001</v>
      </c>
      <c r="J355" s="103">
        <f>IF(AND(E324*12&gt;=150000),0.18*E324*E327,0.18*E324)</f>
        <v>46.08</v>
      </c>
      <c r="K355" s="93">
        <f>J355*I355</f>
        <v>6.08256</v>
      </c>
      <c r="L355" s="62">
        <f>K355-H355</f>
        <v>0</v>
      </c>
      <c r="M355" s="63">
        <f>IF(ISERROR(L355/H355), "", L355/H355)</f>
        <v>0</v>
      </c>
    </row>
    <row r="356" spans="2:13" x14ac:dyDescent="0.25">
      <c r="C356" s="8"/>
      <c r="D356" s="101" t="s">
        <v>81</v>
      </c>
      <c r="E356" s="56"/>
      <c r="F356" s="105">
        <v>0.1101</v>
      </c>
      <c r="G356" s="103">
        <f>IF(AND(E324*12&gt;=150000),E324*E326,E324)</f>
        <v>256</v>
      </c>
      <c r="H356" s="93">
        <f>G356*F356</f>
        <v>28.185600000000001</v>
      </c>
      <c r="I356" s="106">
        <f>F356</f>
        <v>0.1101</v>
      </c>
      <c r="J356" s="103">
        <f>IF(AND(E324*12&gt;=150000),E324*E327,E324)</f>
        <v>256</v>
      </c>
      <c r="K356" s="93">
        <f>J356*I356</f>
        <v>28.185600000000001</v>
      </c>
      <c r="L356" s="62">
        <f>K356-H356</f>
        <v>0</v>
      </c>
      <c r="M356" s="63">
        <f>IF(ISERROR(L356/H356), "", L356/H356)</f>
        <v>0</v>
      </c>
    </row>
    <row r="357" spans="2:13" ht="15.75" thickBot="1" x14ac:dyDescent="0.3">
      <c r="C357" s="9"/>
      <c r="D357" s="101" t="s">
        <v>82</v>
      </c>
      <c r="E357" s="56"/>
      <c r="F357" s="105">
        <v>0.1101</v>
      </c>
      <c r="G357" s="103">
        <f>IF(AND(E324*12&gt;=150000),E324*E326,E324)</f>
        <v>256</v>
      </c>
      <c r="H357" s="93">
        <f>G357*F357</f>
        <v>28.185600000000001</v>
      </c>
      <c r="I357" s="106">
        <f>F357</f>
        <v>0.1101</v>
      </c>
      <c r="J357" s="103">
        <f>IF(AND(E324*12&gt;=150000),E324*E327,E324)</f>
        <v>256</v>
      </c>
      <c r="K357" s="93">
        <f>J357*I357</f>
        <v>28.185600000000001</v>
      </c>
      <c r="L357" s="62">
        <f>K357-H357</f>
        <v>0</v>
      </c>
      <c r="M357" s="63">
        <f>IF(ISERROR(L357/H357), "", L357/H357)</f>
        <v>0</v>
      </c>
    </row>
    <row r="358" spans="2:13" ht="15.75" thickBot="1" x14ac:dyDescent="0.3">
      <c r="C358" s="9"/>
      <c r="D358" s="107"/>
      <c r="E358" s="108"/>
      <c r="F358" s="109"/>
      <c r="G358" s="110"/>
      <c r="H358" s="111"/>
      <c r="I358" s="109"/>
      <c r="J358" s="112"/>
      <c r="K358" s="111"/>
      <c r="L358" s="113"/>
      <c r="M358" s="114"/>
    </row>
    <row r="359" spans="2:13" hidden="1" x14ac:dyDescent="0.25">
      <c r="C359" s="9"/>
      <c r="D359" s="115" t="s">
        <v>83</v>
      </c>
      <c r="E359" s="94"/>
      <c r="F359" s="116"/>
      <c r="G359" s="117"/>
      <c r="H359" s="118">
        <f>SUM(H348:H355,H347)</f>
        <v>31.859756000000004</v>
      </c>
      <c r="I359" s="119"/>
      <c r="J359" s="119"/>
      <c r="K359" s="118">
        <f>SUM(K348:K355,K347)</f>
        <v>31.703083780171323</v>
      </c>
      <c r="L359" s="120">
        <f>K359-H359</f>
        <v>-0.15667221982868185</v>
      </c>
      <c r="M359" s="121">
        <f>IF((H359)=0,"",(L359/H359))</f>
        <v>-4.9175586852793799E-3</v>
      </c>
    </row>
    <row r="360" spans="2:13" hidden="1" x14ac:dyDescent="0.25">
      <c r="C360" s="9"/>
      <c r="D360" s="122" t="s">
        <v>84</v>
      </c>
      <c r="E360" s="94"/>
      <c r="F360" s="116">
        <v>0.13</v>
      </c>
      <c r="G360" s="123"/>
      <c r="H360" s="124">
        <f>H359*F360</f>
        <v>4.1417682800000009</v>
      </c>
      <c r="I360" s="125">
        <v>0.13</v>
      </c>
      <c r="J360" s="58"/>
      <c r="K360" s="124">
        <f>K359*I360</f>
        <v>4.1214008914222724</v>
      </c>
      <c r="L360" s="126">
        <f>K360-H360</f>
        <v>-2.0367388577728462E-2</v>
      </c>
      <c r="M360" s="127">
        <f>IF((H360)=0,"",(L360/H360))</f>
        <v>-4.9175586852793366E-3</v>
      </c>
    </row>
    <row r="361" spans="2:13" hidden="1" x14ac:dyDescent="0.25">
      <c r="B361" s="151"/>
      <c r="C361" s="9"/>
      <c r="D361" s="122" t="s">
        <v>85</v>
      </c>
      <c r="E361" s="94"/>
      <c r="F361" s="116">
        <v>0.08</v>
      </c>
      <c r="G361" s="123"/>
      <c r="H361" s="124">
        <v>0</v>
      </c>
      <c r="I361" s="116">
        <v>0.08</v>
      </c>
      <c r="J361" s="58"/>
      <c r="K361" s="124">
        <v>0</v>
      </c>
      <c r="L361" s="126">
        <f>K361-H361</f>
        <v>0</v>
      </c>
      <c r="M361" s="127"/>
    </row>
    <row r="362" spans="2:13" ht="15.75" hidden="1" thickBot="1" x14ac:dyDescent="0.3">
      <c r="C362" s="9"/>
      <c r="D362" s="308" t="s">
        <v>86</v>
      </c>
      <c r="E362" s="308"/>
      <c r="F362" s="128"/>
      <c r="G362" s="129"/>
      <c r="H362" s="130">
        <f>H359+H360+H361</f>
        <v>36.001524280000005</v>
      </c>
      <c r="I362" s="131"/>
      <c r="J362" s="131"/>
      <c r="K362" s="132">
        <f>K359+K360+K361</f>
        <v>35.824484671593595</v>
      </c>
      <c r="L362" s="133">
        <f>K362-H362</f>
        <v>-0.17703960840641031</v>
      </c>
      <c r="M362" s="134">
        <f>IF((H362)=0,"",(L362/H362))</f>
        <v>-4.9175586852793747E-3</v>
      </c>
    </row>
    <row r="363" spans="2:13" ht="15.75" hidden="1" thickBot="1" x14ac:dyDescent="0.3">
      <c r="C363" s="9"/>
      <c r="D363" s="107"/>
      <c r="E363" s="108"/>
      <c r="F363" s="109"/>
      <c r="G363" s="110"/>
      <c r="H363" s="111"/>
      <c r="I363" s="109"/>
      <c r="J363" s="112"/>
      <c r="K363" s="111"/>
      <c r="L363" s="113"/>
      <c r="M363" s="114"/>
    </row>
    <row r="364" spans="2:13" x14ac:dyDescent="0.25">
      <c r="C364" s="9"/>
      <c r="D364" s="115" t="s">
        <v>87</v>
      </c>
      <c r="E364" s="94"/>
      <c r="F364" s="116"/>
      <c r="G364" s="117"/>
      <c r="H364" s="118">
        <f>SUM(H356,H348:H352,H347)</f>
        <v>39.01239600000001</v>
      </c>
      <c r="I364" s="119"/>
      <c r="J364" s="119"/>
      <c r="K364" s="118">
        <f>SUM(K356,K348:K352,K347)</f>
        <v>38.855723780171324</v>
      </c>
      <c r="L364" s="120">
        <f>K364-H364</f>
        <v>-0.1566722198286854</v>
      </c>
      <c r="M364" s="121">
        <f>IF((H364)=0,"",(L364/H364))</f>
        <v>-4.015959948440115E-3</v>
      </c>
    </row>
    <row r="365" spans="2:13" x14ac:dyDescent="0.25">
      <c r="C365" s="9"/>
      <c r="D365" s="122" t="s">
        <v>84</v>
      </c>
      <c r="E365" s="94"/>
      <c r="F365" s="116">
        <v>0.13</v>
      </c>
      <c r="G365" s="117"/>
      <c r="H365" s="124">
        <f>H364*F365</f>
        <v>5.0716114800000014</v>
      </c>
      <c r="I365" s="116">
        <v>0.13</v>
      </c>
      <c r="J365" s="125"/>
      <c r="K365" s="124">
        <f>K364*I365</f>
        <v>5.051244091422272</v>
      </c>
      <c r="L365" s="126">
        <f>K365-H365</f>
        <v>-2.0367388577729351E-2</v>
      </c>
      <c r="M365" s="127">
        <f>IF((H365)=0,"",(L365/H365))</f>
        <v>-4.0159599484401644E-3</v>
      </c>
    </row>
    <row r="366" spans="2:13" x14ac:dyDescent="0.25">
      <c r="C366" s="9"/>
      <c r="D366" s="122" t="s">
        <v>85</v>
      </c>
      <c r="E366" s="94"/>
      <c r="F366" s="116">
        <v>0.08</v>
      </c>
      <c r="G366" s="117"/>
      <c r="H366" s="124">
        <v>0</v>
      </c>
      <c r="I366" s="116">
        <v>0.08</v>
      </c>
      <c r="J366" s="125"/>
      <c r="K366" s="124">
        <v>0</v>
      </c>
      <c r="L366" s="126"/>
      <c r="M366" s="127"/>
    </row>
    <row r="367" spans="2:13" ht="15.75" thickBot="1" x14ac:dyDescent="0.3">
      <c r="C367" s="9"/>
      <c r="D367" s="308" t="s">
        <v>87</v>
      </c>
      <c r="E367" s="308"/>
      <c r="F367" s="135"/>
      <c r="G367" s="136"/>
      <c r="H367" s="130">
        <f>SUM(H364,H365)</f>
        <v>44.084007480000011</v>
      </c>
      <c r="I367" s="137"/>
      <c r="J367" s="137"/>
      <c r="K367" s="130">
        <f>SUM(K364,K365)</f>
        <v>43.906967871593594</v>
      </c>
      <c r="L367" s="138">
        <f>K367-H367</f>
        <v>-0.17703960840641741</v>
      </c>
      <c r="M367" s="139">
        <f>IF((H367)=0,"",(L367/H367))</f>
        <v>-4.0159599484401818E-3</v>
      </c>
    </row>
    <row r="368" spans="2:13" ht="15.75" thickBot="1" x14ac:dyDescent="0.3">
      <c r="C368" s="9"/>
      <c r="D368" s="107"/>
      <c r="E368" s="108"/>
      <c r="F368" s="140"/>
      <c r="G368" s="141"/>
      <c r="H368" s="142"/>
      <c r="I368" s="140"/>
      <c r="J368" s="110"/>
      <c r="K368" s="142"/>
      <c r="L368" s="143"/>
      <c r="M368" s="114"/>
    </row>
    <row r="369" spans="2:13" hidden="1" x14ac:dyDescent="0.25">
      <c r="B369" s="43"/>
      <c r="C369" s="9"/>
      <c r="D369" s="115" t="s">
        <v>88</v>
      </c>
      <c r="E369" s="94"/>
      <c r="F369" s="116"/>
      <c r="G369" s="117"/>
      <c r="H369" s="118">
        <f>SUM(H357,H348:H352,H347)</f>
        <v>39.01239600000001</v>
      </c>
      <c r="I369" s="119"/>
      <c r="J369" s="119"/>
      <c r="K369" s="118">
        <f>SUM(K357,K348:K352,K347)</f>
        <v>38.855723780171324</v>
      </c>
      <c r="L369" s="120">
        <f>K369-H369</f>
        <v>-0.1566722198286854</v>
      </c>
      <c r="M369" s="121">
        <f>IF((H369)=0,"",(L369/H369))</f>
        <v>-4.015959948440115E-3</v>
      </c>
    </row>
    <row r="370" spans="2:13" hidden="1" x14ac:dyDescent="0.25">
      <c r="C370" s="9"/>
      <c r="D370" s="122" t="s">
        <v>84</v>
      </c>
      <c r="E370" s="94"/>
      <c r="F370" s="116">
        <v>0.13</v>
      </c>
      <c r="G370" s="117"/>
      <c r="H370" s="124">
        <f>H369*F370</f>
        <v>5.0716114800000014</v>
      </c>
      <c r="I370" s="116">
        <v>0.13</v>
      </c>
      <c r="J370" s="125"/>
      <c r="K370" s="124">
        <f>K369*I370</f>
        <v>5.051244091422272</v>
      </c>
      <c r="L370" s="126">
        <f>K370-H370</f>
        <v>-2.0367388577729351E-2</v>
      </c>
      <c r="M370" s="127">
        <f>IF((H370)=0,"",(L370/H370))</f>
        <v>-4.0159599484401644E-3</v>
      </c>
    </row>
    <row r="371" spans="2:13" hidden="1" x14ac:dyDescent="0.25">
      <c r="C371" s="9"/>
      <c r="D371" s="122" t="s">
        <v>85</v>
      </c>
      <c r="E371" s="94"/>
      <c r="F371" s="116">
        <v>0.08</v>
      </c>
      <c r="G371" s="117"/>
      <c r="H371" s="124">
        <v>0</v>
      </c>
      <c r="I371" s="116">
        <v>0.08</v>
      </c>
      <c r="J371" s="125"/>
      <c r="K371" s="124">
        <v>0</v>
      </c>
      <c r="L371" s="126"/>
      <c r="M371" s="127"/>
    </row>
    <row r="372" spans="2:13" ht="15.75" hidden="1" thickBot="1" x14ac:dyDescent="0.3">
      <c r="B372" s="43"/>
      <c r="C372" s="9"/>
      <c r="D372" s="308" t="s">
        <v>88</v>
      </c>
      <c r="E372" s="308"/>
      <c r="F372" s="135"/>
      <c r="G372" s="136"/>
      <c r="H372" s="130">
        <f>SUM(H369,H370)</f>
        <v>44.084007480000011</v>
      </c>
      <c r="I372" s="137"/>
      <c r="J372" s="137"/>
      <c r="K372" s="130">
        <f>SUM(K369,K370)</f>
        <v>43.906967871593594</v>
      </c>
      <c r="L372" s="138">
        <f>K372-H372</f>
        <v>-0.17703960840641741</v>
      </c>
      <c r="M372" s="139">
        <f>IF((H372)=0,"",(L372/H372))</f>
        <v>-4.0159599484401818E-3</v>
      </c>
    </row>
    <row r="373" spans="2:13" ht="15.75" hidden="1" thickBot="1" x14ac:dyDescent="0.3">
      <c r="C373" s="9"/>
      <c r="D373" s="107"/>
      <c r="E373" s="108"/>
      <c r="F373" s="144"/>
      <c r="G373" s="145"/>
      <c r="H373" s="146"/>
      <c r="I373" s="144"/>
      <c r="J373" s="147"/>
      <c r="K373" s="146"/>
      <c r="L373" s="148"/>
      <c r="M373" s="149"/>
    </row>
    <row r="374" spans="2:13" x14ac:dyDescent="0.25">
      <c r="C374" s="9"/>
    </row>
    <row r="375" spans="2:13" x14ac:dyDescent="0.25">
      <c r="C375" s="9"/>
    </row>
    <row r="376" spans="2:13" x14ac:dyDescent="0.25">
      <c r="C376" s="9"/>
      <c r="D376" s="39" t="s">
        <v>42</v>
      </c>
      <c r="E376" s="303" t="s">
        <v>17</v>
      </c>
      <c r="F376" s="303"/>
      <c r="G376" s="303"/>
      <c r="H376" s="303"/>
      <c r="I376" s="303"/>
      <c r="J376" s="303"/>
      <c r="K376" s="8" t="s">
        <v>89</v>
      </c>
    </row>
    <row r="377" spans="2:13" x14ac:dyDescent="0.25">
      <c r="C377" s="9"/>
      <c r="D377" s="39" t="s">
        <v>43</v>
      </c>
      <c r="E377" s="304" t="s">
        <v>22</v>
      </c>
      <c r="F377" s="304"/>
      <c r="G377" s="304"/>
      <c r="H377" s="40"/>
      <c r="I377" s="40"/>
    </row>
    <row r="378" spans="2:13" ht="15.75" x14ac:dyDescent="0.25">
      <c r="B378" s="43"/>
      <c r="C378" s="9"/>
      <c r="D378" s="39" t="s">
        <v>44</v>
      </c>
      <c r="E378" s="41">
        <v>180</v>
      </c>
      <c r="F378" s="42" t="s">
        <v>19</v>
      </c>
      <c r="G378" s="43"/>
      <c r="J378" s="44"/>
      <c r="K378" s="44"/>
      <c r="L378" s="44"/>
      <c r="M378" s="44"/>
    </row>
    <row r="379" spans="2:13" ht="15.75" x14ac:dyDescent="0.25">
      <c r="B379" s="43"/>
      <c r="C379" s="9"/>
      <c r="D379" s="39" t="s">
        <v>45</v>
      </c>
      <c r="E379" s="41">
        <v>0.1</v>
      </c>
      <c r="F379" s="45" t="s">
        <v>21</v>
      </c>
      <c r="G379" s="46"/>
      <c r="H379" s="47"/>
      <c r="I379" s="47"/>
      <c r="J379" s="47"/>
    </row>
    <row r="380" spans="2:13" x14ac:dyDescent="0.25">
      <c r="B380" s="43"/>
      <c r="C380" s="9"/>
      <c r="D380" s="39" t="s">
        <v>46</v>
      </c>
      <c r="E380" s="48">
        <v>1.0315000000000001</v>
      </c>
    </row>
    <row r="381" spans="2:13" x14ac:dyDescent="0.25">
      <c r="C381" s="9"/>
      <c r="D381" s="39" t="s">
        <v>47</v>
      </c>
      <c r="E381" s="48">
        <v>1.0315000000000001</v>
      </c>
    </row>
    <row r="382" spans="2:13" x14ac:dyDescent="0.25">
      <c r="C382" s="9"/>
      <c r="D382" s="43"/>
    </row>
    <row r="383" spans="2:13" x14ac:dyDescent="0.25">
      <c r="B383" s="43"/>
      <c r="C383" s="9"/>
      <c r="D383" s="43"/>
      <c r="E383" s="49"/>
      <c r="F383" s="305" t="s">
        <v>48</v>
      </c>
      <c r="G383" s="306"/>
      <c r="H383" s="307"/>
      <c r="I383" s="305" t="s">
        <v>49</v>
      </c>
      <c r="J383" s="306"/>
      <c r="K383" s="307"/>
      <c r="L383" s="305" t="s">
        <v>50</v>
      </c>
      <c r="M383" s="307"/>
    </row>
    <row r="384" spans="2:13" x14ac:dyDescent="0.25">
      <c r="B384" s="43"/>
      <c r="C384" s="9"/>
      <c r="D384" s="43"/>
      <c r="E384" s="309"/>
      <c r="F384" s="50" t="s">
        <v>51</v>
      </c>
      <c r="G384" s="50" t="s">
        <v>52</v>
      </c>
      <c r="H384" s="51" t="s">
        <v>53</v>
      </c>
      <c r="I384" s="50" t="s">
        <v>51</v>
      </c>
      <c r="J384" s="52" t="s">
        <v>52</v>
      </c>
      <c r="K384" s="51" t="s">
        <v>53</v>
      </c>
      <c r="L384" s="311" t="s">
        <v>54</v>
      </c>
      <c r="M384" s="313" t="s">
        <v>55</v>
      </c>
    </row>
    <row r="385" spans="2:13" x14ac:dyDescent="0.25">
      <c r="B385" s="43"/>
      <c r="C385" s="9"/>
      <c r="D385" s="43"/>
      <c r="E385" s="310"/>
      <c r="F385" s="53" t="s">
        <v>56</v>
      </c>
      <c r="G385" s="53"/>
      <c r="H385" s="54" t="s">
        <v>56</v>
      </c>
      <c r="I385" s="53" t="s">
        <v>56</v>
      </c>
      <c r="J385" s="54"/>
      <c r="K385" s="54" t="s">
        <v>56</v>
      </c>
      <c r="L385" s="312"/>
      <c r="M385" s="314"/>
    </row>
    <row r="386" spans="2:13" x14ac:dyDescent="0.25">
      <c r="B386" s="43"/>
      <c r="C386" s="9"/>
      <c r="D386" s="55" t="s">
        <v>57</v>
      </c>
      <c r="E386" s="56"/>
      <c r="F386" s="57">
        <v>4.62</v>
      </c>
      <c r="G386" s="58">
        <v>1</v>
      </c>
      <c r="H386" s="59">
        <f>G386*F386</f>
        <v>4.62</v>
      </c>
      <c r="I386" s="60">
        <v>4.7</v>
      </c>
      <c r="J386" s="61">
        <f>G386</f>
        <v>1</v>
      </c>
      <c r="K386" s="59">
        <f>J386*I386</f>
        <v>4.7</v>
      </c>
      <c r="L386" s="62">
        <f t="shared" ref="L386:L405" si="25">K386-H386</f>
        <v>8.0000000000000071E-2</v>
      </c>
      <c r="M386" s="63">
        <f>IF(ISERROR(L386/H386), "", L386/H386)</f>
        <v>1.731601731601733E-2</v>
      </c>
    </row>
    <row r="387" spans="2:13" x14ac:dyDescent="0.25">
      <c r="B387" s="43"/>
      <c r="C387" s="9"/>
      <c r="D387" s="55" t="s">
        <v>58</v>
      </c>
      <c r="E387" s="56"/>
      <c r="F387" s="64">
        <v>15.217599999999999</v>
      </c>
      <c r="G387" s="58">
        <f>IF($E379&gt;0, $E379, $E378)</f>
        <v>0.1</v>
      </c>
      <c r="H387" s="59">
        <f>G387*F387</f>
        <v>1.52176</v>
      </c>
      <c r="I387" s="65">
        <v>15.4839</v>
      </c>
      <c r="J387" s="61">
        <f>IF($E379&gt;0, $E379, $E378)</f>
        <v>0.1</v>
      </c>
      <c r="K387" s="59">
        <f>J387*I387</f>
        <v>1.5483900000000002</v>
      </c>
      <c r="L387" s="62">
        <f t="shared" si="25"/>
        <v>2.6630000000000154E-2</v>
      </c>
      <c r="M387" s="63">
        <f>IF(ISERROR(L387/H387), "", L387/H387)</f>
        <v>1.7499474292924085E-2</v>
      </c>
    </row>
    <row r="388" spans="2:13" x14ac:dyDescent="0.25">
      <c r="C388" s="9"/>
      <c r="D388" s="66" t="s">
        <v>59</v>
      </c>
      <c r="E388" s="56"/>
      <c r="F388" s="57">
        <v>0.03</v>
      </c>
      <c r="G388" s="58">
        <f>+G386</f>
        <v>1</v>
      </c>
      <c r="H388" s="59">
        <f>G388*F388</f>
        <v>0.03</v>
      </c>
      <c r="I388" s="60">
        <v>0.11</v>
      </c>
      <c r="J388" s="61">
        <f>G388</f>
        <v>1</v>
      </c>
      <c r="K388" s="59">
        <f>J388*I388</f>
        <v>0.11</v>
      </c>
      <c r="L388" s="62">
        <f t="shared" si="25"/>
        <v>0.08</v>
      </c>
      <c r="M388" s="63">
        <f>IF(ISERROR(L388/H388), "", L388/H388)</f>
        <v>2.666666666666667</v>
      </c>
    </row>
    <row r="389" spans="2:13" x14ac:dyDescent="0.25">
      <c r="C389" s="9"/>
      <c r="D389" s="55" t="s">
        <v>60</v>
      </c>
      <c r="E389" s="56"/>
      <c r="F389" s="64">
        <v>-0.50490000000000002</v>
      </c>
      <c r="G389" s="58">
        <f>IF($E379&gt;0, $E379, $E378)</f>
        <v>0.1</v>
      </c>
      <c r="H389" s="59">
        <f>G389*F389</f>
        <v>-5.0490000000000007E-2</v>
      </c>
      <c r="I389" s="65">
        <v>-0.16844666350469861</v>
      </c>
      <c r="J389" s="61">
        <f>IF($E379&gt;0, $E379, $E378)</f>
        <v>0.1</v>
      </c>
      <c r="K389" s="59">
        <f>J389*I389</f>
        <v>-1.6844666350469863E-2</v>
      </c>
      <c r="L389" s="62">
        <f t="shared" si="25"/>
        <v>3.3645333649530144E-2</v>
      </c>
      <c r="M389" s="63">
        <f>IF(ISERROR(L389/H389), "", L389/H389)</f>
        <v>-0.66637618636423335</v>
      </c>
    </row>
    <row r="390" spans="2:13" x14ac:dyDescent="0.25">
      <c r="C390" s="9"/>
      <c r="D390" s="67" t="s">
        <v>61</v>
      </c>
      <c r="E390" s="68"/>
      <c r="F390" s="69"/>
      <c r="G390" s="70"/>
      <c r="H390" s="71">
        <f>SUM(H386:H389)</f>
        <v>6.12127</v>
      </c>
      <c r="I390" s="72"/>
      <c r="J390" s="73"/>
      <c r="K390" s="71">
        <f>SUM(K386:K389)</f>
        <v>6.3415453336495311</v>
      </c>
      <c r="L390" s="74">
        <f t="shared" si="25"/>
        <v>0.22027533364953111</v>
      </c>
      <c r="M390" s="75">
        <f>IF((H390)=0,"",(L390/H390))</f>
        <v>3.5985234052660825E-2</v>
      </c>
    </row>
    <row r="391" spans="2:13" x14ac:dyDescent="0.25">
      <c r="C391" s="9"/>
      <c r="D391" s="76" t="s">
        <v>62</v>
      </c>
      <c r="E391" s="56"/>
      <c r="F391" s="64">
        <f>IF((E378*12&gt;=150000), 0, IF(E377="RPP",(F407*0.65+F408*0.17+F409*0.18),IF(E377="Non-RPP (Retailer)",F410,F411)))</f>
        <v>0.1101</v>
      </c>
      <c r="G391" s="77">
        <f>IF(F391=0, 0, $E378*E380-E378)</f>
        <v>5.6700000000000159</v>
      </c>
      <c r="H391" s="59">
        <f t="shared" ref="H391:H397" si="26">G391*F391</f>
        <v>0.62426700000000179</v>
      </c>
      <c r="I391" s="65">
        <f>IF((E378*12&gt;=150000), 0, IF(E377="RPP",(I407*0.65+I408*0.17+I409*0.18),IF(E377="Non-RPP (Retailer)",I410,I411)))</f>
        <v>0.1101</v>
      </c>
      <c r="J391" s="77">
        <f>IF(I391=0, 0, E378*E381-E378)</f>
        <v>5.6700000000000159</v>
      </c>
      <c r="K391" s="59">
        <f t="shared" ref="K391:K397" si="27">J391*I391</f>
        <v>0.62426700000000179</v>
      </c>
      <c r="L391" s="62">
        <f t="shared" si="25"/>
        <v>0</v>
      </c>
      <c r="M391" s="63">
        <f t="shared" ref="M391:M397" si="28">IF(ISERROR(L391/H391), "", L391/H391)</f>
        <v>0</v>
      </c>
    </row>
    <row r="392" spans="2:13" ht="25.5" x14ac:dyDescent="0.25">
      <c r="C392" s="9"/>
      <c r="D392" s="76" t="s">
        <v>63</v>
      </c>
      <c r="E392" s="56"/>
      <c r="F392" s="64">
        <v>-1.0004</v>
      </c>
      <c r="G392" s="78">
        <f>IF($E379&gt;0, $E379, $E378)</f>
        <v>0.1</v>
      </c>
      <c r="H392" s="59">
        <f t="shared" si="26"/>
        <v>-0.10004</v>
      </c>
      <c r="I392" s="65">
        <v>-0.308</v>
      </c>
      <c r="J392" s="78">
        <f>IF($E379&gt;0, $E379, $E378)</f>
        <v>0.1</v>
      </c>
      <c r="K392" s="59">
        <f t="shared" si="27"/>
        <v>-3.0800000000000001E-2</v>
      </c>
      <c r="L392" s="62">
        <f t="shared" si="25"/>
        <v>6.9239999999999996E-2</v>
      </c>
      <c r="M392" s="63">
        <f t="shared" si="28"/>
        <v>-0.6921231507397041</v>
      </c>
    </row>
    <row r="393" spans="2:13" x14ac:dyDescent="0.25">
      <c r="C393" s="9"/>
      <c r="D393" s="76" t="s">
        <v>64</v>
      </c>
      <c r="E393" s="56"/>
      <c r="F393" s="64">
        <v>0.10539999999999999</v>
      </c>
      <c r="G393" s="78">
        <f>IF($E379&gt;0, $E379, $E378)</f>
        <v>0.1</v>
      </c>
      <c r="H393" s="59">
        <f t="shared" si="26"/>
        <v>1.0540000000000001E-2</v>
      </c>
      <c r="I393" s="65">
        <v>0</v>
      </c>
      <c r="J393" s="78">
        <f>IF($E379&gt;0, $E379, $E378)</f>
        <v>0.1</v>
      </c>
      <c r="K393" s="59">
        <f t="shared" si="27"/>
        <v>0</v>
      </c>
      <c r="L393" s="62">
        <f t="shared" si="25"/>
        <v>-1.0540000000000001E-2</v>
      </c>
      <c r="M393" s="63">
        <f t="shared" si="28"/>
        <v>-1</v>
      </c>
    </row>
    <row r="394" spans="2:13" x14ac:dyDescent="0.25">
      <c r="C394" s="9"/>
      <c r="D394" s="76" t="s">
        <v>65</v>
      </c>
      <c r="E394" s="56"/>
      <c r="F394" s="64">
        <v>-5.9999999999999995E-4</v>
      </c>
      <c r="G394" s="78">
        <f>E378</f>
        <v>180</v>
      </c>
      <c r="H394" s="59">
        <f t="shared" si="26"/>
        <v>-0.10799999999999998</v>
      </c>
      <c r="I394" s="65">
        <v>-8.9999999999999998E-4</v>
      </c>
      <c r="J394" s="78">
        <f>E378</f>
        <v>180</v>
      </c>
      <c r="K394" s="59">
        <f t="shared" si="27"/>
        <v>-0.16200000000000001</v>
      </c>
      <c r="L394" s="62">
        <f t="shared" si="25"/>
        <v>-5.400000000000002E-2</v>
      </c>
      <c r="M394" s="63">
        <f t="shared" si="28"/>
        <v>0.50000000000000022</v>
      </c>
    </row>
    <row r="395" spans="2:13" x14ac:dyDescent="0.25">
      <c r="C395" s="9"/>
      <c r="D395" s="79" t="s">
        <v>66</v>
      </c>
      <c r="E395" s="56"/>
      <c r="F395" s="64">
        <v>0</v>
      </c>
      <c r="G395" s="78">
        <f>IF($E379&gt;0, $E379, $E378)</f>
        <v>0.1</v>
      </c>
      <c r="H395" s="59">
        <f t="shared" si="26"/>
        <v>0</v>
      </c>
      <c r="I395" s="65"/>
      <c r="J395" s="78">
        <f>IF($E379&gt;0, $E379, $E378)</f>
        <v>0.1</v>
      </c>
      <c r="K395" s="59">
        <f t="shared" si="27"/>
        <v>0</v>
      </c>
      <c r="L395" s="62">
        <f t="shared" si="25"/>
        <v>0</v>
      </c>
      <c r="M395" s="63" t="str">
        <f t="shared" si="28"/>
        <v/>
      </c>
    </row>
    <row r="396" spans="2:13" ht="51" x14ac:dyDescent="0.25">
      <c r="C396" s="9"/>
      <c r="D396" s="80" t="s">
        <v>67</v>
      </c>
      <c r="E396" s="56"/>
      <c r="F396" s="81">
        <v>0</v>
      </c>
      <c r="G396" s="58">
        <v>1</v>
      </c>
      <c r="H396" s="59">
        <f t="shared" si="26"/>
        <v>0</v>
      </c>
      <c r="I396" s="82">
        <v>0</v>
      </c>
      <c r="J396" s="58">
        <v>1</v>
      </c>
      <c r="K396" s="59">
        <f t="shared" si="27"/>
        <v>0</v>
      </c>
      <c r="L396" s="62">
        <f t="shared" si="25"/>
        <v>0</v>
      </c>
      <c r="M396" s="63" t="str">
        <f t="shared" si="28"/>
        <v/>
      </c>
    </row>
    <row r="397" spans="2:13" x14ac:dyDescent="0.25">
      <c r="C397" s="9"/>
      <c r="D397" s="79" t="s">
        <v>68</v>
      </c>
      <c r="E397" s="56"/>
      <c r="F397" s="64"/>
      <c r="G397" s="78">
        <f>IF($E379&gt;0, $E379, $E378)</f>
        <v>0.1</v>
      </c>
      <c r="H397" s="59">
        <f t="shared" si="26"/>
        <v>0</v>
      </c>
      <c r="I397" s="65">
        <v>0</v>
      </c>
      <c r="J397" s="78">
        <f>IF($E379&gt;0, $E379, $E378)</f>
        <v>0.1</v>
      </c>
      <c r="K397" s="59">
        <f t="shared" si="27"/>
        <v>0</v>
      </c>
      <c r="L397" s="62">
        <f t="shared" si="25"/>
        <v>0</v>
      </c>
      <c r="M397" s="63" t="str">
        <f t="shared" si="28"/>
        <v/>
      </c>
    </row>
    <row r="398" spans="2:13" ht="25.5" x14ac:dyDescent="0.25">
      <c r="C398" s="9"/>
      <c r="D398" s="83" t="s">
        <v>69</v>
      </c>
      <c r="E398" s="84"/>
      <c r="F398" s="85"/>
      <c r="G398" s="86"/>
      <c r="H398" s="87">
        <f>SUM(H390:H397)</f>
        <v>6.5480370000000017</v>
      </c>
      <c r="I398" s="88"/>
      <c r="J398" s="89"/>
      <c r="K398" s="87">
        <f>SUM(K390:K397)</f>
        <v>6.7730123336495325</v>
      </c>
      <c r="L398" s="74">
        <f t="shared" si="25"/>
        <v>0.22497533364953082</v>
      </c>
      <c r="M398" s="75">
        <f>IF((H398)=0,"",(L398/H398))</f>
        <v>3.4357675995039548E-2</v>
      </c>
    </row>
    <row r="399" spans="2:13" x14ac:dyDescent="0.25">
      <c r="D399" s="90" t="s">
        <v>70</v>
      </c>
      <c r="E399" s="56"/>
      <c r="F399" s="64">
        <v>2.0091000000000001</v>
      </c>
      <c r="G399" s="77">
        <f>IF($E379&gt;0, $E379, $E378*$E380)</f>
        <v>0.1</v>
      </c>
      <c r="H399" s="59">
        <f>G399*F399</f>
        <v>0.20091000000000003</v>
      </c>
      <c r="I399" s="65">
        <v>1.4430000000000001</v>
      </c>
      <c r="J399" s="77">
        <f>IF($E379&gt;0, $E379, $E378*$E381)</f>
        <v>0.1</v>
      </c>
      <c r="K399" s="59">
        <f>J399*I399</f>
        <v>0.14430000000000001</v>
      </c>
      <c r="L399" s="62">
        <f t="shared" si="25"/>
        <v>-5.6610000000000021E-2</v>
      </c>
      <c r="M399" s="63">
        <f>IF(ISERROR(L399/H399), "", L399/H399)</f>
        <v>-0.28176795580110503</v>
      </c>
    </row>
    <row r="400" spans="2:13" ht="25.5" x14ac:dyDescent="0.25">
      <c r="D400" s="91" t="s">
        <v>71</v>
      </c>
      <c r="E400" s="56"/>
      <c r="F400" s="64">
        <v>1.7665</v>
      </c>
      <c r="G400" s="77">
        <f>IF($E379&gt;0, $E379, $E378*$E380)</f>
        <v>0.1</v>
      </c>
      <c r="H400" s="59">
        <f>G400*F400</f>
        <v>0.17665</v>
      </c>
      <c r="I400" s="65">
        <v>1.1814</v>
      </c>
      <c r="J400" s="77">
        <f>IF($E379&gt;0, $E379, $E378*$E381)</f>
        <v>0.1</v>
      </c>
      <c r="K400" s="59">
        <f>J400*I400</f>
        <v>0.11814000000000001</v>
      </c>
      <c r="L400" s="62">
        <f t="shared" si="25"/>
        <v>-5.8509999999999993E-2</v>
      </c>
      <c r="M400" s="63">
        <f>IF(ISERROR(L400/H400), "", L400/H400)</f>
        <v>-0.33121992640815168</v>
      </c>
    </row>
    <row r="401" spans="2:13" ht="25.5" x14ac:dyDescent="0.25">
      <c r="C401" s="8"/>
      <c r="D401" s="83" t="s">
        <v>72</v>
      </c>
      <c r="E401" s="68"/>
      <c r="F401" s="85"/>
      <c r="G401" s="86"/>
      <c r="H401" s="87">
        <f>SUM(H398:H400)</f>
        <v>6.9255970000000024</v>
      </c>
      <c r="I401" s="88"/>
      <c r="J401" s="73"/>
      <c r="K401" s="87">
        <f>SUM(K398:K400)</f>
        <v>7.0354523336495332</v>
      </c>
      <c r="L401" s="74">
        <f t="shared" si="25"/>
        <v>0.10985533364953071</v>
      </c>
      <c r="M401" s="75">
        <f>IF((H401)=0,"",(L401/H401))</f>
        <v>1.5862218614443011E-2</v>
      </c>
    </row>
    <row r="402" spans="2:13" ht="25.5" x14ac:dyDescent="0.25">
      <c r="C402" s="8"/>
      <c r="D402" s="92" t="s">
        <v>73</v>
      </c>
      <c r="E402" s="56"/>
      <c r="F402" s="64">
        <v>3.6000000000000003E-3</v>
      </c>
      <c r="G402" s="77">
        <f>E378*E380</f>
        <v>185.67000000000002</v>
      </c>
      <c r="H402" s="93">
        <f>G402*F402</f>
        <v>0.66841200000000012</v>
      </c>
      <c r="I402" s="65">
        <v>3.6000000000000003E-3</v>
      </c>
      <c r="J402" s="77">
        <f>E378*E381</f>
        <v>185.67000000000002</v>
      </c>
      <c r="K402" s="93">
        <f>J402*I402</f>
        <v>0.66841200000000012</v>
      </c>
      <c r="L402" s="62">
        <f t="shared" si="25"/>
        <v>0</v>
      </c>
      <c r="M402" s="63">
        <f>IF(ISERROR(L402/H402), "", L402/H402)</f>
        <v>0</v>
      </c>
    </row>
    <row r="403" spans="2:13" ht="25.5" x14ac:dyDescent="0.25">
      <c r="C403" s="8"/>
      <c r="D403" s="92" t="s">
        <v>74</v>
      </c>
      <c r="E403" s="56"/>
      <c r="F403" s="64">
        <v>2.9999999999999997E-4</v>
      </c>
      <c r="G403" s="77">
        <f>E378*E380</f>
        <v>185.67000000000002</v>
      </c>
      <c r="H403" s="93">
        <f>G403*F403</f>
        <v>5.5701000000000001E-2</v>
      </c>
      <c r="I403" s="65">
        <v>2.9999999999999997E-4</v>
      </c>
      <c r="J403" s="77">
        <f>E378*E381</f>
        <v>185.67000000000002</v>
      </c>
      <c r="K403" s="93">
        <f>J403*I403</f>
        <v>5.5701000000000001E-2</v>
      </c>
      <c r="L403" s="62">
        <f t="shared" si="25"/>
        <v>0</v>
      </c>
      <c r="M403" s="63">
        <f>IF(ISERROR(L403/H403), "", L403/H403)</f>
        <v>0</v>
      </c>
    </row>
    <row r="404" spans="2:13" x14ac:dyDescent="0.25">
      <c r="C404" s="8"/>
      <c r="D404" s="94" t="s">
        <v>75</v>
      </c>
      <c r="E404" s="56"/>
      <c r="F404" s="81">
        <v>0.25</v>
      </c>
      <c r="G404" s="58">
        <v>1</v>
      </c>
      <c r="H404" s="93">
        <f>G404*F404</f>
        <v>0.25</v>
      </c>
      <c r="I404" s="82">
        <v>0.25</v>
      </c>
      <c r="J404" s="61">
        <v>1</v>
      </c>
      <c r="K404" s="93">
        <f>J404*I404</f>
        <v>0.25</v>
      </c>
      <c r="L404" s="62">
        <f t="shared" si="25"/>
        <v>0</v>
      </c>
      <c r="M404" s="63">
        <f>IF(ISERROR(L404/H404), "", L404/H404)</f>
        <v>0</v>
      </c>
    </row>
    <row r="405" spans="2:13" x14ac:dyDescent="0.25">
      <c r="C405" s="8"/>
      <c r="D405" s="94" t="s">
        <v>76</v>
      </c>
      <c r="E405" s="56"/>
      <c r="F405" s="64">
        <v>7.0000000000000001E-3</v>
      </c>
      <c r="G405" s="78">
        <f>E378</f>
        <v>180</v>
      </c>
      <c r="H405" s="93">
        <f>G405*F405</f>
        <v>1.26</v>
      </c>
      <c r="I405" s="150">
        <v>7.0000000000000001E-3</v>
      </c>
      <c r="J405" s="78">
        <f>E378</f>
        <v>180</v>
      </c>
      <c r="K405" s="93">
        <f>J405*I405</f>
        <v>1.26</v>
      </c>
      <c r="L405" s="62">
        <f t="shared" si="25"/>
        <v>0</v>
      </c>
      <c r="M405" s="63">
        <f>IF(ISERROR(L405/H405), "", L405/H405)</f>
        <v>0</v>
      </c>
    </row>
    <row r="406" spans="2:13" ht="25.5" x14ac:dyDescent="0.25">
      <c r="C406" s="8"/>
      <c r="D406" s="92" t="s">
        <v>77</v>
      </c>
      <c r="E406" s="56"/>
      <c r="F406" s="64"/>
      <c r="G406" s="77"/>
      <c r="H406" s="93"/>
      <c r="I406" s="65"/>
      <c r="J406" s="77"/>
      <c r="K406" s="93"/>
      <c r="L406" s="62"/>
      <c r="M406" s="63"/>
    </row>
    <row r="407" spans="2:13" x14ac:dyDescent="0.25">
      <c r="C407" s="8"/>
      <c r="D407" s="101" t="s">
        <v>78</v>
      </c>
      <c r="E407" s="56"/>
      <c r="F407" s="102">
        <v>6.5000000000000002E-2</v>
      </c>
      <c r="G407" s="103">
        <f>IF(AND(E378*12&gt;=150000),0.65*E378*E380,0.65*E378)</f>
        <v>117</v>
      </c>
      <c r="H407" s="93">
        <f>G407*F407</f>
        <v>7.6050000000000004</v>
      </c>
      <c r="I407" s="104">
        <v>6.5000000000000002E-2</v>
      </c>
      <c r="J407" s="103">
        <f>IF(AND(E378*12&gt;=150000),0.65*E378*E381,0.65*E378)</f>
        <v>117</v>
      </c>
      <c r="K407" s="93">
        <f>J407*I407</f>
        <v>7.6050000000000004</v>
      </c>
      <c r="L407" s="62">
        <f>K407-H407</f>
        <v>0</v>
      </c>
      <c r="M407" s="63">
        <f>IF(ISERROR(L407/H407), "", L407/H407)</f>
        <v>0</v>
      </c>
    </row>
    <row r="408" spans="2:13" x14ac:dyDescent="0.25">
      <c r="C408" s="8"/>
      <c r="D408" s="101" t="s">
        <v>79</v>
      </c>
      <c r="E408" s="56"/>
      <c r="F408" s="102">
        <v>9.5000000000000001E-2</v>
      </c>
      <c r="G408" s="103">
        <f>IF(AND(E378*12&gt;=150000),0.17*E378*E380,0.17*E378)</f>
        <v>30.6</v>
      </c>
      <c r="H408" s="93">
        <f>G408*F408</f>
        <v>2.907</v>
      </c>
      <c r="I408" s="104">
        <v>9.5000000000000001E-2</v>
      </c>
      <c r="J408" s="103">
        <f>IF(AND(E378*12&gt;=150000),0.17*E378*E381,0.17*E378)</f>
        <v>30.6</v>
      </c>
      <c r="K408" s="93">
        <f>J408*I408</f>
        <v>2.907</v>
      </c>
      <c r="L408" s="62">
        <f>K408-H408</f>
        <v>0</v>
      </c>
      <c r="M408" s="63">
        <f>IF(ISERROR(L408/H408), "", L408/H408)</f>
        <v>0</v>
      </c>
    </row>
    <row r="409" spans="2:13" x14ac:dyDescent="0.25">
      <c r="C409" s="8"/>
      <c r="D409" s="43" t="s">
        <v>80</v>
      </c>
      <c r="E409" s="56"/>
      <c r="F409" s="102">
        <v>0.13200000000000001</v>
      </c>
      <c r="G409" s="103">
        <f>IF(AND(E378*12&gt;=150000),0.18*E378*E380,0.18*E378)</f>
        <v>32.4</v>
      </c>
      <c r="H409" s="93">
        <f>G409*F409</f>
        <v>4.2767999999999997</v>
      </c>
      <c r="I409" s="104">
        <v>0.13200000000000001</v>
      </c>
      <c r="J409" s="103">
        <f>IF(AND(E378*12&gt;=150000),0.18*E378*E381,0.18*E378)</f>
        <v>32.4</v>
      </c>
      <c r="K409" s="93">
        <f>J409*I409</f>
        <v>4.2767999999999997</v>
      </c>
      <c r="L409" s="62">
        <f>K409-H409</f>
        <v>0</v>
      </c>
      <c r="M409" s="63">
        <f>IF(ISERROR(L409/H409), "", L409/H409)</f>
        <v>0</v>
      </c>
    </row>
    <row r="410" spans="2:13" x14ac:dyDescent="0.25">
      <c r="C410" s="8"/>
      <c r="D410" s="101" t="s">
        <v>81</v>
      </c>
      <c r="E410" s="56"/>
      <c r="F410" s="105">
        <v>0.1101</v>
      </c>
      <c r="G410" s="103">
        <f>IF(AND(E378*12&gt;=150000),E378*E380,E378)</f>
        <v>180</v>
      </c>
      <c r="H410" s="93">
        <f>G410*F410</f>
        <v>19.818000000000001</v>
      </c>
      <c r="I410" s="106">
        <f>F410</f>
        <v>0.1101</v>
      </c>
      <c r="J410" s="103">
        <f>IF(AND(E378*12&gt;=150000),E378*E381,E378)</f>
        <v>180</v>
      </c>
      <c r="K410" s="93">
        <f>J410*I410</f>
        <v>19.818000000000001</v>
      </c>
      <c r="L410" s="62">
        <f>K410-H410</f>
        <v>0</v>
      </c>
      <c r="M410" s="63">
        <f>IF(ISERROR(L410/H410), "", L410/H410)</f>
        <v>0</v>
      </c>
    </row>
    <row r="411" spans="2:13" ht="15.75" thickBot="1" x14ac:dyDescent="0.3">
      <c r="C411" s="9"/>
      <c r="D411" s="101" t="s">
        <v>82</v>
      </c>
      <c r="E411" s="56"/>
      <c r="F411" s="105">
        <v>0.1101</v>
      </c>
      <c r="G411" s="103">
        <f>IF(AND(E378*12&gt;=150000),E378*E380,E378)</f>
        <v>180</v>
      </c>
      <c r="H411" s="93">
        <f>G411*F411</f>
        <v>19.818000000000001</v>
      </c>
      <c r="I411" s="106">
        <f>F411</f>
        <v>0.1101</v>
      </c>
      <c r="J411" s="103">
        <f>IF(AND(E378*12&gt;=150000),E378*E381,E378)</f>
        <v>180</v>
      </c>
      <c r="K411" s="93">
        <f>J411*I411</f>
        <v>19.818000000000001</v>
      </c>
      <c r="L411" s="62">
        <f>K411-H411</f>
        <v>0</v>
      </c>
      <c r="M411" s="63">
        <f>IF(ISERROR(L411/H411), "", L411/H411)</f>
        <v>0</v>
      </c>
    </row>
    <row r="412" spans="2:13" ht="15.75" thickBot="1" x14ac:dyDescent="0.3">
      <c r="C412" s="9"/>
      <c r="D412" s="107"/>
      <c r="E412" s="108"/>
      <c r="F412" s="109"/>
      <c r="G412" s="110"/>
      <c r="H412" s="111"/>
      <c r="I412" s="109"/>
      <c r="J412" s="112"/>
      <c r="K412" s="111"/>
      <c r="L412" s="113"/>
      <c r="M412" s="114"/>
    </row>
    <row r="413" spans="2:13" hidden="1" x14ac:dyDescent="0.25">
      <c r="C413" s="9"/>
      <c r="D413" s="115" t="s">
        <v>83</v>
      </c>
      <c r="E413" s="94"/>
      <c r="F413" s="116"/>
      <c r="G413" s="117"/>
      <c r="H413" s="118">
        <f>SUM(H402:H409,H401)</f>
        <v>23.948510000000006</v>
      </c>
      <c r="I413" s="119"/>
      <c r="J413" s="119"/>
      <c r="K413" s="118">
        <f>SUM(K402:K409,K401)</f>
        <v>24.058365333649537</v>
      </c>
      <c r="L413" s="120">
        <f>K413-H413</f>
        <v>0.10985533364953071</v>
      </c>
      <c r="M413" s="121">
        <f>IF((H413)=0,"",(L413/H413))</f>
        <v>4.5871469101639592E-3</v>
      </c>
    </row>
    <row r="414" spans="2:13" hidden="1" x14ac:dyDescent="0.25">
      <c r="C414" s="9"/>
      <c r="D414" s="122" t="s">
        <v>84</v>
      </c>
      <c r="E414" s="94"/>
      <c r="F414" s="116">
        <v>0.13</v>
      </c>
      <c r="G414" s="123"/>
      <c r="H414" s="124">
        <f>H413*F414</f>
        <v>3.113306300000001</v>
      </c>
      <c r="I414" s="125">
        <v>0.13</v>
      </c>
      <c r="J414" s="58"/>
      <c r="K414" s="124">
        <f>K413*I414</f>
        <v>3.1275874933744401</v>
      </c>
      <c r="L414" s="126">
        <f>K414-H414</f>
        <v>1.4281193374439116E-2</v>
      </c>
      <c r="M414" s="127">
        <f>IF((H414)=0,"",(L414/H414))</f>
        <v>4.5871469101639991E-3</v>
      </c>
    </row>
    <row r="415" spans="2:13" hidden="1" x14ac:dyDescent="0.25">
      <c r="B415" s="151"/>
      <c r="C415" s="9"/>
      <c r="D415" s="122" t="s">
        <v>85</v>
      </c>
      <c r="E415" s="94"/>
      <c r="F415" s="116">
        <v>0.08</v>
      </c>
      <c r="G415" s="123"/>
      <c r="H415" s="124">
        <v>0</v>
      </c>
      <c r="I415" s="116">
        <v>0.08</v>
      </c>
      <c r="J415" s="58"/>
      <c r="K415" s="124">
        <v>0</v>
      </c>
      <c r="L415" s="126">
        <f>K415-H415</f>
        <v>0</v>
      </c>
      <c r="M415" s="127"/>
    </row>
    <row r="416" spans="2:13" ht="15.75" hidden="1" thickBot="1" x14ac:dyDescent="0.3">
      <c r="C416" s="9"/>
      <c r="D416" s="308" t="s">
        <v>86</v>
      </c>
      <c r="E416" s="308"/>
      <c r="F416" s="128"/>
      <c r="G416" s="129"/>
      <c r="H416" s="130">
        <f>H413+H414+H415</f>
        <v>27.061816300000007</v>
      </c>
      <c r="I416" s="131"/>
      <c r="J416" s="131"/>
      <c r="K416" s="132">
        <f>K413+K414+K415</f>
        <v>27.185952827023975</v>
      </c>
      <c r="L416" s="133">
        <f>K416-H416</f>
        <v>0.1241365270239676</v>
      </c>
      <c r="M416" s="134">
        <f>IF((H416)=0,"",(L416/H416))</f>
        <v>4.587146910163882E-3</v>
      </c>
    </row>
    <row r="417" spans="2:13" ht="15.75" hidden="1" thickBot="1" x14ac:dyDescent="0.3">
      <c r="C417" s="9"/>
      <c r="D417" s="107"/>
      <c r="E417" s="108"/>
      <c r="F417" s="109"/>
      <c r="G417" s="110"/>
      <c r="H417" s="111"/>
      <c r="I417" s="109"/>
      <c r="J417" s="112"/>
      <c r="K417" s="111"/>
      <c r="L417" s="113"/>
      <c r="M417" s="114"/>
    </row>
    <row r="418" spans="2:13" x14ac:dyDescent="0.25">
      <c r="C418" s="9"/>
      <c r="D418" s="115" t="s">
        <v>87</v>
      </c>
      <c r="E418" s="94"/>
      <c r="F418" s="116"/>
      <c r="G418" s="117"/>
      <c r="H418" s="118">
        <f>SUM(H410,H402:H406,H401)</f>
        <v>28.977710000000005</v>
      </c>
      <c r="I418" s="119"/>
      <c r="J418" s="119"/>
      <c r="K418" s="118">
        <f>SUM(K410,K402:K406,K401)</f>
        <v>29.087565333649536</v>
      </c>
      <c r="L418" s="120">
        <f>K418-H418</f>
        <v>0.10985533364953071</v>
      </c>
      <c r="M418" s="121">
        <f>IF((H418)=0,"",(L418/H418))</f>
        <v>3.7910288166156225E-3</v>
      </c>
    </row>
    <row r="419" spans="2:13" x14ac:dyDescent="0.25">
      <c r="C419" s="9"/>
      <c r="D419" s="122" t="s">
        <v>84</v>
      </c>
      <c r="E419" s="94"/>
      <c r="F419" s="116">
        <v>0.13</v>
      </c>
      <c r="G419" s="117"/>
      <c r="H419" s="124">
        <f>H418*F419</f>
        <v>3.7671023000000008</v>
      </c>
      <c r="I419" s="116">
        <v>0.13</v>
      </c>
      <c r="J419" s="125"/>
      <c r="K419" s="124">
        <f>K418*I419</f>
        <v>3.7813834933744399</v>
      </c>
      <c r="L419" s="126">
        <f>K419-H419</f>
        <v>1.4281193374439116E-2</v>
      </c>
      <c r="M419" s="127">
        <f>IF((H419)=0,"",(L419/H419))</f>
        <v>3.7910288166156554E-3</v>
      </c>
    </row>
    <row r="420" spans="2:13" x14ac:dyDescent="0.25">
      <c r="C420" s="9"/>
      <c r="D420" s="122" t="s">
        <v>85</v>
      </c>
      <c r="E420" s="94"/>
      <c r="F420" s="116">
        <v>0.08</v>
      </c>
      <c r="G420" s="117"/>
      <c r="H420" s="124">
        <v>0</v>
      </c>
      <c r="I420" s="116">
        <v>0.08</v>
      </c>
      <c r="J420" s="125"/>
      <c r="K420" s="124">
        <v>0</v>
      </c>
      <c r="L420" s="126"/>
      <c r="M420" s="127"/>
    </row>
    <row r="421" spans="2:13" ht="15.75" thickBot="1" x14ac:dyDescent="0.3">
      <c r="C421" s="9"/>
      <c r="D421" s="308" t="s">
        <v>87</v>
      </c>
      <c r="E421" s="308"/>
      <c r="F421" s="135"/>
      <c r="G421" s="136"/>
      <c r="H421" s="130">
        <f>SUM(H418,H419)</f>
        <v>32.744812300000007</v>
      </c>
      <c r="I421" s="137"/>
      <c r="J421" s="137"/>
      <c r="K421" s="130">
        <f>SUM(K418,K419)</f>
        <v>32.868948827023978</v>
      </c>
      <c r="L421" s="138">
        <f>K421-H421</f>
        <v>0.12413652702397115</v>
      </c>
      <c r="M421" s="139">
        <f>IF((H421)=0,"",(L421/H421))</f>
        <v>3.7910288166156667E-3</v>
      </c>
    </row>
    <row r="422" spans="2:13" ht="15.75" thickBot="1" x14ac:dyDescent="0.3">
      <c r="C422" s="9"/>
      <c r="D422" s="107"/>
      <c r="E422" s="108"/>
      <c r="F422" s="140"/>
      <c r="G422" s="141"/>
      <c r="H422" s="142"/>
      <c r="I422" s="140"/>
      <c r="J422" s="110"/>
      <c r="K422" s="142"/>
      <c r="L422" s="143"/>
      <c r="M422" s="114"/>
    </row>
    <row r="423" spans="2:13" hidden="1" x14ac:dyDescent="0.25">
      <c r="B423" s="43"/>
      <c r="C423" s="9"/>
      <c r="D423" s="115" t="s">
        <v>88</v>
      </c>
      <c r="E423" s="94"/>
      <c r="F423" s="116"/>
      <c r="G423" s="117"/>
      <c r="H423" s="118">
        <f>SUM(H411,H402:H406,H401)</f>
        <v>28.977710000000005</v>
      </c>
      <c r="I423" s="119"/>
      <c r="J423" s="119"/>
      <c r="K423" s="118">
        <f>SUM(K411,K402:K406,K401)</f>
        <v>29.087565333649536</v>
      </c>
      <c r="L423" s="120">
        <f>K423-H423</f>
        <v>0.10985533364953071</v>
      </c>
      <c r="M423" s="121">
        <f>IF((H423)=0,"",(L423/H423))</f>
        <v>3.7910288166156225E-3</v>
      </c>
    </row>
    <row r="424" spans="2:13" hidden="1" x14ac:dyDescent="0.25">
      <c r="C424" s="9"/>
      <c r="D424" s="122" t="s">
        <v>84</v>
      </c>
      <c r="E424" s="94"/>
      <c r="F424" s="116">
        <v>0.13</v>
      </c>
      <c r="G424" s="117"/>
      <c r="H424" s="124">
        <f>H423*F424</f>
        <v>3.7671023000000008</v>
      </c>
      <c r="I424" s="116">
        <v>0.13</v>
      </c>
      <c r="J424" s="125"/>
      <c r="K424" s="124">
        <f>K423*I424</f>
        <v>3.7813834933744399</v>
      </c>
      <c r="L424" s="126">
        <f>K424-H424</f>
        <v>1.4281193374439116E-2</v>
      </c>
      <c r="M424" s="127">
        <f>IF((H424)=0,"",(L424/H424))</f>
        <v>3.7910288166156554E-3</v>
      </c>
    </row>
    <row r="425" spans="2:13" hidden="1" x14ac:dyDescent="0.25">
      <c r="C425" s="9"/>
      <c r="D425" s="122" t="s">
        <v>85</v>
      </c>
      <c r="E425" s="94"/>
      <c r="F425" s="116">
        <v>0.08</v>
      </c>
      <c r="G425" s="117"/>
      <c r="H425" s="124">
        <v>0</v>
      </c>
      <c r="I425" s="116">
        <v>0.08</v>
      </c>
      <c r="J425" s="125"/>
      <c r="K425" s="124">
        <v>0</v>
      </c>
      <c r="L425" s="126"/>
      <c r="M425" s="127"/>
    </row>
    <row r="426" spans="2:13" ht="15.75" hidden="1" thickBot="1" x14ac:dyDescent="0.3">
      <c r="B426" s="43"/>
      <c r="C426" s="9"/>
      <c r="D426" s="308" t="s">
        <v>88</v>
      </c>
      <c r="E426" s="308"/>
      <c r="F426" s="135"/>
      <c r="G426" s="136"/>
      <c r="H426" s="130">
        <f>SUM(H423,H424)</f>
        <v>32.744812300000007</v>
      </c>
      <c r="I426" s="137"/>
      <c r="J426" s="137"/>
      <c r="K426" s="130">
        <f>SUM(K423,K424)</f>
        <v>32.868948827023978</v>
      </c>
      <c r="L426" s="138">
        <f>K426-H426</f>
        <v>0.12413652702397115</v>
      </c>
      <c r="M426" s="139">
        <f>IF((H426)=0,"",(L426/H426))</f>
        <v>3.7910288166156667E-3</v>
      </c>
    </row>
    <row r="427" spans="2:13" ht="15.75" hidden="1" thickBot="1" x14ac:dyDescent="0.3">
      <c r="C427" s="9"/>
      <c r="D427" s="107"/>
      <c r="E427" s="108"/>
      <c r="F427" s="144"/>
      <c r="G427" s="145"/>
      <c r="H427" s="146"/>
      <c r="I427" s="144"/>
      <c r="J427" s="147"/>
      <c r="K427" s="146"/>
      <c r="L427" s="148"/>
      <c r="M427" s="149"/>
    </row>
    <row r="428" spans="2:13" x14ac:dyDescent="0.25">
      <c r="C428" s="9"/>
    </row>
    <row r="429" spans="2:13" x14ac:dyDescent="0.25">
      <c r="C429" s="9"/>
    </row>
    <row r="430" spans="2:13" x14ac:dyDescent="0.25">
      <c r="C430" s="9"/>
      <c r="D430" s="39" t="s">
        <v>42</v>
      </c>
      <c r="E430" s="303" t="s">
        <v>18</v>
      </c>
      <c r="F430" s="303"/>
      <c r="G430" s="303"/>
      <c r="H430" s="303"/>
      <c r="I430" s="303"/>
      <c r="J430" s="303"/>
      <c r="K430" s="8" t="s">
        <v>89</v>
      </c>
    </row>
    <row r="431" spans="2:13" x14ac:dyDescent="0.25">
      <c r="C431" s="9"/>
      <c r="D431" s="39" t="s">
        <v>43</v>
      </c>
      <c r="E431" s="304" t="s">
        <v>20</v>
      </c>
      <c r="F431" s="304"/>
      <c r="G431" s="304"/>
      <c r="H431" s="40"/>
      <c r="I431" s="40"/>
    </row>
    <row r="432" spans="2:13" ht="15.75" x14ac:dyDescent="0.25">
      <c r="B432" s="43"/>
      <c r="C432" s="9"/>
      <c r="D432" s="39" t="s">
        <v>44</v>
      </c>
      <c r="E432" s="41">
        <v>2000</v>
      </c>
      <c r="F432" s="42" t="s">
        <v>19</v>
      </c>
      <c r="G432" s="43"/>
      <c r="J432" s="44"/>
      <c r="K432" s="44"/>
      <c r="L432" s="44"/>
      <c r="M432" s="44"/>
    </row>
    <row r="433" spans="2:13" ht="15.75" x14ac:dyDescent="0.25">
      <c r="B433" s="43"/>
      <c r="C433" s="9"/>
      <c r="D433" s="39" t="s">
        <v>45</v>
      </c>
      <c r="E433" s="41">
        <v>0</v>
      </c>
      <c r="F433" s="45" t="s">
        <v>21</v>
      </c>
      <c r="G433" s="46"/>
      <c r="H433" s="47"/>
      <c r="I433" s="47"/>
      <c r="J433" s="47"/>
    </row>
    <row r="434" spans="2:13" x14ac:dyDescent="0.25">
      <c r="B434" s="43"/>
      <c r="C434" s="9"/>
      <c r="D434" s="39" t="s">
        <v>46</v>
      </c>
      <c r="E434" s="48">
        <v>1.0315000000000001</v>
      </c>
    </row>
    <row r="435" spans="2:13" x14ac:dyDescent="0.25">
      <c r="C435" s="9"/>
      <c r="D435" s="39" t="s">
        <v>47</v>
      </c>
      <c r="E435" s="48">
        <v>1.0315000000000001</v>
      </c>
    </row>
    <row r="436" spans="2:13" x14ac:dyDescent="0.25">
      <c r="C436" s="9"/>
      <c r="D436" s="43"/>
    </row>
    <row r="437" spans="2:13" x14ac:dyDescent="0.25">
      <c r="B437" s="43"/>
      <c r="C437" s="9"/>
      <c r="D437" s="43"/>
      <c r="E437" s="49"/>
      <c r="F437" s="305" t="s">
        <v>48</v>
      </c>
      <c r="G437" s="306"/>
      <c r="H437" s="307"/>
      <c r="I437" s="305" t="s">
        <v>49</v>
      </c>
      <c r="J437" s="306"/>
      <c r="K437" s="307"/>
      <c r="L437" s="305" t="s">
        <v>50</v>
      </c>
      <c r="M437" s="307"/>
    </row>
    <row r="438" spans="2:13" x14ac:dyDescent="0.25">
      <c r="B438" s="43"/>
      <c r="C438" s="9"/>
      <c r="D438" s="43"/>
      <c r="E438" s="309"/>
      <c r="F438" s="50" t="s">
        <v>51</v>
      </c>
      <c r="G438" s="50" t="s">
        <v>52</v>
      </c>
      <c r="H438" s="51" t="s">
        <v>53</v>
      </c>
      <c r="I438" s="50" t="s">
        <v>51</v>
      </c>
      <c r="J438" s="52" t="s">
        <v>52</v>
      </c>
      <c r="K438" s="51" t="s">
        <v>53</v>
      </c>
      <c r="L438" s="311" t="s">
        <v>54</v>
      </c>
      <c r="M438" s="313" t="s">
        <v>55</v>
      </c>
    </row>
    <row r="439" spans="2:13" x14ac:dyDescent="0.25">
      <c r="B439" s="43"/>
      <c r="C439" s="9"/>
      <c r="D439" s="43"/>
      <c r="E439" s="310"/>
      <c r="F439" s="53" t="s">
        <v>56</v>
      </c>
      <c r="G439" s="53"/>
      <c r="H439" s="54" t="s">
        <v>56</v>
      </c>
      <c r="I439" s="53" t="s">
        <v>56</v>
      </c>
      <c r="J439" s="54"/>
      <c r="K439" s="54" t="s">
        <v>56</v>
      </c>
      <c r="L439" s="312"/>
      <c r="M439" s="314"/>
    </row>
    <row r="440" spans="2:13" x14ac:dyDescent="0.25">
      <c r="B440" s="43"/>
      <c r="C440" s="9"/>
      <c r="D440" s="55" t="s">
        <v>57</v>
      </c>
      <c r="E440" s="56"/>
      <c r="F440" s="57">
        <v>2.3199999999999998</v>
      </c>
      <c r="G440" s="58">
        <v>1</v>
      </c>
      <c r="H440" s="59">
        <f>G440*F440</f>
        <v>2.3199999999999998</v>
      </c>
      <c r="I440" s="60">
        <v>2.36</v>
      </c>
      <c r="J440" s="61">
        <f>G440</f>
        <v>1</v>
      </c>
      <c r="K440" s="59">
        <f>J440*I440</f>
        <v>2.36</v>
      </c>
      <c r="L440" s="62">
        <f t="shared" ref="L440:L459" si="29">K440-H440</f>
        <v>4.0000000000000036E-2</v>
      </c>
      <c r="M440" s="63">
        <f>IF(ISERROR(L440/H440), "", L440/H440)</f>
        <v>1.7241379310344845E-2</v>
      </c>
    </row>
    <row r="441" spans="2:13" x14ac:dyDescent="0.25">
      <c r="B441" s="43"/>
      <c r="C441" s="9"/>
      <c r="D441" s="55" t="s">
        <v>58</v>
      </c>
      <c r="E441" s="56"/>
      <c r="F441" s="64">
        <v>0.02</v>
      </c>
      <c r="G441" s="58">
        <f>IF($E433&gt;0, $E433, $E432)</f>
        <v>2000</v>
      </c>
      <c r="H441" s="59">
        <f>G441*F441</f>
        <v>40</v>
      </c>
      <c r="I441" s="65">
        <v>2.0400000000000001E-2</v>
      </c>
      <c r="J441" s="61">
        <f>IF($E433&gt;0, $E433, $E432)</f>
        <v>2000</v>
      </c>
      <c r="K441" s="59">
        <f>J441*I441</f>
        <v>40.800000000000004</v>
      </c>
      <c r="L441" s="62">
        <f t="shared" si="29"/>
        <v>0.80000000000000426</v>
      </c>
      <c r="M441" s="63">
        <f>IF(ISERROR(L441/H441), "", L441/H441)</f>
        <v>2.0000000000000108E-2</v>
      </c>
    </row>
    <row r="442" spans="2:13" x14ac:dyDescent="0.25">
      <c r="C442" s="9"/>
      <c r="D442" s="66" t="s">
        <v>59</v>
      </c>
      <c r="E442" s="56"/>
      <c r="F442" s="57">
        <v>0.03</v>
      </c>
      <c r="G442" s="58">
        <f>+G440</f>
        <v>1</v>
      </c>
      <c r="H442" s="59">
        <f>G442*F442</f>
        <v>0.03</v>
      </c>
      <c r="I442" s="60">
        <v>0.11</v>
      </c>
      <c r="J442" s="61">
        <f>G442</f>
        <v>1</v>
      </c>
      <c r="K442" s="59">
        <f>J442*I442</f>
        <v>0.11</v>
      </c>
      <c r="L442" s="62">
        <f t="shared" si="29"/>
        <v>0.08</v>
      </c>
      <c r="M442" s="63">
        <f>IF(ISERROR(L442/H442), "", L442/H442)</f>
        <v>2.666666666666667</v>
      </c>
    </row>
    <row r="443" spans="2:13" x14ac:dyDescent="0.25">
      <c r="C443" s="9"/>
      <c r="D443" s="55" t="s">
        <v>60</v>
      </c>
      <c r="E443" s="56"/>
      <c r="F443" s="64">
        <v>-5.9999999999999995E-4</v>
      </c>
      <c r="G443" s="58">
        <f>IF($E433&gt;0, $E433, $E432)</f>
        <v>2000</v>
      </c>
      <c r="H443" s="59">
        <f>G443*F443</f>
        <v>-1.2</v>
      </c>
      <c r="I443" s="65">
        <v>-2.1451477832988911E-4</v>
      </c>
      <c r="J443" s="61">
        <f>IF($E433&gt;0, $E433, $E432)</f>
        <v>2000</v>
      </c>
      <c r="K443" s="59">
        <f>J443*I443</f>
        <v>-0.42902955665977821</v>
      </c>
      <c r="L443" s="62">
        <f t="shared" si="29"/>
        <v>0.7709704433402218</v>
      </c>
      <c r="M443" s="63">
        <f>IF(ISERROR(L443/H443), "", L443/H443)</f>
        <v>-0.64247536945018491</v>
      </c>
    </row>
    <row r="444" spans="2:13" x14ac:dyDescent="0.25">
      <c r="C444" s="9"/>
      <c r="D444" s="67" t="s">
        <v>61</v>
      </c>
      <c r="E444" s="68"/>
      <c r="F444" s="69"/>
      <c r="G444" s="70"/>
      <c r="H444" s="71">
        <f>SUM(H440:H443)</f>
        <v>41.15</v>
      </c>
      <c r="I444" s="72"/>
      <c r="J444" s="73"/>
      <c r="K444" s="71">
        <f>SUM(K440:K443)</f>
        <v>42.840970443340225</v>
      </c>
      <c r="L444" s="74">
        <f t="shared" si="29"/>
        <v>1.6909704433402268</v>
      </c>
      <c r="M444" s="75">
        <f>IF((H444)=0,"",(L444/H444))</f>
        <v>4.1092841879470883E-2</v>
      </c>
    </row>
    <row r="445" spans="2:13" x14ac:dyDescent="0.25">
      <c r="C445" s="9"/>
      <c r="D445" s="76" t="s">
        <v>62</v>
      </c>
      <c r="E445" s="56"/>
      <c r="F445" s="64">
        <f>IF((E432*12&gt;=150000), 0, IF(E431="RPP",(F461*0.65+F462*0.17+F463*0.18),IF(E431="Non-RPP (Retailer)",F464,F465)))</f>
        <v>8.2160000000000011E-2</v>
      </c>
      <c r="G445" s="77">
        <f>IF(F445=0, 0, $E432*E434-E432)</f>
        <v>63</v>
      </c>
      <c r="H445" s="59">
        <f t="shared" ref="H445:H451" si="30">G445*F445</f>
        <v>5.1760800000000007</v>
      </c>
      <c r="I445" s="65">
        <f>IF((E432*12&gt;=150000), 0, IF(E431="RPP",(I461*0.65+I462*0.17+I463*0.18),IF(E431="Non-RPP (Retailer)",I464,I465)))</f>
        <v>8.2160000000000011E-2</v>
      </c>
      <c r="J445" s="77">
        <f>IF(I445=0, 0, E432*E435-E432)</f>
        <v>63</v>
      </c>
      <c r="K445" s="59">
        <f t="shared" ref="K445:K451" si="31">J445*I445</f>
        <v>5.1760800000000007</v>
      </c>
      <c r="L445" s="62">
        <f t="shared" si="29"/>
        <v>0</v>
      </c>
      <c r="M445" s="63">
        <f t="shared" ref="M445:M451" si="32">IF(ISERROR(L445/H445), "", L445/H445)</f>
        <v>0</v>
      </c>
    </row>
    <row r="446" spans="2:13" ht="25.5" x14ac:dyDescent="0.25">
      <c r="C446" s="9"/>
      <c r="D446" s="76" t="s">
        <v>63</v>
      </c>
      <c r="E446" s="56"/>
      <c r="F446" s="64">
        <v>-2.7000000000000001E-3</v>
      </c>
      <c r="G446" s="78">
        <f>IF($E433&gt;0, $E433, $E432)</f>
        <v>2000</v>
      </c>
      <c r="H446" s="59">
        <f t="shared" si="30"/>
        <v>-5.4</v>
      </c>
      <c r="I446" s="65">
        <v>-8.0000000000000004E-4</v>
      </c>
      <c r="J446" s="78">
        <f>IF($E433&gt;0, $E433, $E432)</f>
        <v>2000</v>
      </c>
      <c r="K446" s="59">
        <f t="shared" si="31"/>
        <v>-1.6</v>
      </c>
      <c r="L446" s="62">
        <f t="shared" si="29"/>
        <v>3.8000000000000003</v>
      </c>
      <c r="M446" s="63">
        <f t="shared" si="32"/>
        <v>-0.70370370370370372</v>
      </c>
    </row>
    <row r="447" spans="2:13" x14ac:dyDescent="0.25">
      <c r="C447" s="9"/>
      <c r="D447" s="76" t="s">
        <v>64</v>
      </c>
      <c r="E447" s="56"/>
      <c r="F447" s="64">
        <v>2.9999999999999997E-4</v>
      </c>
      <c r="G447" s="78">
        <f>IF($E433&gt;0, $E433, $E432)</f>
        <v>2000</v>
      </c>
      <c r="H447" s="59">
        <f t="shared" si="30"/>
        <v>0.6</v>
      </c>
      <c r="I447" s="65">
        <v>0</v>
      </c>
      <c r="J447" s="78">
        <f>IF($E433&gt;0, $E433, $E432)</f>
        <v>2000</v>
      </c>
      <c r="K447" s="59">
        <f t="shared" si="31"/>
        <v>0</v>
      </c>
      <c r="L447" s="62">
        <f t="shared" si="29"/>
        <v>-0.6</v>
      </c>
      <c r="M447" s="63">
        <f t="shared" si="32"/>
        <v>-1</v>
      </c>
    </row>
    <row r="448" spans="2:13" x14ac:dyDescent="0.25">
      <c r="C448" s="9"/>
      <c r="D448" s="76" t="s">
        <v>65</v>
      </c>
      <c r="E448" s="56"/>
      <c r="F448" s="64">
        <v>0</v>
      </c>
      <c r="G448" s="78">
        <f>E432</f>
        <v>2000</v>
      </c>
      <c r="H448" s="59">
        <f t="shared" si="30"/>
        <v>0</v>
      </c>
      <c r="I448" s="65">
        <v>0</v>
      </c>
      <c r="J448" s="78">
        <f>E432</f>
        <v>2000</v>
      </c>
      <c r="K448" s="59">
        <f t="shared" si="31"/>
        <v>0</v>
      </c>
      <c r="L448" s="62">
        <f t="shared" si="29"/>
        <v>0</v>
      </c>
      <c r="M448" s="63" t="str">
        <f t="shared" si="32"/>
        <v/>
      </c>
    </row>
    <row r="449" spans="3:13" x14ac:dyDescent="0.25">
      <c r="C449" s="9"/>
      <c r="D449" s="79" t="s">
        <v>66</v>
      </c>
      <c r="E449" s="56"/>
      <c r="F449" s="64">
        <v>0</v>
      </c>
      <c r="G449" s="78">
        <f>IF($E433&gt;0, $E433, $E432)</f>
        <v>2000</v>
      </c>
      <c r="H449" s="59">
        <f t="shared" si="30"/>
        <v>0</v>
      </c>
      <c r="I449" s="65"/>
      <c r="J449" s="78">
        <f>IF($E433&gt;0, $E433, $E432)</f>
        <v>2000</v>
      </c>
      <c r="K449" s="59">
        <f t="shared" si="31"/>
        <v>0</v>
      </c>
      <c r="L449" s="62">
        <f t="shared" si="29"/>
        <v>0</v>
      </c>
      <c r="M449" s="63" t="str">
        <f t="shared" si="32"/>
        <v/>
      </c>
    </row>
    <row r="450" spans="3:13" ht="51" x14ac:dyDescent="0.25">
      <c r="C450" s="9"/>
      <c r="D450" s="80" t="s">
        <v>67</v>
      </c>
      <c r="E450" s="56"/>
      <c r="F450" s="81">
        <v>0</v>
      </c>
      <c r="G450" s="58">
        <v>1</v>
      </c>
      <c r="H450" s="59">
        <f t="shared" si="30"/>
        <v>0</v>
      </c>
      <c r="I450" s="82">
        <v>0</v>
      </c>
      <c r="J450" s="58">
        <v>1</v>
      </c>
      <c r="K450" s="59">
        <f t="shared" si="31"/>
        <v>0</v>
      </c>
      <c r="L450" s="62">
        <f t="shared" si="29"/>
        <v>0</v>
      </c>
      <c r="M450" s="63" t="str">
        <f t="shared" si="32"/>
        <v/>
      </c>
    </row>
    <row r="451" spans="3:13" x14ac:dyDescent="0.25">
      <c r="C451" s="9"/>
      <c r="D451" s="79" t="s">
        <v>68</v>
      </c>
      <c r="E451" s="56"/>
      <c r="F451" s="64"/>
      <c r="G451" s="78">
        <f>IF($E433&gt;0, $E433, $E432)</f>
        <v>2000</v>
      </c>
      <c r="H451" s="59">
        <f t="shared" si="30"/>
        <v>0</v>
      </c>
      <c r="I451" s="65">
        <v>0</v>
      </c>
      <c r="J451" s="78">
        <f>IF($E433&gt;0, $E433, $E432)</f>
        <v>2000</v>
      </c>
      <c r="K451" s="59">
        <f t="shared" si="31"/>
        <v>0</v>
      </c>
      <c r="L451" s="62">
        <f t="shared" si="29"/>
        <v>0</v>
      </c>
      <c r="M451" s="63" t="str">
        <f t="shared" si="32"/>
        <v/>
      </c>
    </row>
    <row r="452" spans="3:13" ht="25.5" x14ac:dyDescent="0.25">
      <c r="C452" s="9"/>
      <c r="D452" s="83" t="s">
        <v>69</v>
      </c>
      <c r="E452" s="84"/>
      <c r="F452" s="85"/>
      <c r="G452" s="86"/>
      <c r="H452" s="87">
        <f>SUM(H444:H451)</f>
        <v>41.52608</v>
      </c>
      <c r="I452" s="88"/>
      <c r="J452" s="89"/>
      <c r="K452" s="87">
        <f>SUM(K444:K451)</f>
        <v>46.417050443340223</v>
      </c>
      <c r="L452" s="74">
        <f t="shared" si="29"/>
        <v>4.8909704433402226</v>
      </c>
      <c r="M452" s="75">
        <f>IF((H452)=0,"",(L452/H452))</f>
        <v>0.11778069211782626</v>
      </c>
    </row>
    <row r="453" spans="3:13" x14ac:dyDescent="0.25">
      <c r="D453" s="90" t="s">
        <v>70</v>
      </c>
      <c r="E453" s="56"/>
      <c r="F453" s="64">
        <v>6.4999999999999997E-3</v>
      </c>
      <c r="G453" s="77">
        <f>IF($E433&gt;0, $E433, $E432*$E434)</f>
        <v>2063</v>
      </c>
      <c r="H453" s="59">
        <f>G453*F453</f>
        <v>13.4095</v>
      </c>
      <c r="I453" s="65">
        <v>4.7000000000000002E-3</v>
      </c>
      <c r="J453" s="77">
        <f>IF($E433&gt;0, $E433, $E432*$E435)</f>
        <v>2063</v>
      </c>
      <c r="K453" s="59">
        <f>J453*I453</f>
        <v>9.6960999999999995</v>
      </c>
      <c r="L453" s="62">
        <f t="shared" si="29"/>
        <v>-3.7134</v>
      </c>
      <c r="M453" s="63">
        <f>IF(ISERROR(L453/H453), "", L453/H453)</f>
        <v>-0.27692307692307694</v>
      </c>
    </row>
    <row r="454" spans="3:13" ht="25.5" x14ac:dyDescent="0.25">
      <c r="D454" s="91" t="s">
        <v>71</v>
      </c>
      <c r="E454" s="56"/>
      <c r="F454" s="64">
        <v>5.4999999999999997E-3</v>
      </c>
      <c r="G454" s="77">
        <f>IF($E433&gt;0, $E433, $E432*$E434)</f>
        <v>2063</v>
      </c>
      <c r="H454" s="59">
        <f>G454*F454</f>
        <v>11.346499999999999</v>
      </c>
      <c r="I454" s="65">
        <v>3.7000000000000002E-3</v>
      </c>
      <c r="J454" s="77">
        <f>IF($E433&gt;0, $E433, $E432*$E435)</f>
        <v>2063</v>
      </c>
      <c r="K454" s="59">
        <f>J454*I454</f>
        <v>7.6331000000000007</v>
      </c>
      <c r="L454" s="62">
        <f t="shared" si="29"/>
        <v>-3.7133999999999983</v>
      </c>
      <c r="M454" s="63">
        <f>IF(ISERROR(L454/H454), "", L454/H454)</f>
        <v>-0.32727272727272716</v>
      </c>
    </row>
    <row r="455" spans="3:13" ht="25.5" x14ac:dyDescent="0.25">
      <c r="C455" s="8"/>
      <c r="D455" s="83" t="s">
        <v>72</v>
      </c>
      <c r="E455" s="68"/>
      <c r="F455" s="85"/>
      <c r="G455" s="86"/>
      <c r="H455" s="87">
        <f>SUM(H452:H454)</f>
        <v>66.282080000000008</v>
      </c>
      <c r="I455" s="88"/>
      <c r="J455" s="73"/>
      <c r="K455" s="87">
        <f>SUM(K452:K454)</f>
        <v>63.746250443340223</v>
      </c>
      <c r="L455" s="74">
        <f t="shared" si="29"/>
        <v>-2.5358295566597846</v>
      </c>
      <c r="M455" s="75">
        <f>IF((H455)=0,"",(L455/H455))</f>
        <v>-3.8258146948010448E-2</v>
      </c>
    </row>
    <row r="456" spans="3:13" ht="25.5" x14ac:dyDescent="0.25">
      <c r="C456" s="8"/>
      <c r="D456" s="92" t="s">
        <v>73</v>
      </c>
      <c r="E456" s="56"/>
      <c r="F456" s="64">
        <v>3.6000000000000003E-3</v>
      </c>
      <c r="G456" s="77">
        <f>E432*E434</f>
        <v>2063</v>
      </c>
      <c r="H456" s="93">
        <f>G456*F456</f>
        <v>7.426800000000001</v>
      </c>
      <c r="I456" s="65">
        <v>3.6000000000000003E-3</v>
      </c>
      <c r="J456" s="77">
        <f>E432*E435</f>
        <v>2063</v>
      </c>
      <c r="K456" s="93">
        <f>J456*I456</f>
        <v>7.426800000000001</v>
      </c>
      <c r="L456" s="62">
        <f t="shared" si="29"/>
        <v>0</v>
      </c>
      <c r="M456" s="63">
        <f>IF(ISERROR(L456/H456), "", L456/H456)</f>
        <v>0</v>
      </c>
    </row>
    <row r="457" spans="3:13" ht="25.5" x14ac:dyDescent="0.25">
      <c r="C457" s="8"/>
      <c r="D457" s="92" t="s">
        <v>74</v>
      </c>
      <c r="E457" s="56"/>
      <c r="F457" s="64">
        <v>2.9999999999999997E-4</v>
      </c>
      <c r="G457" s="77">
        <f>E432*E434</f>
        <v>2063</v>
      </c>
      <c r="H457" s="93">
        <f>G457*F457</f>
        <v>0.61889999999999989</v>
      </c>
      <c r="I457" s="65">
        <v>2.9999999999999997E-4</v>
      </c>
      <c r="J457" s="77">
        <f>E432*E435</f>
        <v>2063</v>
      </c>
      <c r="K457" s="93">
        <f>J457*I457</f>
        <v>0.61889999999999989</v>
      </c>
      <c r="L457" s="62">
        <f t="shared" si="29"/>
        <v>0</v>
      </c>
      <c r="M457" s="63">
        <f>IF(ISERROR(L457/H457), "", L457/H457)</f>
        <v>0</v>
      </c>
    </row>
    <row r="458" spans="3:13" x14ac:dyDescent="0.25">
      <c r="C458" s="8"/>
      <c r="D458" s="94" t="s">
        <v>75</v>
      </c>
      <c r="E458" s="56"/>
      <c r="F458" s="81">
        <v>0.25</v>
      </c>
      <c r="G458" s="58">
        <v>1</v>
      </c>
      <c r="H458" s="93">
        <f>G458*F458</f>
        <v>0.25</v>
      </c>
      <c r="I458" s="82">
        <v>0.25</v>
      </c>
      <c r="J458" s="61">
        <v>1</v>
      </c>
      <c r="K458" s="93">
        <f>J458*I458</f>
        <v>0.25</v>
      </c>
      <c r="L458" s="62">
        <f t="shared" si="29"/>
        <v>0</v>
      </c>
      <c r="M458" s="63">
        <f>IF(ISERROR(L458/H458), "", L458/H458)</f>
        <v>0</v>
      </c>
    </row>
    <row r="459" spans="3:13" x14ac:dyDescent="0.25">
      <c r="C459" s="8"/>
      <c r="D459" s="94" t="s">
        <v>76</v>
      </c>
      <c r="E459" s="56"/>
      <c r="F459" s="64">
        <v>7.0000000000000001E-3</v>
      </c>
      <c r="G459" s="78">
        <f>E432</f>
        <v>2000</v>
      </c>
      <c r="H459" s="93">
        <f>G459*F459</f>
        <v>14</v>
      </c>
      <c r="I459" s="150">
        <v>7.0000000000000001E-3</v>
      </c>
      <c r="J459" s="78">
        <f>E432</f>
        <v>2000</v>
      </c>
      <c r="K459" s="93">
        <f>J459*I459</f>
        <v>14</v>
      </c>
      <c r="L459" s="62">
        <f t="shared" si="29"/>
        <v>0</v>
      </c>
      <c r="M459" s="63">
        <f>IF(ISERROR(L459/H459), "", L459/H459)</f>
        <v>0</v>
      </c>
    </row>
    <row r="460" spans="3:13" ht="25.5" x14ac:dyDescent="0.25">
      <c r="C460" s="8"/>
      <c r="D460" s="92" t="s">
        <v>77</v>
      </c>
      <c r="E460" s="56"/>
      <c r="F460" s="64"/>
      <c r="G460" s="77"/>
      <c r="H460" s="93"/>
      <c r="I460" s="65"/>
      <c r="J460" s="77"/>
      <c r="K460" s="93"/>
      <c r="L460" s="62"/>
      <c r="M460" s="63"/>
    </row>
    <row r="461" spans="3:13" x14ac:dyDescent="0.25">
      <c r="C461" s="8"/>
      <c r="D461" s="101" t="s">
        <v>78</v>
      </c>
      <c r="E461" s="56"/>
      <c r="F461" s="102">
        <v>6.5000000000000002E-2</v>
      </c>
      <c r="G461" s="103">
        <f>IF(AND(E432*12&gt;=150000),0.65*E432*E434,0.65*E432)</f>
        <v>1300</v>
      </c>
      <c r="H461" s="93">
        <f>G461*F461</f>
        <v>84.5</v>
      </c>
      <c r="I461" s="104">
        <v>6.5000000000000002E-2</v>
      </c>
      <c r="J461" s="103">
        <f>IF(AND(E432*12&gt;=150000),0.65*E432*E435,0.65*E432)</f>
        <v>1300</v>
      </c>
      <c r="K461" s="93">
        <f>J461*I461</f>
        <v>84.5</v>
      </c>
      <c r="L461" s="62">
        <f>K461-H461</f>
        <v>0</v>
      </c>
      <c r="M461" s="63">
        <f>IF(ISERROR(L461/H461), "", L461/H461)</f>
        <v>0</v>
      </c>
    </row>
    <row r="462" spans="3:13" x14ac:dyDescent="0.25">
      <c r="C462" s="8"/>
      <c r="D462" s="101" t="s">
        <v>79</v>
      </c>
      <c r="E462" s="56"/>
      <c r="F462" s="102">
        <v>9.5000000000000001E-2</v>
      </c>
      <c r="G462" s="103">
        <f>IF(AND(E432*12&gt;=150000),0.17*E432*E434,0.17*E432)</f>
        <v>340</v>
      </c>
      <c r="H462" s="93">
        <f>G462*F462</f>
        <v>32.299999999999997</v>
      </c>
      <c r="I462" s="104">
        <v>9.5000000000000001E-2</v>
      </c>
      <c r="J462" s="103">
        <f>IF(AND(E432*12&gt;=150000),0.17*E432*E435,0.17*E432)</f>
        <v>340</v>
      </c>
      <c r="K462" s="93">
        <f>J462*I462</f>
        <v>32.299999999999997</v>
      </c>
      <c r="L462" s="62">
        <f>K462-H462</f>
        <v>0</v>
      </c>
      <c r="M462" s="63">
        <f>IF(ISERROR(L462/H462), "", L462/H462)</f>
        <v>0</v>
      </c>
    </row>
    <row r="463" spans="3:13" x14ac:dyDescent="0.25">
      <c r="C463" s="8"/>
      <c r="D463" s="43" t="s">
        <v>80</v>
      </c>
      <c r="E463" s="56"/>
      <c r="F463" s="102">
        <v>0.13200000000000001</v>
      </c>
      <c r="G463" s="103">
        <f>IF(AND(E432*12&gt;=150000),0.18*E432*E434,0.18*E432)</f>
        <v>360</v>
      </c>
      <c r="H463" s="93">
        <f>G463*F463</f>
        <v>47.52</v>
      </c>
      <c r="I463" s="104">
        <v>0.13200000000000001</v>
      </c>
      <c r="J463" s="103">
        <f>IF(AND(E432*12&gt;=150000),0.18*E432*E435,0.18*E432)</f>
        <v>360</v>
      </c>
      <c r="K463" s="93">
        <f>J463*I463</f>
        <v>47.52</v>
      </c>
      <c r="L463" s="62">
        <f>K463-H463</f>
        <v>0</v>
      </c>
      <c r="M463" s="63">
        <f>IF(ISERROR(L463/H463), "", L463/H463)</f>
        <v>0</v>
      </c>
    </row>
    <row r="464" spans="3:13" x14ac:dyDescent="0.25">
      <c r="C464" s="8"/>
      <c r="D464" s="101" t="s">
        <v>81</v>
      </c>
      <c r="E464" s="56"/>
      <c r="F464" s="105">
        <v>0.1101</v>
      </c>
      <c r="G464" s="103">
        <f>IF(AND(E432*12&gt;=150000),E432*E434,E432)</f>
        <v>2000</v>
      </c>
      <c r="H464" s="93">
        <f>G464*F464</f>
        <v>220.20000000000002</v>
      </c>
      <c r="I464" s="106">
        <f>F464</f>
        <v>0.1101</v>
      </c>
      <c r="J464" s="103">
        <f>IF(AND(E432*12&gt;=150000),E432*E435,E432)</f>
        <v>2000</v>
      </c>
      <c r="K464" s="93">
        <f>J464*I464</f>
        <v>220.20000000000002</v>
      </c>
      <c r="L464" s="62">
        <f>K464-H464</f>
        <v>0</v>
      </c>
      <c r="M464" s="63">
        <f>IF(ISERROR(L464/H464), "", L464/H464)</f>
        <v>0</v>
      </c>
    </row>
    <row r="465" spans="2:13" ht="15.75" thickBot="1" x14ac:dyDescent="0.3">
      <c r="C465" s="9"/>
      <c r="D465" s="101" t="s">
        <v>82</v>
      </c>
      <c r="E465" s="56"/>
      <c r="F465" s="105">
        <v>0.1101</v>
      </c>
      <c r="G465" s="103">
        <f>IF(AND(E432*12&gt;=150000),E432*E434,E432)</f>
        <v>2000</v>
      </c>
      <c r="H465" s="93">
        <f>G465*F465</f>
        <v>220.20000000000002</v>
      </c>
      <c r="I465" s="106">
        <f>F465</f>
        <v>0.1101</v>
      </c>
      <c r="J465" s="103">
        <f>IF(AND(E432*12&gt;=150000),E432*E435,E432)</f>
        <v>2000</v>
      </c>
      <c r="K465" s="93">
        <f>J465*I465</f>
        <v>220.20000000000002</v>
      </c>
      <c r="L465" s="62">
        <f>K465-H465</f>
        <v>0</v>
      </c>
      <c r="M465" s="63">
        <f>IF(ISERROR(L465/H465), "", L465/H465)</f>
        <v>0</v>
      </c>
    </row>
    <row r="466" spans="2:13" ht="15.75" thickBot="1" x14ac:dyDescent="0.3">
      <c r="C466" s="9"/>
      <c r="D466" s="107"/>
      <c r="E466" s="108"/>
      <c r="F466" s="109"/>
      <c r="G466" s="110"/>
      <c r="H466" s="111"/>
      <c r="I466" s="109"/>
      <c r="J466" s="112"/>
      <c r="K466" s="111"/>
      <c r="L466" s="113"/>
      <c r="M466" s="114"/>
    </row>
    <row r="467" spans="2:13" x14ac:dyDescent="0.25">
      <c r="C467" s="9"/>
      <c r="D467" s="115" t="s">
        <v>83</v>
      </c>
      <c r="E467" s="94"/>
      <c r="F467" s="116"/>
      <c r="G467" s="117"/>
      <c r="H467" s="118">
        <f>SUM(H456:H463,H455)</f>
        <v>252.89778000000001</v>
      </c>
      <c r="I467" s="119"/>
      <c r="J467" s="119"/>
      <c r="K467" s="118">
        <f>SUM(K456:K463,K455)</f>
        <v>250.36195044334022</v>
      </c>
      <c r="L467" s="120">
        <f>K467-H467</f>
        <v>-2.5358295566597917</v>
      </c>
      <c r="M467" s="121">
        <f>IF((H467)=0,"",(L467/H467))</f>
        <v>-1.0027092988557636E-2</v>
      </c>
    </row>
    <row r="468" spans="2:13" x14ac:dyDescent="0.25">
      <c r="C468" s="9"/>
      <c r="D468" s="122" t="s">
        <v>84</v>
      </c>
      <c r="E468" s="94"/>
      <c r="F468" s="116">
        <v>0.13</v>
      </c>
      <c r="G468" s="123"/>
      <c r="H468" s="124">
        <f>H467*F468</f>
        <v>32.876711400000005</v>
      </c>
      <c r="I468" s="125">
        <v>0.13</v>
      </c>
      <c r="J468" s="58"/>
      <c r="K468" s="124">
        <f>K467*I468</f>
        <v>32.547053557634229</v>
      </c>
      <c r="L468" s="126">
        <f>K468-H468</f>
        <v>-0.32965784236577633</v>
      </c>
      <c r="M468" s="127">
        <f>IF((H468)=0,"",(L468/H468))</f>
        <v>-1.0027092988557739E-2</v>
      </c>
    </row>
    <row r="469" spans="2:13" x14ac:dyDescent="0.25">
      <c r="B469" s="151"/>
      <c r="C469" s="9"/>
      <c r="D469" s="122" t="s">
        <v>85</v>
      </c>
      <c r="E469" s="94"/>
      <c r="F469" s="116">
        <v>0.08</v>
      </c>
      <c r="G469" s="123"/>
      <c r="H469" s="124">
        <v>0</v>
      </c>
      <c r="I469" s="116">
        <v>0.08</v>
      </c>
      <c r="J469" s="58"/>
      <c r="K469" s="124">
        <v>0</v>
      </c>
      <c r="L469" s="126">
        <f>K469-H469</f>
        <v>0</v>
      </c>
      <c r="M469" s="127"/>
    </row>
    <row r="470" spans="2:13" ht="15.75" thickBot="1" x14ac:dyDescent="0.3">
      <c r="C470" s="9"/>
      <c r="D470" s="308" t="s">
        <v>86</v>
      </c>
      <c r="E470" s="308"/>
      <c r="F470" s="128"/>
      <c r="G470" s="129"/>
      <c r="H470" s="130">
        <f>H467+H468+H469</f>
        <v>285.77449139999999</v>
      </c>
      <c r="I470" s="131"/>
      <c r="J470" s="131"/>
      <c r="K470" s="132">
        <f>K467+K468+K469</f>
        <v>282.90900400097445</v>
      </c>
      <c r="L470" s="133">
        <f>K470-H470</f>
        <v>-2.8654873990255396</v>
      </c>
      <c r="M470" s="134">
        <f>IF((H470)=0,"",(L470/H470))</f>
        <v>-1.002709298855755E-2</v>
      </c>
    </row>
    <row r="471" spans="2:13" ht="15.75" thickBot="1" x14ac:dyDescent="0.3">
      <c r="C471" s="9"/>
      <c r="D471" s="107"/>
      <c r="E471" s="108"/>
      <c r="F471" s="109"/>
      <c r="G471" s="110"/>
      <c r="H471" s="111"/>
      <c r="I471" s="109"/>
      <c r="J471" s="112"/>
      <c r="K471" s="111"/>
      <c r="L471" s="113"/>
      <c r="M471" s="114"/>
    </row>
    <row r="472" spans="2:13" x14ac:dyDescent="0.25">
      <c r="C472" s="9"/>
    </row>
    <row r="473" spans="2:13" x14ac:dyDescent="0.25">
      <c r="C473" s="9"/>
    </row>
    <row r="474" spans="2:13" x14ac:dyDescent="0.25">
      <c r="C474" s="9"/>
    </row>
    <row r="475" spans="2:13" x14ac:dyDescent="0.25">
      <c r="B475" s="43"/>
      <c r="C475" s="9"/>
    </row>
    <row r="476" spans="2:13" x14ac:dyDescent="0.25">
      <c r="B476" s="43"/>
      <c r="C476" s="9"/>
    </row>
    <row r="477" spans="2:13" x14ac:dyDescent="0.25">
      <c r="B477" s="43"/>
      <c r="C477" s="9"/>
    </row>
    <row r="478" spans="2:13" x14ac:dyDescent="0.25">
      <c r="C478" s="9"/>
    </row>
    <row r="479" spans="2:13" x14ac:dyDescent="0.25">
      <c r="C479" s="9"/>
    </row>
    <row r="480" spans="2:13" x14ac:dyDescent="0.25">
      <c r="B480" s="43"/>
      <c r="C480" s="9"/>
    </row>
    <row r="481" spans="2:3" x14ac:dyDescent="0.25">
      <c r="B481" s="43"/>
      <c r="C481" s="9"/>
    </row>
    <row r="482" spans="2:3" x14ac:dyDescent="0.25">
      <c r="B482" s="43"/>
      <c r="C482" s="9"/>
    </row>
    <row r="483" spans="2:3" x14ac:dyDescent="0.25">
      <c r="B483" s="43"/>
      <c r="C483" s="9"/>
    </row>
    <row r="484" spans="2:3" x14ac:dyDescent="0.25">
      <c r="B484" s="43"/>
      <c r="C484" s="9"/>
    </row>
    <row r="485" spans="2:3" x14ac:dyDescent="0.25">
      <c r="C485" s="9"/>
    </row>
    <row r="486" spans="2:3" x14ac:dyDescent="0.25">
      <c r="C486" s="9"/>
    </row>
    <row r="487" spans="2:3" x14ac:dyDescent="0.25">
      <c r="C487" s="9"/>
    </row>
    <row r="488" spans="2:3" x14ac:dyDescent="0.25">
      <c r="C488" s="9"/>
    </row>
    <row r="489" spans="2:3" x14ac:dyDescent="0.25">
      <c r="C489" s="9"/>
    </row>
    <row r="490" spans="2:3" x14ac:dyDescent="0.25">
      <c r="C490" s="9"/>
    </row>
    <row r="491" spans="2:3" x14ac:dyDescent="0.25">
      <c r="C491" s="9"/>
    </row>
    <row r="492" spans="2:3" x14ac:dyDescent="0.25">
      <c r="C492" s="9"/>
    </row>
    <row r="493" spans="2:3" x14ac:dyDescent="0.25">
      <c r="C493" s="9"/>
    </row>
    <row r="494" spans="2:3" x14ac:dyDescent="0.25">
      <c r="C494" s="9"/>
    </row>
    <row r="495" spans="2:3" x14ac:dyDescent="0.25">
      <c r="C495" s="9"/>
    </row>
  </sheetData>
  <mergeCells count="114">
    <mergeCell ref="D470:E470"/>
    <mergeCell ref="E430:J430"/>
    <mergeCell ref="E431:G431"/>
    <mergeCell ref="F437:H437"/>
    <mergeCell ref="I437:K437"/>
    <mergeCell ref="L437:M437"/>
    <mergeCell ref="E438:E439"/>
    <mergeCell ref="L438:L439"/>
    <mergeCell ref="M438:M439"/>
    <mergeCell ref="E384:E385"/>
    <mergeCell ref="L384:L385"/>
    <mergeCell ref="M384:M385"/>
    <mergeCell ref="D416:E416"/>
    <mergeCell ref="D421:E421"/>
    <mergeCell ref="D426:E426"/>
    <mergeCell ref="D372:E372"/>
    <mergeCell ref="E376:J376"/>
    <mergeCell ref="E377:G377"/>
    <mergeCell ref="F383:H383"/>
    <mergeCell ref="I383:K383"/>
    <mergeCell ref="L383:M383"/>
    <mergeCell ref="L329:M329"/>
    <mergeCell ref="E330:E331"/>
    <mergeCell ref="L330:L331"/>
    <mergeCell ref="M330:M331"/>
    <mergeCell ref="D362:E362"/>
    <mergeCell ref="D367:E367"/>
    <mergeCell ref="D308:E308"/>
    <mergeCell ref="D313:E313"/>
    <mergeCell ref="D318:E318"/>
    <mergeCell ref="E322:J322"/>
    <mergeCell ref="E323:G323"/>
    <mergeCell ref="F329:H329"/>
    <mergeCell ref="I329:K329"/>
    <mergeCell ref="E268:J268"/>
    <mergeCell ref="E269:G269"/>
    <mergeCell ref="F275:H275"/>
    <mergeCell ref="I275:K275"/>
    <mergeCell ref="L275:M275"/>
    <mergeCell ref="E276:E277"/>
    <mergeCell ref="L276:L277"/>
    <mergeCell ref="M276:M277"/>
    <mergeCell ref="D264:E264"/>
    <mergeCell ref="L221:M221"/>
    <mergeCell ref="E222:E223"/>
    <mergeCell ref="L222:L223"/>
    <mergeCell ref="M222:M223"/>
    <mergeCell ref="D254:E254"/>
    <mergeCell ref="D259:E259"/>
    <mergeCell ref="D200:E200"/>
    <mergeCell ref="D205:E205"/>
    <mergeCell ref="D210:E210"/>
    <mergeCell ref="E214:J214"/>
    <mergeCell ref="E215:G215"/>
    <mergeCell ref="F221:H221"/>
    <mergeCell ref="I221:K221"/>
    <mergeCell ref="E160:J160"/>
    <mergeCell ref="E161:G161"/>
    <mergeCell ref="F167:H167"/>
    <mergeCell ref="I167:K167"/>
    <mergeCell ref="L167:M167"/>
    <mergeCell ref="E168:E169"/>
    <mergeCell ref="L168:L169"/>
    <mergeCell ref="M168:M169"/>
    <mergeCell ref="E114:E115"/>
    <mergeCell ref="L114:L115"/>
    <mergeCell ref="M114:M115"/>
    <mergeCell ref="D146:E146"/>
    <mergeCell ref="D151:E151"/>
    <mergeCell ref="D156:E156"/>
    <mergeCell ref="D102:E102"/>
    <mergeCell ref="E106:J106"/>
    <mergeCell ref="E107:G107"/>
    <mergeCell ref="F113:H113"/>
    <mergeCell ref="I113:K113"/>
    <mergeCell ref="L113:M113"/>
    <mergeCell ref="L59:M59"/>
    <mergeCell ref="E60:E61"/>
    <mergeCell ref="L60:L61"/>
    <mergeCell ref="M60:M61"/>
    <mergeCell ref="D92:E92"/>
    <mergeCell ref="D97:E97"/>
    <mergeCell ref="D47:F47"/>
    <mergeCell ref="D48:F48"/>
    <mergeCell ref="E52:J52"/>
    <mergeCell ref="E53:G53"/>
    <mergeCell ref="F59:H59"/>
    <mergeCell ref="I59:K59"/>
    <mergeCell ref="D41:F41"/>
    <mergeCell ref="D42:F42"/>
    <mergeCell ref="D43:F43"/>
    <mergeCell ref="D44:F44"/>
    <mergeCell ref="D45:F45"/>
    <mergeCell ref="D46:F46"/>
    <mergeCell ref="D35:F35"/>
    <mergeCell ref="D36:F36"/>
    <mergeCell ref="D37:F37"/>
    <mergeCell ref="D38:F38"/>
    <mergeCell ref="D39:F39"/>
    <mergeCell ref="D40:F40"/>
    <mergeCell ref="D30:F30"/>
    <mergeCell ref="D31:F31"/>
    <mergeCell ref="D32:F32"/>
    <mergeCell ref="D33:F33"/>
    <mergeCell ref="D34:F34"/>
    <mergeCell ref="D27:F29"/>
    <mergeCell ref="G27:G29"/>
    <mergeCell ref="H27:M27"/>
    <mergeCell ref="N27:O27"/>
    <mergeCell ref="H28:I28"/>
    <mergeCell ref="J28:K28"/>
    <mergeCell ref="L28:M28"/>
    <mergeCell ref="N28:O28"/>
    <mergeCell ref="D4:F4"/>
  </mergeCells>
  <conditionalFormatting sqref="L14:L24">
    <cfRule type="expression" dxfId="7" priority="8">
      <formula>$G14="kW"</formula>
    </cfRule>
  </conditionalFormatting>
  <conditionalFormatting sqref="K14:K24">
    <cfRule type="expression" dxfId="6" priority="5">
      <formula>$G14="kW"</formula>
    </cfRule>
    <cfRule type="expression" dxfId="5" priority="6">
      <formula>$G14="kVa"</formula>
    </cfRule>
    <cfRule type="expression" dxfId="4" priority="7">
      <formula>$G14="kWh"</formula>
    </cfRule>
  </conditionalFormatting>
  <conditionalFormatting sqref="L5:L13">
    <cfRule type="expression" dxfId="3" priority="4">
      <formula>$G5="kW"</formula>
    </cfRule>
  </conditionalFormatting>
  <conditionalFormatting sqref="K5:K13">
    <cfRule type="expression" dxfId="2" priority="1">
      <formula>$G5="kW"</formula>
    </cfRule>
    <cfRule type="expression" dxfId="1" priority="2">
      <formula>$G5="kVa"</formula>
    </cfRule>
    <cfRule type="expression" dxfId="0" priority="3">
      <formula>$G5="kWh"</formula>
    </cfRule>
  </conditionalFormatting>
  <dataValidations disablePrompts="1" count="1">
    <dataValidation type="list" allowBlank="1" showInputMessage="1" showErrorMessage="1" prompt="Select Charge Unit - monthly, per kWh, per kW" sqref="E93 E98 E103 E88 E147 E152 E157 E142 E201 E206 E211 E196 E255 E260 E265 E250 E309 E314 E319 E304 E363 E368 E373 E358 E417 E422 E427 E412 E471 E466">
      <formula1>"Monthly, per kWh, per kW"</formula1>
    </dataValidation>
  </dataValidations>
  <pageMargins left="0.7" right="0.7" top="0.75" bottom="0.75" header="0.3" footer="0.3"/>
  <pageSetup scale="62" fitToHeight="0" orientation="landscape" r:id="rId1"/>
  <rowBreaks count="9" manualBreakCount="9">
    <brk id="51" max="16383" man="1"/>
    <brk id="105" max="16383" man="1"/>
    <brk id="159" max="16383" man="1"/>
    <brk id="213" max="16383" man="1"/>
    <brk id="267" max="16383" man="1"/>
    <brk id="321" max="16383" man="1"/>
    <brk id="375" max="16383" man="1"/>
    <brk id="429" max="16383" man="1"/>
    <brk id="4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Q50"/>
  <sheetViews>
    <sheetView zoomScale="90" zoomScaleNormal="90" workbookViewId="0">
      <pane ySplit="10" topLeftCell="A11" activePane="bottomLeft" state="frozen"/>
      <selection pane="bottomLeft" activeCell="R37" sqref="R37"/>
    </sheetView>
  </sheetViews>
  <sheetFormatPr defaultColWidth="9.140625" defaultRowHeight="15" x14ac:dyDescent="0.25"/>
  <cols>
    <col min="1" max="1" width="1.28515625" style="154" customWidth="1"/>
    <col min="2" max="2" width="31.28515625" style="154" customWidth="1"/>
    <col min="3" max="3" width="1.28515625" style="154" customWidth="1"/>
    <col min="4" max="4" width="11.28515625" style="154" customWidth="1"/>
    <col min="5" max="5" width="1.28515625" style="154" customWidth="1"/>
    <col min="6" max="6" width="12.28515625" style="154" customWidth="1"/>
    <col min="7" max="7" width="8.5703125" style="154" customWidth="1"/>
    <col min="8" max="8" width="15.5703125" style="154" customWidth="1"/>
    <col min="9" max="9" width="2.85546875" style="154" customWidth="1"/>
    <col min="10" max="10" width="11.42578125" style="154" customWidth="1"/>
    <col min="11" max="11" width="8.5703125" style="154" customWidth="1"/>
    <col min="12" max="12" width="16.28515625" style="154" customWidth="1"/>
    <col min="13" max="13" width="2.85546875" style="154" customWidth="1"/>
    <col min="14" max="14" width="12.7109375" style="154" bestFit="1" customWidth="1"/>
    <col min="15" max="15" width="10.85546875" style="154" bestFit="1" customWidth="1"/>
    <col min="16" max="16" width="3.85546875" style="154" customWidth="1"/>
    <col min="17" max="16384" width="9.140625" style="154"/>
  </cols>
  <sheetData>
    <row r="1" spans="1:16" s="152" customFormat="1" ht="27" customHeight="1" x14ac:dyDescent="0.25">
      <c r="B1" s="317" t="s">
        <v>25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153"/>
    </row>
    <row r="2" spans="1:16" s="152" customFormat="1" ht="7.5" customHeight="1" x14ac:dyDescent="0.25">
      <c r="L2" s="153"/>
      <c r="M2" s="153"/>
      <c r="N2" s="153"/>
      <c r="O2" s="153"/>
      <c r="P2" s="153"/>
    </row>
    <row r="3" spans="1:16" s="152" customFormat="1" ht="7.5" customHeight="1" x14ac:dyDescent="0.25">
      <c r="L3" s="153"/>
      <c r="M3" s="153"/>
      <c r="N3" s="153"/>
      <c r="O3" s="153"/>
      <c r="P3" s="153"/>
    </row>
    <row r="4" spans="1:16" ht="18.75" customHeight="1" x14ac:dyDescent="0.25">
      <c r="B4" s="155" t="s">
        <v>42</v>
      </c>
      <c r="C4" s="152"/>
      <c r="D4" s="318" t="s">
        <v>90</v>
      </c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5" spans="1:16" s="152" customFormat="1" ht="7.5" customHeight="1" x14ac:dyDescent="0.25">
      <c r="B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6" x14ac:dyDescent="0.25">
      <c r="A6" s="152"/>
      <c r="B6" s="158"/>
      <c r="C6" s="152"/>
      <c r="D6" s="159" t="s">
        <v>44</v>
      </c>
      <c r="E6" s="159"/>
      <c r="F6" s="160">
        <v>286.33</v>
      </c>
      <c r="G6" s="159" t="s">
        <v>91</v>
      </c>
      <c r="H6" s="152"/>
      <c r="I6" s="152"/>
      <c r="J6" s="152"/>
      <c r="K6" s="152"/>
      <c r="L6" s="152"/>
      <c r="M6" s="152"/>
      <c r="N6" s="152"/>
      <c r="O6" s="152"/>
    </row>
    <row r="7" spans="1:16" x14ac:dyDescent="0.25">
      <c r="A7" s="152"/>
      <c r="B7" s="158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spans="1:16" x14ac:dyDescent="0.25">
      <c r="B8" s="161"/>
      <c r="C8" s="162"/>
      <c r="D8" s="163"/>
      <c r="E8" s="163"/>
      <c r="F8" s="319" t="s">
        <v>92</v>
      </c>
      <c r="G8" s="320"/>
      <c r="H8" s="321"/>
      <c r="I8" s="162"/>
      <c r="J8" s="319" t="s">
        <v>49</v>
      </c>
      <c r="K8" s="320"/>
      <c r="L8" s="321"/>
      <c r="M8" s="162"/>
      <c r="N8" s="319" t="s">
        <v>50</v>
      </c>
      <c r="O8" s="321"/>
    </row>
    <row r="9" spans="1:16" ht="15" customHeight="1" x14ac:dyDescent="0.25">
      <c r="B9" s="164"/>
      <c r="C9" s="165"/>
      <c r="D9" s="322" t="s">
        <v>93</v>
      </c>
      <c r="E9" s="166"/>
      <c r="F9" s="167" t="s">
        <v>51</v>
      </c>
      <c r="G9" s="167" t="s">
        <v>52</v>
      </c>
      <c r="H9" s="168" t="s">
        <v>53</v>
      </c>
      <c r="I9" s="165"/>
      <c r="J9" s="167" t="s">
        <v>51</v>
      </c>
      <c r="K9" s="169" t="s">
        <v>52</v>
      </c>
      <c r="L9" s="168" t="s">
        <v>53</v>
      </c>
      <c r="M9" s="165"/>
      <c r="N9" s="324" t="s">
        <v>54</v>
      </c>
      <c r="O9" s="324" t="s">
        <v>55</v>
      </c>
    </row>
    <row r="10" spans="1:16" ht="15.75" thickBot="1" x14ac:dyDescent="0.3">
      <c r="B10" s="170"/>
      <c r="C10" s="171"/>
      <c r="D10" s="323"/>
      <c r="E10" s="172"/>
      <c r="F10" s="173" t="s">
        <v>56</v>
      </c>
      <c r="G10" s="173"/>
      <c r="H10" s="174" t="s">
        <v>56</v>
      </c>
      <c r="I10" s="171"/>
      <c r="J10" s="173" t="s">
        <v>56</v>
      </c>
      <c r="K10" s="174"/>
      <c r="L10" s="174" t="s">
        <v>56</v>
      </c>
      <c r="M10" s="171"/>
      <c r="N10" s="325"/>
      <c r="O10" s="325"/>
    </row>
    <row r="11" spans="1:16" x14ac:dyDescent="0.25">
      <c r="A11" s="152"/>
      <c r="B11" s="175" t="s">
        <v>57</v>
      </c>
      <c r="C11" s="175"/>
      <c r="D11" s="176" t="s">
        <v>94</v>
      </c>
      <c r="E11" s="177"/>
      <c r="F11" s="178">
        <f>+#REF!</f>
        <v>19.34</v>
      </c>
      <c r="G11" s="179">
        <v>1</v>
      </c>
      <c r="H11" s="180">
        <f>G11*F11</f>
        <v>19.34</v>
      </c>
      <c r="I11" s="181"/>
      <c r="J11" s="182">
        <f>+#REF!</f>
        <v>22.323950000000004</v>
      </c>
      <c r="K11" s="183">
        <v>1</v>
      </c>
      <c r="L11" s="180">
        <f>K11*J11</f>
        <v>22.323950000000004</v>
      </c>
      <c r="M11" s="181"/>
      <c r="N11" s="184">
        <f t="shared" ref="N11:N40" si="0">L11-H11</f>
        <v>2.9839500000000037</v>
      </c>
      <c r="O11" s="185">
        <f>IF((H11)=0,"",(N11/H11))</f>
        <v>0.15428903826266824</v>
      </c>
    </row>
    <row r="12" spans="1:16" x14ac:dyDescent="0.25">
      <c r="A12" s="152"/>
      <c r="B12" s="186" t="s">
        <v>58</v>
      </c>
      <c r="C12" s="186"/>
      <c r="D12" s="187" t="s">
        <v>95</v>
      </c>
      <c r="E12" s="186"/>
      <c r="F12" s="188">
        <f>+#REF!</f>
        <v>8.2000000000000007E-3</v>
      </c>
      <c r="G12" s="179">
        <f>$F6</f>
        <v>286.33</v>
      </c>
      <c r="H12" s="180">
        <f t="shared" ref="H12:H15" si="1">G12*F12</f>
        <v>2.347906</v>
      </c>
      <c r="I12" s="181"/>
      <c r="J12" s="189">
        <f>ROUND(+#REF!,4)</f>
        <v>4.1999999999999997E-3</v>
      </c>
      <c r="K12" s="179">
        <f>$F6</f>
        <v>286.33</v>
      </c>
      <c r="L12" s="180">
        <f t="shared" ref="L12:L15" si="2">K12*J12</f>
        <v>1.2025859999999999</v>
      </c>
      <c r="M12" s="181"/>
      <c r="N12" s="184">
        <f t="shared" si="0"/>
        <v>-1.1453200000000001</v>
      </c>
      <c r="O12" s="185">
        <f t="shared" ref="O12:O16" si="3">IF((H12)=0,"",(N12/H12))</f>
        <v>-0.48780487804878053</v>
      </c>
    </row>
    <row r="13" spans="1:16" x14ac:dyDescent="0.25">
      <c r="A13" s="152"/>
      <c r="B13" s="186" t="s">
        <v>96</v>
      </c>
      <c r="C13" s="186"/>
      <c r="D13" s="187" t="s">
        <v>94</v>
      </c>
      <c r="E13" s="186"/>
      <c r="F13" s="178">
        <v>0.03</v>
      </c>
      <c r="G13" s="179">
        <f>+G11</f>
        <v>1</v>
      </c>
      <c r="H13" s="180">
        <f t="shared" si="1"/>
        <v>0.03</v>
      </c>
      <c r="I13" s="181"/>
      <c r="J13" s="182">
        <f>ROUND(#REF!,2)</f>
        <v>0</v>
      </c>
      <c r="K13" s="179">
        <f>+K11</f>
        <v>1</v>
      </c>
      <c r="L13" s="180">
        <f t="shared" si="2"/>
        <v>0</v>
      </c>
      <c r="M13" s="181"/>
      <c r="N13" s="184">
        <f t="shared" si="0"/>
        <v>-0.03</v>
      </c>
      <c r="O13" s="185">
        <f t="shared" si="3"/>
        <v>-1</v>
      </c>
    </row>
    <row r="14" spans="1:16" x14ac:dyDescent="0.25">
      <c r="A14" s="152"/>
      <c r="B14" s="186" t="s">
        <v>97</v>
      </c>
      <c r="C14" s="186"/>
      <c r="D14" s="187" t="s">
        <v>94</v>
      </c>
      <c r="E14" s="186"/>
      <c r="F14" s="178"/>
      <c r="G14" s="179">
        <f>+G11</f>
        <v>1</v>
      </c>
      <c r="H14" s="180">
        <f t="shared" si="1"/>
        <v>0</v>
      </c>
      <c r="I14" s="181"/>
      <c r="J14" s="182">
        <f>+#REF!</f>
        <v>0.31</v>
      </c>
      <c r="K14" s="179">
        <f>+K11</f>
        <v>1</v>
      </c>
      <c r="L14" s="180">
        <f t="shared" si="2"/>
        <v>0.31</v>
      </c>
      <c r="M14" s="181"/>
      <c r="N14" s="184">
        <f t="shared" si="0"/>
        <v>0.31</v>
      </c>
      <c r="O14" s="185" t="str">
        <f t="shared" si="3"/>
        <v/>
      </c>
    </row>
    <row r="15" spans="1:16" x14ac:dyDescent="0.25">
      <c r="A15" s="152"/>
      <c r="B15" s="186" t="s">
        <v>60</v>
      </c>
      <c r="C15" s="186"/>
      <c r="D15" s="187" t="s">
        <v>95</v>
      </c>
      <c r="E15" s="186"/>
      <c r="F15" s="188">
        <v>1E-4</v>
      </c>
      <c r="G15" s="179">
        <f>+G12</f>
        <v>286.33</v>
      </c>
      <c r="H15" s="180">
        <f t="shared" si="1"/>
        <v>2.8632999999999999E-2</v>
      </c>
      <c r="I15" s="181"/>
      <c r="J15" s="189">
        <f>+#REF!</f>
        <v>2.8532874018923071E-4</v>
      </c>
      <c r="K15" s="179">
        <f>+K12</f>
        <v>286.33</v>
      </c>
      <c r="L15" s="180">
        <f t="shared" si="2"/>
        <v>8.169817817838243E-2</v>
      </c>
      <c r="M15" s="181"/>
      <c r="N15" s="184">
        <f t="shared" si="0"/>
        <v>5.3065178178382431E-2</v>
      </c>
      <c r="O15" s="185">
        <f t="shared" si="3"/>
        <v>1.8532874018923073</v>
      </c>
    </row>
    <row r="16" spans="1:16" s="190" customFormat="1" x14ac:dyDescent="0.25">
      <c r="B16" s="191" t="s">
        <v>61</v>
      </c>
      <c r="C16" s="192"/>
      <c r="D16" s="193"/>
      <c r="E16" s="192"/>
      <c r="F16" s="194"/>
      <c r="G16" s="195"/>
      <c r="H16" s="196">
        <f>SUM(H11:H15)</f>
        <v>21.746538999999999</v>
      </c>
      <c r="I16" s="197"/>
      <c r="J16" s="198"/>
      <c r="K16" s="199"/>
      <c r="L16" s="196">
        <f>SUM(L11:L15)</f>
        <v>23.918234178178384</v>
      </c>
      <c r="M16" s="197"/>
      <c r="N16" s="200">
        <f t="shared" si="0"/>
        <v>2.1716951781783855</v>
      </c>
      <c r="O16" s="201">
        <f t="shared" si="3"/>
        <v>9.9863945162877901E-2</v>
      </c>
    </row>
    <row r="17" spans="1:17" ht="18" customHeight="1" x14ac:dyDescent="0.25">
      <c r="A17" s="152"/>
      <c r="B17" s="202" t="s">
        <v>62</v>
      </c>
      <c r="C17" s="186"/>
      <c r="D17" s="187" t="s">
        <v>95</v>
      </c>
      <c r="E17" s="186"/>
      <c r="F17" s="189">
        <f>F32*0.64+F33*0.18+F34*0.18</f>
        <v>8.2460000000000006E-2</v>
      </c>
      <c r="G17" s="179">
        <f>+F6*(F43-1)</f>
        <v>9.0193950000000243</v>
      </c>
      <c r="H17" s="180">
        <f>G17*F17</f>
        <v>0.74373931170000207</v>
      </c>
      <c r="I17" s="181"/>
      <c r="J17" s="189">
        <f>J32*0.64+J33*0.18+J34*0.18</f>
        <v>8.2460000000000006E-2</v>
      </c>
      <c r="K17" s="179">
        <f>+F6*(J43-1)</f>
        <v>9.0193950000000243</v>
      </c>
      <c r="L17" s="180">
        <f>K17*J17</f>
        <v>0.74373931170000207</v>
      </c>
      <c r="M17" s="181"/>
      <c r="N17" s="184">
        <f t="shared" si="0"/>
        <v>0</v>
      </c>
      <c r="O17" s="185">
        <f>IF((H17)=0,"",(N17/H17))</f>
        <v>0</v>
      </c>
      <c r="P17" s="152"/>
      <c r="Q17" s="152"/>
    </row>
    <row r="18" spans="1:17" ht="25.5" x14ac:dyDescent="0.25">
      <c r="A18" s="152"/>
      <c r="B18" s="203" t="s">
        <v>98</v>
      </c>
      <c r="C18" s="186"/>
      <c r="D18" s="187" t="s">
        <v>94</v>
      </c>
      <c r="E18" s="186"/>
      <c r="F18" s="188">
        <v>0.79</v>
      </c>
      <c r="G18" s="179">
        <v>1</v>
      </c>
      <c r="H18" s="180">
        <f>G18*F18</f>
        <v>0.79</v>
      </c>
      <c r="I18" s="181"/>
      <c r="J18" s="189">
        <v>0.79</v>
      </c>
      <c r="K18" s="179">
        <v>1</v>
      </c>
      <c r="L18" s="180">
        <f>K18*J18</f>
        <v>0.79</v>
      </c>
      <c r="M18" s="181"/>
      <c r="N18" s="184">
        <f t="shared" si="0"/>
        <v>0</v>
      </c>
      <c r="O18" s="185">
        <f>IF((H18)=0,"",(N18/H18))</f>
        <v>0</v>
      </c>
      <c r="P18" s="152"/>
      <c r="Q18" s="152"/>
    </row>
    <row r="19" spans="1:17" ht="25.5" x14ac:dyDescent="0.25">
      <c r="A19" s="152"/>
      <c r="B19" s="203" t="s">
        <v>99</v>
      </c>
      <c r="C19" s="186"/>
      <c r="D19" s="187" t="s">
        <v>95</v>
      </c>
      <c r="E19" s="186"/>
      <c r="F19" s="204">
        <f>-0.0003-0.0024</f>
        <v>-2.6999999999999997E-3</v>
      </c>
      <c r="G19" s="179">
        <f>$F6</f>
        <v>286.33</v>
      </c>
      <c r="H19" s="180">
        <f>G19*F19</f>
        <v>-0.77309099999999986</v>
      </c>
      <c r="I19" s="181"/>
      <c r="J19" s="189">
        <f>+#REF!</f>
        <v>-8.5708989008065307E-4</v>
      </c>
      <c r="K19" s="179">
        <f>$F6</f>
        <v>286.33</v>
      </c>
      <c r="L19" s="180">
        <f>K19*J19</f>
        <v>-0.24541054822679337</v>
      </c>
      <c r="M19" s="181"/>
      <c r="N19" s="184">
        <f t="shared" si="0"/>
        <v>0.52768045177320655</v>
      </c>
      <c r="O19" s="185">
        <f>IF((H19)=0,"",(N19/H19))</f>
        <v>-0.68255929997012854</v>
      </c>
      <c r="P19" s="152"/>
      <c r="Q19" s="152"/>
    </row>
    <row r="20" spans="1:17" ht="38.25" x14ac:dyDescent="0.25">
      <c r="A20" s="152"/>
      <c r="B20" s="203" t="s">
        <v>100</v>
      </c>
      <c r="C20" s="186"/>
      <c r="D20" s="187" t="s">
        <v>95</v>
      </c>
      <c r="E20" s="186"/>
      <c r="F20" s="204"/>
      <c r="G20" s="179">
        <f>$F6</f>
        <v>286.33</v>
      </c>
      <c r="H20" s="180">
        <f>G20*F20</f>
        <v>0</v>
      </c>
      <c r="I20" s="181"/>
      <c r="J20" s="189">
        <f>+#REF!</f>
        <v>0</v>
      </c>
      <c r="K20" s="179">
        <f>$F6</f>
        <v>286.33</v>
      </c>
      <c r="L20" s="180">
        <f>K20*J20</f>
        <v>0</v>
      </c>
      <c r="M20" s="181"/>
      <c r="N20" s="184">
        <f t="shared" si="0"/>
        <v>0</v>
      </c>
      <c r="O20" s="185" t="str">
        <f>IF((H20)=0,"",(N20/H20))</f>
        <v/>
      </c>
      <c r="P20" s="152"/>
      <c r="Q20" s="152"/>
    </row>
    <row r="21" spans="1:17" x14ac:dyDescent="0.25">
      <c r="A21" s="152"/>
      <c r="B21" s="203" t="s">
        <v>101</v>
      </c>
      <c r="C21" s="186"/>
      <c r="D21" s="187" t="s">
        <v>95</v>
      </c>
      <c r="E21" s="186"/>
      <c r="F21" s="188">
        <v>2.9999999999999997E-4</v>
      </c>
      <c r="G21" s="179">
        <f>+G20</f>
        <v>286.33</v>
      </c>
      <c r="H21" s="180">
        <f>G21*F21</f>
        <v>8.5898999999999989E-2</v>
      </c>
      <c r="I21" s="181"/>
      <c r="J21" s="189"/>
      <c r="K21" s="179">
        <f>$F6</f>
        <v>286.33</v>
      </c>
      <c r="L21" s="180">
        <f>K21*J21</f>
        <v>0</v>
      </c>
      <c r="M21" s="181"/>
      <c r="N21" s="184">
        <f t="shared" si="0"/>
        <v>-8.5898999999999989E-2</v>
      </c>
      <c r="O21" s="185">
        <f>IF((H21)=0,"",(N21/H21))</f>
        <v>-1</v>
      </c>
      <c r="P21" s="152"/>
      <c r="Q21" s="152"/>
    </row>
    <row r="22" spans="1:17" ht="25.5" x14ac:dyDescent="0.25">
      <c r="B22" s="205" t="s">
        <v>69</v>
      </c>
      <c r="C22" s="206"/>
      <c r="D22" s="206"/>
      <c r="E22" s="206"/>
      <c r="F22" s="207"/>
      <c r="G22" s="208"/>
      <c r="H22" s="209">
        <f>SUM(H17:H21)+H16</f>
        <v>22.593086311700002</v>
      </c>
      <c r="I22" s="197"/>
      <c r="J22" s="208"/>
      <c r="K22" s="210"/>
      <c r="L22" s="209">
        <f>SUM(L17:L21)+L16</f>
        <v>25.206562941651594</v>
      </c>
      <c r="M22" s="197"/>
      <c r="N22" s="200">
        <f t="shared" si="0"/>
        <v>2.6134766299515917</v>
      </c>
      <c r="O22" s="201">
        <f t="shared" ref="O22:O40" si="4">IF((H22)=0,"",(N22/H22))</f>
        <v>0.11567594590200733</v>
      </c>
    </row>
    <row r="23" spans="1:17" s="215" customFormat="1" ht="23.25" customHeight="1" x14ac:dyDescent="0.25">
      <c r="A23" s="181"/>
      <c r="B23" s="211" t="s">
        <v>70</v>
      </c>
      <c r="C23" s="181"/>
      <c r="D23" s="212" t="s">
        <v>95</v>
      </c>
      <c r="E23" s="181"/>
      <c r="F23" s="189">
        <f>+#REF!</f>
        <v>6.8999999999999999E-3</v>
      </c>
      <c r="G23" s="179">
        <f>F6*F43</f>
        <v>295.34939500000002</v>
      </c>
      <c r="H23" s="180">
        <f>G23*F23</f>
        <v>2.0379108255</v>
      </c>
      <c r="I23" s="213"/>
      <c r="J23" s="189">
        <f>+#REF!</f>
        <v>4.9558058968083478E-3</v>
      </c>
      <c r="K23" s="179">
        <f>F6*J43</f>
        <v>295.34939500000002</v>
      </c>
      <c r="L23" s="180">
        <f>K23*J23</f>
        <v>1.463694273359778</v>
      </c>
      <c r="M23" s="214"/>
      <c r="N23" s="184">
        <f t="shared" si="0"/>
        <v>-0.57421655214022205</v>
      </c>
      <c r="O23" s="185">
        <f t="shared" si="4"/>
        <v>-0.28176726133212349</v>
      </c>
      <c r="P23" s="181"/>
      <c r="Q23" s="181"/>
    </row>
    <row r="24" spans="1:17" s="215" customFormat="1" ht="25.5" customHeight="1" x14ac:dyDescent="0.25">
      <c r="A24" s="181"/>
      <c r="B24" s="211" t="s">
        <v>102</v>
      </c>
      <c r="C24" s="181"/>
      <c r="D24" s="212" t="s">
        <v>95</v>
      </c>
      <c r="E24" s="181"/>
      <c r="F24" s="189">
        <f>+#REF!</f>
        <v>6.1999999999999998E-3</v>
      </c>
      <c r="G24" s="179">
        <f>G23</f>
        <v>295.34939500000002</v>
      </c>
      <c r="H24" s="180">
        <f>G24*F24</f>
        <v>1.831166249</v>
      </c>
      <c r="I24" s="213"/>
      <c r="J24" s="189">
        <f>+#REF!</f>
        <v>4.1466057496748433E-3</v>
      </c>
      <c r="K24" s="179">
        <f>K23</f>
        <v>295.34939500000002</v>
      </c>
      <c r="L24" s="180">
        <f>K24*J24</f>
        <v>1.2246974994699864</v>
      </c>
      <c r="M24" s="214"/>
      <c r="N24" s="184">
        <f t="shared" si="0"/>
        <v>-0.60646874953001362</v>
      </c>
      <c r="O24" s="185">
        <f t="shared" si="4"/>
        <v>-0.33119262102018659</v>
      </c>
      <c r="P24" s="181"/>
      <c r="Q24" s="181"/>
    </row>
    <row r="25" spans="1:17" ht="25.5" x14ac:dyDescent="0.25">
      <c r="B25" s="205" t="s">
        <v>72</v>
      </c>
      <c r="C25" s="192"/>
      <c r="D25" s="192"/>
      <c r="E25" s="192"/>
      <c r="F25" s="216"/>
      <c r="G25" s="208"/>
      <c r="H25" s="209">
        <f>SUM(H22:H24)</f>
        <v>26.4621633862</v>
      </c>
      <c r="I25" s="217"/>
      <c r="J25" s="218"/>
      <c r="K25" s="219"/>
      <c r="L25" s="209">
        <f>SUM(L22:L24)</f>
        <v>27.894954714481358</v>
      </c>
      <c r="M25" s="220"/>
      <c r="N25" s="200">
        <f t="shared" si="0"/>
        <v>1.4327913282813576</v>
      </c>
      <c r="O25" s="201">
        <f t="shared" si="4"/>
        <v>5.4144905213175325E-2</v>
      </c>
    </row>
    <row r="26" spans="1:17" s="215" customFormat="1" ht="27.75" customHeight="1" x14ac:dyDescent="0.25">
      <c r="A26" s="181"/>
      <c r="B26" s="211" t="s">
        <v>73</v>
      </c>
      <c r="C26" s="181"/>
      <c r="D26" s="212" t="s">
        <v>95</v>
      </c>
      <c r="E26" s="181"/>
      <c r="F26" s="189">
        <v>3.2000000000000002E-3</v>
      </c>
      <c r="G26" s="179">
        <f>G24</f>
        <v>295.34939500000002</v>
      </c>
      <c r="H26" s="180">
        <f t="shared" ref="H26:H34" si="5">G26*F26</f>
        <v>0.94511806400000009</v>
      </c>
      <c r="I26" s="213"/>
      <c r="J26" s="189">
        <f>+F26</f>
        <v>3.2000000000000002E-3</v>
      </c>
      <c r="K26" s="179">
        <f>K24</f>
        <v>295.34939500000002</v>
      </c>
      <c r="L26" s="180">
        <f t="shared" ref="L26:L34" si="6">K26*J26</f>
        <v>0.94511806400000009</v>
      </c>
      <c r="M26" s="214"/>
      <c r="N26" s="184">
        <f t="shared" si="0"/>
        <v>0</v>
      </c>
      <c r="O26" s="185">
        <f t="shared" si="4"/>
        <v>0</v>
      </c>
      <c r="P26" s="181"/>
      <c r="Q26" s="181"/>
    </row>
    <row r="27" spans="1:17" s="215" customFormat="1" ht="27.75" customHeight="1" x14ac:dyDescent="0.25">
      <c r="A27" s="181"/>
      <c r="B27" s="211" t="s">
        <v>103</v>
      </c>
      <c r="C27" s="181"/>
      <c r="D27" s="212" t="s">
        <v>95</v>
      </c>
      <c r="E27" s="181"/>
      <c r="F27" s="189">
        <v>4.0000000000000002E-4</v>
      </c>
      <c r="G27" s="179">
        <f>+G26</f>
        <v>295.34939500000002</v>
      </c>
      <c r="H27" s="180">
        <f t="shared" si="5"/>
        <v>0.11813975800000001</v>
      </c>
      <c r="I27" s="213"/>
      <c r="J27" s="189">
        <f>+F27</f>
        <v>4.0000000000000002E-4</v>
      </c>
      <c r="K27" s="179">
        <f>+K26</f>
        <v>295.34939500000002</v>
      </c>
      <c r="L27" s="180">
        <f t="shared" si="6"/>
        <v>0.11813975800000001</v>
      </c>
      <c r="M27" s="214"/>
      <c r="N27" s="184">
        <f t="shared" si="0"/>
        <v>0</v>
      </c>
      <c r="O27" s="185">
        <f t="shared" si="4"/>
        <v>0</v>
      </c>
      <c r="P27" s="181"/>
      <c r="Q27" s="181"/>
    </row>
    <row r="28" spans="1:17" s="215" customFormat="1" ht="26.25" customHeight="1" x14ac:dyDescent="0.25">
      <c r="A28" s="181"/>
      <c r="B28" s="211" t="s">
        <v>74</v>
      </c>
      <c r="C28" s="181"/>
      <c r="D28" s="212" t="s">
        <v>95</v>
      </c>
      <c r="E28" s="181"/>
      <c r="F28" s="189">
        <v>2.9999999999999997E-4</v>
      </c>
      <c r="G28" s="179">
        <f>G24</f>
        <v>295.34939500000002</v>
      </c>
      <c r="H28" s="180">
        <f t="shared" si="5"/>
        <v>8.8604818500000002E-2</v>
      </c>
      <c r="I28" s="213"/>
      <c r="J28" s="189">
        <f>+F28</f>
        <v>2.9999999999999997E-4</v>
      </c>
      <c r="K28" s="179">
        <f>K24</f>
        <v>295.34939500000002</v>
      </c>
      <c r="L28" s="180">
        <f t="shared" si="6"/>
        <v>8.8604818500000002E-2</v>
      </c>
      <c r="M28" s="214"/>
      <c r="N28" s="184">
        <f t="shared" si="0"/>
        <v>0</v>
      </c>
      <c r="O28" s="185">
        <f t="shared" si="4"/>
        <v>0</v>
      </c>
      <c r="P28" s="181"/>
      <c r="Q28" s="181"/>
    </row>
    <row r="29" spans="1:17" s="215" customFormat="1" ht="20.25" customHeight="1" x14ac:dyDescent="0.25">
      <c r="A29" s="181"/>
      <c r="B29" s="211" t="s">
        <v>75</v>
      </c>
      <c r="C29" s="181"/>
      <c r="D29" s="212" t="s">
        <v>94</v>
      </c>
      <c r="E29" s="181"/>
      <c r="F29" s="182">
        <v>0.25</v>
      </c>
      <c r="G29" s="179">
        <v>1</v>
      </c>
      <c r="H29" s="180">
        <f t="shared" si="5"/>
        <v>0.25</v>
      </c>
      <c r="I29" s="213"/>
      <c r="J29" s="182">
        <f>+F29</f>
        <v>0.25</v>
      </c>
      <c r="K29" s="179">
        <v>1</v>
      </c>
      <c r="L29" s="180">
        <f t="shared" si="6"/>
        <v>0.25</v>
      </c>
      <c r="M29" s="214"/>
      <c r="N29" s="184">
        <f t="shared" si="0"/>
        <v>0</v>
      </c>
      <c r="O29" s="185">
        <f t="shared" si="4"/>
        <v>0</v>
      </c>
      <c r="P29" s="181"/>
      <c r="Q29" s="181"/>
    </row>
    <row r="30" spans="1:17" s="215" customFormat="1" ht="18.75" customHeight="1" x14ac:dyDescent="0.25">
      <c r="A30" s="181"/>
      <c r="B30" s="211" t="s">
        <v>104</v>
      </c>
      <c r="C30" s="181"/>
      <c r="D30" s="212" t="s">
        <v>95</v>
      </c>
      <c r="E30" s="181"/>
      <c r="F30" s="189">
        <f>0.007*0</f>
        <v>0</v>
      </c>
      <c r="G30" s="179">
        <f>F6</f>
        <v>286.33</v>
      </c>
      <c r="H30" s="180">
        <f>G30*F30</f>
        <v>0</v>
      </c>
      <c r="I30" s="213"/>
      <c r="J30" s="189"/>
      <c r="K30" s="179">
        <f>+G30</f>
        <v>286.33</v>
      </c>
      <c r="L30" s="180">
        <f t="shared" si="6"/>
        <v>0</v>
      </c>
      <c r="M30" s="214"/>
      <c r="N30" s="184">
        <f t="shared" si="0"/>
        <v>0</v>
      </c>
      <c r="O30" s="185" t="str">
        <f t="shared" si="4"/>
        <v/>
      </c>
      <c r="P30" s="181"/>
      <c r="Q30" s="181"/>
    </row>
    <row r="31" spans="1:17" s="215" customFormat="1" ht="18.75" customHeight="1" x14ac:dyDescent="0.25">
      <c r="A31" s="181"/>
      <c r="B31" s="211" t="s">
        <v>105</v>
      </c>
      <c r="C31" s="181"/>
      <c r="D31" s="212"/>
      <c r="E31" s="181"/>
      <c r="F31" s="189"/>
      <c r="G31" s="179"/>
      <c r="H31" s="180"/>
      <c r="I31" s="213"/>
      <c r="J31" s="189"/>
      <c r="K31" s="179">
        <f>+K26</f>
        <v>295.34939500000002</v>
      </c>
      <c r="L31" s="180">
        <f t="shared" si="6"/>
        <v>0</v>
      </c>
      <c r="M31" s="214"/>
      <c r="N31" s="184">
        <f t="shared" si="0"/>
        <v>0</v>
      </c>
      <c r="O31" s="185" t="str">
        <f t="shared" si="4"/>
        <v/>
      </c>
      <c r="P31" s="181"/>
      <c r="Q31" s="181"/>
    </row>
    <row r="32" spans="1:17" s="215" customFormat="1" ht="18.75" customHeight="1" x14ac:dyDescent="0.25">
      <c r="A32" s="181"/>
      <c r="B32" s="211" t="s">
        <v>78</v>
      </c>
      <c r="C32" s="181"/>
      <c r="D32" s="212" t="s">
        <v>95</v>
      </c>
      <c r="E32" s="181"/>
      <c r="F32" s="189">
        <v>6.5000000000000002E-2</v>
      </c>
      <c r="G32" s="179">
        <f>0.64*$F6</f>
        <v>183.25119999999998</v>
      </c>
      <c r="H32" s="180">
        <f t="shared" si="5"/>
        <v>11.911327999999999</v>
      </c>
      <c r="I32" s="213"/>
      <c r="J32" s="189">
        <f>+F32</f>
        <v>6.5000000000000002E-2</v>
      </c>
      <c r="K32" s="179">
        <f>0.64*$F6</f>
        <v>183.25119999999998</v>
      </c>
      <c r="L32" s="180">
        <f t="shared" si="6"/>
        <v>11.911327999999999</v>
      </c>
      <c r="M32" s="214"/>
      <c r="N32" s="184">
        <f t="shared" si="0"/>
        <v>0</v>
      </c>
      <c r="O32" s="185">
        <f t="shared" si="4"/>
        <v>0</v>
      </c>
      <c r="P32" s="181"/>
      <c r="Q32" s="181"/>
    </row>
    <row r="33" spans="1:17" s="215" customFormat="1" ht="18.75" customHeight="1" x14ac:dyDescent="0.25">
      <c r="A33" s="181"/>
      <c r="B33" s="211" t="s">
        <v>79</v>
      </c>
      <c r="C33" s="181"/>
      <c r="D33" s="212" t="s">
        <v>95</v>
      </c>
      <c r="E33" s="181"/>
      <c r="F33" s="189">
        <v>9.5000000000000001E-2</v>
      </c>
      <c r="G33" s="179">
        <f>0.18*$F6</f>
        <v>51.539399999999993</v>
      </c>
      <c r="H33" s="180">
        <f t="shared" si="5"/>
        <v>4.8962429999999992</v>
      </c>
      <c r="I33" s="213"/>
      <c r="J33" s="189">
        <f t="shared" ref="J33:J34" si="7">+F33</f>
        <v>9.5000000000000001E-2</v>
      </c>
      <c r="K33" s="179">
        <f>0.18*$F6</f>
        <v>51.539399999999993</v>
      </c>
      <c r="L33" s="180">
        <f t="shared" si="6"/>
        <v>4.8962429999999992</v>
      </c>
      <c r="M33" s="214"/>
      <c r="N33" s="184">
        <f t="shared" si="0"/>
        <v>0</v>
      </c>
      <c r="O33" s="185">
        <f t="shared" si="4"/>
        <v>0</v>
      </c>
      <c r="P33" s="181"/>
      <c r="Q33" s="181"/>
    </row>
    <row r="34" spans="1:17" s="215" customFormat="1" ht="18.75" customHeight="1" thickBot="1" x14ac:dyDescent="0.3">
      <c r="A34" s="181"/>
      <c r="B34" s="211" t="s">
        <v>80</v>
      </c>
      <c r="C34" s="181"/>
      <c r="D34" s="212" t="s">
        <v>95</v>
      </c>
      <c r="E34" s="181"/>
      <c r="F34" s="189">
        <v>0.13200000000000001</v>
      </c>
      <c r="G34" s="179">
        <f>0.18*$F6</f>
        <v>51.539399999999993</v>
      </c>
      <c r="H34" s="180">
        <f t="shared" si="5"/>
        <v>6.803200799999999</v>
      </c>
      <c r="I34" s="213"/>
      <c r="J34" s="189">
        <f t="shared" si="7"/>
        <v>0.13200000000000001</v>
      </c>
      <c r="K34" s="179">
        <f>0.18*$F6</f>
        <v>51.539399999999993</v>
      </c>
      <c r="L34" s="180">
        <f t="shared" si="6"/>
        <v>6.803200799999999</v>
      </c>
      <c r="M34" s="214"/>
      <c r="N34" s="184">
        <f t="shared" si="0"/>
        <v>0</v>
      </c>
      <c r="O34" s="185">
        <f t="shared" si="4"/>
        <v>0</v>
      </c>
      <c r="P34" s="181"/>
      <c r="Q34" s="181"/>
    </row>
    <row r="35" spans="1:17" ht="15.75" thickBot="1" x14ac:dyDescent="0.3">
      <c r="B35" s="221"/>
      <c r="C35" s="222"/>
      <c r="D35" s="223"/>
      <c r="E35" s="222"/>
      <c r="F35" s="224"/>
      <c r="G35" s="225"/>
      <c r="H35" s="226"/>
      <c r="I35" s="227"/>
      <c r="J35" s="224"/>
      <c r="K35" s="228"/>
      <c r="L35" s="226"/>
      <c r="M35" s="227"/>
      <c r="N35" s="229"/>
      <c r="O35" s="230"/>
    </row>
    <row r="36" spans="1:17" s="152" customFormat="1" x14ac:dyDescent="0.25">
      <c r="B36" s="231" t="s">
        <v>83</v>
      </c>
      <c r="C36" s="186"/>
      <c r="D36" s="186"/>
      <c r="E36" s="186"/>
      <c r="F36" s="232"/>
      <c r="G36" s="233"/>
      <c r="H36" s="234">
        <f>SUM(H25:H30,H32:H34)</f>
        <v>51.474797826699998</v>
      </c>
      <c r="I36" s="235"/>
      <c r="J36" s="236"/>
      <c r="K36" s="236"/>
      <c r="L36" s="237">
        <f>SUM(L25:L30,L32:L34)</f>
        <v>52.907589154981352</v>
      </c>
      <c r="M36" s="238"/>
      <c r="N36" s="239">
        <f>L36-H36</f>
        <v>1.432791328281354</v>
      </c>
      <c r="O36" s="240">
        <f t="shared" ref="O36" si="8">IF((H36)=0,"",(N36/H36))</f>
        <v>2.7834812156137593E-2</v>
      </c>
    </row>
    <row r="37" spans="1:17" s="152" customFormat="1" x14ac:dyDescent="0.25">
      <c r="B37" s="241" t="s">
        <v>84</v>
      </c>
      <c r="C37" s="186"/>
      <c r="D37" s="186"/>
      <c r="E37" s="186"/>
      <c r="F37" s="242">
        <v>0.13</v>
      </c>
      <c r="G37" s="243"/>
      <c r="H37" s="244">
        <f>H36*F37</f>
        <v>6.6917237174709996</v>
      </c>
      <c r="I37" s="245"/>
      <c r="J37" s="246">
        <v>0.13</v>
      </c>
      <c r="K37" s="245"/>
      <c r="L37" s="247">
        <f>L36*J37</f>
        <v>6.8779865901475761</v>
      </c>
      <c r="M37" s="248"/>
      <c r="N37" s="249">
        <f t="shared" si="0"/>
        <v>0.18626287267657649</v>
      </c>
      <c r="O37" s="250">
        <f t="shared" si="4"/>
        <v>2.7834812156137662E-2</v>
      </c>
    </row>
    <row r="38" spans="1:17" s="152" customFormat="1" x14ac:dyDescent="0.25">
      <c r="B38" s="251" t="s">
        <v>106</v>
      </c>
      <c r="C38" s="186"/>
      <c r="D38" s="186"/>
      <c r="E38" s="186"/>
      <c r="F38" s="252"/>
      <c r="G38" s="243"/>
      <c r="H38" s="244">
        <f>H36+H37</f>
        <v>58.166521544170998</v>
      </c>
      <c r="I38" s="245"/>
      <c r="J38" s="245"/>
      <c r="K38" s="245"/>
      <c r="L38" s="247">
        <f>L36+L37</f>
        <v>59.785575745128931</v>
      </c>
      <c r="M38" s="248"/>
      <c r="N38" s="249">
        <f t="shared" si="0"/>
        <v>1.6190542009579332</v>
      </c>
      <c r="O38" s="250">
        <f t="shared" si="4"/>
        <v>2.7834812156137645E-2</v>
      </c>
    </row>
    <row r="39" spans="1:17" s="152" customFormat="1" x14ac:dyDescent="0.25">
      <c r="B39" s="315" t="s">
        <v>85</v>
      </c>
      <c r="C39" s="315"/>
      <c r="D39" s="315"/>
      <c r="E39" s="186"/>
      <c r="F39" s="252"/>
      <c r="G39" s="243"/>
      <c r="H39" s="253">
        <f>ROUND(-H36*8%,2)</f>
        <v>-4.12</v>
      </c>
      <c r="I39" s="245"/>
      <c r="J39" s="245"/>
      <c r="K39" s="245"/>
      <c r="L39" s="253">
        <f>ROUND(-L36*8%,2)</f>
        <v>-4.2300000000000004</v>
      </c>
      <c r="M39" s="248"/>
      <c r="N39" s="254">
        <f t="shared" si="0"/>
        <v>-0.11000000000000032</v>
      </c>
      <c r="O39" s="255">
        <f t="shared" si="4"/>
        <v>2.6699029126213671E-2</v>
      </c>
    </row>
    <row r="40" spans="1:17" ht="15.75" thickBot="1" x14ac:dyDescent="0.3">
      <c r="B40" s="316" t="s">
        <v>107</v>
      </c>
      <c r="C40" s="316"/>
      <c r="D40" s="316"/>
      <c r="E40" s="256"/>
      <c r="F40" s="257"/>
      <c r="G40" s="258"/>
      <c r="H40" s="259">
        <f>H38+H39</f>
        <v>54.046521544171</v>
      </c>
      <c r="I40" s="260"/>
      <c r="J40" s="260"/>
      <c r="K40" s="260"/>
      <c r="L40" s="261">
        <f>L38+L39</f>
        <v>55.555575745128934</v>
      </c>
      <c r="M40" s="262"/>
      <c r="N40" s="263">
        <f t="shared" si="0"/>
        <v>1.5090542009579337</v>
      </c>
      <c r="O40" s="264">
        <f t="shared" si="4"/>
        <v>2.7921393603927272E-2</v>
      </c>
    </row>
    <row r="41" spans="1:17" ht="15.75" thickBot="1" x14ac:dyDescent="0.3">
      <c r="B41" s="221"/>
      <c r="C41" s="222"/>
      <c r="D41" s="223"/>
      <c r="E41" s="222"/>
      <c r="F41" s="265"/>
      <c r="G41" s="266"/>
      <c r="H41" s="267"/>
      <c r="I41" s="268"/>
      <c r="J41" s="265"/>
      <c r="K41" s="225"/>
      <c r="L41" s="269"/>
      <c r="M41" s="227"/>
      <c r="N41" s="270"/>
      <c r="O41" s="230"/>
    </row>
    <row r="42" spans="1:17" s="152" customFormat="1" x14ac:dyDescent="0.25">
      <c r="L42" s="271"/>
    </row>
    <row r="43" spans="1:17" x14ac:dyDescent="0.25">
      <c r="B43" s="159" t="s">
        <v>108</v>
      </c>
      <c r="C43" s="152"/>
      <c r="D43" s="152"/>
      <c r="E43" s="152"/>
      <c r="F43" s="272">
        <v>1.0315000000000001</v>
      </c>
      <c r="G43" s="152"/>
      <c r="H43" s="152"/>
      <c r="I43" s="152"/>
      <c r="J43" s="272">
        <v>1.0315000000000001</v>
      </c>
      <c r="K43" s="152"/>
      <c r="L43" s="152"/>
      <c r="M43" s="152"/>
      <c r="N43" s="273"/>
      <c r="O43" s="152"/>
    </row>
    <row r="44" spans="1:17" s="152" customFormat="1" x14ac:dyDescent="0.25"/>
    <row r="45" spans="1:17" s="152" customFormat="1" x14ac:dyDescent="0.25">
      <c r="B45" s="274" t="s">
        <v>109</v>
      </c>
    </row>
    <row r="46" spans="1:17" s="152" customFormat="1" ht="17.25" x14ac:dyDescent="0.25">
      <c r="B46" s="275" t="s">
        <v>110</v>
      </c>
    </row>
    <row r="47" spans="1:17" s="152" customFormat="1" x14ac:dyDescent="0.25"/>
    <row r="48" spans="1:17" s="152" customFormat="1" x14ac:dyDescent="0.25">
      <c r="B48" s="152" t="s">
        <v>111</v>
      </c>
    </row>
    <row r="49" spans="2:2" s="152" customFormat="1" x14ac:dyDescent="0.25">
      <c r="B49" s="152" t="s">
        <v>112</v>
      </c>
    </row>
    <row r="50" spans="2:2" ht="15.75" customHeight="1" x14ac:dyDescent="0.25"/>
  </sheetData>
  <mergeCells count="10">
    <mergeCell ref="B39:D39"/>
    <mergeCell ref="B40:D40"/>
    <mergeCell ref="B1:O1"/>
    <mergeCell ref="D4:O4"/>
    <mergeCell ref="F8:H8"/>
    <mergeCell ref="J8:L8"/>
    <mergeCell ref="N8:O8"/>
    <mergeCell ref="D9:D10"/>
    <mergeCell ref="N9:N10"/>
    <mergeCell ref="O9:O10"/>
  </mergeCells>
  <dataValidations count="3">
    <dataValidation type="list" allowBlank="1" showInputMessage="1" showErrorMessage="1" sqref="E19:E20">
      <formula1>#REF!</formula1>
    </dataValidation>
    <dataValidation type="list" allowBlank="1" showInputMessage="1" showErrorMessage="1" prompt="Select Charge Unit - monthly, per kWh, per kW" sqref="D23:D24 D41 D26:D35 D11:D15 D17:D21">
      <formula1>"Monthly, per kWh, per kW"</formula1>
    </dataValidation>
    <dataValidation type="list" allowBlank="1" showInputMessage="1" showErrorMessage="1" sqref="E23:E24 E41 E17:E18 E21 E26:E35 E11:E15">
      <formula1>#REF!</formula1>
    </dataValidation>
  </dataValidations>
  <pageMargins left="0.25" right="0.25" top="0.75" bottom="0.75" header="0.3" footer="0.3"/>
  <pageSetup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Option Button 4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Option Button 6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Option Button 7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Option Button 8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Option Button 9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Option Button 10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Option Button 11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Option Button 12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Option Button 13">
              <controlPr defaultSize="0" autoFill="0" autoLine="0" autoPict="0">
                <anchor moveWithCells="1">
                  <from>
                    <xdr:col>6</xdr:col>
                    <xdr:colOff>438150</xdr:colOff>
                    <xdr:row>50</xdr:row>
                    <xdr:rowOff>57150</xdr:rowOff>
                  </from>
                  <to>
                    <xdr:col>10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Option Button 14">
              <controlPr defaultSize="0" autoFill="0" autoLine="0" autoPict="0">
                <anchor moveWithCells="1">
                  <from>
                    <xdr:col>9</xdr:col>
                    <xdr:colOff>304800</xdr:colOff>
                    <xdr:row>50</xdr:row>
                    <xdr:rowOff>57150</xdr:rowOff>
                  </from>
                  <to>
                    <xdr:col>16</xdr:col>
                    <xdr:colOff>314325</xdr:colOff>
                    <xdr:row>52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Bill Impacts</vt:lpstr>
      <vt:lpstr>Residential  (10%)</vt:lpstr>
      <vt:lpstr>'Bill Impacts'!Print_Area</vt:lpstr>
      <vt:lpstr>'Residential  (10%)'!Print_Area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Nagy, Judith</dc:creator>
  <cp:lastModifiedBy>Nagy, Judith</cp:lastModifiedBy>
  <cp:lastPrinted>2017-10-04T21:28:19Z</cp:lastPrinted>
  <dcterms:created xsi:type="dcterms:W3CDTF">2017-10-03T23:10:05Z</dcterms:created>
  <dcterms:modified xsi:type="dcterms:W3CDTF">2017-10-04T22:06:08Z</dcterms:modified>
</cp:coreProperties>
</file>