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5576" windowHeight="5256" tabRatio="790" firstSheet="1" activeTab="4"/>
  </bookViews>
  <sheets>
    <sheet name="1. Information Sheet" sheetId="15" r:id="rId1"/>
    <sheet name="2. 2016 Continuity Schedule" sheetId="2" r:id="rId2"/>
    <sheet name="3. Appendix A" sheetId="11" r:id="rId3"/>
    <sheet name="4. Billing Determinants" sheetId="12" r:id="rId4"/>
    <sheet name="5. Allocation of Balances" sheetId="13" r:id="rId5"/>
    <sheet name="5a. GA Allocation Class A" sheetId="18" state="veryHidden" r:id="rId6"/>
    <sheet name="6. Rate Rider Calculations" sheetId="14" r:id="rId7"/>
    <sheet name="Summary Sheet" sheetId="16"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GoBack" localSheetId="3">'4. Billing Determinants'!$P$19</definedName>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forecast_wholesale_lineplus">'[2]14. RTSR - Forecast Wholesale'!$P$113</definedName>
    <definedName name="forecast_wholesale_network">'[2]14. RTSR - Forecast Wholesale'!$F$109</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2">'3. Appendix A'!$B$1:$F$68</definedName>
    <definedName name="_xlnm.Print_Area" localSheetId="3">'4. Billing Determinants'!$A$1:$R$50</definedName>
    <definedName name="_xlnm.Print_Area" localSheetId="6">'6. Rate Rider Calculations'!$A$13:$I$146</definedName>
    <definedName name="print_end" localSheetId="0">#REF!</definedName>
    <definedName name="print_end">#REF!</definedName>
    <definedName name="_xlnm.Print_Titles" localSheetId="1">'2. 2016 Continuity Schedule'!$C:$D,'2. 2016 Continuity Schedule'!$19:$22</definedName>
    <definedName name="_xlnm.Print_Titles" localSheetId="2">'3. Appendix A'!$C:$D,'3. Appendix A'!$19:$22</definedName>
    <definedName name="_xlnm.Print_Titles" localSheetId="4">'5. Allocation of Balances'!$B:$E</definedName>
    <definedName name="RATE_CLASSES">[4]lists!$A$1:$A$104</definedName>
    <definedName name="ratebase">'[2]8. STS - Tax Change'!$N$19</definedName>
    <definedName name="ratedescription" localSheetId="5">[5]hidden1!$D$1:$D$122</definedName>
    <definedName name="ratedescription">[6]hidden1!$D$1:$D$122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[6]hidden1!$J$3:$J$8</definedName>
    <definedName name="Utility">[3]Financials!$A$1</definedName>
    <definedName name="utitliy1">[7]Financials!$A$1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62913"/>
</workbook>
</file>

<file path=xl/calcChain.xml><?xml version="1.0" encoding="utf-8"?>
<calcChain xmlns="http://schemas.openxmlformats.org/spreadsheetml/2006/main">
  <c r="E26" i="12" l="1"/>
  <c r="D26" i="12"/>
  <c r="F25" i="12"/>
  <c r="E25" i="12"/>
  <c r="D25" i="12"/>
  <c r="F24" i="12"/>
  <c r="E24" i="12"/>
  <c r="D24" i="12"/>
  <c r="F23" i="12"/>
  <c r="E23" i="12"/>
  <c r="D23" i="12"/>
  <c r="E22" i="12"/>
  <c r="D22" i="12"/>
  <c r="E21" i="12"/>
  <c r="D21" i="12"/>
  <c r="G26" i="12" l="1"/>
  <c r="G24" i="12"/>
  <c r="G23" i="12"/>
  <c r="G22" i="12"/>
  <c r="G21" i="12"/>
  <c r="AC22" i="12"/>
  <c r="AC21" i="12"/>
  <c r="F24" i="2" l="1"/>
  <c r="G21" i="18" l="1"/>
  <c r="F21" i="18"/>
  <c r="E21" i="18"/>
  <c r="D21" i="18"/>
  <c r="C20" i="18"/>
  <c r="C21" i="18" l="1"/>
  <c r="C22" i="18" s="1"/>
  <c r="Y39" i="13"/>
  <c r="X39" i="13"/>
  <c r="W39" i="13"/>
  <c r="V39" i="13"/>
  <c r="U39" i="13"/>
  <c r="T39" i="13"/>
  <c r="S39" i="13"/>
  <c r="R39" i="13"/>
  <c r="Q39" i="13"/>
  <c r="P39" i="13"/>
  <c r="O39" i="13"/>
  <c r="N39" i="13"/>
  <c r="M39" i="13"/>
  <c r="L39" i="13"/>
  <c r="K39" i="13"/>
  <c r="J39" i="13"/>
  <c r="I39" i="13"/>
  <c r="H39" i="13"/>
  <c r="G39" i="13"/>
  <c r="F39" i="13"/>
  <c r="S22" i="12" l="1"/>
  <c r="D73" i="14" s="1"/>
  <c r="S23" i="12"/>
  <c r="D74" i="14" s="1"/>
  <c r="S24" i="12"/>
  <c r="D75" i="14" s="1"/>
  <c r="S25" i="12"/>
  <c r="D76" i="14" s="1"/>
  <c r="S26" i="12"/>
  <c r="D77" i="14" s="1"/>
  <c r="S27" i="12"/>
  <c r="D78" i="14" s="1"/>
  <c r="S28" i="12"/>
  <c r="D79" i="14" s="1"/>
  <c r="S29" i="12"/>
  <c r="D80" i="14" s="1"/>
  <c r="S30" i="12"/>
  <c r="D81" i="14" s="1"/>
  <c r="S31" i="12"/>
  <c r="S32" i="12"/>
  <c r="S33" i="12"/>
  <c r="S34" i="12"/>
  <c r="S35" i="12"/>
  <c r="S36" i="12"/>
  <c r="S37" i="12"/>
  <c r="S38" i="12"/>
  <c r="S39" i="12"/>
  <c r="S40" i="12"/>
  <c r="S21" i="12"/>
  <c r="D72" i="14" s="1"/>
  <c r="AB42" i="12" l="1"/>
  <c r="AB41" i="12"/>
  <c r="AA41" i="12"/>
  <c r="Y41" i="12"/>
  <c r="X41" i="12"/>
  <c r="W41" i="12"/>
  <c r="V41" i="12"/>
  <c r="U41" i="12"/>
  <c r="P41" i="12"/>
  <c r="AB43" i="12" l="1"/>
  <c r="S41" i="12"/>
  <c r="AX83" i="2" l="1"/>
  <c r="BB83" i="2" s="1"/>
  <c r="BH83" i="2" s="1"/>
  <c r="BL83" i="2" s="1"/>
  <c r="BP83" i="2" s="1"/>
  <c r="BS83" i="2" s="1"/>
  <c r="AS83" i="2"/>
  <c r="AW83" i="2" s="1"/>
  <c r="BC83" i="2" s="1"/>
  <c r="BG83" i="2" s="1"/>
  <c r="BV83" i="2" l="1"/>
  <c r="BO83" i="2"/>
  <c r="BT83" i="2" s="1"/>
  <c r="BR60" i="2"/>
  <c r="D182" i="14" l="1"/>
  <c r="D181" i="14"/>
  <c r="I24" i="2" l="1"/>
  <c r="E44" i="2"/>
  <c r="F42" i="2"/>
  <c r="N39" i="2"/>
  <c r="N38" i="2"/>
  <c r="N37" i="2"/>
  <c r="N36" i="2"/>
  <c r="N35" i="2"/>
  <c r="N34" i="2"/>
  <c r="N33" i="2"/>
  <c r="N32" i="2"/>
  <c r="N31" i="2"/>
  <c r="N30" i="2"/>
  <c r="N29" i="2"/>
  <c r="N26" i="2"/>
  <c r="N24" i="2"/>
  <c r="I39" i="2"/>
  <c r="I38" i="2"/>
  <c r="I37" i="2"/>
  <c r="I36" i="2"/>
  <c r="I35" i="2"/>
  <c r="I34" i="2"/>
  <c r="I33" i="2"/>
  <c r="I32" i="2"/>
  <c r="I31" i="2"/>
  <c r="I30" i="2"/>
  <c r="I29" i="2"/>
  <c r="E42" i="2" l="1"/>
  <c r="E43" i="2" s="1"/>
  <c r="E65" i="2" l="1"/>
  <c r="D69" i="11"/>
  <c r="C69" i="11"/>
  <c r="C27" i="11"/>
  <c r="C28" i="11"/>
  <c r="D27" i="11"/>
  <c r="D28" i="11"/>
  <c r="BH27" i="2" l="1"/>
  <c r="BL27" i="2" s="1"/>
  <c r="BH28" i="2"/>
  <c r="BL28" i="2" s="1"/>
  <c r="BG27" i="2"/>
  <c r="BO27" i="2" s="1"/>
  <c r="BQ27" i="2" s="1"/>
  <c r="BG28" i="2"/>
  <c r="BV27" i="2" l="1"/>
  <c r="E27" i="11" s="1"/>
  <c r="BV28" i="2"/>
  <c r="E28" i="11" s="1"/>
  <c r="BP28" i="2"/>
  <c r="BP27" i="2"/>
  <c r="BO28" i="2"/>
  <c r="BQ28" i="2" s="1"/>
  <c r="BQ60" i="2" l="1"/>
  <c r="BT28" i="2" l="1"/>
  <c r="BT27" i="2"/>
  <c r="BS27" i="2"/>
  <c r="BR44" i="2"/>
  <c r="BR42" i="2"/>
  <c r="BS28" i="2"/>
  <c r="S85" i="2"/>
  <c r="AC86" i="2"/>
  <c r="AI86" i="2" s="1"/>
  <c r="BR43" i="2" l="1"/>
  <c r="Y85" i="2"/>
  <c r="AC85" i="2" s="1"/>
  <c r="AI85" i="2" s="1"/>
  <c r="N68" i="2"/>
  <c r="T68" i="2" s="1"/>
  <c r="I68" i="2"/>
  <c r="O68" i="2" s="1"/>
  <c r="S68" i="2" s="1"/>
  <c r="N54" i="2"/>
  <c r="I54" i="2"/>
  <c r="O54" i="2" s="1"/>
  <c r="T49" i="2"/>
  <c r="X49" i="2" s="1"/>
  <c r="O49" i="2"/>
  <c r="S49" i="2" s="1"/>
  <c r="Y49" i="2" s="1"/>
  <c r="I73" i="2" l="1"/>
  <c r="I74" i="2"/>
  <c r="I75" i="2"/>
  <c r="I76" i="2"/>
  <c r="I77" i="2"/>
  <c r="I78" i="2"/>
  <c r="I53" i="2"/>
  <c r="I79" i="2"/>
  <c r="I80" i="2"/>
  <c r="I81" i="2"/>
  <c r="I82" i="2"/>
  <c r="D153" i="14" l="1"/>
  <c r="D53" i="11" l="1"/>
  <c r="D54" i="11"/>
  <c r="D55" i="11"/>
  <c r="D56" i="11"/>
  <c r="D57" i="11"/>
  <c r="D58" i="11"/>
  <c r="D59" i="11"/>
  <c r="D60" i="11"/>
  <c r="D61" i="11"/>
  <c r="D62" i="11"/>
  <c r="D63" i="11"/>
  <c r="D64" i="11"/>
  <c r="D65" i="11"/>
  <c r="D66" i="11"/>
  <c r="D67" i="11"/>
  <c r="D68" i="11"/>
  <c r="D43" i="11"/>
  <c r="D44" i="11"/>
  <c r="D45" i="11"/>
  <c r="D46" i="11"/>
  <c r="D47" i="11"/>
  <c r="D48" i="11"/>
  <c r="D49" i="11"/>
  <c r="D50" i="11"/>
  <c r="D51" i="11"/>
  <c r="D52" i="11"/>
  <c r="D42" i="11"/>
  <c r="D25" i="11"/>
  <c r="D26" i="11"/>
  <c r="D29" i="11"/>
  <c r="D30" i="11"/>
  <c r="D31" i="11"/>
  <c r="D32" i="11"/>
  <c r="D33" i="11"/>
  <c r="D34" i="11"/>
  <c r="D35" i="11"/>
  <c r="D36" i="11"/>
  <c r="D37" i="11"/>
  <c r="D38" i="11"/>
  <c r="D39" i="11"/>
  <c r="D24" i="11"/>
  <c r="C24" i="11"/>
  <c r="C25" i="11"/>
  <c r="C26" i="11"/>
  <c r="C29" i="11"/>
  <c r="C30" i="11"/>
  <c r="C31" i="11"/>
  <c r="C32" i="11"/>
  <c r="C33" i="11"/>
  <c r="C34" i="11"/>
  <c r="C35" i="11"/>
  <c r="C36" i="11"/>
  <c r="C37" i="11"/>
  <c r="C38" i="11"/>
  <c r="C39"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AM86" i="2" l="1"/>
  <c r="AS86" i="2" s="1"/>
  <c r="AW86" i="2" s="1"/>
  <c r="BC86" i="2" s="1"/>
  <c r="BG86" i="2" s="1"/>
  <c r="BV86" i="2" s="1"/>
  <c r="E69" i="11" s="1"/>
  <c r="AM85" i="2"/>
  <c r="AS85" i="2" s="1"/>
  <c r="AW85" i="2" s="1"/>
  <c r="BC85" i="2" s="1"/>
  <c r="BG85" i="2" s="1"/>
  <c r="BV85" i="2" s="1"/>
  <c r="BO85" i="2" l="1"/>
  <c r="BT85" i="2" s="1"/>
  <c r="D54" i="13" s="1"/>
  <c r="BO86" i="2"/>
  <c r="BT86" i="2" s="1"/>
  <c r="Y4" i="13" l="1"/>
  <c r="X4" i="13"/>
  <c r="W4" i="13"/>
  <c r="V4" i="13"/>
  <c r="U4" i="13"/>
  <c r="T4" i="13"/>
  <c r="S4" i="13"/>
  <c r="R4" i="13"/>
  <c r="Q4" i="13"/>
  <c r="P4" i="13"/>
  <c r="O4" i="13"/>
  <c r="N4" i="13"/>
  <c r="M4" i="13"/>
  <c r="L4" i="13"/>
  <c r="K4" i="13"/>
  <c r="J4" i="13"/>
  <c r="I4" i="13"/>
  <c r="H4" i="13"/>
  <c r="G4" i="13"/>
  <c r="F4" i="13"/>
  <c r="N15" i="13" l="1"/>
  <c r="N14" i="13"/>
  <c r="N18" i="13"/>
  <c r="N17" i="13"/>
  <c r="N12" i="13"/>
  <c r="N16" i="13"/>
  <c r="N13" i="13"/>
  <c r="N11" i="13"/>
  <c r="V15" i="13"/>
  <c r="V14" i="13"/>
  <c r="V18" i="13"/>
  <c r="V17" i="13"/>
  <c r="V12" i="13"/>
  <c r="V16" i="13"/>
  <c r="V13" i="13"/>
  <c r="V11" i="13"/>
  <c r="W12" i="13"/>
  <c r="W16" i="13"/>
  <c r="W14" i="13"/>
  <c r="W13" i="13"/>
  <c r="W17" i="13"/>
  <c r="W15" i="13"/>
  <c r="W18" i="13"/>
  <c r="W11" i="13"/>
  <c r="L13" i="13"/>
  <c r="L17" i="13"/>
  <c r="L12" i="13"/>
  <c r="L15" i="13"/>
  <c r="L14" i="13"/>
  <c r="L18" i="13"/>
  <c r="L16" i="13"/>
  <c r="L11" i="13"/>
  <c r="P13" i="13"/>
  <c r="P17" i="13"/>
  <c r="P14" i="13"/>
  <c r="P18" i="13"/>
  <c r="P12" i="13"/>
  <c r="P16" i="13"/>
  <c r="P15" i="13"/>
  <c r="P11" i="13"/>
  <c r="T13" i="13"/>
  <c r="T17" i="13"/>
  <c r="T12" i="13"/>
  <c r="T16" i="13"/>
  <c r="T15" i="13"/>
  <c r="T14" i="13"/>
  <c r="T18" i="13"/>
  <c r="T11" i="13"/>
  <c r="X13" i="13"/>
  <c r="X17" i="13"/>
  <c r="X14" i="13"/>
  <c r="X18" i="13"/>
  <c r="X12" i="13"/>
  <c r="X16" i="13"/>
  <c r="X15" i="13"/>
  <c r="X11" i="13"/>
  <c r="R15" i="13"/>
  <c r="R13" i="13"/>
  <c r="R12" i="13"/>
  <c r="R16" i="13"/>
  <c r="R14" i="13"/>
  <c r="R18" i="13"/>
  <c r="R17" i="13"/>
  <c r="R11" i="13"/>
  <c r="O12" i="13"/>
  <c r="O16" i="13"/>
  <c r="O14" i="13"/>
  <c r="O13" i="13"/>
  <c r="O17" i="13"/>
  <c r="O15" i="13"/>
  <c r="O18" i="13"/>
  <c r="O11" i="13"/>
  <c r="S12" i="13"/>
  <c r="S16" i="13"/>
  <c r="S15" i="13"/>
  <c r="S18" i="13"/>
  <c r="S13" i="13"/>
  <c r="S17" i="13"/>
  <c r="S14" i="13"/>
  <c r="S11" i="13"/>
  <c r="M14" i="13"/>
  <c r="M18" i="13"/>
  <c r="M12" i="13"/>
  <c r="M15" i="13"/>
  <c r="M13" i="13"/>
  <c r="M17" i="13"/>
  <c r="M16" i="13"/>
  <c r="M11" i="13"/>
  <c r="Q14" i="13"/>
  <c r="Q18" i="13"/>
  <c r="Q13" i="13"/>
  <c r="Q17" i="13"/>
  <c r="Q15" i="13"/>
  <c r="Q12" i="13"/>
  <c r="Q16" i="13"/>
  <c r="Q11" i="13"/>
  <c r="U14" i="13"/>
  <c r="U18" i="13"/>
  <c r="U12" i="13"/>
  <c r="U16" i="13"/>
  <c r="U15" i="13"/>
  <c r="U13" i="13"/>
  <c r="U17" i="13"/>
  <c r="U11" i="13"/>
  <c r="Y14" i="13"/>
  <c r="Y18" i="13"/>
  <c r="Y13" i="13"/>
  <c r="Y17" i="13"/>
  <c r="Y15" i="13"/>
  <c r="Y12" i="13"/>
  <c r="Y16" i="13"/>
  <c r="Y11" i="13"/>
  <c r="Y43" i="13"/>
  <c r="X43" i="13"/>
  <c r="W43" i="13"/>
  <c r="V43" i="13"/>
  <c r="U43" i="13"/>
  <c r="T43" i="13"/>
  <c r="S43" i="13"/>
  <c r="R43" i="13"/>
  <c r="Y27" i="13"/>
  <c r="X27" i="13"/>
  <c r="W27" i="13"/>
  <c r="V27" i="13"/>
  <c r="U27" i="13"/>
  <c r="T27" i="13"/>
  <c r="S27" i="13"/>
  <c r="R27" i="13"/>
  <c r="C144" i="14"/>
  <c r="D144" i="14" s="1"/>
  <c r="C143" i="14"/>
  <c r="D143" i="14" s="1"/>
  <c r="C142" i="14"/>
  <c r="D142" i="14" s="1"/>
  <c r="C141" i="14"/>
  <c r="D141" i="14" s="1"/>
  <c r="C140" i="14"/>
  <c r="D140" i="14" s="1"/>
  <c r="C139" i="14"/>
  <c r="D139" i="14" s="1"/>
  <c r="C138" i="14"/>
  <c r="D138" i="14" s="1"/>
  <c r="C137" i="14"/>
  <c r="D137" i="14" s="1"/>
  <c r="C136" i="14"/>
  <c r="D136" i="14" s="1"/>
  <c r="C135" i="14"/>
  <c r="D135" i="14" s="1"/>
  <c r="C134" i="14"/>
  <c r="D134" i="14" s="1"/>
  <c r="C133" i="14"/>
  <c r="D133" i="14" s="1"/>
  <c r="C82" i="14" l="1"/>
  <c r="D82" i="14" s="1"/>
  <c r="C83" i="14"/>
  <c r="D83" i="14" s="1"/>
  <c r="C84" i="14"/>
  <c r="D84" i="14" s="1"/>
  <c r="C85" i="14"/>
  <c r="D85" i="14" s="1"/>
  <c r="C86" i="14"/>
  <c r="D86" i="14" s="1"/>
  <c r="C87" i="14"/>
  <c r="D87" i="14" s="1"/>
  <c r="C88" i="14"/>
  <c r="D88" i="14" s="1"/>
  <c r="C89" i="14"/>
  <c r="D89" i="14" s="1"/>
  <c r="C90" i="14"/>
  <c r="D90" i="14" s="1"/>
  <c r="C91" i="14"/>
  <c r="D91" i="14" s="1"/>
  <c r="H27" i="12"/>
  <c r="T27" i="12" s="1"/>
  <c r="L27" i="12"/>
  <c r="M27" i="12"/>
  <c r="M22" i="12"/>
  <c r="M23" i="12"/>
  <c r="M24" i="12"/>
  <c r="M25" i="12"/>
  <c r="M26" i="12"/>
  <c r="M28" i="12"/>
  <c r="M29" i="12"/>
  <c r="M30" i="12"/>
  <c r="M31" i="12"/>
  <c r="M32" i="12"/>
  <c r="M33" i="12"/>
  <c r="M34" i="12"/>
  <c r="M35" i="12"/>
  <c r="M36" i="12"/>
  <c r="M37" i="12"/>
  <c r="M38" i="12"/>
  <c r="M39" i="12"/>
  <c r="M40" i="12"/>
  <c r="L22" i="12"/>
  <c r="L23" i="12"/>
  <c r="L24" i="12"/>
  <c r="L25" i="12"/>
  <c r="L26" i="12"/>
  <c r="L28" i="12"/>
  <c r="L29" i="12"/>
  <c r="L30" i="12"/>
  <c r="L31" i="12"/>
  <c r="L32" i="12"/>
  <c r="L33" i="12"/>
  <c r="L34" i="12"/>
  <c r="L35" i="12"/>
  <c r="L36" i="12"/>
  <c r="L37" i="12"/>
  <c r="L38" i="12"/>
  <c r="L39" i="12"/>
  <c r="L40" i="12"/>
  <c r="H22" i="12" l="1"/>
  <c r="T22" i="12" s="1"/>
  <c r="H23" i="12"/>
  <c r="T23" i="12" s="1"/>
  <c r="H24" i="12"/>
  <c r="T24" i="12" s="1"/>
  <c r="H25" i="12"/>
  <c r="T25" i="12" s="1"/>
  <c r="H26" i="12"/>
  <c r="T26" i="12" s="1"/>
  <c r="H28" i="12"/>
  <c r="T28" i="12" s="1"/>
  <c r="H29" i="12"/>
  <c r="T29" i="12" s="1"/>
  <c r="H30" i="12"/>
  <c r="T30" i="12" s="1"/>
  <c r="H31" i="12"/>
  <c r="T31" i="12" s="1"/>
  <c r="H32" i="12"/>
  <c r="T32" i="12" s="1"/>
  <c r="H33" i="12"/>
  <c r="T33" i="12" s="1"/>
  <c r="H34" i="12"/>
  <c r="T34" i="12" s="1"/>
  <c r="H35" i="12"/>
  <c r="T35" i="12" s="1"/>
  <c r="H36" i="12"/>
  <c r="T36" i="12" s="1"/>
  <c r="H37" i="12"/>
  <c r="T37" i="12" s="1"/>
  <c r="H38" i="12"/>
  <c r="T38" i="12" s="1"/>
  <c r="H39" i="12"/>
  <c r="T39" i="12" s="1"/>
  <c r="H40" i="12"/>
  <c r="T40" i="12" s="1"/>
  <c r="H21" i="12"/>
  <c r="T21" i="12" s="1"/>
  <c r="T41" i="12" l="1"/>
  <c r="C183" i="14"/>
  <c r="D183" i="14" s="1"/>
  <c r="C184" i="14"/>
  <c r="D184" i="14" s="1"/>
  <c r="C185" i="14"/>
  <c r="D185" i="14" s="1"/>
  <c r="C186" i="14"/>
  <c r="D186" i="14" s="1"/>
  <c r="C187" i="14"/>
  <c r="D187" i="14" s="1"/>
  <c r="C188" i="14"/>
  <c r="D188" i="14" s="1"/>
  <c r="C189" i="14"/>
  <c r="D189" i="14" s="1"/>
  <c r="C190" i="14"/>
  <c r="D190" i="14" s="1"/>
  <c r="C191" i="14"/>
  <c r="D191" i="14" s="1"/>
  <c r="C192" i="14"/>
  <c r="D192" i="14" s="1"/>
  <c r="C193" i="14"/>
  <c r="D193" i="14" s="1"/>
  <c r="C194" i="14"/>
  <c r="D194" i="14" s="1"/>
  <c r="C195" i="14"/>
  <c r="D195" i="14" s="1"/>
  <c r="C196" i="14"/>
  <c r="D196" i="14" s="1"/>
  <c r="C197" i="14"/>
  <c r="D197" i="14" s="1"/>
  <c r="C198" i="14"/>
  <c r="D198" i="14" s="1"/>
  <c r="C199" i="14"/>
  <c r="D199" i="14" s="1"/>
  <c r="C200" i="14"/>
  <c r="D200" i="14" s="1"/>
  <c r="C161" i="14"/>
  <c r="C162" i="14"/>
  <c r="C163" i="14"/>
  <c r="C164" i="14"/>
  <c r="C165" i="14"/>
  <c r="C166" i="14"/>
  <c r="C167" i="14"/>
  <c r="C168" i="14"/>
  <c r="C169" i="14"/>
  <c r="C170" i="14"/>
  <c r="C171" i="14"/>
  <c r="C172" i="14"/>
  <c r="C109" i="14"/>
  <c r="C110" i="14"/>
  <c r="C111" i="14"/>
  <c r="C112" i="14"/>
  <c r="C113" i="14"/>
  <c r="C114" i="14"/>
  <c r="C115" i="14"/>
  <c r="C116" i="14"/>
  <c r="C117" i="14"/>
  <c r="C54" i="14"/>
  <c r="C55" i="14"/>
  <c r="C56" i="14"/>
  <c r="C57" i="14"/>
  <c r="C58" i="14"/>
  <c r="C59" i="14"/>
  <c r="C60" i="14"/>
  <c r="C61" i="14"/>
  <c r="C62" i="14"/>
  <c r="C63" i="14"/>
  <c r="C64" i="14"/>
  <c r="C65" i="14"/>
  <c r="C28" i="14"/>
  <c r="C29" i="14"/>
  <c r="C30" i="14"/>
  <c r="C31" i="14"/>
  <c r="C32" i="14"/>
  <c r="C33" i="14"/>
  <c r="C34" i="14"/>
  <c r="C35" i="14"/>
  <c r="C36" i="14"/>
  <c r="C37" i="14"/>
  <c r="C38" i="14"/>
  <c r="C39" i="14"/>
  <c r="D166" i="14" l="1"/>
  <c r="D165" i="14"/>
  <c r="D172" i="14"/>
  <c r="D171" i="14"/>
  <c r="D170" i="14"/>
  <c r="D169" i="14"/>
  <c r="D168" i="14"/>
  <c r="D167" i="14"/>
  <c r="D164" i="14"/>
  <c r="G200" i="14"/>
  <c r="G199" i="14"/>
  <c r="G198" i="14"/>
  <c r="G197" i="14"/>
  <c r="G196" i="14"/>
  <c r="G195" i="14"/>
  <c r="G194" i="14"/>
  <c r="G193" i="14"/>
  <c r="G192" i="14"/>
  <c r="G191" i="14"/>
  <c r="G190" i="14"/>
  <c r="G189" i="14"/>
  <c r="G188" i="14"/>
  <c r="G187" i="14"/>
  <c r="G186" i="14"/>
  <c r="G185" i="14"/>
  <c r="G184" i="14"/>
  <c r="G183" i="14"/>
  <c r="G182" i="14"/>
  <c r="G181" i="14"/>
  <c r="G91" i="14"/>
  <c r="G90" i="14"/>
  <c r="G89" i="14"/>
  <c r="G88" i="14"/>
  <c r="G87" i="14"/>
  <c r="G86" i="14"/>
  <c r="G85" i="14"/>
  <c r="G84" i="14"/>
  <c r="G83" i="14"/>
  <c r="G82" i="14"/>
  <c r="G81" i="14"/>
  <c r="G80" i="14"/>
  <c r="G79" i="14"/>
  <c r="G78" i="14"/>
  <c r="G77" i="14"/>
  <c r="G76" i="14"/>
  <c r="G75" i="14"/>
  <c r="G74" i="14"/>
  <c r="G73" i="14"/>
  <c r="G72" i="14"/>
  <c r="G65" i="14"/>
  <c r="G64" i="14"/>
  <c r="G63" i="14"/>
  <c r="G62" i="14"/>
  <c r="G61" i="14"/>
  <c r="G60" i="14"/>
  <c r="G59" i="14"/>
  <c r="G58" i="14"/>
  <c r="G57" i="14"/>
  <c r="G56" i="14"/>
  <c r="G55" i="14"/>
  <c r="G54" i="14"/>
  <c r="G53" i="14"/>
  <c r="G52" i="14"/>
  <c r="G51" i="14"/>
  <c r="G50" i="14"/>
  <c r="G49" i="14"/>
  <c r="G48" i="14"/>
  <c r="G47" i="14"/>
  <c r="G46" i="14"/>
  <c r="B21" i="14"/>
  <c r="B22" i="14"/>
  <c r="B23" i="14"/>
  <c r="B24" i="14"/>
  <c r="B25" i="14"/>
  <c r="B130" i="14" s="1"/>
  <c r="B26" i="14"/>
  <c r="B131" i="14" s="1"/>
  <c r="B27" i="14"/>
  <c r="B132" i="14" s="1"/>
  <c r="B28" i="14"/>
  <c r="B133" i="14" s="1"/>
  <c r="B29" i="14"/>
  <c r="B134" i="14" s="1"/>
  <c r="B30" i="14"/>
  <c r="B135" i="14" s="1"/>
  <c r="B31" i="14"/>
  <c r="B136" i="14" s="1"/>
  <c r="B32" i="14"/>
  <c r="B137" i="14" s="1"/>
  <c r="B33" i="14"/>
  <c r="B138" i="14" s="1"/>
  <c r="B34" i="14"/>
  <c r="B139" i="14" s="1"/>
  <c r="B35" i="14"/>
  <c r="B140" i="14" s="1"/>
  <c r="B36" i="14"/>
  <c r="B141" i="14" s="1"/>
  <c r="B37" i="14"/>
  <c r="B142" i="14" s="1"/>
  <c r="B38" i="14"/>
  <c r="B143" i="14" s="1"/>
  <c r="B39" i="14"/>
  <c r="B144" i="14" s="1"/>
  <c r="B20" i="14"/>
  <c r="G143" i="14"/>
  <c r="G142" i="14"/>
  <c r="G140" i="14"/>
  <c r="G139" i="14"/>
  <c r="G138" i="14"/>
  <c r="G136" i="14"/>
  <c r="G135" i="14"/>
  <c r="G134" i="14"/>
  <c r="G132" i="14"/>
  <c r="G131" i="14"/>
  <c r="G130" i="14"/>
  <c r="G129" i="14"/>
  <c r="G128" i="14"/>
  <c r="G127" i="14"/>
  <c r="G126" i="14"/>
  <c r="G125" i="14"/>
  <c r="G117" i="14"/>
  <c r="G116" i="14"/>
  <c r="G113" i="14"/>
  <c r="G110" i="14"/>
  <c r="G109" i="14"/>
  <c r="G108" i="14"/>
  <c r="G107" i="14"/>
  <c r="G105" i="14"/>
  <c r="G104" i="14"/>
  <c r="G103" i="14"/>
  <c r="G102" i="14"/>
  <c r="G101" i="14"/>
  <c r="G100" i="14"/>
  <c r="G99" i="14"/>
  <c r="G98" i="14"/>
  <c r="D59" i="14"/>
  <c r="D132" i="14" l="1"/>
  <c r="D131" i="14"/>
  <c r="D130" i="14"/>
  <c r="B127" i="14"/>
  <c r="B126" i="14"/>
  <c r="B125" i="14"/>
  <c r="B117" i="14"/>
  <c r="B116" i="14"/>
  <c r="B115" i="14"/>
  <c r="B112" i="14"/>
  <c r="B111" i="14"/>
  <c r="B110" i="14"/>
  <c r="B109" i="14"/>
  <c r="B108" i="14"/>
  <c r="B107" i="14"/>
  <c r="B129" i="14"/>
  <c r="B128" i="14"/>
  <c r="B114" i="14"/>
  <c r="B113" i="14"/>
  <c r="G141" i="14"/>
  <c r="G137" i="14"/>
  <c r="G133" i="14"/>
  <c r="G144" i="14"/>
  <c r="G114" i="14"/>
  <c r="G115" i="14"/>
  <c r="G106" i="14"/>
  <c r="G112" i="14"/>
  <c r="G111" i="14"/>
  <c r="B47" i="14"/>
  <c r="B48" i="14"/>
  <c r="B49" i="14"/>
  <c r="B50" i="14"/>
  <c r="B51" i="14"/>
  <c r="B52" i="14"/>
  <c r="B53" i="14"/>
  <c r="B54" i="14"/>
  <c r="B55" i="14"/>
  <c r="B56" i="14"/>
  <c r="B57" i="14"/>
  <c r="B58" i="14"/>
  <c r="B59" i="14"/>
  <c r="B60" i="14"/>
  <c r="B61" i="14"/>
  <c r="B62" i="14"/>
  <c r="B63" i="14"/>
  <c r="B64" i="14"/>
  <c r="B65" i="14"/>
  <c r="B46" i="14"/>
  <c r="D129" i="14" l="1"/>
  <c r="D128" i="14"/>
  <c r="D127" i="14"/>
  <c r="D126" i="14"/>
  <c r="D125" i="14"/>
  <c r="D65" i="14" l="1"/>
  <c r="D63" i="14"/>
  <c r="D61" i="14"/>
  <c r="K41" i="12"/>
  <c r="N41" i="12"/>
  <c r="O41" i="12"/>
  <c r="J41" i="12"/>
  <c r="D47" i="14"/>
  <c r="D48" i="14"/>
  <c r="D50" i="14"/>
  <c r="M21" i="12"/>
  <c r="L21" i="12"/>
  <c r="D46" i="14" s="1"/>
  <c r="D49" i="14" l="1"/>
  <c r="D51" i="14"/>
  <c r="D53" i="14"/>
  <c r="D55" i="14"/>
  <c r="D57" i="14"/>
  <c r="D60" i="14"/>
  <c r="D62" i="14"/>
  <c r="D64" i="14"/>
  <c r="D52" i="14"/>
  <c r="D54" i="14"/>
  <c r="D56" i="14"/>
  <c r="D58" i="14"/>
  <c r="M41" i="12"/>
  <c r="L41" i="12"/>
  <c r="BU42" i="2" l="1"/>
  <c r="BN42" i="2"/>
  <c r="BM42" i="2"/>
  <c r="BK42" i="2"/>
  <c r="BJ42" i="2"/>
  <c r="BI42" i="2"/>
  <c r="BF42" i="2"/>
  <c r="BE42" i="2"/>
  <c r="BD42" i="2"/>
  <c r="BA42" i="2"/>
  <c r="AZ42" i="2"/>
  <c r="AY42" i="2"/>
  <c r="AV42" i="2"/>
  <c r="AU42" i="2"/>
  <c r="AT42" i="2"/>
  <c r="AQ42" i="2"/>
  <c r="AP42" i="2"/>
  <c r="AO42" i="2"/>
  <c r="AL42" i="2"/>
  <c r="AK42" i="2"/>
  <c r="AJ42" i="2"/>
  <c r="AG42" i="2"/>
  <c r="AF42" i="2"/>
  <c r="AE42" i="2"/>
  <c r="AB42" i="2"/>
  <c r="AA42" i="2"/>
  <c r="Z42" i="2"/>
  <c r="W42" i="2"/>
  <c r="V42" i="2"/>
  <c r="U42" i="2"/>
  <c r="R42" i="2"/>
  <c r="Q42" i="2"/>
  <c r="P42" i="2"/>
  <c r="M42" i="2"/>
  <c r="L42" i="2"/>
  <c r="K42" i="2"/>
  <c r="J42" i="2"/>
  <c r="H42" i="2"/>
  <c r="G42" i="2"/>
  <c r="BK60" i="2"/>
  <c r="BJ60" i="2"/>
  <c r="BI60" i="2"/>
  <c r="BF60" i="2"/>
  <c r="BE60" i="2"/>
  <c r="BD60" i="2"/>
  <c r="BK44" i="2"/>
  <c r="BJ44" i="2"/>
  <c r="BI44" i="2"/>
  <c r="BF44" i="2"/>
  <c r="BE44" i="2"/>
  <c r="BD44" i="2"/>
  <c r="T39" i="2"/>
  <c r="X39" i="2" s="1"/>
  <c r="AD39" i="2" s="1"/>
  <c r="AH39" i="2" s="1"/>
  <c r="AN39" i="2" s="1"/>
  <c r="AR39" i="2" s="1"/>
  <c r="AX39" i="2" s="1"/>
  <c r="BB39" i="2" s="1"/>
  <c r="O39" i="2"/>
  <c r="S39" i="2" s="1"/>
  <c r="Y39" i="2" s="1"/>
  <c r="AC39" i="2" s="1"/>
  <c r="AI39" i="2" s="1"/>
  <c r="AM39" i="2" s="1"/>
  <c r="AS39" i="2" s="1"/>
  <c r="AW39" i="2" s="1"/>
  <c r="BC39" i="2" s="1"/>
  <c r="BG39" i="2" s="1"/>
  <c r="T38" i="2"/>
  <c r="X38" i="2" s="1"/>
  <c r="AD38" i="2" s="1"/>
  <c r="AH38" i="2" s="1"/>
  <c r="AN38" i="2" s="1"/>
  <c r="AR38" i="2" s="1"/>
  <c r="AX38" i="2" s="1"/>
  <c r="BB38" i="2" s="1"/>
  <c r="O38" i="2"/>
  <c r="S38" i="2" s="1"/>
  <c r="Y38" i="2" s="1"/>
  <c r="AC38" i="2" s="1"/>
  <c r="AI38" i="2" s="1"/>
  <c r="AM38" i="2" s="1"/>
  <c r="AS38" i="2" s="1"/>
  <c r="AW38" i="2" s="1"/>
  <c r="BJ43" i="2" l="1"/>
  <c r="BO39" i="2"/>
  <c r="BQ39" i="2" s="1"/>
  <c r="BI43" i="2"/>
  <c r="BF43" i="2"/>
  <c r="BE43" i="2"/>
  <c r="BC38" i="2"/>
  <c r="BG38" i="2" s="1"/>
  <c r="BD65" i="2"/>
  <c r="BD71" i="2" s="1"/>
  <c r="BJ65" i="2"/>
  <c r="BJ71" i="2" s="1"/>
  <c r="BH38" i="2"/>
  <c r="BL38" i="2" s="1"/>
  <c r="BP38" i="2" s="1"/>
  <c r="BH39" i="2"/>
  <c r="BL39" i="2" s="1"/>
  <c r="BP39" i="2" s="1"/>
  <c r="BE65" i="2"/>
  <c r="BE71" i="2" s="1"/>
  <c r="BK65" i="2"/>
  <c r="BK71" i="2" s="1"/>
  <c r="BI65" i="2"/>
  <c r="BI71" i="2" s="1"/>
  <c r="BF65" i="2"/>
  <c r="BF71" i="2" s="1"/>
  <c r="BK43" i="2"/>
  <c r="BD43" i="2"/>
  <c r="T36" i="2"/>
  <c r="X36" i="2" s="1"/>
  <c r="AD36" i="2" s="1"/>
  <c r="AH36" i="2" s="1"/>
  <c r="AN36" i="2" s="1"/>
  <c r="AR36" i="2" s="1"/>
  <c r="AX36" i="2" s="1"/>
  <c r="BB36" i="2" s="1"/>
  <c r="BH36" i="2" s="1"/>
  <c r="BL36" i="2" s="1"/>
  <c r="BP36" i="2" s="1"/>
  <c r="O36" i="2"/>
  <c r="S36" i="2" s="1"/>
  <c r="Y36" i="2" s="1"/>
  <c r="AC36" i="2" s="1"/>
  <c r="AI36" i="2" s="1"/>
  <c r="AM36" i="2" s="1"/>
  <c r="AS36" i="2" s="1"/>
  <c r="AW36" i="2" s="1"/>
  <c r="BS39" i="2" l="1"/>
  <c r="BT39" i="2"/>
  <c r="D18" i="13" s="1"/>
  <c r="BO38" i="2"/>
  <c r="BV38" i="2"/>
  <c r="BV39" i="2"/>
  <c r="BC36" i="2"/>
  <c r="BG36" i="2" s="1"/>
  <c r="D41" i="12"/>
  <c r="O82" i="2"/>
  <c r="S82" i="2" s="1"/>
  <c r="Y82" i="2" s="1"/>
  <c r="AC82" i="2" s="1"/>
  <c r="AI82" i="2" s="1"/>
  <c r="AM82" i="2" s="1"/>
  <c r="AS82" i="2" s="1"/>
  <c r="AW82" i="2" s="1"/>
  <c r="N82" i="2"/>
  <c r="T82" i="2" s="1"/>
  <c r="X82" i="2" s="1"/>
  <c r="AD82" i="2" s="1"/>
  <c r="AH82" i="2" s="1"/>
  <c r="AN82" i="2" s="1"/>
  <c r="AR82" i="2" s="1"/>
  <c r="AX82" i="2" s="1"/>
  <c r="BB82" i="2" s="1"/>
  <c r="O81" i="2"/>
  <c r="S81" i="2" s="1"/>
  <c r="Y81" i="2" s="1"/>
  <c r="AC81" i="2" s="1"/>
  <c r="AI81" i="2" s="1"/>
  <c r="AM81" i="2" s="1"/>
  <c r="AS81" i="2" s="1"/>
  <c r="AW81" i="2" s="1"/>
  <c r="N81" i="2"/>
  <c r="T81" i="2" s="1"/>
  <c r="X81" i="2" s="1"/>
  <c r="AD81" i="2" s="1"/>
  <c r="AH81" i="2" s="1"/>
  <c r="AN81" i="2" s="1"/>
  <c r="AR81" i="2" s="1"/>
  <c r="AX81" i="2" s="1"/>
  <c r="BB81" i="2" s="1"/>
  <c r="O80" i="2"/>
  <c r="S80" i="2" s="1"/>
  <c r="Y80" i="2" s="1"/>
  <c r="AC80" i="2" s="1"/>
  <c r="AI80" i="2" s="1"/>
  <c r="AM80" i="2" s="1"/>
  <c r="AS80" i="2" s="1"/>
  <c r="AW80" i="2" s="1"/>
  <c r="N80" i="2"/>
  <c r="T80" i="2" s="1"/>
  <c r="X80" i="2" s="1"/>
  <c r="AD80" i="2" s="1"/>
  <c r="AH80" i="2" s="1"/>
  <c r="AN80" i="2" s="1"/>
  <c r="AR80" i="2" s="1"/>
  <c r="AX80" i="2" s="1"/>
  <c r="BB80" i="2" s="1"/>
  <c r="BH80" i="2" s="1"/>
  <c r="BL80" i="2" s="1"/>
  <c r="BP80" i="2" s="1"/>
  <c r="BS80" i="2" s="1"/>
  <c r="O79" i="2"/>
  <c r="S79" i="2" s="1"/>
  <c r="Y79" i="2" s="1"/>
  <c r="AC79" i="2" s="1"/>
  <c r="AI79" i="2" s="1"/>
  <c r="AM79" i="2" s="1"/>
  <c r="AS79" i="2" s="1"/>
  <c r="AW79" i="2" s="1"/>
  <c r="N79" i="2"/>
  <c r="T79" i="2" s="1"/>
  <c r="X79" i="2" s="1"/>
  <c r="AD79" i="2" s="1"/>
  <c r="AH79" i="2" s="1"/>
  <c r="AN79" i="2" s="1"/>
  <c r="AR79" i="2" s="1"/>
  <c r="AX79" i="2" s="1"/>
  <c r="BB79" i="2" s="1"/>
  <c r="BU60" i="2"/>
  <c r="I47" i="2"/>
  <c r="O47" i="2" s="1"/>
  <c r="I48" i="2"/>
  <c r="O48" i="2" s="1"/>
  <c r="S48" i="2" s="1"/>
  <c r="Y48" i="2" s="1"/>
  <c r="AC48" i="2" s="1"/>
  <c r="AI48" i="2" s="1"/>
  <c r="AM48" i="2" s="1"/>
  <c r="AS48" i="2" s="1"/>
  <c r="AW48" i="2" s="1"/>
  <c r="BC48" i="2" s="1"/>
  <c r="BG48" i="2" s="1"/>
  <c r="AC49" i="2"/>
  <c r="AI49" i="2" s="1"/>
  <c r="AM49" i="2" s="1"/>
  <c r="AS49" i="2" s="1"/>
  <c r="AW49" i="2" s="1"/>
  <c r="BC49" i="2" s="1"/>
  <c r="BG49" i="2" s="1"/>
  <c r="I50" i="2"/>
  <c r="O50" i="2" s="1"/>
  <c r="S50" i="2" s="1"/>
  <c r="Y50" i="2" s="1"/>
  <c r="AC50" i="2" s="1"/>
  <c r="AI50" i="2" s="1"/>
  <c r="AM50" i="2" s="1"/>
  <c r="AS50" i="2" s="1"/>
  <c r="AW50" i="2" s="1"/>
  <c r="I51" i="2"/>
  <c r="O51" i="2" s="1"/>
  <c r="S51" i="2" s="1"/>
  <c r="Y51" i="2" s="1"/>
  <c r="AC51" i="2" s="1"/>
  <c r="AI51" i="2" s="1"/>
  <c r="AM51" i="2" s="1"/>
  <c r="AS51" i="2" s="1"/>
  <c r="AW51" i="2" s="1"/>
  <c r="BC51" i="2" s="1"/>
  <c r="BG51" i="2" s="1"/>
  <c r="I52" i="2"/>
  <c r="O52" i="2" s="1"/>
  <c r="S52" i="2" s="1"/>
  <c r="Y52" i="2" s="1"/>
  <c r="AC52" i="2" s="1"/>
  <c r="AI52" i="2" s="1"/>
  <c r="AM52" i="2" s="1"/>
  <c r="AS52" i="2" s="1"/>
  <c r="AW52" i="2" s="1"/>
  <c r="BC52" i="2" s="1"/>
  <c r="BG52" i="2" s="1"/>
  <c r="O73" i="2"/>
  <c r="S73" i="2" s="1"/>
  <c r="Y73" i="2" s="1"/>
  <c r="AC73" i="2" s="1"/>
  <c r="AI73" i="2" s="1"/>
  <c r="AM73" i="2" s="1"/>
  <c r="AS73" i="2" s="1"/>
  <c r="AW73" i="2" s="1"/>
  <c r="BC73" i="2" s="1"/>
  <c r="BG73" i="2" s="1"/>
  <c r="O74" i="2"/>
  <c r="S74" i="2" s="1"/>
  <c r="Y74" i="2" s="1"/>
  <c r="AC74" i="2" s="1"/>
  <c r="AI74" i="2" s="1"/>
  <c r="AM74" i="2" s="1"/>
  <c r="AS74" i="2" s="1"/>
  <c r="AW74" i="2" s="1"/>
  <c r="BC74" i="2" s="1"/>
  <c r="BG74" i="2" s="1"/>
  <c r="O75" i="2"/>
  <c r="S75" i="2" s="1"/>
  <c r="Y75" i="2" s="1"/>
  <c r="AC75" i="2" s="1"/>
  <c r="AI75" i="2" s="1"/>
  <c r="AM75" i="2" s="1"/>
  <c r="AS75" i="2" s="1"/>
  <c r="AW75" i="2" s="1"/>
  <c r="BC75" i="2" s="1"/>
  <c r="BG75" i="2" s="1"/>
  <c r="O76" i="2"/>
  <c r="S76" i="2" s="1"/>
  <c r="Y76" i="2" s="1"/>
  <c r="AC76" i="2" s="1"/>
  <c r="AI76" i="2" s="1"/>
  <c r="AM76" i="2" s="1"/>
  <c r="AS76" i="2" s="1"/>
  <c r="AW76" i="2" s="1"/>
  <c r="BC76" i="2" s="1"/>
  <c r="BG76" i="2" s="1"/>
  <c r="O77" i="2"/>
  <c r="S77" i="2" s="1"/>
  <c r="Y77" i="2" s="1"/>
  <c r="AC77" i="2" s="1"/>
  <c r="AI77" i="2" s="1"/>
  <c r="AM77" i="2" s="1"/>
  <c r="AS77" i="2" s="1"/>
  <c r="AW77" i="2" s="1"/>
  <c r="O78" i="2"/>
  <c r="S78" i="2" s="1"/>
  <c r="Y78" i="2" s="1"/>
  <c r="AC78" i="2" s="1"/>
  <c r="AI78" i="2" s="1"/>
  <c r="AM78" i="2" s="1"/>
  <c r="AS78" i="2" s="1"/>
  <c r="AW78" i="2" s="1"/>
  <c r="O53" i="2"/>
  <c r="S53" i="2" s="1"/>
  <c r="Y53" i="2" s="1"/>
  <c r="AC53" i="2" s="1"/>
  <c r="AI53" i="2" s="1"/>
  <c r="AM53" i="2" s="1"/>
  <c r="AS53" i="2" s="1"/>
  <c r="AW53" i="2" s="1"/>
  <c r="BC53" i="2" s="1"/>
  <c r="BG53" i="2" s="1"/>
  <c r="S54" i="2"/>
  <c r="Y54" i="2" s="1"/>
  <c r="AC54" i="2" s="1"/>
  <c r="AI54" i="2" s="1"/>
  <c r="AM54" i="2" s="1"/>
  <c r="AS54" i="2" s="1"/>
  <c r="AW54" i="2" s="1"/>
  <c r="BC54" i="2" s="1"/>
  <c r="BG54" i="2" s="1"/>
  <c r="I55" i="2"/>
  <c r="O55" i="2" s="1"/>
  <c r="S55" i="2" s="1"/>
  <c r="Y55" i="2" s="1"/>
  <c r="AC55" i="2" s="1"/>
  <c r="AI55" i="2" s="1"/>
  <c r="AM55" i="2" s="1"/>
  <c r="AS55" i="2" s="1"/>
  <c r="AW55" i="2" s="1"/>
  <c r="BC55" i="2" s="1"/>
  <c r="BG55" i="2" s="1"/>
  <c r="I56" i="2"/>
  <c r="O56" i="2" s="1"/>
  <c r="S56" i="2" s="1"/>
  <c r="Y56" i="2" s="1"/>
  <c r="AC56" i="2" s="1"/>
  <c r="AI56" i="2" s="1"/>
  <c r="AM56" i="2" s="1"/>
  <c r="AS56" i="2" s="1"/>
  <c r="AW56" i="2" s="1"/>
  <c r="I57" i="2"/>
  <c r="O57" i="2" s="1"/>
  <c r="S57" i="2" s="1"/>
  <c r="Y57" i="2" s="1"/>
  <c r="AC57" i="2" s="1"/>
  <c r="AI57" i="2" s="1"/>
  <c r="AM57" i="2" s="1"/>
  <c r="AS57" i="2" s="1"/>
  <c r="AW57" i="2" s="1"/>
  <c r="BC57" i="2" s="1"/>
  <c r="BG57" i="2" s="1"/>
  <c r="I58" i="2"/>
  <c r="O58" i="2" s="1"/>
  <c r="S58" i="2" s="1"/>
  <c r="Y58" i="2" s="1"/>
  <c r="AC58" i="2" s="1"/>
  <c r="AI58" i="2" s="1"/>
  <c r="AM58" i="2" s="1"/>
  <c r="AS58" i="2" s="1"/>
  <c r="AW58" i="2" s="1"/>
  <c r="AI25" i="2"/>
  <c r="AM25" i="2" s="1"/>
  <c r="AS25" i="2" s="1"/>
  <c r="AW25" i="2" s="1"/>
  <c r="BC25" i="2" s="1"/>
  <c r="I26" i="2"/>
  <c r="O29" i="2"/>
  <c r="S29" i="2" s="1"/>
  <c r="Y29" i="2" s="1"/>
  <c r="AC29" i="2" s="1"/>
  <c r="AI29" i="2" s="1"/>
  <c r="AM29" i="2" s="1"/>
  <c r="AS29" i="2" s="1"/>
  <c r="AW29" i="2" s="1"/>
  <c r="O30" i="2"/>
  <c r="S30" i="2" s="1"/>
  <c r="Y30" i="2" s="1"/>
  <c r="AC30" i="2" s="1"/>
  <c r="AI30" i="2" s="1"/>
  <c r="AM30" i="2" s="1"/>
  <c r="AS30" i="2" s="1"/>
  <c r="AW30" i="2" s="1"/>
  <c r="O31" i="2"/>
  <c r="S31" i="2" s="1"/>
  <c r="Y31" i="2" s="1"/>
  <c r="AC31" i="2" s="1"/>
  <c r="AI31" i="2" s="1"/>
  <c r="AM31" i="2" s="1"/>
  <c r="AS31" i="2" s="1"/>
  <c r="AW31" i="2" s="1"/>
  <c r="O32" i="2"/>
  <c r="S32" i="2" s="1"/>
  <c r="Y32" i="2" s="1"/>
  <c r="AC32" i="2" s="1"/>
  <c r="AI32" i="2" s="1"/>
  <c r="AM32" i="2" s="1"/>
  <c r="AS32" i="2" s="1"/>
  <c r="AW32" i="2" s="1"/>
  <c r="O33" i="2"/>
  <c r="S33" i="2" s="1"/>
  <c r="Y33" i="2" s="1"/>
  <c r="AC33" i="2" s="1"/>
  <c r="AI33" i="2" s="1"/>
  <c r="AM33" i="2" s="1"/>
  <c r="AS33" i="2" s="1"/>
  <c r="AW33" i="2" s="1"/>
  <c r="O34" i="2"/>
  <c r="O35" i="2"/>
  <c r="S35" i="2" s="1"/>
  <c r="Y35" i="2" s="1"/>
  <c r="AC35" i="2" s="1"/>
  <c r="AI35" i="2" s="1"/>
  <c r="AM35" i="2" s="1"/>
  <c r="AS35" i="2" s="1"/>
  <c r="AW35" i="2" s="1"/>
  <c r="O37" i="2"/>
  <c r="S37" i="2" s="1"/>
  <c r="Y37" i="2" s="1"/>
  <c r="AC37" i="2" s="1"/>
  <c r="AI37" i="2" s="1"/>
  <c r="AM37" i="2" s="1"/>
  <c r="AS37" i="2" s="1"/>
  <c r="AW37" i="2" s="1"/>
  <c r="I62" i="2"/>
  <c r="I63" i="2"/>
  <c r="O63" i="2" s="1"/>
  <c r="S63" i="2" s="1"/>
  <c r="Y63" i="2" s="1"/>
  <c r="AC63" i="2" s="1"/>
  <c r="AI63" i="2" s="1"/>
  <c r="AM63" i="2" s="1"/>
  <c r="AS63" i="2" s="1"/>
  <c r="AW63" i="2" s="1"/>
  <c r="Y68" i="2"/>
  <c r="AC68" i="2" s="1"/>
  <c r="AI68" i="2" s="1"/>
  <c r="AM68" i="2" s="1"/>
  <c r="AS68" i="2" s="1"/>
  <c r="AW68" i="2" s="1"/>
  <c r="N47" i="2"/>
  <c r="N48" i="2"/>
  <c r="T48" i="2" s="1"/>
  <c r="X48" i="2" s="1"/>
  <c r="AD48" i="2" s="1"/>
  <c r="AH48" i="2" s="1"/>
  <c r="AN48" i="2" s="1"/>
  <c r="AR48" i="2" s="1"/>
  <c r="AX48" i="2" s="1"/>
  <c r="BB48" i="2" s="1"/>
  <c r="BH48" i="2" s="1"/>
  <c r="BL48" i="2" s="1"/>
  <c r="BP48" i="2" s="1"/>
  <c r="BS48" i="2" s="1"/>
  <c r="AD49" i="2"/>
  <c r="AH49" i="2" s="1"/>
  <c r="AN49" i="2" s="1"/>
  <c r="AR49" i="2" s="1"/>
  <c r="AX49" i="2" s="1"/>
  <c r="BB49" i="2" s="1"/>
  <c r="N50" i="2"/>
  <c r="T50" i="2" s="1"/>
  <c r="X50" i="2" s="1"/>
  <c r="AD50" i="2" s="1"/>
  <c r="AH50" i="2" s="1"/>
  <c r="AN50" i="2" s="1"/>
  <c r="AR50" i="2" s="1"/>
  <c r="AX50" i="2" s="1"/>
  <c r="BB50" i="2" s="1"/>
  <c r="BH50" i="2" s="1"/>
  <c r="BL50" i="2" s="1"/>
  <c r="BP50" i="2" s="1"/>
  <c r="BS50" i="2" s="1"/>
  <c r="N51" i="2"/>
  <c r="T51" i="2" s="1"/>
  <c r="X51" i="2" s="1"/>
  <c r="AD51" i="2" s="1"/>
  <c r="AH51" i="2" s="1"/>
  <c r="AN51" i="2" s="1"/>
  <c r="AR51" i="2" s="1"/>
  <c r="AX51" i="2" s="1"/>
  <c r="BB51" i="2" s="1"/>
  <c r="N52" i="2"/>
  <c r="T52" i="2" s="1"/>
  <c r="X52" i="2" s="1"/>
  <c r="AD52" i="2" s="1"/>
  <c r="AH52" i="2" s="1"/>
  <c r="AN52" i="2" s="1"/>
  <c r="AR52" i="2" s="1"/>
  <c r="AX52" i="2" s="1"/>
  <c r="BB52" i="2" s="1"/>
  <c r="N73" i="2"/>
  <c r="T73" i="2" s="1"/>
  <c r="X73" i="2" s="1"/>
  <c r="AD73" i="2" s="1"/>
  <c r="AH73" i="2" s="1"/>
  <c r="AN73" i="2" s="1"/>
  <c r="AR73" i="2" s="1"/>
  <c r="AX73" i="2" s="1"/>
  <c r="BB73" i="2" s="1"/>
  <c r="N74" i="2"/>
  <c r="T74" i="2" s="1"/>
  <c r="X74" i="2" s="1"/>
  <c r="AD74" i="2" s="1"/>
  <c r="AH74" i="2" s="1"/>
  <c r="AN74" i="2" s="1"/>
  <c r="AR74" i="2" s="1"/>
  <c r="AX74" i="2" s="1"/>
  <c r="BB74" i="2" s="1"/>
  <c r="N75" i="2"/>
  <c r="T75" i="2" s="1"/>
  <c r="X75" i="2" s="1"/>
  <c r="AD75" i="2" s="1"/>
  <c r="AH75" i="2" s="1"/>
  <c r="AN75" i="2" s="1"/>
  <c r="AR75" i="2" s="1"/>
  <c r="AX75" i="2" s="1"/>
  <c r="BB75" i="2" s="1"/>
  <c r="BH75" i="2" s="1"/>
  <c r="BL75" i="2" s="1"/>
  <c r="BP75" i="2" s="1"/>
  <c r="BS75" i="2" s="1"/>
  <c r="N76" i="2"/>
  <c r="T76" i="2" s="1"/>
  <c r="X76" i="2" s="1"/>
  <c r="AD76" i="2" s="1"/>
  <c r="AH76" i="2" s="1"/>
  <c r="AN76" i="2" s="1"/>
  <c r="AR76" i="2" s="1"/>
  <c r="AX76" i="2" s="1"/>
  <c r="BB76" i="2" s="1"/>
  <c r="BH76" i="2" s="1"/>
  <c r="BL76" i="2" s="1"/>
  <c r="BP76" i="2" s="1"/>
  <c r="BS76" i="2" s="1"/>
  <c r="N77" i="2"/>
  <c r="T77" i="2" s="1"/>
  <c r="X77" i="2" s="1"/>
  <c r="N78" i="2"/>
  <c r="T78" i="2" s="1"/>
  <c r="X78" i="2" s="1"/>
  <c r="AD78" i="2" s="1"/>
  <c r="AH78" i="2" s="1"/>
  <c r="AN78" i="2" s="1"/>
  <c r="AR78" i="2" s="1"/>
  <c r="AX78" i="2" s="1"/>
  <c r="BB78" i="2" s="1"/>
  <c r="BH78" i="2" s="1"/>
  <c r="BL78" i="2" s="1"/>
  <c r="BP78" i="2" s="1"/>
  <c r="BS78" i="2" s="1"/>
  <c r="N53" i="2"/>
  <c r="T53" i="2" s="1"/>
  <c r="X53" i="2" s="1"/>
  <c r="AD53" i="2" s="1"/>
  <c r="AH53" i="2" s="1"/>
  <c r="AN53" i="2" s="1"/>
  <c r="AR53" i="2" s="1"/>
  <c r="AX53" i="2" s="1"/>
  <c r="BB53" i="2" s="1"/>
  <c r="BH53" i="2" s="1"/>
  <c r="BL53" i="2" s="1"/>
  <c r="BP53" i="2" s="1"/>
  <c r="BS53" i="2" s="1"/>
  <c r="T54" i="2"/>
  <c r="X54" i="2" s="1"/>
  <c r="AD54" i="2" s="1"/>
  <c r="AH54" i="2" s="1"/>
  <c r="AN54" i="2" s="1"/>
  <c r="AR54" i="2" s="1"/>
  <c r="AX54" i="2" s="1"/>
  <c r="BB54" i="2" s="1"/>
  <c r="BH54" i="2" s="1"/>
  <c r="BL54" i="2" s="1"/>
  <c r="BP54" i="2" s="1"/>
  <c r="BS54" i="2" s="1"/>
  <c r="N55" i="2"/>
  <c r="T55" i="2" s="1"/>
  <c r="X55" i="2" s="1"/>
  <c r="AD55" i="2" s="1"/>
  <c r="AH55" i="2" s="1"/>
  <c r="AN55" i="2" s="1"/>
  <c r="AR55" i="2" s="1"/>
  <c r="AX55" i="2" s="1"/>
  <c r="BB55" i="2" s="1"/>
  <c r="BH55" i="2" s="1"/>
  <c r="BL55" i="2" s="1"/>
  <c r="BP55" i="2" s="1"/>
  <c r="BS55" i="2" s="1"/>
  <c r="N56" i="2"/>
  <c r="T56" i="2" s="1"/>
  <c r="X56" i="2" s="1"/>
  <c r="AD56" i="2" s="1"/>
  <c r="AH56" i="2" s="1"/>
  <c r="AN56" i="2" s="1"/>
  <c r="AR56" i="2" s="1"/>
  <c r="AX56" i="2" s="1"/>
  <c r="BB56" i="2" s="1"/>
  <c r="BH56" i="2" s="1"/>
  <c r="BL56" i="2" s="1"/>
  <c r="BP56" i="2" s="1"/>
  <c r="BS56" i="2" s="1"/>
  <c r="N57" i="2"/>
  <c r="T57" i="2" s="1"/>
  <c r="N58" i="2"/>
  <c r="T58" i="2" s="1"/>
  <c r="X58" i="2" s="1"/>
  <c r="AD58" i="2" s="1"/>
  <c r="AH58" i="2" s="1"/>
  <c r="AN58" i="2" s="1"/>
  <c r="AR58" i="2" s="1"/>
  <c r="AX58" i="2" s="1"/>
  <c r="BB58" i="2" s="1"/>
  <c r="BH58" i="2" s="1"/>
  <c r="BL58" i="2" s="1"/>
  <c r="BP58" i="2" s="1"/>
  <c r="BS58" i="2" s="1"/>
  <c r="T29" i="2"/>
  <c r="X29" i="2" s="1"/>
  <c r="T30" i="2"/>
  <c r="X30" i="2" s="1"/>
  <c r="AD30" i="2" s="1"/>
  <c r="AH30" i="2" s="1"/>
  <c r="AN30" i="2" s="1"/>
  <c r="AR30" i="2" s="1"/>
  <c r="AX30" i="2" s="1"/>
  <c r="BB30" i="2" s="1"/>
  <c r="BH30" i="2" s="1"/>
  <c r="BL30" i="2" s="1"/>
  <c r="BP30" i="2" s="1"/>
  <c r="T31" i="2"/>
  <c r="X31" i="2" s="1"/>
  <c r="AD31" i="2" s="1"/>
  <c r="AH31" i="2" s="1"/>
  <c r="AN31" i="2" s="1"/>
  <c r="AR31" i="2" s="1"/>
  <c r="AX31" i="2" s="1"/>
  <c r="BB31" i="2" s="1"/>
  <c r="BH31" i="2" s="1"/>
  <c r="BL31" i="2" s="1"/>
  <c r="BP31" i="2" s="1"/>
  <c r="T32" i="2"/>
  <c r="T33" i="2"/>
  <c r="X33" i="2" s="1"/>
  <c r="AD33" i="2" s="1"/>
  <c r="AH33" i="2" s="1"/>
  <c r="AN33" i="2" s="1"/>
  <c r="AR33" i="2" s="1"/>
  <c r="AX33" i="2" s="1"/>
  <c r="BB33" i="2" s="1"/>
  <c r="BH33" i="2" s="1"/>
  <c r="BL33" i="2" s="1"/>
  <c r="BP33" i="2" s="1"/>
  <c r="T34" i="2"/>
  <c r="T35" i="2"/>
  <c r="X35" i="2" s="1"/>
  <c r="AD35" i="2" s="1"/>
  <c r="AH35" i="2" s="1"/>
  <c r="AN35" i="2" s="1"/>
  <c r="AR35" i="2" s="1"/>
  <c r="AX35" i="2" s="1"/>
  <c r="BB35" i="2" s="1"/>
  <c r="BH35" i="2" s="1"/>
  <c r="BL35" i="2" s="1"/>
  <c r="BP35" i="2" s="1"/>
  <c r="T37" i="2"/>
  <c r="X37" i="2" s="1"/>
  <c r="AD37" i="2" s="1"/>
  <c r="AH37" i="2" s="1"/>
  <c r="AN37" i="2" s="1"/>
  <c r="AR37" i="2" s="1"/>
  <c r="N62" i="2"/>
  <c r="N63" i="2"/>
  <c r="T63" i="2" s="1"/>
  <c r="X68" i="2"/>
  <c r="AD68" i="2" s="1"/>
  <c r="AH68" i="2" s="1"/>
  <c r="AN68" i="2" s="1"/>
  <c r="AR68" i="2" s="1"/>
  <c r="AX68" i="2" s="1"/>
  <c r="BB68" i="2" s="1"/>
  <c r="BH68" i="2" s="1"/>
  <c r="BL68" i="2" s="1"/>
  <c r="BP68" i="2" s="1"/>
  <c r="BU44" i="2"/>
  <c r="C44" i="2"/>
  <c r="I31" i="16" s="1"/>
  <c r="I18" i="16"/>
  <c r="I19" i="16"/>
  <c r="I33" i="16"/>
  <c r="I34" i="16"/>
  <c r="I35" i="16"/>
  <c r="I36" i="16"/>
  <c r="BA60" i="2"/>
  <c r="BA65" i="2" s="1"/>
  <c r="AZ60" i="2"/>
  <c r="AZ65" i="2" s="1"/>
  <c r="AY60" i="2"/>
  <c r="AY65" i="2" s="1"/>
  <c r="AV60" i="2"/>
  <c r="AV65" i="2" s="1"/>
  <c r="AU60" i="2"/>
  <c r="AT60" i="2"/>
  <c r="AT65" i="2" s="1"/>
  <c r="BA44" i="2"/>
  <c r="AZ44" i="2"/>
  <c r="AY44" i="2"/>
  <c r="AV44" i="2"/>
  <c r="AU44" i="2"/>
  <c r="AU43" i="2" s="1"/>
  <c r="AT44" i="2"/>
  <c r="G154" i="14"/>
  <c r="G155" i="14"/>
  <c r="G156" i="14"/>
  <c r="G157" i="14"/>
  <c r="G158" i="14"/>
  <c r="G159" i="14"/>
  <c r="G160" i="14"/>
  <c r="G161" i="14"/>
  <c r="G162" i="14"/>
  <c r="G163" i="14"/>
  <c r="G164" i="14"/>
  <c r="G165" i="14"/>
  <c r="G166" i="14"/>
  <c r="G167" i="14"/>
  <c r="G168" i="14"/>
  <c r="G169" i="14"/>
  <c r="G170" i="14"/>
  <c r="G171" i="14"/>
  <c r="G172" i="14"/>
  <c r="G153" i="14"/>
  <c r="AJ44" i="2"/>
  <c r="AQ60" i="2"/>
  <c r="AQ65" i="2" s="1"/>
  <c r="AP60" i="2"/>
  <c r="AO60" i="2"/>
  <c r="AO65" i="2" s="1"/>
  <c r="AL60" i="2"/>
  <c r="AL65" i="2" s="1"/>
  <c r="AK60" i="2"/>
  <c r="AJ60" i="2"/>
  <c r="AJ65" i="2" s="1"/>
  <c r="AQ44" i="2"/>
  <c r="AP44" i="2"/>
  <c r="AO44" i="2"/>
  <c r="AL44" i="2"/>
  <c r="AL43" i="2" s="1"/>
  <c r="AK44" i="2"/>
  <c r="G20" i="14"/>
  <c r="D20" i="14"/>
  <c r="G23" i="14"/>
  <c r="G25" i="14"/>
  <c r="G26" i="14"/>
  <c r="D27" i="14"/>
  <c r="G28" i="14"/>
  <c r="D29" i="14"/>
  <c r="D30" i="14"/>
  <c r="D31" i="14"/>
  <c r="G32" i="14"/>
  <c r="D34" i="14"/>
  <c r="D35" i="14"/>
  <c r="G36" i="14"/>
  <c r="G38" i="14"/>
  <c r="D39" i="14"/>
  <c r="B185" i="14"/>
  <c r="E185" i="14" s="1"/>
  <c r="B186" i="14"/>
  <c r="E186" i="14" s="1"/>
  <c r="B78" i="14"/>
  <c r="B188" i="14"/>
  <c r="E188" i="14" s="1"/>
  <c r="B189" i="14"/>
  <c r="E189" i="14" s="1"/>
  <c r="B162" i="14"/>
  <c r="B163" i="14"/>
  <c r="B192" i="14"/>
  <c r="E192" i="14" s="1"/>
  <c r="B193" i="14"/>
  <c r="E193" i="14" s="1"/>
  <c r="B194" i="14"/>
  <c r="E194" i="14" s="1"/>
  <c r="B195" i="14"/>
  <c r="E195" i="14" s="1"/>
  <c r="B196" i="14"/>
  <c r="E196" i="14" s="1"/>
  <c r="B197" i="14"/>
  <c r="E197" i="14" s="1"/>
  <c r="B171" i="14"/>
  <c r="B200" i="14"/>
  <c r="E200" i="14" s="1"/>
  <c r="D40" i="13"/>
  <c r="G24" i="14"/>
  <c r="D24" i="14"/>
  <c r="G22" i="14"/>
  <c r="D22" i="14"/>
  <c r="G39" i="14"/>
  <c r="D37" i="14"/>
  <c r="G37" i="14"/>
  <c r="D33" i="14"/>
  <c r="G33" i="14"/>
  <c r="D21" i="14"/>
  <c r="G21" i="14"/>
  <c r="F41" i="12"/>
  <c r="G41" i="12"/>
  <c r="I41" i="12"/>
  <c r="E41" i="12"/>
  <c r="BN60" i="2"/>
  <c r="BN65" i="2" s="1"/>
  <c r="BM60" i="2"/>
  <c r="AG60" i="2"/>
  <c r="AG65" i="2" s="1"/>
  <c r="AF60" i="2"/>
  <c r="AA60" i="2"/>
  <c r="AA65" i="2" s="1"/>
  <c r="AA71" i="2" s="1"/>
  <c r="Z60" i="2"/>
  <c r="W60" i="2"/>
  <c r="W65" i="2" s="1"/>
  <c r="W71" i="2" s="1"/>
  <c r="V60" i="2"/>
  <c r="V65" i="2" s="1"/>
  <c r="P60" i="2"/>
  <c r="P65" i="2" s="1"/>
  <c r="F60" i="2"/>
  <c r="AE60" i="2"/>
  <c r="AE65" i="2" s="1"/>
  <c r="AE71" i="2" s="1"/>
  <c r="AB60" i="2"/>
  <c r="AB65" i="2" s="1"/>
  <c r="AG44" i="2"/>
  <c r="AF44" i="2"/>
  <c r="AF43" i="2" s="1"/>
  <c r="AE44" i="2"/>
  <c r="AE43" i="2" s="1"/>
  <c r="AB44" i="2"/>
  <c r="AB43" i="2" s="1"/>
  <c r="AA44" i="2"/>
  <c r="AA43" i="2" s="1"/>
  <c r="Z44" i="2"/>
  <c r="Z43" i="2" s="1"/>
  <c r="BM44" i="2"/>
  <c r="BM43" i="2" s="1"/>
  <c r="BN44" i="2"/>
  <c r="BN43" i="2" s="1"/>
  <c r="G60" i="2"/>
  <c r="H60" i="2"/>
  <c r="H65" i="2" s="1"/>
  <c r="K60" i="2"/>
  <c r="L60" i="2"/>
  <c r="M60" i="2"/>
  <c r="Q60" i="2"/>
  <c r="R60" i="2"/>
  <c r="U60" i="2"/>
  <c r="U65" i="2" s="1"/>
  <c r="F44" i="2"/>
  <c r="F43" i="2" s="1"/>
  <c r="G44" i="2"/>
  <c r="G43" i="2" s="1"/>
  <c r="H44" i="2"/>
  <c r="K44" i="2"/>
  <c r="K43" i="2" s="1"/>
  <c r="L44" i="2"/>
  <c r="L43" i="2" s="1"/>
  <c r="M44" i="2"/>
  <c r="M43" i="2" s="1"/>
  <c r="P44" i="2"/>
  <c r="P43" i="2" s="1"/>
  <c r="Q44" i="2"/>
  <c r="Q43" i="2" s="1"/>
  <c r="R44" i="2"/>
  <c r="R43" i="2" s="1"/>
  <c r="U44" i="2"/>
  <c r="V44" i="2"/>
  <c r="W44" i="2"/>
  <c r="J60" i="2"/>
  <c r="J65" i="2" s="1"/>
  <c r="J44" i="2"/>
  <c r="BT38" i="2" l="1"/>
  <c r="D17" i="13" s="1"/>
  <c r="F17" i="13" s="1"/>
  <c r="BQ38" i="2"/>
  <c r="BS38" i="2" s="1"/>
  <c r="F18" i="13"/>
  <c r="H18" i="13"/>
  <c r="G18" i="13"/>
  <c r="K18" i="13"/>
  <c r="I18" i="13"/>
  <c r="J18" i="13"/>
  <c r="K17" i="13"/>
  <c r="J17" i="13"/>
  <c r="I17" i="13"/>
  <c r="T62" i="2"/>
  <c r="X62" i="2" s="1"/>
  <c r="AD62" i="2" s="1"/>
  <c r="AH62" i="2" s="1"/>
  <c r="AN62" i="2" s="1"/>
  <c r="AR62" i="2" s="1"/>
  <c r="AX62" i="2" s="1"/>
  <c r="BB62" i="2" s="1"/>
  <c r="BH62" i="2" s="1"/>
  <c r="BL62" i="2" s="1"/>
  <c r="BP62" i="2" s="1"/>
  <c r="BS62" i="2" s="1"/>
  <c r="T47" i="2"/>
  <c r="X47" i="2" s="1"/>
  <c r="AD47" i="2" s="1"/>
  <c r="AH47" i="2" s="1"/>
  <c r="AN47" i="2" s="1"/>
  <c r="AR47" i="2" s="1"/>
  <c r="AX47" i="2" s="1"/>
  <c r="BB47" i="2" s="1"/>
  <c r="BH47" i="2" s="1"/>
  <c r="N60" i="2"/>
  <c r="S34" i="2"/>
  <c r="Y34" i="2" s="1"/>
  <c r="AC34" i="2" s="1"/>
  <c r="AI34" i="2" s="1"/>
  <c r="AM34" i="2" s="1"/>
  <c r="AS34" i="2" s="1"/>
  <c r="AW34" i="2" s="1"/>
  <c r="BC34" i="2" s="1"/>
  <c r="BG34" i="2" s="1"/>
  <c r="Q43" i="13"/>
  <c r="P43" i="13"/>
  <c r="O43" i="13"/>
  <c r="N43" i="13"/>
  <c r="I5" i="16"/>
  <c r="C42" i="11"/>
  <c r="N44" i="2"/>
  <c r="F32" i="16"/>
  <c r="J42" i="16"/>
  <c r="G41" i="16"/>
  <c r="G23" i="16"/>
  <c r="D40" i="16"/>
  <c r="D163" i="14"/>
  <c r="D162" i="14"/>
  <c r="G28" i="16"/>
  <c r="G13" i="16"/>
  <c r="D42" i="16"/>
  <c r="G39" i="16"/>
  <c r="F27" i="16"/>
  <c r="F22" i="16"/>
  <c r="F17" i="16"/>
  <c r="F12" i="16"/>
  <c r="I38" i="16"/>
  <c r="I30" i="16"/>
  <c r="D21" i="16"/>
  <c r="I15" i="16"/>
  <c r="G10" i="16"/>
  <c r="F44" i="16"/>
  <c r="J40" i="16"/>
  <c r="G37" i="16"/>
  <c r="G29" i="16"/>
  <c r="I24" i="16"/>
  <c r="G14" i="16"/>
  <c r="G8" i="16"/>
  <c r="BO74" i="2"/>
  <c r="I43" i="16"/>
  <c r="I42" i="16"/>
  <c r="C42" i="16"/>
  <c r="E42" i="16" s="1"/>
  <c r="H42" i="16" s="1"/>
  <c r="F41" i="16"/>
  <c r="I40" i="16"/>
  <c r="C40" i="16"/>
  <c r="E40" i="16" s="1"/>
  <c r="H40" i="16" s="1"/>
  <c r="F39" i="16"/>
  <c r="G38" i="16"/>
  <c r="F37" i="16"/>
  <c r="G30" i="16"/>
  <c r="F29" i="16"/>
  <c r="F28" i="16"/>
  <c r="I25" i="16"/>
  <c r="G24" i="16"/>
  <c r="F23" i="16"/>
  <c r="I21" i="16"/>
  <c r="I20" i="16"/>
  <c r="I16" i="16"/>
  <c r="G15" i="16"/>
  <c r="F14" i="16"/>
  <c r="F13" i="16"/>
  <c r="I11" i="16"/>
  <c r="F10" i="16"/>
  <c r="G7" i="16"/>
  <c r="BO55" i="2"/>
  <c r="C27" i="16" s="1"/>
  <c r="BV55" i="2"/>
  <c r="BO51" i="2"/>
  <c r="I44" i="16"/>
  <c r="G43" i="16"/>
  <c r="G42" i="16"/>
  <c r="J41" i="16"/>
  <c r="D41" i="16"/>
  <c r="G40" i="16"/>
  <c r="J39" i="16"/>
  <c r="D39" i="16"/>
  <c r="F38" i="16"/>
  <c r="I32" i="16"/>
  <c r="F30" i="16"/>
  <c r="D29" i="16"/>
  <c r="I27" i="16"/>
  <c r="I26" i="16"/>
  <c r="G25" i="16"/>
  <c r="F24" i="16"/>
  <c r="I22" i="16"/>
  <c r="G21" i="16"/>
  <c r="G20" i="16"/>
  <c r="I17" i="16"/>
  <c r="G16" i="16"/>
  <c r="F15" i="16"/>
  <c r="G11" i="16"/>
  <c r="G9" i="16"/>
  <c r="F7" i="16"/>
  <c r="BO54" i="2"/>
  <c r="C25" i="16" s="1"/>
  <c r="BV54" i="2"/>
  <c r="BO76" i="2"/>
  <c r="C14" i="16" s="1"/>
  <c r="BV76" i="2"/>
  <c r="BO73" i="2"/>
  <c r="BO48" i="2"/>
  <c r="BT48" i="2" s="1"/>
  <c r="D22" i="13" s="1"/>
  <c r="BV48" i="2"/>
  <c r="AC44" i="2"/>
  <c r="I4" i="16"/>
  <c r="G44" i="16"/>
  <c r="F43" i="16"/>
  <c r="F42" i="16"/>
  <c r="I41" i="16"/>
  <c r="C41" i="16"/>
  <c r="E41" i="16" s="1"/>
  <c r="H41" i="16" s="1"/>
  <c r="F40" i="16"/>
  <c r="I39" i="16"/>
  <c r="C39" i="16"/>
  <c r="E39" i="16" s="1"/>
  <c r="H39" i="16" s="1"/>
  <c r="I37" i="16"/>
  <c r="G32" i="16"/>
  <c r="I29" i="16"/>
  <c r="I28" i="16"/>
  <c r="G27" i="16"/>
  <c r="G26" i="16"/>
  <c r="F25" i="16"/>
  <c r="I23" i="16"/>
  <c r="G22" i="16"/>
  <c r="F21" i="16"/>
  <c r="F20" i="16"/>
  <c r="G17" i="16"/>
  <c r="F16" i="16"/>
  <c r="I14" i="16"/>
  <c r="I13" i="16"/>
  <c r="I12" i="16"/>
  <c r="I10" i="16"/>
  <c r="F9" i="16"/>
  <c r="F6" i="16"/>
  <c r="BU43" i="2"/>
  <c r="BO57" i="2"/>
  <c r="C32" i="16" s="1"/>
  <c r="BO53" i="2"/>
  <c r="C17" i="16" s="1"/>
  <c r="BV53" i="2"/>
  <c r="BO75" i="2"/>
  <c r="C13" i="16" s="1"/>
  <c r="BV75" i="2"/>
  <c r="BO52" i="2"/>
  <c r="BO49" i="2"/>
  <c r="BO36" i="2"/>
  <c r="BQ36" i="2" s="1"/>
  <c r="BS36" i="2" s="1"/>
  <c r="BV36" i="2"/>
  <c r="I60" i="2"/>
  <c r="D7" i="16"/>
  <c r="C30" i="16"/>
  <c r="C29" i="16"/>
  <c r="E29" i="16" s="1"/>
  <c r="H29" i="16" s="1"/>
  <c r="L65" i="2"/>
  <c r="L71" i="2" s="1"/>
  <c r="T24" i="2"/>
  <c r="X24" i="2" s="1"/>
  <c r="N42" i="2"/>
  <c r="BC56" i="2"/>
  <c r="BG56" i="2" s="1"/>
  <c r="BC79" i="2"/>
  <c r="BG79" i="2" s="1"/>
  <c r="AI44" i="2"/>
  <c r="I44" i="2"/>
  <c r="K65" i="2"/>
  <c r="K71" i="2" s="1"/>
  <c r="AG71" i="2"/>
  <c r="BH73" i="2"/>
  <c r="BL73" i="2" s="1"/>
  <c r="BP73" i="2" s="1"/>
  <c r="BC68" i="2"/>
  <c r="BG68" i="2" s="1"/>
  <c r="BC35" i="2"/>
  <c r="BG35" i="2" s="1"/>
  <c r="BC31" i="2"/>
  <c r="BG31" i="2" s="1"/>
  <c r="BG25" i="2"/>
  <c r="BC77" i="2"/>
  <c r="BG77" i="2" s="1"/>
  <c r="BC50" i="2"/>
  <c r="BG50" i="2" s="1"/>
  <c r="BH82" i="2"/>
  <c r="BL82" i="2" s="1"/>
  <c r="BP82" i="2" s="1"/>
  <c r="BS82" i="2" s="1"/>
  <c r="O24" i="2"/>
  <c r="I42" i="2"/>
  <c r="BH74" i="2"/>
  <c r="BL74" i="2" s="1"/>
  <c r="BP74" i="2" s="1"/>
  <c r="BC37" i="2"/>
  <c r="BG37" i="2" s="1"/>
  <c r="BC78" i="2"/>
  <c r="BG78" i="2" s="1"/>
  <c r="F65" i="2"/>
  <c r="F71" i="2" s="1"/>
  <c r="Z65" i="2"/>
  <c r="Z71" i="2" s="1"/>
  <c r="AP65" i="2"/>
  <c r="AP71" i="2" s="1"/>
  <c r="AS44" i="2"/>
  <c r="AU65" i="2"/>
  <c r="AU71" i="2" s="1"/>
  <c r="BH52" i="2"/>
  <c r="BL52" i="2" s="1"/>
  <c r="BP52" i="2" s="1"/>
  <c r="BH49" i="2"/>
  <c r="BL49" i="2" s="1"/>
  <c r="BP49" i="2" s="1"/>
  <c r="BC63" i="2"/>
  <c r="BG63" i="2" s="1"/>
  <c r="BC30" i="2"/>
  <c r="BG30" i="2" s="1"/>
  <c r="BC58" i="2"/>
  <c r="BG58" i="2" s="1"/>
  <c r="BU65" i="2"/>
  <c r="BC80" i="2"/>
  <c r="BG80" i="2" s="1"/>
  <c r="C23" i="16"/>
  <c r="BC82" i="2"/>
  <c r="BG82" i="2" s="1"/>
  <c r="AF65" i="2"/>
  <c r="AF71" i="2" s="1"/>
  <c r="BC32" i="2"/>
  <c r="BC81" i="2"/>
  <c r="BG81" i="2" s="1"/>
  <c r="R65" i="2"/>
  <c r="R71" i="2" s="1"/>
  <c r="Y44" i="2"/>
  <c r="O44" i="2"/>
  <c r="Q65" i="2"/>
  <c r="Q71" i="2" s="1"/>
  <c r="AM44" i="2"/>
  <c r="S44" i="2"/>
  <c r="M65" i="2"/>
  <c r="M71" i="2" s="1"/>
  <c r="G65" i="2"/>
  <c r="G71" i="2" s="1"/>
  <c r="AK65" i="2"/>
  <c r="AK71" i="2" s="1"/>
  <c r="BH51" i="2"/>
  <c r="BL51" i="2" s="1"/>
  <c r="BP51" i="2" s="1"/>
  <c r="O62" i="2"/>
  <c r="BC33" i="2"/>
  <c r="BG33" i="2" s="1"/>
  <c r="BC29" i="2"/>
  <c r="BG29" i="2" s="1"/>
  <c r="D20" i="16"/>
  <c r="BH79" i="2"/>
  <c r="BL79" i="2" s="1"/>
  <c r="BP79" i="2" s="1"/>
  <c r="BS79" i="2" s="1"/>
  <c r="BH81" i="2"/>
  <c r="BL81" i="2" s="1"/>
  <c r="BP81" i="2" s="1"/>
  <c r="BS81" i="2" s="1"/>
  <c r="J29" i="16"/>
  <c r="M54" i="13"/>
  <c r="F192" i="14"/>
  <c r="F194" i="14"/>
  <c r="F197" i="14"/>
  <c r="F193" i="14"/>
  <c r="F196" i="14"/>
  <c r="F195" i="14"/>
  <c r="F200" i="14"/>
  <c r="D23" i="14"/>
  <c r="D25" i="14"/>
  <c r="G35" i="14"/>
  <c r="D28" i="14"/>
  <c r="G30" i="14"/>
  <c r="D32" i="14"/>
  <c r="D26" i="14"/>
  <c r="G34" i="14"/>
  <c r="Y7" i="13"/>
  <c r="Y10" i="13"/>
  <c r="X10" i="13"/>
  <c r="X7" i="13"/>
  <c r="W7" i="13"/>
  <c r="W10" i="13"/>
  <c r="V7" i="13"/>
  <c r="V10" i="13"/>
  <c r="U10" i="13"/>
  <c r="U7" i="13"/>
  <c r="T10" i="13"/>
  <c r="T7" i="13"/>
  <c r="S10" i="13"/>
  <c r="S7" i="13"/>
  <c r="R10" i="13"/>
  <c r="R7" i="13"/>
  <c r="B184" i="14"/>
  <c r="E184" i="14" s="1"/>
  <c r="B183" i="14"/>
  <c r="E183" i="14" s="1"/>
  <c r="B182" i="14"/>
  <c r="E182" i="14" s="1"/>
  <c r="B181" i="14"/>
  <c r="E181" i="14" s="1"/>
  <c r="Y55" i="13"/>
  <c r="Y21" i="13"/>
  <c r="Y24" i="13"/>
  <c r="Y29" i="13"/>
  <c r="Y48" i="13"/>
  <c r="Y5" i="13"/>
  <c r="Y22" i="13"/>
  <c r="Y25" i="13"/>
  <c r="Y30" i="13"/>
  <c r="Y8" i="13"/>
  <c r="Y28" i="13"/>
  <c r="Y23" i="13"/>
  <c r="Y26" i="13"/>
  <c r="Y31" i="13"/>
  <c r="Y9" i="13"/>
  <c r="Y32" i="13"/>
  <c r="X55" i="13"/>
  <c r="X21" i="13"/>
  <c r="X23" i="13"/>
  <c r="X24" i="13"/>
  <c r="X26" i="13"/>
  <c r="X29" i="13"/>
  <c r="X31" i="13"/>
  <c r="X9" i="13"/>
  <c r="X48" i="13"/>
  <c r="X5" i="13"/>
  <c r="X22" i="13"/>
  <c r="X25" i="13"/>
  <c r="X28" i="13"/>
  <c r="X30" i="13"/>
  <c r="X32" i="13"/>
  <c r="X8" i="13"/>
  <c r="W54" i="13"/>
  <c r="W21" i="13"/>
  <c r="W24" i="13"/>
  <c r="W29" i="13"/>
  <c r="W48" i="13"/>
  <c r="W5" i="13"/>
  <c r="W28" i="13"/>
  <c r="W32" i="13"/>
  <c r="W23" i="13"/>
  <c r="W26" i="13"/>
  <c r="W31" i="13"/>
  <c r="W9" i="13"/>
  <c r="W22" i="13"/>
  <c r="W25" i="13"/>
  <c r="W30" i="13"/>
  <c r="W8" i="13"/>
  <c r="V54" i="13"/>
  <c r="V21" i="13"/>
  <c r="V22" i="13"/>
  <c r="V23" i="13"/>
  <c r="V24" i="13"/>
  <c r="V25" i="13"/>
  <c r="V26" i="13"/>
  <c r="V28" i="13"/>
  <c r="V29" i="13"/>
  <c r="V30" i="13"/>
  <c r="V31" i="13"/>
  <c r="V32" i="13"/>
  <c r="V8" i="13"/>
  <c r="V9" i="13"/>
  <c r="V48" i="13"/>
  <c r="V5" i="13"/>
  <c r="U55" i="13"/>
  <c r="U21" i="13"/>
  <c r="U24" i="13"/>
  <c r="U29" i="13"/>
  <c r="U48" i="13"/>
  <c r="U5" i="13"/>
  <c r="U22" i="13"/>
  <c r="U25" i="13"/>
  <c r="U30" i="13"/>
  <c r="U8" i="13"/>
  <c r="U23" i="13"/>
  <c r="U26" i="13"/>
  <c r="U31" i="13"/>
  <c r="U9" i="13"/>
  <c r="U28" i="13"/>
  <c r="U32" i="13"/>
  <c r="T55" i="13"/>
  <c r="T21" i="13"/>
  <c r="T23" i="13"/>
  <c r="T24" i="13"/>
  <c r="T26" i="13"/>
  <c r="T29" i="13"/>
  <c r="T31" i="13"/>
  <c r="T9" i="13"/>
  <c r="T48" i="13"/>
  <c r="T5" i="13"/>
  <c r="T22" i="13"/>
  <c r="T25" i="13"/>
  <c r="T28" i="13"/>
  <c r="T30" i="13"/>
  <c r="T32" i="13"/>
  <c r="T8" i="13"/>
  <c r="S54" i="13"/>
  <c r="S21" i="13"/>
  <c r="S24" i="13"/>
  <c r="S29" i="13"/>
  <c r="S48" i="13"/>
  <c r="S5" i="13"/>
  <c r="S28" i="13"/>
  <c r="S32" i="13"/>
  <c r="S23" i="13"/>
  <c r="S26" i="13"/>
  <c r="S31" i="13"/>
  <c r="S9" i="13"/>
  <c r="S22" i="13"/>
  <c r="S25" i="13"/>
  <c r="S30" i="13"/>
  <c r="S8" i="13"/>
  <c r="R55" i="13"/>
  <c r="R21" i="13"/>
  <c r="R22" i="13"/>
  <c r="R23" i="13"/>
  <c r="R24" i="13"/>
  <c r="R25" i="13"/>
  <c r="R26" i="13"/>
  <c r="R28" i="13"/>
  <c r="R29" i="13"/>
  <c r="R30" i="13"/>
  <c r="R31" i="13"/>
  <c r="R32" i="13"/>
  <c r="R8" i="13"/>
  <c r="R9" i="13"/>
  <c r="R48" i="13"/>
  <c r="R5" i="13"/>
  <c r="Q55" i="13"/>
  <c r="Q22" i="13"/>
  <c r="P55" i="13"/>
  <c r="P22" i="13"/>
  <c r="N54" i="13"/>
  <c r="R54" i="13"/>
  <c r="B72" i="14"/>
  <c r="V55" i="13"/>
  <c r="Q54" i="13"/>
  <c r="P54" i="13"/>
  <c r="Y54" i="13"/>
  <c r="T54" i="13"/>
  <c r="B90" i="14"/>
  <c r="X54" i="13"/>
  <c r="U54" i="13"/>
  <c r="B87" i="14"/>
  <c r="B167" i="14"/>
  <c r="B86" i="14"/>
  <c r="B85" i="14"/>
  <c r="B82" i="14"/>
  <c r="B80" i="14"/>
  <c r="B79" i="14"/>
  <c r="B77" i="14"/>
  <c r="B157" i="14"/>
  <c r="BM65" i="2"/>
  <c r="BM71" i="2" s="1"/>
  <c r="H41" i="12"/>
  <c r="B74" i="14"/>
  <c r="B155" i="14"/>
  <c r="B73" i="14"/>
  <c r="B159" i="14"/>
  <c r="Y35" i="13"/>
  <c r="W35" i="13"/>
  <c r="S55" i="13"/>
  <c r="O54" i="13"/>
  <c r="B153" i="14"/>
  <c r="G29" i="14"/>
  <c r="D38" i="14"/>
  <c r="B156" i="14"/>
  <c r="B164" i="14"/>
  <c r="B172" i="14"/>
  <c r="B165" i="14"/>
  <c r="B75" i="14"/>
  <c r="B83" i="14"/>
  <c r="B91" i="14"/>
  <c r="B88" i="14"/>
  <c r="W55" i="13"/>
  <c r="B160" i="14"/>
  <c r="B168" i="14"/>
  <c r="G27" i="14"/>
  <c r="G31" i="14"/>
  <c r="D36" i="14"/>
  <c r="B81" i="14"/>
  <c r="B89" i="14"/>
  <c r="B76" i="14"/>
  <c r="B84" i="14"/>
  <c r="T35" i="13"/>
  <c r="T36" i="13"/>
  <c r="B199" i="14"/>
  <c r="E199" i="14" s="1"/>
  <c r="B191" i="14"/>
  <c r="E191" i="14" s="1"/>
  <c r="B187" i="14"/>
  <c r="E187" i="14" s="1"/>
  <c r="X36" i="13"/>
  <c r="V36" i="13"/>
  <c r="B154" i="14"/>
  <c r="B158" i="14"/>
  <c r="B166" i="14"/>
  <c r="B161" i="14"/>
  <c r="B169" i="14"/>
  <c r="S35" i="13"/>
  <c r="S36" i="13"/>
  <c r="B198" i="14"/>
  <c r="E198" i="14" s="1"/>
  <c r="B190" i="14"/>
  <c r="E190" i="14" s="1"/>
  <c r="X35" i="13"/>
  <c r="V35" i="13"/>
  <c r="R35" i="13"/>
  <c r="R36" i="13"/>
  <c r="Y36" i="13"/>
  <c r="W36" i="13"/>
  <c r="B170" i="14"/>
  <c r="U35" i="13"/>
  <c r="U36" i="13"/>
  <c r="G12" i="16"/>
  <c r="F11" i="16"/>
  <c r="I9" i="16"/>
  <c r="F8" i="16"/>
  <c r="G6" i="16"/>
  <c r="AW44" i="2"/>
  <c r="O26" i="2"/>
  <c r="S26" i="2" s="1"/>
  <c r="T26" i="2"/>
  <c r="X32" i="2"/>
  <c r="AD32" i="2" s="1"/>
  <c r="T44" i="2"/>
  <c r="AO43" i="2"/>
  <c r="AQ43" i="2"/>
  <c r="G5" i="16"/>
  <c r="C24" i="16"/>
  <c r="D23" i="16"/>
  <c r="J71" i="2"/>
  <c r="AL71" i="2"/>
  <c r="AO71" i="2"/>
  <c r="V43" i="2"/>
  <c r="P71" i="2"/>
  <c r="AY71" i="2"/>
  <c r="BA71" i="2"/>
  <c r="AB71" i="2"/>
  <c r="I8" i="16"/>
  <c r="I7" i="16"/>
  <c r="I6" i="16"/>
  <c r="C20" i="16"/>
  <c r="O60" i="2"/>
  <c r="S47" i="2"/>
  <c r="C21" i="16"/>
  <c r="E21" i="16" s="1"/>
  <c r="H21" i="16" s="1"/>
  <c r="C22" i="16"/>
  <c r="V71" i="2"/>
  <c r="H43" i="2"/>
  <c r="BN71" i="2"/>
  <c r="AJ71" i="2"/>
  <c r="AQ71" i="2"/>
  <c r="AK43" i="2"/>
  <c r="F5" i="16"/>
  <c r="AP43" i="2"/>
  <c r="J43" i="2"/>
  <c r="H71" i="2"/>
  <c r="AJ43" i="2"/>
  <c r="BA43" i="2"/>
  <c r="AV43" i="2"/>
  <c r="D5" i="16"/>
  <c r="AT43" i="2"/>
  <c r="AT71" i="2"/>
  <c r="AV71" i="2"/>
  <c r="AD29" i="2"/>
  <c r="AH29" i="2" s="1"/>
  <c r="AN29" i="2" s="1"/>
  <c r="AR29" i="2" s="1"/>
  <c r="AX29" i="2" s="1"/>
  <c r="BB29" i="2" s="1"/>
  <c r="BH29" i="2" s="1"/>
  <c r="BL29" i="2" s="1"/>
  <c r="BP29" i="2" s="1"/>
  <c r="X57" i="2"/>
  <c r="AD57" i="2" s="1"/>
  <c r="AH57" i="2" s="1"/>
  <c r="AN57" i="2" s="1"/>
  <c r="AR57" i="2" s="1"/>
  <c r="AX57" i="2" s="1"/>
  <c r="BB57" i="2" s="1"/>
  <c r="BH57" i="2" s="1"/>
  <c r="BL57" i="2" s="1"/>
  <c r="BP57" i="2" s="1"/>
  <c r="BS57" i="2" s="1"/>
  <c r="T60" i="2"/>
  <c r="X34" i="2"/>
  <c r="AD34" i="2" s="1"/>
  <c r="AH34" i="2" s="1"/>
  <c r="AN34" i="2" s="1"/>
  <c r="AR34" i="2" s="1"/>
  <c r="AX34" i="2" s="1"/>
  <c r="BB34" i="2" s="1"/>
  <c r="BH34" i="2" s="1"/>
  <c r="BL34" i="2" s="1"/>
  <c r="BP34" i="2" s="1"/>
  <c r="AD77" i="2"/>
  <c r="AN25" i="2"/>
  <c r="AG43" i="2"/>
  <c r="U71" i="2"/>
  <c r="AZ43" i="2"/>
  <c r="AY43" i="2"/>
  <c r="W43" i="2"/>
  <c r="AZ71" i="2"/>
  <c r="AX37" i="2"/>
  <c r="U43" i="2"/>
  <c r="G17" i="13" l="1"/>
  <c r="H17" i="13"/>
  <c r="BT52" i="2"/>
  <c r="BV73" i="2"/>
  <c r="E201" i="14"/>
  <c r="N65" i="2"/>
  <c r="N71" i="2" s="1"/>
  <c r="L54" i="13"/>
  <c r="D6" i="16"/>
  <c r="BS49" i="2"/>
  <c r="D12" i="16"/>
  <c r="BS74" i="2"/>
  <c r="D10" i="16"/>
  <c r="BS52" i="2"/>
  <c r="D9" i="16"/>
  <c r="BS51" i="2"/>
  <c r="E38" i="11"/>
  <c r="D11" i="16"/>
  <c r="BS73" i="2"/>
  <c r="BT36" i="2"/>
  <c r="D15" i="13" s="1"/>
  <c r="I65" i="2"/>
  <c r="I71" i="2" s="1"/>
  <c r="I43" i="2"/>
  <c r="F189" i="14"/>
  <c r="D161" i="14"/>
  <c r="F188" i="14"/>
  <c r="D160" i="14"/>
  <c r="G34" i="16"/>
  <c r="G33" i="16"/>
  <c r="G19" i="16"/>
  <c r="G35" i="16"/>
  <c r="F199" i="14"/>
  <c r="F198" i="14"/>
  <c r="F191" i="14"/>
  <c r="F190" i="14"/>
  <c r="F187" i="14"/>
  <c r="D159" i="14"/>
  <c r="BV52" i="2"/>
  <c r="J10" i="16" s="1"/>
  <c r="F186" i="14"/>
  <c r="D158" i="14"/>
  <c r="F185" i="14"/>
  <c r="D157" i="14"/>
  <c r="F184" i="14"/>
  <c r="D156" i="14"/>
  <c r="F183" i="14"/>
  <c r="D155" i="14"/>
  <c r="F182" i="14"/>
  <c r="D154" i="14"/>
  <c r="O22" i="13"/>
  <c r="I22" i="13"/>
  <c r="BO82" i="2"/>
  <c r="BT82" i="2" s="1"/>
  <c r="BV82" i="2"/>
  <c r="E67" i="11" s="1"/>
  <c r="BO37" i="2"/>
  <c r="BQ37" i="2" s="1"/>
  <c r="BO31" i="2"/>
  <c r="BV31" i="2"/>
  <c r="E31" i="11" s="1"/>
  <c r="BO79" i="2"/>
  <c r="BT79" i="2" s="1"/>
  <c r="BV79" i="2"/>
  <c r="BO29" i="2"/>
  <c r="BV29" i="2"/>
  <c r="BO81" i="2"/>
  <c r="BT81" i="2" s="1"/>
  <c r="BV81" i="2"/>
  <c r="BO30" i="2"/>
  <c r="BV30" i="2"/>
  <c r="J34" i="16" s="1"/>
  <c r="BO50" i="2"/>
  <c r="BV50" i="2"/>
  <c r="BO35" i="2"/>
  <c r="BQ35" i="2" s="1"/>
  <c r="BS35" i="2" s="1"/>
  <c r="BV35" i="2"/>
  <c r="BO56" i="2"/>
  <c r="C28" i="16" s="1"/>
  <c r="BV56" i="2"/>
  <c r="J11" i="16"/>
  <c r="BO33" i="2"/>
  <c r="BQ33" i="2" s="1"/>
  <c r="BS33" i="2" s="1"/>
  <c r="BV33" i="2"/>
  <c r="E33" i="11" s="1"/>
  <c r="BO80" i="2"/>
  <c r="BT80" i="2" s="1"/>
  <c r="BV80" i="2"/>
  <c r="BO34" i="2"/>
  <c r="BQ34" i="2" s="1"/>
  <c r="BS34" i="2" s="1"/>
  <c r="BV34" i="2"/>
  <c r="BO77" i="2"/>
  <c r="C15" i="16" s="1"/>
  <c r="BO68" i="2"/>
  <c r="BT68" i="2" s="1"/>
  <c r="BV68" i="2"/>
  <c r="J26" i="16" s="1"/>
  <c r="BV49" i="2"/>
  <c r="J6" i="16" s="1"/>
  <c r="BV57" i="2"/>
  <c r="E52" i="11" s="1"/>
  <c r="BV74" i="2"/>
  <c r="E58" i="11" s="1"/>
  <c r="BO58" i="2"/>
  <c r="BV58" i="2"/>
  <c r="J44" i="16" s="1"/>
  <c r="BT49" i="2"/>
  <c r="D23" i="13" s="1"/>
  <c r="I23" i="13" s="1"/>
  <c r="BU71" i="2"/>
  <c r="BO63" i="2"/>
  <c r="C38" i="16" s="1"/>
  <c r="BO78" i="2"/>
  <c r="C16" i="16" s="1"/>
  <c r="BV78" i="2"/>
  <c r="J16" i="16" s="1"/>
  <c r="BO25" i="2"/>
  <c r="BV51" i="2"/>
  <c r="J9" i="16" s="1"/>
  <c r="G54" i="13"/>
  <c r="J54" i="13"/>
  <c r="K54" i="13"/>
  <c r="H54" i="13"/>
  <c r="F54" i="13"/>
  <c r="I54" i="13"/>
  <c r="O42" i="2"/>
  <c r="O65" i="2" s="1"/>
  <c r="E20" i="16"/>
  <c r="H20" i="16" s="1"/>
  <c r="BH60" i="2"/>
  <c r="BL47" i="2"/>
  <c r="N22" i="13"/>
  <c r="S62" i="2"/>
  <c r="D22" i="16"/>
  <c r="E22" i="16" s="1"/>
  <c r="H22" i="16" s="1"/>
  <c r="K22" i="13"/>
  <c r="L22" i="13"/>
  <c r="M22" i="13"/>
  <c r="S24" i="2"/>
  <c r="Y24" i="2" s="1"/>
  <c r="J22" i="13"/>
  <c r="K23" i="13"/>
  <c r="BC44" i="2"/>
  <c r="BG32" i="2"/>
  <c r="T42" i="2"/>
  <c r="T65" i="2" s="1"/>
  <c r="P56" i="13"/>
  <c r="W56" i="13"/>
  <c r="Y56" i="13"/>
  <c r="U56" i="13"/>
  <c r="S56" i="13"/>
  <c r="X56" i="13"/>
  <c r="V56" i="13"/>
  <c r="R47" i="13"/>
  <c r="V47" i="13"/>
  <c r="R19" i="13"/>
  <c r="V19" i="13"/>
  <c r="S19" i="13"/>
  <c r="T19" i="13"/>
  <c r="U19" i="13"/>
  <c r="W19" i="13"/>
  <c r="X19" i="13"/>
  <c r="Y19" i="13"/>
  <c r="Q56" i="13"/>
  <c r="R46" i="13"/>
  <c r="V46" i="13"/>
  <c r="S46" i="13"/>
  <c r="T46" i="13"/>
  <c r="U46" i="13"/>
  <c r="W46" i="13"/>
  <c r="X46" i="13"/>
  <c r="Y46" i="13"/>
  <c r="T47" i="13"/>
  <c r="X47" i="13"/>
  <c r="S47" i="13"/>
  <c r="U47" i="13"/>
  <c r="W47" i="13"/>
  <c r="Y47" i="13"/>
  <c r="F22" i="13"/>
  <c r="H22" i="13"/>
  <c r="G22" i="13"/>
  <c r="H23" i="13"/>
  <c r="R56" i="13"/>
  <c r="T56" i="13"/>
  <c r="W37" i="13"/>
  <c r="W52" i="13" s="1"/>
  <c r="T37" i="13"/>
  <c r="T52" i="13" s="1"/>
  <c r="Y37" i="13"/>
  <c r="Y52" i="13" s="1"/>
  <c r="X37" i="13"/>
  <c r="X52" i="13" s="1"/>
  <c r="V37" i="13"/>
  <c r="V52" i="13" s="1"/>
  <c r="S33" i="13"/>
  <c r="S37" i="13"/>
  <c r="S52" i="13" s="1"/>
  <c r="T33" i="13"/>
  <c r="U37" i="13"/>
  <c r="U52" i="13" s="1"/>
  <c r="R37" i="13"/>
  <c r="R52" i="13" s="1"/>
  <c r="X33" i="13"/>
  <c r="V33" i="13"/>
  <c r="Y33" i="13"/>
  <c r="U33" i="13"/>
  <c r="W33" i="13"/>
  <c r="R33" i="13"/>
  <c r="X63" i="2"/>
  <c r="E23" i="16"/>
  <c r="H23" i="16" s="1"/>
  <c r="C6" i="16"/>
  <c r="E6" i="16" s="1"/>
  <c r="H6" i="16" s="1"/>
  <c r="X44" i="2"/>
  <c r="N43" i="2"/>
  <c r="X26" i="2"/>
  <c r="AH32" i="2"/>
  <c r="AN32" i="2" s="1"/>
  <c r="AD44" i="2"/>
  <c r="C9" i="16"/>
  <c r="BT51" i="2"/>
  <c r="D25" i="13" s="1"/>
  <c r="C5" i="16"/>
  <c r="E5" i="16" s="1"/>
  <c r="H5" i="16" s="1"/>
  <c r="X60" i="2"/>
  <c r="C7" i="16"/>
  <c r="E7" i="16" s="1"/>
  <c r="H7" i="16" s="1"/>
  <c r="C12" i="16"/>
  <c r="BT74" i="2"/>
  <c r="D43" i="13" s="1"/>
  <c r="J7" i="16"/>
  <c r="J14" i="16"/>
  <c r="D30" i="16"/>
  <c r="E30" i="16" s="1"/>
  <c r="H30" i="16" s="1"/>
  <c r="D55" i="13"/>
  <c r="BT73" i="2"/>
  <c r="C11" i="16"/>
  <c r="J20" i="16"/>
  <c r="Y47" i="2"/>
  <c r="S60" i="2"/>
  <c r="E43" i="11"/>
  <c r="J5" i="16"/>
  <c r="D14" i="16"/>
  <c r="E14" i="16" s="1"/>
  <c r="H14" i="16" s="1"/>
  <c r="BT76" i="2"/>
  <c r="J30" i="16"/>
  <c r="E49" i="11"/>
  <c r="D8" i="16"/>
  <c r="E50" i="11"/>
  <c r="D26" i="13"/>
  <c r="C10" i="16"/>
  <c r="J22" i="16"/>
  <c r="D16" i="16"/>
  <c r="E60" i="11"/>
  <c r="D27" i="16"/>
  <c r="E27" i="16" s="1"/>
  <c r="H27" i="16" s="1"/>
  <c r="BT55" i="2"/>
  <c r="D29" i="13" s="1"/>
  <c r="D24" i="16"/>
  <c r="E24" i="16" s="1"/>
  <c r="H24" i="16" s="1"/>
  <c r="BT75" i="2"/>
  <c r="D13" i="16"/>
  <c r="E13" i="16" s="1"/>
  <c r="H13" i="16" s="1"/>
  <c r="BT53" i="2"/>
  <c r="D27" i="13" s="1"/>
  <c r="D17" i="16"/>
  <c r="E17" i="16" s="1"/>
  <c r="H17" i="16" s="1"/>
  <c r="J27" i="16"/>
  <c r="D35" i="16"/>
  <c r="AR25" i="2"/>
  <c r="J24" i="16"/>
  <c r="J13" i="16"/>
  <c r="J17" i="16"/>
  <c r="J25" i="16"/>
  <c r="D28" i="16"/>
  <c r="D34" i="16"/>
  <c r="D37" i="16"/>
  <c r="E68" i="11"/>
  <c r="J23" i="16"/>
  <c r="E66" i="11"/>
  <c r="J21" i="16"/>
  <c r="D44" i="16"/>
  <c r="BT54" i="2"/>
  <c r="D28" i="13" s="1"/>
  <c r="D25" i="16"/>
  <c r="E25" i="16" s="1"/>
  <c r="H25" i="16" s="1"/>
  <c r="D26" i="16"/>
  <c r="AH77" i="2"/>
  <c r="AD60" i="2"/>
  <c r="C43" i="16"/>
  <c r="BB37" i="2"/>
  <c r="BH37" i="2" s="1"/>
  <c r="BL37" i="2" s="1"/>
  <c r="BP37" i="2" s="1"/>
  <c r="BS37" i="2" s="1"/>
  <c r="C19" i="16" l="1"/>
  <c r="BQ25" i="2"/>
  <c r="F19" i="16" s="1"/>
  <c r="C34" i="16"/>
  <c r="E34" i="16" s="1"/>
  <c r="BQ30" i="2"/>
  <c r="BT30" i="2" s="1"/>
  <c r="D9" i="13" s="1"/>
  <c r="I9" i="13" s="1"/>
  <c r="C33" i="16"/>
  <c r="BQ29" i="2"/>
  <c r="C35" i="16"/>
  <c r="E35" i="16" s="1"/>
  <c r="BQ31" i="2"/>
  <c r="G15" i="13"/>
  <c r="H15" i="13"/>
  <c r="I15" i="13"/>
  <c r="F15" i="13"/>
  <c r="K15" i="13"/>
  <c r="J15" i="13"/>
  <c r="E64" i="11"/>
  <c r="E63" i="11"/>
  <c r="E46" i="11"/>
  <c r="M43" i="13"/>
  <c r="K43" i="13"/>
  <c r="I43" i="13"/>
  <c r="G43" i="13"/>
  <c r="L43" i="13"/>
  <c r="H43" i="13"/>
  <c r="J43" i="13"/>
  <c r="F43" i="13"/>
  <c r="C44" i="16"/>
  <c r="E44" i="16" s="1"/>
  <c r="H44" i="16" s="1"/>
  <c r="BT58" i="2"/>
  <c r="D32" i="13" s="1"/>
  <c r="C8" i="16"/>
  <c r="E8" i="16" s="1"/>
  <c r="H8" i="16" s="1"/>
  <c r="BT50" i="2"/>
  <c r="D24" i="13" s="1"/>
  <c r="L24" i="13" s="1"/>
  <c r="E11" i="16"/>
  <c r="H11" i="16" s="1"/>
  <c r="M23" i="13"/>
  <c r="G23" i="13"/>
  <c r="L23" i="13"/>
  <c r="J23" i="13"/>
  <c r="E48" i="11"/>
  <c r="F23" i="13"/>
  <c r="O43" i="2"/>
  <c r="E30" i="11"/>
  <c r="E9" i="16"/>
  <c r="H9" i="16" s="1"/>
  <c r="E12" i="16"/>
  <c r="H12" i="16" s="1"/>
  <c r="E10" i="16"/>
  <c r="H10" i="16" s="1"/>
  <c r="BT35" i="2"/>
  <c r="D14" i="13" s="1"/>
  <c r="E51" i="11"/>
  <c r="BT37" i="2"/>
  <c r="BT33" i="2"/>
  <c r="D12" i="13" s="1"/>
  <c r="BT34" i="2"/>
  <c r="D13" i="13" s="1"/>
  <c r="E35" i="11"/>
  <c r="E36" i="11"/>
  <c r="BT78" i="2"/>
  <c r="T43" i="2"/>
  <c r="C26" i="16"/>
  <c r="E26" i="16" s="1"/>
  <c r="Q27" i="13"/>
  <c r="N27" i="13"/>
  <c r="O27" i="13"/>
  <c r="M27" i="13"/>
  <c r="P27" i="13"/>
  <c r="Q31" i="13"/>
  <c r="P31" i="13"/>
  <c r="Q28" i="13"/>
  <c r="P28" i="13"/>
  <c r="P29" i="13"/>
  <c r="Q29" i="13"/>
  <c r="P30" i="13"/>
  <c r="Q30" i="13"/>
  <c r="Q26" i="13"/>
  <c r="P26" i="13"/>
  <c r="Q25" i="13"/>
  <c r="P25" i="13"/>
  <c r="O23" i="13"/>
  <c r="P23" i="13"/>
  <c r="N23" i="13"/>
  <c r="Q23" i="13"/>
  <c r="P24" i="13"/>
  <c r="Q24" i="13"/>
  <c r="L27" i="13"/>
  <c r="G27" i="13"/>
  <c r="I27" i="13"/>
  <c r="K27" i="13"/>
  <c r="J27" i="13"/>
  <c r="H27" i="13"/>
  <c r="F27" i="13"/>
  <c r="J28" i="16"/>
  <c r="J12" i="16"/>
  <c r="J8" i="16"/>
  <c r="BT56" i="2"/>
  <c r="D30" i="13" s="1"/>
  <c r="I30" i="13" s="1"/>
  <c r="E47" i="11"/>
  <c r="E16" i="16"/>
  <c r="H16" i="16" s="1"/>
  <c r="F181" i="14"/>
  <c r="E28" i="16"/>
  <c r="H28" i="16" s="1"/>
  <c r="E44" i="11"/>
  <c r="J35" i="16"/>
  <c r="BV37" i="2"/>
  <c r="E39" i="11" s="1"/>
  <c r="BL60" i="2"/>
  <c r="BP47" i="2"/>
  <c r="BG44" i="2"/>
  <c r="BO32" i="2"/>
  <c r="BQ32" i="2" s="1"/>
  <c r="O9" i="13"/>
  <c r="N31" i="13"/>
  <c r="O31" i="13"/>
  <c r="L55" i="13"/>
  <c r="L56" i="13" s="1"/>
  <c r="M55" i="13"/>
  <c r="M56" i="13" s="1"/>
  <c r="N55" i="13"/>
  <c r="N56" i="13" s="1"/>
  <c r="O55" i="13"/>
  <c r="O56" i="13" s="1"/>
  <c r="J55" i="13"/>
  <c r="J56" i="13" s="1"/>
  <c r="K55" i="13"/>
  <c r="K56" i="13" s="1"/>
  <c r="I55" i="13"/>
  <c r="I56" i="13" s="1"/>
  <c r="M29" i="13"/>
  <c r="N29" i="13"/>
  <c r="K29" i="13"/>
  <c r="O29" i="13"/>
  <c r="J29" i="13"/>
  <c r="I29" i="13"/>
  <c r="L29" i="13"/>
  <c r="S42" i="2"/>
  <c r="S65" i="2" s="1"/>
  <c r="N28" i="13"/>
  <c r="M28" i="13"/>
  <c r="L28" i="13"/>
  <c r="O28" i="13"/>
  <c r="J28" i="13"/>
  <c r="I28" i="13"/>
  <c r="K28" i="13"/>
  <c r="O10" i="13"/>
  <c r="J30" i="13"/>
  <c r="O30" i="13"/>
  <c r="N30" i="13"/>
  <c r="N24" i="13"/>
  <c r="O24" i="13"/>
  <c r="J25" i="13"/>
  <c r="I25" i="13"/>
  <c r="O25" i="13"/>
  <c r="L25" i="13"/>
  <c r="N25" i="13"/>
  <c r="M25" i="13"/>
  <c r="K25" i="13"/>
  <c r="AD24" i="2"/>
  <c r="AH24" i="2" s="1"/>
  <c r="X42" i="2"/>
  <c r="X65" i="2" s="1"/>
  <c r="X71" i="2" s="1"/>
  <c r="Y62" i="2"/>
  <c r="O26" i="13"/>
  <c r="M26" i="13"/>
  <c r="K26" i="13"/>
  <c r="J26" i="13"/>
  <c r="I26" i="13"/>
  <c r="L26" i="13"/>
  <c r="N26" i="13"/>
  <c r="N9" i="13"/>
  <c r="N10" i="13"/>
  <c r="G25" i="13"/>
  <c r="H25" i="13"/>
  <c r="G26" i="13"/>
  <c r="H26" i="13"/>
  <c r="G28" i="13"/>
  <c r="H28" i="13"/>
  <c r="G29" i="13"/>
  <c r="H29" i="13"/>
  <c r="F28" i="13"/>
  <c r="D56" i="13"/>
  <c r="H55" i="13"/>
  <c r="H56" i="13" s="1"/>
  <c r="F55" i="13"/>
  <c r="F56" i="13" s="1"/>
  <c r="E153" i="14" s="1"/>
  <c r="G55" i="13"/>
  <c r="G56" i="13" s="1"/>
  <c r="F29" i="13"/>
  <c r="F25" i="13"/>
  <c r="F26" i="13"/>
  <c r="AD63" i="2"/>
  <c r="AH44" i="2"/>
  <c r="T71" i="2"/>
  <c r="O71" i="2"/>
  <c r="Y26" i="2"/>
  <c r="Y42" i="2" s="1"/>
  <c r="AD26" i="2"/>
  <c r="AC47" i="2"/>
  <c r="Y60" i="2"/>
  <c r="AC24" i="2"/>
  <c r="D32" i="16"/>
  <c r="E32" i="16" s="1"/>
  <c r="H32" i="16" s="1"/>
  <c r="BT57" i="2"/>
  <c r="D31" i="13" s="1"/>
  <c r="I31" i="13" s="1"/>
  <c r="D33" i="16"/>
  <c r="BT29" i="2"/>
  <c r="J32" i="16"/>
  <c r="AN44" i="2"/>
  <c r="AR32" i="2"/>
  <c r="AX25" i="2"/>
  <c r="AN77" i="2"/>
  <c r="AH60" i="2"/>
  <c r="E29" i="11"/>
  <c r="J33" i="16"/>
  <c r="E33" i="16" l="1"/>
  <c r="BS29" i="2"/>
  <c r="F33" i="16"/>
  <c r="BS31" i="2"/>
  <c r="F35" i="16"/>
  <c r="H35" i="16" s="1"/>
  <c r="BS30" i="2"/>
  <c r="F34" i="16"/>
  <c r="H34" i="16" s="1"/>
  <c r="BT31" i="2"/>
  <c r="K10" i="13" s="1"/>
  <c r="G31" i="13"/>
  <c r="F13" i="13"/>
  <c r="G13" i="13"/>
  <c r="K13" i="13"/>
  <c r="I13" i="13"/>
  <c r="H13" i="13"/>
  <c r="J13" i="13"/>
  <c r="K14" i="13"/>
  <c r="G14" i="13"/>
  <c r="J14" i="13"/>
  <c r="F14" i="13"/>
  <c r="I14" i="13"/>
  <c r="H14" i="13"/>
  <c r="F12" i="13"/>
  <c r="G12" i="13"/>
  <c r="K12" i="13"/>
  <c r="H12" i="13"/>
  <c r="I12" i="13"/>
  <c r="J12" i="13"/>
  <c r="F10" i="13"/>
  <c r="K30" i="13"/>
  <c r="G30" i="13"/>
  <c r="K31" i="13"/>
  <c r="E154" i="14"/>
  <c r="E155" i="14"/>
  <c r="E157" i="14"/>
  <c r="E156" i="14"/>
  <c r="E158" i="14"/>
  <c r="E159" i="14"/>
  <c r="F159" i="14" s="1"/>
  <c r="E163" i="14"/>
  <c r="F163" i="14" s="1"/>
  <c r="E166" i="14"/>
  <c r="F166" i="14" s="1"/>
  <c r="E162" i="14"/>
  <c r="F162" i="14" s="1"/>
  <c r="E164" i="14"/>
  <c r="F164" i="14" s="1"/>
  <c r="E168" i="14"/>
  <c r="F168" i="14" s="1"/>
  <c r="E161" i="14"/>
  <c r="F161" i="14" s="1"/>
  <c r="E170" i="14"/>
  <c r="F170" i="14" s="1"/>
  <c r="E172" i="14"/>
  <c r="F172" i="14" s="1"/>
  <c r="E167" i="14"/>
  <c r="F167" i="14" s="1"/>
  <c r="E171" i="14"/>
  <c r="F171" i="14" s="1"/>
  <c r="E160" i="14"/>
  <c r="F160" i="14" s="1"/>
  <c r="E169" i="14"/>
  <c r="F169" i="14" s="1"/>
  <c r="E165" i="14"/>
  <c r="F165" i="14" s="1"/>
  <c r="H30" i="13"/>
  <c r="F31" i="13"/>
  <c r="F30" i="13"/>
  <c r="L30" i="13"/>
  <c r="L31" i="13"/>
  <c r="M31" i="13"/>
  <c r="M30" i="13"/>
  <c r="J31" i="13"/>
  <c r="J24" i="13"/>
  <c r="H31" i="13"/>
  <c r="K24" i="13"/>
  <c r="F24" i="13"/>
  <c r="M24" i="13"/>
  <c r="H24" i="13"/>
  <c r="I24" i="13"/>
  <c r="L10" i="13"/>
  <c r="M10" i="13"/>
  <c r="G24" i="13"/>
  <c r="M9" i="13"/>
  <c r="K9" i="13"/>
  <c r="F9" i="13"/>
  <c r="H9" i="13"/>
  <c r="J9" i="13"/>
  <c r="L9" i="13"/>
  <c r="D4" i="16"/>
  <c r="BS47" i="2"/>
  <c r="BS60" i="2" s="1"/>
  <c r="F26" i="16"/>
  <c r="H26" i="16" s="1"/>
  <c r="BS68" i="2"/>
  <c r="D8" i="13"/>
  <c r="H8" i="13" s="1"/>
  <c r="X43" i="2"/>
  <c r="Q10" i="13"/>
  <c r="P10" i="13"/>
  <c r="Q8" i="13"/>
  <c r="P8" i="13"/>
  <c r="G9" i="13"/>
  <c r="Q9" i="13"/>
  <c r="P9" i="13"/>
  <c r="F36" i="16"/>
  <c r="BQ44" i="2"/>
  <c r="G36" i="16"/>
  <c r="S43" i="2"/>
  <c r="C36" i="16"/>
  <c r="BO44" i="2"/>
  <c r="O8" i="13"/>
  <c r="AD42" i="2"/>
  <c r="AD65" i="2" s="1"/>
  <c r="AC62" i="2"/>
  <c r="Y65" i="2"/>
  <c r="N8" i="13"/>
  <c r="AH63" i="2"/>
  <c r="S71" i="2"/>
  <c r="AC26" i="2"/>
  <c r="AI26" i="2" s="1"/>
  <c r="AM26" i="2" s="1"/>
  <c r="AS26" i="2" s="1"/>
  <c r="AW26" i="2" s="1"/>
  <c r="Y43" i="2"/>
  <c r="AH26" i="2"/>
  <c r="AI24" i="2"/>
  <c r="AM24" i="2" s="1"/>
  <c r="AI47" i="2"/>
  <c r="AC60" i="2"/>
  <c r="BB25" i="2"/>
  <c r="BH25" i="2" s="1"/>
  <c r="BL25" i="2" s="1"/>
  <c r="AR77" i="2"/>
  <c r="AN60" i="2"/>
  <c r="AX32" i="2"/>
  <c r="AR44" i="2"/>
  <c r="D43" i="16"/>
  <c r="E43" i="16" s="1"/>
  <c r="H43" i="16" s="1"/>
  <c r="J43" i="16"/>
  <c r="E37" i="11"/>
  <c r="H33" i="16" l="1"/>
  <c r="I10" i="13"/>
  <c r="J10" i="13"/>
  <c r="G10" i="13"/>
  <c r="H10" i="13"/>
  <c r="E173" i="14"/>
  <c r="D39" i="13"/>
  <c r="D41" i="13" s="1"/>
  <c r="M8" i="13"/>
  <c r="J8" i="13"/>
  <c r="G8" i="13"/>
  <c r="I8" i="13"/>
  <c r="K8" i="13"/>
  <c r="L8" i="13"/>
  <c r="F8" i="13"/>
  <c r="F156" i="14"/>
  <c r="F155" i="14"/>
  <c r="F157" i="14"/>
  <c r="F158" i="14"/>
  <c r="F153" i="14"/>
  <c r="F154" i="14"/>
  <c r="BP25" i="2"/>
  <c r="BS25" i="2" s="1"/>
  <c r="BV25" i="2"/>
  <c r="AI42" i="2"/>
  <c r="AI43" i="2" s="1"/>
  <c r="AC42" i="2"/>
  <c r="AC65" i="2" s="1"/>
  <c r="BC26" i="2"/>
  <c r="BG26" i="2" s="1"/>
  <c r="AI62" i="2"/>
  <c r="AH42" i="2"/>
  <c r="AH65" i="2" s="1"/>
  <c r="AN24" i="2"/>
  <c r="AN63" i="2"/>
  <c r="Y71" i="2"/>
  <c r="AD43" i="2"/>
  <c r="AD71" i="2"/>
  <c r="AN26" i="2"/>
  <c r="AM42" i="2"/>
  <c r="AM47" i="2"/>
  <c r="AI60" i="2"/>
  <c r="AX77" i="2"/>
  <c r="AR60" i="2"/>
  <c r="BB32" i="2"/>
  <c r="BH32" i="2" s="1"/>
  <c r="AX44" i="2"/>
  <c r="D16" i="13"/>
  <c r="K16" i="13" l="1"/>
  <c r="I16" i="13"/>
  <c r="G16" i="13"/>
  <c r="J16" i="13"/>
  <c r="H16" i="13"/>
  <c r="F16" i="13"/>
  <c r="G31" i="16"/>
  <c r="F31" i="16"/>
  <c r="BO26" i="2"/>
  <c r="BQ26" i="2" s="1"/>
  <c r="AC43" i="2"/>
  <c r="BL32" i="2"/>
  <c r="BV32" i="2" s="1"/>
  <c r="E34" i="11" s="1"/>
  <c r="BH44" i="2"/>
  <c r="AM62" i="2"/>
  <c r="AI65" i="2"/>
  <c r="AI71" i="2" s="1"/>
  <c r="AN42" i="2"/>
  <c r="AN65" i="2" s="1"/>
  <c r="AR24" i="2"/>
  <c r="AR63" i="2"/>
  <c r="AC71" i="2"/>
  <c r="AH43" i="2"/>
  <c r="AH71" i="2"/>
  <c r="AR26" i="2"/>
  <c r="AM60" i="2"/>
  <c r="AS47" i="2"/>
  <c r="AS24" i="2"/>
  <c r="AS42" i="2" s="1"/>
  <c r="AM43" i="2"/>
  <c r="BB77" i="2"/>
  <c r="BH77" i="2" s="1"/>
  <c r="BL77" i="2" s="1"/>
  <c r="AX60" i="2"/>
  <c r="BB44" i="2"/>
  <c r="BT25" i="2"/>
  <c r="D6" i="13" s="1"/>
  <c r="D19" i="16"/>
  <c r="E19" i="16" s="1"/>
  <c r="H19" i="16" s="1"/>
  <c r="E25" i="11"/>
  <c r="J19" i="16"/>
  <c r="C31" i="16" l="1"/>
  <c r="BP77" i="2"/>
  <c r="BS77" i="2" s="1"/>
  <c r="BV77" i="2"/>
  <c r="E62" i="11" s="1"/>
  <c r="BL44" i="2"/>
  <c r="BV44" i="2" s="1"/>
  <c r="BP32" i="2"/>
  <c r="BT32" i="2" s="1"/>
  <c r="C27" i="18" s="1"/>
  <c r="C28" i="18" s="1"/>
  <c r="C29" i="18" s="1"/>
  <c r="AR42" i="2"/>
  <c r="AR65" i="2" s="1"/>
  <c r="AX24" i="2"/>
  <c r="BB24" i="2" s="1"/>
  <c r="AS62" i="2"/>
  <c r="AM65" i="2"/>
  <c r="AM71" i="2" s="1"/>
  <c r="AX63" i="2"/>
  <c r="AN43" i="2"/>
  <c r="AN71" i="2"/>
  <c r="AX26" i="2"/>
  <c r="AW24" i="2"/>
  <c r="AS43" i="2"/>
  <c r="AW47" i="2"/>
  <c r="BC47" i="2" s="1"/>
  <c r="AS60" i="2"/>
  <c r="BB60" i="2"/>
  <c r="J36" i="16"/>
  <c r="E32" i="11"/>
  <c r="E61" i="11" l="1"/>
  <c r="E65" i="11"/>
  <c r="BP44" i="2"/>
  <c r="BS32" i="2"/>
  <c r="BS44" i="2" s="1"/>
  <c r="D36" i="16"/>
  <c r="E36" i="16" s="1"/>
  <c r="H36" i="16" s="1"/>
  <c r="AW42" i="2"/>
  <c r="BC24" i="2"/>
  <c r="BG24" i="2" s="1"/>
  <c r="AW62" i="2"/>
  <c r="AS65" i="2"/>
  <c r="AS71" i="2" s="1"/>
  <c r="BC60" i="2"/>
  <c r="BG47" i="2"/>
  <c r="AX42" i="2"/>
  <c r="AX65" i="2" s="1"/>
  <c r="BB63" i="2"/>
  <c r="AR43" i="2"/>
  <c r="AR71" i="2"/>
  <c r="BB26" i="2"/>
  <c r="AW60" i="2"/>
  <c r="J15" i="16"/>
  <c r="E53" i="11"/>
  <c r="D15" i="16"/>
  <c r="E15" i="16" s="1"/>
  <c r="H15" i="16" s="1"/>
  <c r="BT77" i="2"/>
  <c r="BP60" i="2"/>
  <c r="BT44" i="2" l="1"/>
  <c r="P50" i="13" s="1"/>
  <c r="P32" i="13"/>
  <c r="Q32" i="13"/>
  <c r="BV47" i="2"/>
  <c r="BG60" i="2"/>
  <c r="BV60" i="2" s="1"/>
  <c r="BO47" i="2"/>
  <c r="N32" i="13"/>
  <c r="K32" i="13"/>
  <c r="O32" i="13"/>
  <c r="M32" i="13"/>
  <c r="L32" i="13"/>
  <c r="J32" i="13"/>
  <c r="I32" i="13"/>
  <c r="BH24" i="2"/>
  <c r="AW65" i="2"/>
  <c r="AW71" i="2" s="1"/>
  <c r="BC62" i="2"/>
  <c r="BC42" i="2"/>
  <c r="BC43" i="2" s="1"/>
  <c r="H32" i="13"/>
  <c r="G32" i="13"/>
  <c r="F32" i="13"/>
  <c r="BH26" i="2"/>
  <c r="BB42" i="2"/>
  <c r="BB65" i="2" s="1"/>
  <c r="BB71" i="2" s="1"/>
  <c r="BH63" i="2"/>
  <c r="AX43" i="2"/>
  <c r="AX71" i="2"/>
  <c r="AW43" i="2"/>
  <c r="F11" i="13" l="1"/>
  <c r="H11" i="13"/>
  <c r="G11" i="13"/>
  <c r="K11" i="13"/>
  <c r="J11" i="13"/>
  <c r="J48" i="13" s="1"/>
  <c r="I11" i="13"/>
  <c r="C60" i="13"/>
  <c r="J50" i="13"/>
  <c r="W50" i="13"/>
  <c r="K50" i="13"/>
  <c r="N50" i="13"/>
  <c r="C59" i="13"/>
  <c r="R50" i="13"/>
  <c r="F50" i="13"/>
  <c r="I50" i="13"/>
  <c r="M50" i="13"/>
  <c r="X50" i="13"/>
  <c r="V50" i="13"/>
  <c r="Y50" i="13"/>
  <c r="T50" i="13"/>
  <c r="S50" i="13"/>
  <c r="H50" i="13"/>
  <c r="BL24" i="2"/>
  <c r="BV24" i="2" s="1"/>
  <c r="G50" i="13"/>
  <c r="Q50" i="13"/>
  <c r="U50" i="13"/>
  <c r="L50" i="13"/>
  <c r="O50" i="13"/>
  <c r="BO60" i="2"/>
  <c r="BT47" i="2"/>
  <c r="BT60" i="2" s="1"/>
  <c r="J4" i="16"/>
  <c r="E45" i="11"/>
  <c r="E42" i="11"/>
  <c r="N48" i="13"/>
  <c r="O48" i="13"/>
  <c r="F4" i="16"/>
  <c r="G4" i="16"/>
  <c r="C4" i="16"/>
  <c r="E4" i="16" s="1"/>
  <c r="BO24" i="2"/>
  <c r="O21" i="13"/>
  <c r="N21" i="13"/>
  <c r="BC65" i="2"/>
  <c r="BC71" i="2" s="1"/>
  <c r="BG62" i="2"/>
  <c r="BG42" i="2"/>
  <c r="BH42" i="2"/>
  <c r="BH43" i="2" s="1"/>
  <c r="BL26" i="2"/>
  <c r="BV26" i="2" s="1"/>
  <c r="J31" i="16" s="1"/>
  <c r="E57" i="11"/>
  <c r="BL63" i="2"/>
  <c r="BB43" i="2"/>
  <c r="BO42" i="2" l="1"/>
  <c r="BO43" i="2" s="1"/>
  <c r="BQ24" i="2"/>
  <c r="I48" i="13"/>
  <c r="G48" i="13"/>
  <c r="K48" i="13"/>
  <c r="L48" i="13"/>
  <c r="F48" i="13"/>
  <c r="E72" i="14" s="1"/>
  <c r="M48" i="13"/>
  <c r="D21" i="13"/>
  <c r="M21" i="13" s="1"/>
  <c r="M33" i="13" s="1"/>
  <c r="D50" i="13"/>
  <c r="BP24" i="2"/>
  <c r="H48" i="13"/>
  <c r="Q48" i="13"/>
  <c r="P48" i="13"/>
  <c r="Q21" i="13"/>
  <c r="P21" i="13"/>
  <c r="H4" i="16"/>
  <c r="BQ42" i="2"/>
  <c r="BQ43" i="2" s="1"/>
  <c r="F18" i="16"/>
  <c r="G18" i="16"/>
  <c r="E26" i="11"/>
  <c r="BH65" i="2"/>
  <c r="BH71" i="2" s="1"/>
  <c r="BP63" i="2"/>
  <c r="D38" i="16" s="1"/>
  <c r="E38" i="16" s="1"/>
  <c r="H38" i="16" s="1"/>
  <c r="BV63" i="2"/>
  <c r="E56" i="11" s="1"/>
  <c r="BG43" i="2"/>
  <c r="BO62" i="2"/>
  <c r="BV62" i="2"/>
  <c r="C18" i="16"/>
  <c r="E24" i="11"/>
  <c r="J18" i="16"/>
  <c r="BL42" i="2"/>
  <c r="BL43" i="2" s="1"/>
  <c r="BP26" i="2"/>
  <c r="BG65" i="2"/>
  <c r="N33" i="13"/>
  <c r="O33" i="13"/>
  <c r="E74" i="14" l="1"/>
  <c r="E87" i="14"/>
  <c r="E82" i="14"/>
  <c r="E85" i="14"/>
  <c r="E91" i="14"/>
  <c r="E89" i="14"/>
  <c r="E83" i="14"/>
  <c r="I21" i="13"/>
  <c r="I33" i="13" s="1"/>
  <c r="G21" i="13"/>
  <c r="G33" i="13" s="1"/>
  <c r="J21" i="13"/>
  <c r="J33" i="13" s="1"/>
  <c r="L21" i="13"/>
  <c r="L33" i="13" s="1"/>
  <c r="H21" i="13"/>
  <c r="H33" i="13" s="1"/>
  <c r="K21" i="13"/>
  <c r="K33" i="13" s="1"/>
  <c r="F21" i="13"/>
  <c r="F33" i="13" s="1"/>
  <c r="E88" i="14"/>
  <c r="D33" i="13"/>
  <c r="E90" i="14"/>
  <c r="E79" i="14"/>
  <c r="E84" i="14"/>
  <c r="E80" i="14"/>
  <c r="E77" i="14"/>
  <c r="E75" i="14"/>
  <c r="E81" i="14"/>
  <c r="E86" i="14"/>
  <c r="E76" i="14"/>
  <c r="E78" i="14"/>
  <c r="E73" i="14"/>
  <c r="BS24" i="2"/>
  <c r="D18" i="16"/>
  <c r="E18" i="16" s="1"/>
  <c r="H18" i="16" s="1"/>
  <c r="BT24" i="2"/>
  <c r="D5" i="13" s="1"/>
  <c r="G5" i="13" s="1"/>
  <c r="G46" i="13" s="1"/>
  <c r="D48" i="13"/>
  <c r="BT63" i="2"/>
  <c r="F36" i="13" s="1"/>
  <c r="BS63" i="2"/>
  <c r="BS26" i="2"/>
  <c r="BT26" i="2"/>
  <c r="D7" i="13" s="1"/>
  <c r="P5" i="13"/>
  <c r="Q5" i="13"/>
  <c r="N5" i="13"/>
  <c r="N46" i="13" s="1"/>
  <c r="O5" i="13"/>
  <c r="O46" i="13" s="1"/>
  <c r="Q36" i="13"/>
  <c r="P36" i="13"/>
  <c r="P33" i="13"/>
  <c r="Q33" i="13"/>
  <c r="BR65" i="2"/>
  <c r="BR71" i="2" s="1"/>
  <c r="BQ65" i="2"/>
  <c r="BQ71" i="2" s="1"/>
  <c r="BV42" i="2"/>
  <c r="BL65" i="2"/>
  <c r="BL71" i="2" s="1"/>
  <c r="J37" i="16"/>
  <c r="E54" i="11"/>
  <c r="BV43" i="2"/>
  <c r="BO65" i="2"/>
  <c r="BO71" i="2" s="1"/>
  <c r="C37" i="16"/>
  <c r="E37" i="16" s="1"/>
  <c r="H37" i="16" s="1"/>
  <c r="BT62" i="2"/>
  <c r="D35" i="13" s="1"/>
  <c r="E55" i="11"/>
  <c r="J38" i="16"/>
  <c r="BG71" i="2"/>
  <c r="BP42" i="2"/>
  <c r="D31" i="16"/>
  <c r="E31" i="16" s="1"/>
  <c r="H31" i="16" s="1"/>
  <c r="O36" i="13"/>
  <c r="N36" i="13"/>
  <c r="BT42" i="2" l="1"/>
  <c r="BT43" i="2" s="1"/>
  <c r="BS42" i="2"/>
  <c r="BS43" i="2" s="1"/>
  <c r="BV65" i="2"/>
  <c r="L36" i="13"/>
  <c r="I36" i="13"/>
  <c r="J36" i="13"/>
  <c r="H36" i="13"/>
  <c r="M36" i="13"/>
  <c r="G36" i="13"/>
  <c r="K36" i="13"/>
  <c r="L5" i="13"/>
  <c r="L46" i="13" s="1"/>
  <c r="K5" i="13"/>
  <c r="K46" i="13" s="1"/>
  <c r="F5" i="13"/>
  <c r="M5" i="13"/>
  <c r="M46" i="13" s="1"/>
  <c r="J5" i="13"/>
  <c r="J46" i="13" s="1"/>
  <c r="I5" i="13"/>
  <c r="I46" i="13" s="1"/>
  <c r="H5" i="13"/>
  <c r="H46" i="13" s="1"/>
  <c r="Q46" i="13"/>
  <c r="P46" i="13"/>
  <c r="L35" i="13"/>
  <c r="P35" i="13"/>
  <c r="P37" i="13" s="1"/>
  <c r="P52" i="13" s="1"/>
  <c r="Q35" i="13"/>
  <c r="Q37" i="13" s="1"/>
  <c r="Q52" i="13" s="1"/>
  <c r="N35" i="13"/>
  <c r="N37" i="13" s="1"/>
  <c r="O35" i="13"/>
  <c r="O37" i="13" s="1"/>
  <c r="O52" i="13" s="1"/>
  <c r="M35" i="13"/>
  <c r="BV71" i="2"/>
  <c r="E59" i="11" s="1"/>
  <c r="K35" i="13"/>
  <c r="F35" i="13"/>
  <c r="F37" i="13" s="1"/>
  <c r="F52" i="13" s="1"/>
  <c r="E125" i="14" s="1"/>
  <c r="G35" i="13"/>
  <c r="J35" i="13"/>
  <c r="H35" i="13"/>
  <c r="I35" i="13"/>
  <c r="D37" i="13"/>
  <c r="BP65" i="2"/>
  <c r="BP71" i="2" s="1"/>
  <c r="BP43" i="2"/>
  <c r="BT65" i="2" l="1"/>
  <c r="BT71" i="2" s="1"/>
  <c r="F125" i="14"/>
  <c r="BS65" i="2"/>
  <c r="BS71" i="2" s="1"/>
  <c r="F46" i="13"/>
  <c r="D46" i="13" s="1"/>
  <c r="N52" i="13"/>
  <c r="J37" i="13"/>
  <c r="L37" i="13"/>
  <c r="I37" i="13"/>
  <c r="H37" i="13"/>
  <c r="M37" i="13"/>
  <c r="G37" i="13"/>
  <c r="K37" i="13"/>
  <c r="L7" i="13"/>
  <c r="L19" i="13" s="1"/>
  <c r="Q7" i="13"/>
  <c r="P7" i="13"/>
  <c r="M7" i="13"/>
  <c r="N7" i="13"/>
  <c r="O7" i="13"/>
  <c r="D19" i="13"/>
  <c r="F7" i="13"/>
  <c r="F19" i="13" s="1"/>
  <c r="I7" i="13"/>
  <c r="J7" i="13"/>
  <c r="G7" i="13"/>
  <c r="K7" i="13"/>
  <c r="H7" i="13"/>
  <c r="M52" i="13" l="1"/>
  <c r="J52" i="13"/>
  <c r="H52" i="13"/>
  <c r="K52" i="13"/>
  <c r="I52" i="13"/>
  <c r="G52" i="13"/>
  <c r="E126" i="14" s="1"/>
  <c r="L52" i="13"/>
  <c r="L47" i="13"/>
  <c r="E26" i="14" s="1"/>
  <c r="M47" i="13"/>
  <c r="E27" i="14" s="1"/>
  <c r="M19" i="13"/>
  <c r="P47" i="13"/>
  <c r="P19" i="13"/>
  <c r="O47" i="13"/>
  <c r="O19" i="13"/>
  <c r="Q47" i="13"/>
  <c r="Q19" i="13"/>
  <c r="N47" i="13"/>
  <c r="E28" i="14" s="1"/>
  <c r="N19" i="13"/>
  <c r="J19" i="13"/>
  <c r="J47" i="13"/>
  <c r="E24" i="14" s="1"/>
  <c r="H47" i="13"/>
  <c r="E22" i="14" s="1"/>
  <c r="H19" i="13"/>
  <c r="I47" i="13"/>
  <c r="E23" i="14" s="1"/>
  <c r="I19" i="13"/>
  <c r="K47" i="13"/>
  <c r="E25" i="14" s="1"/>
  <c r="K19" i="13"/>
  <c r="F47" i="13"/>
  <c r="E46" i="14" s="1"/>
  <c r="G47" i="13"/>
  <c r="E21" i="14" s="1"/>
  <c r="G19" i="13"/>
  <c r="E128" i="14" l="1"/>
  <c r="F128" i="14" s="1"/>
  <c r="E132" i="14"/>
  <c r="F132" i="14" s="1"/>
  <c r="E130" i="14"/>
  <c r="F130" i="14" s="1"/>
  <c r="E135" i="14"/>
  <c r="F135" i="14" s="1"/>
  <c r="E144" i="14"/>
  <c r="F144" i="14" s="1"/>
  <c r="E131" i="14"/>
  <c r="F131" i="14" s="1"/>
  <c r="E127" i="14"/>
  <c r="F127" i="14" s="1"/>
  <c r="E137" i="14"/>
  <c r="F137" i="14" s="1"/>
  <c r="E141" i="14"/>
  <c r="F141" i="14" s="1"/>
  <c r="E134" i="14"/>
  <c r="F134" i="14" s="1"/>
  <c r="E138" i="14"/>
  <c r="F138" i="14" s="1"/>
  <c r="E129" i="14"/>
  <c r="F129" i="14" s="1"/>
  <c r="E143" i="14"/>
  <c r="F143" i="14" s="1"/>
  <c r="E139" i="14"/>
  <c r="F139" i="14" s="1"/>
  <c r="E133" i="14"/>
  <c r="F133" i="14" s="1"/>
  <c r="E140" i="14"/>
  <c r="F140" i="14" s="1"/>
  <c r="E142" i="14"/>
  <c r="F142" i="14" s="1"/>
  <c r="E136" i="14"/>
  <c r="F136" i="14" s="1"/>
  <c r="F126" i="14"/>
  <c r="D52" i="13"/>
  <c r="E38" i="14"/>
  <c r="F38" i="14" s="1"/>
  <c r="E36" i="14"/>
  <c r="F36" i="14" s="1"/>
  <c r="E30" i="14"/>
  <c r="F30" i="14" s="1"/>
  <c r="E32" i="14"/>
  <c r="F32" i="14" s="1"/>
  <c r="E29" i="14"/>
  <c r="F29" i="14" s="1"/>
  <c r="E33" i="14"/>
  <c r="F33" i="14" s="1"/>
  <c r="E37" i="14"/>
  <c r="F37" i="14" s="1"/>
  <c r="E39" i="14"/>
  <c r="F39" i="14" s="1"/>
  <c r="E31" i="14"/>
  <c r="F31" i="14" s="1"/>
  <c r="E35" i="14"/>
  <c r="F35" i="14" s="1"/>
  <c r="E34" i="14"/>
  <c r="F34" i="14" s="1"/>
  <c r="E20" i="14"/>
  <c r="F20" i="14" s="1"/>
  <c r="E49" i="14"/>
  <c r="F49" i="14" s="1"/>
  <c r="E47" i="14"/>
  <c r="F47" i="14" s="1"/>
  <c r="E50" i="14"/>
  <c r="F50" i="14" s="1"/>
  <c r="E52" i="14"/>
  <c r="F52" i="14" s="1"/>
  <c r="E48" i="14"/>
  <c r="E51" i="14"/>
  <c r="F51" i="14" s="1"/>
  <c r="E56" i="14"/>
  <c r="F56" i="14" s="1"/>
  <c r="E65" i="14"/>
  <c r="F65" i="14" s="1"/>
  <c r="E57" i="14"/>
  <c r="F57" i="14" s="1"/>
  <c r="E55" i="14"/>
  <c r="F55" i="14" s="1"/>
  <c r="E63" i="14"/>
  <c r="F63" i="14" s="1"/>
  <c r="E54" i="14"/>
  <c r="F54" i="14" s="1"/>
  <c r="E53" i="14"/>
  <c r="F53" i="14" s="1"/>
  <c r="E59" i="14"/>
  <c r="F59" i="14" s="1"/>
  <c r="E64" i="14"/>
  <c r="F64" i="14" s="1"/>
  <c r="E60" i="14"/>
  <c r="F60" i="14" s="1"/>
  <c r="E58" i="14"/>
  <c r="F58" i="14" s="1"/>
  <c r="E62" i="14"/>
  <c r="F62" i="14" s="1"/>
  <c r="E61" i="14"/>
  <c r="F61" i="14" s="1"/>
  <c r="F72" i="14"/>
  <c r="F23" i="14"/>
  <c r="F75" i="14"/>
  <c r="F26" i="14"/>
  <c r="F78" i="14"/>
  <c r="F21" i="14"/>
  <c r="F73" i="14"/>
  <c r="F25" i="14"/>
  <c r="F77" i="14"/>
  <c r="F22" i="14"/>
  <c r="F74" i="14"/>
  <c r="F24" i="14"/>
  <c r="F76" i="14"/>
  <c r="F84" i="14"/>
  <c r="F87" i="14"/>
  <c r="F90" i="14"/>
  <c r="F91" i="14"/>
  <c r="F83" i="14"/>
  <c r="F86" i="14"/>
  <c r="F89" i="14"/>
  <c r="F80" i="14"/>
  <c r="F81" i="14"/>
  <c r="F85" i="14"/>
  <c r="F82" i="14"/>
  <c r="F88" i="14"/>
  <c r="F27" i="14"/>
  <c r="F79" i="14"/>
  <c r="F28" i="14"/>
  <c r="D47" i="13"/>
  <c r="E145" i="14" l="1"/>
  <c r="E40" i="14"/>
  <c r="E92" i="14"/>
  <c r="F48" i="14"/>
  <c r="F46" i="14"/>
  <c r="E66" i="14"/>
</calcChain>
</file>

<file path=xl/comments1.xml><?xml version="1.0" encoding="utf-8"?>
<comments xmlns="http://schemas.openxmlformats.org/spreadsheetml/2006/main">
  <authors>
    <author>abramoma</author>
    <author>Donna Kwan</author>
  </authors>
  <commentList>
    <comment ref="C6" authorId="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1" authorId="1">
      <text>
        <r>
          <rPr>
            <b/>
            <sz val="9"/>
            <color indexed="81"/>
            <rFont val="Tahoma"/>
            <family val="2"/>
          </rPr>
          <t xml:space="preserve">OEB Staff: 
</t>
        </r>
        <r>
          <rPr>
            <sz val="9"/>
            <color indexed="81"/>
            <rFont val="Tahoma"/>
            <family val="2"/>
          </rPr>
          <t>1589 balance is allocated based on Non RPP-kWh for all classes</t>
        </r>
      </text>
    </comment>
    <comment ref="C12" authorId="1">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comments2.xml><?xml version="1.0" encoding="utf-8"?>
<comments xmlns="http://schemas.openxmlformats.org/spreadsheetml/2006/main">
  <authors>
    <author>Donna Kwan</author>
  </authors>
  <commentList>
    <comment ref="B21" author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<sst xmlns="http://schemas.openxmlformats.org/spreadsheetml/2006/main" count="591" uniqueCount="397">
  <si>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</si>
  <si>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</si>
  <si>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</si>
  <si>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</si>
  <si>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</si>
  <si>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</si>
  <si>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</si>
  <si>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</si>
  <si>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Deferred Payments in Lieu of Taxes</t>
  </si>
  <si>
    <t>Misc. Deferred Debits</t>
  </si>
  <si>
    <t>Extra-Ordinary Event Costs</t>
  </si>
  <si>
    <t>Please describe "other" components of 1508 and add more component lines if necessary.</t>
  </si>
  <si>
    <t>Claim before Forecasted Transactions</t>
  </si>
  <si>
    <t>Smart Grid Capital Deferral Account</t>
  </si>
  <si>
    <t>Smart Grid OM&amp;A Deferral Account</t>
  </si>
  <si>
    <t>Group 2 Sub-Total</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</si>
  <si>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</si>
  <si>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</si>
  <si>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</si>
  <si>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</si>
  <si>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</si>
  <si>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</si>
  <si>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Dec-31-10</t>
  </si>
  <si>
    <t>Total Claim</t>
  </si>
  <si>
    <t>2.1.7 RRR</t>
  </si>
  <si>
    <t>Explanation</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</si>
  <si>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</si>
  <si>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</si>
  <si>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</si>
  <si>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</si>
  <si>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</si>
  <si>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</si>
  <si>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</si>
  <si>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</si>
  <si>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</si>
  <si>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PILs and Tax Variance for 2006 and Subsequent Years - Sub-Account HST/OVAT                          Input Tax Credits (ITCs)</t>
  </si>
  <si>
    <t>PILs and Tax Variance for 2006 and Subsequent Years                                                                          (excludes sub-account and contra account below)</t>
  </si>
  <si>
    <t>Opening Principal Amounts as of Jan-1-10</t>
  </si>
  <si>
    <t>Opening Principal Amounts as of Jan-1-11</t>
  </si>
  <si>
    <t>Closing Principal Balance as of Dec-31-11</t>
  </si>
  <si>
    <t>Opening Interest Amounts as of Jan-1-11</t>
  </si>
  <si>
    <t>Closing Interest Amounts as of Dec-31-11</t>
  </si>
  <si>
    <t>Other Regulatory Assets - Sub-Account - Financial Assistance Payment and Recovery Carrying Charges</t>
  </si>
  <si>
    <r>
      <t xml:space="preserve">Other Regulatory Assets - Sub-Account - Other </t>
    </r>
    <r>
      <rPr>
        <vertAlign val="superscript"/>
        <sz val="11"/>
        <rFont val="Arial"/>
        <family val="2"/>
      </rPr>
      <t>4</t>
    </r>
  </si>
  <si>
    <r>
      <t>Other Regulatory Assets - Sub-Account - Financial Assistance Payment and Recovery Variance - Ontario Clean Energy Benefit Act</t>
    </r>
    <r>
      <rPr>
        <vertAlign val="superscript"/>
        <sz val="11"/>
        <rFont val="Arial"/>
        <family val="2"/>
      </rPr>
      <t>8</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</si>
  <si>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</si>
  <si>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</si>
  <si>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</si>
  <si>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RSVA - Power (excluding Global Adjustment)</t>
  </si>
  <si>
    <t>Version</t>
  </si>
  <si>
    <t xml:space="preserve">Utility Name   </t>
  </si>
  <si>
    <t>Service Territory</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</si>
  <si>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</si>
  <si>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</si>
  <si>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</si>
  <si>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</si>
  <si>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</si>
  <si>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</si>
  <si>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</si>
  <si>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</si>
  <si>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</si>
  <si>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LRAM Variance Account</t>
  </si>
  <si>
    <t>Units</t>
  </si>
  <si>
    <t>Total</t>
  </si>
  <si>
    <t>Balance as per Sheet 2</t>
  </si>
  <si>
    <t>Variance</t>
  </si>
  <si>
    <t>Disposition and Recovery/Refund of Regulatory Balances (2009)</t>
  </si>
  <si>
    <t>Disposition and Recovery/Refund of Regulatory Balances (2010)</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</si>
  <si>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</si>
  <si>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</si>
  <si>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</si>
  <si>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</si>
  <si>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</si>
  <si>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</si>
  <si>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</si>
  <si>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</si>
  <si>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</si>
  <si>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</si>
  <si>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</si>
  <si>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</si>
  <si>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</si>
  <si>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</si>
  <si>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</si>
  <si>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</si>
  <si>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</si>
  <si>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Opening Principal Amounts as of Jan-1-12</t>
  </si>
  <si>
    <t>Closing Principal Balance as of Dec-31-12</t>
  </si>
  <si>
    <t>Opening Interest Amounts as of Jan-1-12</t>
  </si>
  <si>
    <t>Interest Jan-1 to Dec-31-12</t>
  </si>
  <si>
    <t>Closing Interest Amounts as of Dec-31-12</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</si>
  <si>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</si>
  <si>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</si>
  <si>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</si>
  <si>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</si>
  <si>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</si>
  <si>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</si>
  <si>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Allocated Balance (excluding 1589)</t>
  </si>
  <si>
    <t>Total Balance Allocated to each class for Accounts 1575 and 1576</t>
  </si>
  <si>
    <t>Rate Rider Calculation for Accounts 1575 and 1576</t>
  </si>
  <si>
    <t>Balance of Accounts 1575 and 1576</t>
  </si>
  <si>
    <t>Rate Rider for Accounts 1575 and 1576</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</si>
  <si>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</si>
  <si>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</si>
  <si>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</si>
  <si>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</si>
  <si>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</si>
  <si>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</si>
  <si>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</si>
  <si>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</si>
  <si>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</si>
  <si>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</si>
  <si>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</si>
  <si>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Entegrus Powerlines Inc.</t>
  </si>
  <si>
    <t>Erie Thames Powerlines Corporation</t>
  </si>
  <si>
    <t>Espanola Regional Hydro Distribution Corporation</t>
  </si>
  <si>
    <t>Essex Powerlines Corporation</t>
  </si>
  <si>
    <t>Festival Hydro Inc.</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</si>
  <si>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</si>
  <si>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</si>
  <si>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</si>
  <si>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</si>
  <si>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</si>
  <si>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</si>
  <si>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</si>
  <si>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</si>
  <si>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</si>
  <si>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</si>
  <si>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</si>
  <si>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</si>
  <si>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</si>
  <si>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Kenora Hydro Electric Corporation Ltd.</t>
  </si>
  <si>
    <t>Kingston Hydro Corporation</t>
  </si>
  <si>
    <t>Kitchener-Wilmot Hydro Inc.</t>
  </si>
  <si>
    <t>Lakefront Utilities Inc.</t>
  </si>
  <si>
    <t>Lakeland Power Distribution Ltd.</t>
  </si>
  <si>
    <t>London Hydro Inc.</t>
  </si>
  <si>
    <t>Midland Power Utility Corporation</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</si>
  <si>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</si>
  <si>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</si>
  <si>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</si>
  <si>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</si>
  <si>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</si>
  <si>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</si>
  <si>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</si>
  <si>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</si>
  <si>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</si>
  <si>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</si>
  <si>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</si>
  <si>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</si>
  <si>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</si>
  <si>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</si>
  <si>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</si>
  <si>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</si>
  <si>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</si>
  <si>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</si>
  <si>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</si>
  <si>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</si>
  <si>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</si>
  <si>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</si>
  <si>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</si>
  <si>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</si>
  <si>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</si>
  <si>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</si>
  <si>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</si>
  <si>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</si>
  <si>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</si>
  <si>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</si>
  <si>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</si>
  <si>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</si>
  <si>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</si>
  <si>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</si>
  <si>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</si>
  <si>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</si>
  <si>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t>Milton Hydro Distribution Inc.</t>
  </si>
  <si>
    <r>
      <t>Disposition and Recovery/Refund of Regulatory Balances (2012)</t>
    </r>
    <r>
      <rPr>
        <vertAlign val="superscript"/>
        <sz val="11"/>
        <rFont val="Arial"/>
        <family val="2"/>
      </rPr>
      <t>7</t>
    </r>
  </si>
  <si>
    <t>Smart Metering Entity Charge Variance Account</t>
  </si>
  <si>
    <t>Opening Principal Amounts as of Jan-1-13</t>
  </si>
  <si>
    <t>Closing Principal Balance as of Dec-31-13</t>
  </si>
  <si>
    <t>Opening Interest Amounts as of Jan-1-13</t>
  </si>
  <si>
    <t>Interest Jan-1 to Dec-31-13</t>
  </si>
  <si>
    <t>Closing Interest Amounts as of Dec-31-13</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</si>
  <si>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</si>
  <si>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</si>
  <si>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Book Antiqua"/>
        <family val="1"/>
      </rPr>
      <t>6</t>
    </r>
  </si>
  <si>
    <r>
      <t xml:space="preserve">Variance                           RRR vs. 2013 Balance                        </t>
    </r>
    <r>
      <rPr>
        <b/>
        <i/>
        <sz val="10"/>
        <rFont val="Book Antiqua"/>
        <family val="1"/>
      </rPr>
      <t>(Principal + Interest)</t>
    </r>
  </si>
  <si>
    <r>
      <t xml:space="preserve">Projected Interest from January 1, 2015 to April 30, 2015 on Dec 31 -13 balance adjusted for disposition during 2014  </t>
    </r>
    <r>
      <rPr>
        <b/>
        <vertAlign val="superscript"/>
        <sz val="10"/>
        <rFont val="Book Antiqua"/>
        <family val="1"/>
      </rPr>
      <t>6</t>
    </r>
  </si>
  <si>
    <t>December 31, 2013 Audited Balances</t>
  </si>
  <si>
    <t>2.1.7
As of Dec 31-13</t>
  </si>
  <si>
    <t>Disposition and Recovery/Refund of Regulatory Balances (2012)</t>
  </si>
  <si>
    <t>kWh</t>
  </si>
  <si>
    <t>Rate Rider Calculation for Accounts 1568</t>
  </si>
  <si>
    <t>Balance of 
Account 1568</t>
  </si>
  <si>
    <t>Rate Rider for Account 1568</t>
  </si>
  <si>
    <t>Attawapiskat Power Corporation</t>
  </si>
  <si>
    <t>COLLUS PowerStream Corp.</t>
  </si>
  <si>
    <t>EnWin Utilities Ltd.</t>
  </si>
  <si>
    <t>Fort Albany Power Corporation</t>
  </si>
  <si>
    <t>Hydro One Remote Communities Inc.</t>
  </si>
  <si>
    <t>Innpower Corporation</t>
  </si>
  <si>
    <t>Kashechewan Power Corporation</t>
  </si>
  <si>
    <t>Newmarket-Tay Power Distribution Ltd.</t>
  </si>
  <si>
    <t>Disposition and Recovery/Refund of Regulatory Balances (2013)</t>
  </si>
  <si>
    <t>Disposition and Recovery/Refund of Regulatory Balances (2014)</t>
  </si>
  <si>
    <t>Opening Principal Amounts as of Jan-1-14</t>
  </si>
  <si>
    <t>Closing Principal Balance as of Dec-31-14</t>
  </si>
  <si>
    <t>Opening Interest Amounts as of Jan-1-14</t>
  </si>
  <si>
    <t>Interest Jan-1 to Dec-31-14</t>
  </si>
  <si>
    <t>Closing Interest Amounts as of Dec-31-14</t>
  </si>
  <si>
    <r>
      <t xml:space="preserve">Total 
Metered </t>
    </r>
    <r>
      <rPr>
        <b/>
        <sz val="10"/>
        <color rgb="FFFF0000"/>
        <rFont val="Arial"/>
        <family val="2"/>
      </rPr>
      <t>kWh</t>
    </r>
  </si>
  <si>
    <r>
      <t xml:space="preserve">Total 
Metered </t>
    </r>
    <r>
      <rPr>
        <b/>
        <sz val="10"/>
        <color rgb="FFFF0000"/>
        <rFont val="Arial"/>
        <family val="2"/>
      </rPr>
      <t>kW</t>
    </r>
  </si>
  <si>
    <r>
      <t xml:space="preserve">Rate Class 
</t>
    </r>
    <r>
      <rPr>
        <b/>
        <sz val="8"/>
        <color rgb="FFFF0000"/>
        <rFont val="Arial"/>
        <family val="2"/>
      </rPr>
      <t>(Enter Rate Classes in cells below as they appear on your current tariff of rates and charges)</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</si>
  <si>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</si>
  <si>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t>%</t>
  </si>
  <si>
    <t>Total of Group 1 Accounts (1550, 1551, 1584, 1586 and 1595)</t>
  </si>
  <si>
    <t>1580 and 1588</t>
  </si>
  <si>
    <t>Total of Account 1580 and 1588 (not allocated to WMPs)</t>
  </si>
  <si>
    <t>1589/total kwh</t>
  </si>
  <si>
    <t>Account 1589 reference calculation by customer and consumption</t>
  </si>
  <si>
    <t>Balance of Account 1589 allocated to Class A Non-WMP Customers</t>
  </si>
  <si>
    <t>Account 1589 / Number of Customers</t>
  </si>
  <si>
    <t>Balance of Account 1589 Allocated to Non-WMPs</t>
  </si>
  <si>
    <t>Rate Rider Calculation for RSVA - Power - Global Adjustment - Class A Non-WMP Customers</t>
  </si>
  <si>
    <t>Rate Rider Calculation for Group 2 Accounts</t>
  </si>
  <si>
    <t>Non-RPP kWh</t>
  </si>
  <si>
    <t>Rate Rider Calculation for Deferral / Variance Accounts Balances (excluding Global Adj.) - NON-WMP</t>
  </si>
  <si>
    <t>1550, 1551, 1584, 1586, 1595</t>
  </si>
  <si>
    <t>Balance of Group 2 Accounts</t>
  </si>
  <si>
    <t>Please provide explanations for the nature of the adjustments.  If the adjustment relates to previously OEB Approved disposed balances, please provide amounts for adjustments and include supporting documentations.</t>
  </si>
  <si>
    <r>
      <t>Smart Meter Capital and Recovery Offset Variance - Sub-Account - Capital</t>
    </r>
    <r>
      <rPr>
        <vertAlign val="superscript"/>
        <sz val="11"/>
        <rFont val="Arial"/>
        <family val="2"/>
      </rPr>
      <t>5</t>
    </r>
  </si>
  <si>
    <r>
      <t>Smart Meter Capital and Recovery Offset Variance - Sub-Account - Stranded Meter Costs</t>
    </r>
    <r>
      <rPr>
        <vertAlign val="superscript"/>
        <sz val="11"/>
        <rFont val="Arial"/>
        <family val="2"/>
      </rPr>
      <t>5</t>
    </r>
  </si>
  <si>
    <r>
      <t>Smart Meter Capital and Recovery Offset Variance - Sub-Account - Recoveries</t>
    </r>
    <r>
      <rPr>
        <vertAlign val="superscript"/>
        <sz val="11"/>
        <rFont val="Arial"/>
        <family val="2"/>
      </rPr>
      <t>5</t>
    </r>
  </si>
  <si>
    <r>
      <t>Smart Meter OM&amp;A Variance</t>
    </r>
    <r>
      <rPr>
        <vertAlign val="superscript"/>
        <sz val="11"/>
        <rFont val="Arial"/>
        <family val="2"/>
      </rPr>
      <t>5</t>
    </r>
  </si>
  <si>
    <r>
      <t>IFRS-CGAAP Transition PP&amp;E Amounts Balance + Return Component</t>
    </r>
    <r>
      <rPr>
        <vertAlign val="superscript"/>
        <sz val="11"/>
        <rFont val="Arial"/>
        <family val="2"/>
      </rPr>
      <t>6</t>
    </r>
  </si>
  <si>
    <r>
      <t>Accounting Changes Under CGAAP Balance + Return Component</t>
    </r>
    <r>
      <rPr>
        <vertAlign val="superscript"/>
        <sz val="11"/>
        <rFont val="Arial"/>
        <family val="2"/>
      </rPr>
      <t>6</t>
    </r>
  </si>
  <si>
    <r>
      <t>Principal Adjustments</t>
    </r>
    <r>
      <rPr>
        <b/>
        <vertAlign val="superscript"/>
        <sz val="10"/>
        <rFont val="Book Antiqua"/>
        <family val="1"/>
      </rPr>
      <t>2</t>
    </r>
    <r>
      <rPr>
        <b/>
        <sz val="10"/>
        <rFont val="Book Antiqua"/>
        <family val="1"/>
      </rPr>
      <t xml:space="preserve"> during 2013</t>
    </r>
  </si>
  <si>
    <r>
      <t>Principal Adjustments</t>
    </r>
    <r>
      <rPr>
        <b/>
        <vertAlign val="superscript"/>
        <sz val="10"/>
        <rFont val="Book Antiqua"/>
        <family val="1"/>
      </rPr>
      <t>2</t>
    </r>
    <r>
      <rPr>
        <b/>
        <sz val="10"/>
        <rFont val="Book Antiqua"/>
        <family val="1"/>
      </rPr>
      <t xml:space="preserve"> during 2012</t>
    </r>
  </si>
  <si>
    <r>
      <t>Interest Adjustments</t>
    </r>
    <r>
      <rPr>
        <b/>
        <vertAlign val="superscript"/>
        <sz val="8"/>
        <rFont val="Book Antiqua"/>
        <family val="1"/>
      </rPr>
      <t>1</t>
    </r>
    <r>
      <rPr>
        <b/>
        <sz val="10"/>
        <rFont val="Book Antiqua"/>
        <family val="1"/>
      </rPr>
      <t xml:space="preserve"> during 2010</t>
    </r>
  </si>
  <si>
    <r>
      <t xml:space="preserve">In the green shaded cells, enter the data related to the </t>
    </r>
    <r>
      <rPr>
        <b/>
        <sz val="10"/>
        <rFont val="Arial"/>
        <family val="2"/>
      </rPr>
      <t>proposed</t>
    </r>
    <r>
      <rPr>
        <sz val="10"/>
        <rFont val="Arial"/>
        <family val="2"/>
      </rPr>
      <t xml:space="preserve"> load forecast.  Do not enter data for the MicroFit class.</t>
    </r>
  </si>
  <si>
    <t xml:space="preserve">For RSVA accounts only, report the net variance to the account during the year.  For all other accounts, record the transactions during the year.  Do not include interest, adjustments, or OEB approved dispositions in this column.  </t>
  </si>
  <si>
    <r>
      <t>Other Regulatory Assets - Sub-Account - Financial Assistance Payment and Recovery Variance - Ontario Clean Energy Benefit Act</t>
    </r>
    <r>
      <rPr>
        <vertAlign val="superscript"/>
        <sz val="11"/>
        <rFont val="Arial"/>
        <family val="2"/>
      </rPr>
      <t>3</t>
    </r>
  </si>
  <si>
    <t>If the LDC’s rate year begins on January 1, 2017, the projected interest is recorded from January 1, 2016 to December 31, 2016 on the December 31, 2015 balances adjusted for the disposed balances approved by the OEB in the 2016 rate decision.  If the LDC’s rate year begins on May 1, 2017, the projected interest is recorded from January 1, 2016 to April 30, 2017 on the December 31, 2015 balances adjusted for the disposed interest balances approved by the OEB in the 2016 rate decision.</t>
  </si>
  <si>
    <r>
      <t>Disposition and Recovery/Refund of Regulatory Balances (2009)</t>
    </r>
    <r>
      <rPr>
        <vertAlign val="superscript"/>
        <sz val="11"/>
        <rFont val="Arial"/>
        <family val="2"/>
      </rPr>
      <t>8</t>
    </r>
  </si>
  <si>
    <r>
      <t>Disposition and Recovery/Refund of Regulatory Balances (2010)</t>
    </r>
    <r>
      <rPr>
        <vertAlign val="superscript"/>
        <sz val="11"/>
        <rFont val="Arial"/>
        <family val="2"/>
      </rPr>
      <t>8</t>
    </r>
  </si>
  <si>
    <r>
      <t>Disposition and Recovery/Refund of Regulatory Balances (2011)</t>
    </r>
    <r>
      <rPr>
        <vertAlign val="superscript"/>
        <sz val="11"/>
        <rFont val="Arial"/>
        <family val="2"/>
      </rPr>
      <t>8</t>
    </r>
  </si>
  <si>
    <r>
      <t>Disposition and Recovery/Refund of Regulatory Balances (2012)</t>
    </r>
    <r>
      <rPr>
        <vertAlign val="superscript"/>
        <sz val="11"/>
        <rFont val="Arial"/>
        <family val="2"/>
      </rPr>
      <t>8</t>
    </r>
  </si>
  <si>
    <r>
      <t>Disposition and Recovery/Refund of Regulatory Balances (2013)</t>
    </r>
    <r>
      <rPr>
        <vertAlign val="superscript"/>
        <sz val="11"/>
        <rFont val="Arial"/>
        <family val="2"/>
      </rPr>
      <t>8</t>
    </r>
  </si>
  <si>
    <r>
      <t>Disposition and Recovery/Refund of Regulatory Balances (2014)</t>
    </r>
    <r>
      <rPr>
        <vertAlign val="superscript"/>
        <sz val="11"/>
        <rFont val="Arial"/>
        <family val="2"/>
      </rPr>
      <t>8</t>
    </r>
  </si>
  <si>
    <t>As of Dec 31-15</t>
  </si>
  <si>
    <r>
      <t xml:space="preserve">Variance                           RRR vs. 2015 Balance                        </t>
    </r>
    <r>
      <rPr>
        <b/>
        <i/>
        <sz val="10"/>
        <rFont val="Book Antiqua"/>
        <family val="1"/>
      </rPr>
      <t>(Principal + Interest)</t>
    </r>
  </si>
  <si>
    <t>Projected Interest on Dec-31-15 Balances</t>
  </si>
  <si>
    <r>
      <t>Transactions</t>
    </r>
    <r>
      <rPr>
        <b/>
        <vertAlign val="superscript"/>
        <sz val="8"/>
        <rFont val="Book Antiqua"/>
        <family val="1"/>
      </rPr>
      <t xml:space="preserve">1 </t>
    </r>
    <r>
      <rPr>
        <b/>
        <sz val="10"/>
        <rFont val="Book Antiqua"/>
        <family val="1"/>
      </rPr>
      <t xml:space="preserve">Debit / (Credit) during 2010 </t>
    </r>
  </si>
  <si>
    <r>
      <t>Principal Adjustments</t>
    </r>
    <r>
      <rPr>
        <b/>
        <vertAlign val="superscript"/>
        <sz val="8"/>
        <rFont val="Book Antiqua"/>
        <family val="1"/>
      </rPr>
      <t>2</t>
    </r>
    <r>
      <rPr>
        <b/>
        <sz val="10"/>
        <rFont val="Book Antiqua"/>
        <family val="1"/>
      </rPr>
      <t xml:space="preserve"> during 2010</t>
    </r>
  </si>
  <si>
    <r>
      <t>Principal Adjustments</t>
    </r>
    <r>
      <rPr>
        <b/>
        <vertAlign val="superscript"/>
        <sz val="10"/>
        <rFont val="Book Antiqua"/>
        <family val="1"/>
      </rPr>
      <t>2</t>
    </r>
    <r>
      <rPr>
        <b/>
        <sz val="10"/>
        <rFont val="Book Antiqua"/>
        <family val="1"/>
      </rPr>
      <t xml:space="preserve"> during 2011 </t>
    </r>
  </si>
  <si>
    <r>
      <t>Transactions</t>
    </r>
    <r>
      <rPr>
        <b/>
        <vertAlign val="superscript"/>
        <sz val="8"/>
        <rFont val="Book Antiqua"/>
        <family val="1"/>
      </rPr>
      <t>1</t>
    </r>
    <r>
      <rPr>
        <b/>
        <sz val="10"/>
        <rFont val="Book Antiqua"/>
        <family val="1"/>
      </rPr>
      <t xml:space="preserve"> Debit / (Credit) during 2011 </t>
    </r>
  </si>
  <si>
    <r>
      <t>Interest Adjustments</t>
    </r>
    <r>
      <rPr>
        <b/>
        <vertAlign val="superscript"/>
        <sz val="8"/>
        <rFont val="Book Antiqua"/>
        <family val="1"/>
      </rPr>
      <t>2</t>
    </r>
    <r>
      <rPr>
        <b/>
        <sz val="10"/>
        <rFont val="Book Antiqua"/>
        <family val="1"/>
      </rPr>
      <t xml:space="preserve"> during 2011</t>
    </r>
  </si>
  <si>
    <r>
      <t>Principal Adjustments</t>
    </r>
    <r>
      <rPr>
        <b/>
        <vertAlign val="superscript"/>
        <sz val="10"/>
        <rFont val="Book Antiqua"/>
        <family val="1"/>
      </rPr>
      <t>2</t>
    </r>
    <r>
      <rPr>
        <b/>
        <sz val="10"/>
        <rFont val="Book Antiqua"/>
        <family val="1"/>
      </rPr>
      <t xml:space="preserve"> during 2014</t>
    </r>
  </si>
  <si>
    <t>Opening Principal Amounts as of Jan-1-15</t>
  </si>
  <si>
    <r>
      <t>Principal Adjustments</t>
    </r>
    <r>
      <rPr>
        <b/>
        <vertAlign val="superscript"/>
        <sz val="10"/>
        <rFont val="Book Antiqua"/>
        <family val="1"/>
      </rPr>
      <t>2</t>
    </r>
    <r>
      <rPr>
        <b/>
        <sz val="10"/>
        <rFont val="Book Antiqua"/>
        <family val="1"/>
      </rPr>
      <t xml:space="preserve"> during 2015 </t>
    </r>
  </si>
  <si>
    <t>Closing Principal Balance as of Dec-31-15</t>
  </si>
  <si>
    <t>Opening Interest Amounts as of Jan-1-15</t>
  </si>
  <si>
    <t>Interest Jan-1 to Dec-31-15</t>
  </si>
  <si>
    <t>Closing Interest Amounts as of Dec-31-15</t>
  </si>
  <si>
    <t>Closing Principal Balances as of Dec 31-15 Adjusted for Dispositions during 2016</t>
  </si>
  <si>
    <t>Closing Interest Balances as of Dec 31-15 Adjusted for Dispositions during 2016</t>
  </si>
  <si>
    <r>
      <t xml:space="preserve">Projected Interest  from Jan 1, 2016 to December 31, 2016 on  Dec 31 -15 balance adjusted for disposition during 2016 </t>
    </r>
    <r>
      <rPr>
        <b/>
        <vertAlign val="superscript"/>
        <sz val="10"/>
        <rFont val="Book Antiqua"/>
        <family val="1"/>
      </rPr>
      <t>7</t>
    </r>
  </si>
  <si>
    <r>
      <t xml:space="preserve">Projected Interest from January 1, 2017 to April 30, 2017 on Dec 31 -15 balance adjusted for disposition during 2016  </t>
    </r>
    <r>
      <rPr>
        <b/>
        <vertAlign val="superscript"/>
        <sz val="11"/>
        <rFont val="Book Antiqua"/>
        <family val="1"/>
      </rPr>
      <t>7</t>
    </r>
  </si>
  <si>
    <r>
      <t>Transactions</t>
    </r>
    <r>
      <rPr>
        <b/>
        <vertAlign val="superscript"/>
        <sz val="8"/>
        <rFont val="Book Antiqua"/>
        <family val="1"/>
      </rPr>
      <t>1</t>
    </r>
    <r>
      <rPr>
        <b/>
        <sz val="10"/>
        <rFont val="Book Antiqua"/>
        <family val="1"/>
      </rPr>
      <t xml:space="preserve"> Debit / (Credit) during 2012</t>
    </r>
  </si>
  <si>
    <r>
      <t>Interest Adjustments</t>
    </r>
    <r>
      <rPr>
        <b/>
        <vertAlign val="superscript"/>
        <sz val="8"/>
        <rFont val="Book Antiqua"/>
        <family val="1"/>
      </rPr>
      <t>2</t>
    </r>
    <r>
      <rPr>
        <b/>
        <sz val="10"/>
        <rFont val="Book Antiqua"/>
        <family val="1"/>
      </rPr>
      <t xml:space="preserve"> during 2012</t>
    </r>
  </si>
  <si>
    <r>
      <t>Transactions</t>
    </r>
    <r>
      <rPr>
        <b/>
        <vertAlign val="superscript"/>
        <sz val="8"/>
        <rFont val="Book Antiqua"/>
        <family val="1"/>
      </rPr>
      <t>1</t>
    </r>
    <r>
      <rPr>
        <b/>
        <sz val="10"/>
        <rFont val="Book Antiqua"/>
        <family val="1"/>
      </rPr>
      <t xml:space="preserve"> Debit / (Credit) during 2013</t>
    </r>
  </si>
  <si>
    <r>
      <t>Interest Adjustments</t>
    </r>
    <r>
      <rPr>
        <b/>
        <vertAlign val="superscript"/>
        <sz val="8"/>
        <rFont val="Book Antiqua"/>
        <family val="1"/>
      </rPr>
      <t>2</t>
    </r>
    <r>
      <rPr>
        <b/>
        <sz val="10"/>
        <rFont val="Book Antiqua"/>
        <family val="1"/>
      </rPr>
      <t xml:space="preserve"> during 2013</t>
    </r>
  </si>
  <si>
    <r>
      <t>Transactions</t>
    </r>
    <r>
      <rPr>
        <b/>
        <vertAlign val="superscript"/>
        <sz val="8"/>
        <rFont val="Book Antiqua"/>
        <family val="1"/>
      </rPr>
      <t>1</t>
    </r>
    <r>
      <rPr>
        <b/>
        <sz val="10"/>
        <rFont val="Book Antiqua"/>
        <family val="1"/>
      </rPr>
      <t xml:space="preserve"> Debit / (Credit) during 2014</t>
    </r>
  </si>
  <si>
    <r>
      <t>Interest Adjustments</t>
    </r>
    <r>
      <rPr>
        <b/>
        <vertAlign val="superscript"/>
        <sz val="8"/>
        <rFont val="Book Antiqua"/>
        <family val="1"/>
      </rPr>
      <t>2</t>
    </r>
    <r>
      <rPr>
        <b/>
        <sz val="10"/>
        <rFont val="Book Antiqua"/>
        <family val="1"/>
      </rPr>
      <t xml:space="preserve"> during 2014</t>
    </r>
  </si>
  <si>
    <r>
      <t>Transactions</t>
    </r>
    <r>
      <rPr>
        <b/>
        <vertAlign val="superscript"/>
        <sz val="8"/>
        <rFont val="Book Antiqua"/>
        <family val="1"/>
      </rPr>
      <t>1</t>
    </r>
    <r>
      <rPr>
        <b/>
        <sz val="10"/>
        <rFont val="Book Antiqua"/>
        <family val="1"/>
      </rPr>
      <t xml:space="preserve"> Debit / (Credit) during 2015</t>
    </r>
  </si>
  <si>
    <r>
      <t>Interest Adjustments</t>
    </r>
    <r>
      <rPr>
        <b/>
        <vertAlign val="superscript"/>
        <sz val="8"/>
        <rFont val="Book Antiqua"/>
        <family val="1"/>
      </rPr>
      <t>2</t>
    </r>
    <r>
      <rPr>
        <b/>
        <sz val="10"/>
        <rFont val="Book Antiqua"/>
        <family val="1"/>
      </rPr>
      <t xml:space="preserve"> during 2015</t>
    </r>
  </si>
  <si>
    <t>Total Interest</t>
  </si>
  <si>
    <t>OEB-Approved Disposition during 2010</t>
  </si>
  <si>
    <t>As per the January 6, 2011 Letter from the OEB regarding the implementation of the Ontario Clean Energy Benefit:</t>
  </si>
  <si>
    <t>Deferral accounts related to Smart Meter deployment are not to be recovered/refunded through the Deferral and Variance Account rate rider. For details on how to dispose of balances in Smart Meter accounts see the OEB's  Guideline: Smart Meter Disposition and Cost Recovery (G-2011-0001)</t>
  </si>
  <si>
    <t>The OEB requires that disposition of Account 1575 and Account 1576 shall require the use of separate rate riders. In the "Adjustments during 2015" column of the continuity schedule, please enter the amounts to be included in the Account 1575 and 1576 rate rider calculation from the applicable Chapter 2 appendices. For Account 1575, please provide the value in cell F39 from Chapter 2 Appendix 2-EA. For Account 1576, please provide the value in cell H39 and G39 from the relevant Chapter 2 Appendix 2-EB or 2-EC, respectively.</t>
  </si>
  <si>
    <t>OEB-Approved Disposition during 2011</t>
  </si>
  <si>
    <t>OEB-Approved Disposition during 2012</t>
  </si>
  <si>
    <t>OEB-Approved Disposition during 2013</t>
  </si>
  <si>
    <t>OEB-Approved Disposition during 2014</t>
  </si>
  <si>
    <t>OEB-Approved Disposition during 2015</t>
  </si>
  <si>
    <t>Principal Disposition during 2016 - instructed by  OEB</t>
  </si>
  <si>
    <t>Interest Disposition during 2016 - instructed by  OEB</t>
  </si>
  <si>
    <t>For all OEB-Approved dispositions, please ensure that the disposition amount has the same sign (e.g: debit balances are to have a positive figure and credit balance are to have a negative figure) as per the related OEB decision.</t>
  </si>
  <si>
    <t>"By way of exception... The Board does anticipate that licensed distributors that cannot adapt their invoices as of January 1, 2011 will require a variance account for OCEB purposes... The Board expects that any principal balances in "Sub account Financial Assistance Payment and Recovery Variance - Ontario Clean Energy Benefit Act" will be addressed through the monthly settlement process with the IESO or the host distributor, as applicable."</t>
  </si>
  <si>
    <t>1580 CBDR A</t>
  </si>
  <si>
    <t>1580 CBDR B</t>
  </si>
  <si>
    <t>1595 (2009)</t>
  </si>
  <si>
    <t>1595 (2010)</t>
  </si>
  <si>
    <t>1595 (2011)</t>
  </si>
  <si>
    <t>1595 (2012)</t>
  </si>
  <si>
    <t>1595 (2013)</t>
  </si>
  <si>
    <t>1595 (2015)</t>
  </si>
  <si>
    <t>1595 (2014)</t>
  </si>
  <si>
    <t>Depending on the disposition period, balances may exist in Account 1575 and Account 1576 even if the accounts have been approved for disposition in a previous decision.  Report these account balances in the continuity schedule if this is the case and leave the checkbox "Check to Dispose of Account" in the Total Claim column unchecked.</t>
  </si>
  <si>
    <t>Include Account 1595 as part of Group 1 accounts for review and disposition if the recovery (or refund) period has been completed.  Check the "Check to Dispose Account" checkbox if disposition is requested. If the recovery (or refund) period has not been completed, do not include the respective balance in Account 1595 for disposition at this time.</t>
  </si>
  <si>
    <t>kW</t>
  </si>
  <si>
    <t xml:space="preserve">Distribution Revenue </t>
  </si>
  <si>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</si>
  <si>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</si>
  <si>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</si>
  <si>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</si>
  <si>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</si>
  <si>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</si>
  <si>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Number of Customers for Residential and GS&lt;50 classes</t>
    </r>
    <r>
      <rPr>
        <b/>
        <vertAlign val="superscript"/>
        <sz val="11"/>
        <color theme="1"/>
        <rFont val="Calibri"/>
        <family val="2"/>
        <scheme val="minor"/>
      </rPr>
      <t>2</t>
    </r>
  </si>
  <si>
    <r>
      <t>1</t>
    </r>
    <r>
      <rPr>
        <sz val="10"/>
        <rFont val="Arial"/>
        <family val="2"/>
      </rPr>
      <t xml:space="preserve"> Residual Account balance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</si>
  <si>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</si>
  <si>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GA Allocator for Class A, 
Non-WMP Customers 
(if applicable)</t>
    </r>
    <r>
      <rPr>
        <b/>
        <vertAlign val="superscript"/>
        <sz val="10"/>
        <rFont val="Arial"/>
        <family val="2"/>
      </rPr>
      <t>2</t>
    </r>
  </si>
  <si>
    <t>Other Regulatory Assets - Sub-Account - Financial Assistance Payment and Recovery Variance - Ontario Clean Energy Benefit Act</t>
  </si>
  <si>
    <t xml:space="preserve">Other Regulatory Assets - Sub-Account - Other </t>
  </si>
  <si>
    <t>Allocation of Total GA Balance $</t>
  </si>
  <si>
    <t>Total GA Balance</t>
  </si>
  <si>
    <t>Allocation of GA Balances to Former Class B Customers</t>
  </si>
  <si>
    <r>
      <t xml:space="preserve">1595 Recovery Share Proportion (2015) </t>
    </r>
    <r>
      <rPr>
        <b/>
        <vertAlign val="superscript"/>
        <sz val="10"/>
        <rFont val="Arial"/>
        <family val="2"/>
      </rPr>
      <t>1</t>
    </r>
  </si>
  <si>
    <t>Not to be disposed of unless rate rider has expired and balance has been audited</t>
  </si>
  <si>
    <t>Total of Group 1 and Group 2 Accounts (including 1592)</t>
  </si>
  <si>
    <r>
      <t>Disposition and Recovery/Refund of Regulatory Balances (2015)</t>
    </r>
    <r>
      <rPr>
        <vertAlign val="superscript"/>
        <sz val="11"/>
        <rFont val="Arial"/>
        <family val="2"/>
      </rPr>
      <t>8</t>
    </r>
  </si>
  <si>
    <t>PILs and Tax Variance for 2006 and Subsequent Years - Sub-Account HST/OVAT Input Tax Credits (ITCs)</t>
  </si>
  <si>
    <r>
      <t>Renewable Generation Connection Capital Deferral Account</t>
    </r>
    <r>
      <rPr>
        <vertAlign val="superscript"/>
        <sz val="11"/>
        <rFont val="Arial"/>
        <family val="2"/>
      </rPr>
      <t>9</t>
    </r>
  </si>
  <si>
    <r>
      <t>Renewable Generation Connection OM&amp;A Deferral Account</t>
    </r>
    <r>
      <rPr>
        <vertAlign val="superscript"/>
        <sz val="11"/>
        <rFont val="Arial"/>
        <family val="2"/>
      </rPr>
      <t>9</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</si>
  <si>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</si>
  <si>
    <r>
      <t xml:space="preserve">Estimated 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</si>
  <si>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</si>
  <si>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</si>
  <si>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</si>
  <si>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</si>
  <si>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t>Total of Account 1592</t>
  </si>
  <si>
    <t>Disposition and Recovery/Refund of Regulatory Balances (2015)</t>
  </si>
  <si>
    <r>
      <t>RSVA - Wholesale Market Service Charge</t>
    </r>
    <r>
      <rPr>
        <vertAlign val="superscript"/>
        <sz val="11"/>
        <rFont val="Arial"/>
        <family val="2"/>
      </rPr>
      <t>10</t>
    </r>
  </si>
  <si>
    <r>
      <t>Meter Cost Deferral Account (MIST Meters)</t>
    </r>
    <r>
      <rPr>
        <vertAlign val="superscript"/>
        <sz val="11"/>
        <rFont val="Arial"/>
        <family val="2"/>
      </rPr>
      <t>11</t>
    </r>
  </si>
  <si>
    <t>Group 2 Accounts  (including 1592, 1532)</t>
  </si>
  <si>
    <t>Energy + Inc.</t>
  </si>
  <si>
    <t>Welland Hydro Electric System Corp.</t>
  </si>
  <si>
    <r>
      <t>LRAM Variance Account</t>
    </r>
    <r>
      <rPr>
        <b/>
        <vertAlign val="superscript"/>
        <sz val="11"/>
        <color indexed="12"/>
        <rFont val="Arial"/>
        <family val="2"/>
      </rPr>
      <t>12</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</si>
  <si>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</si>
  <si>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3</t>
    </r>
    <r>
      <rPr>
        <sz val="10"/>
        <rFont val="Arial"/>
        <family val="2"/>
      </rPr>
      <t xml:space="preserve"> Input the allocation as determined in the LRAMVA model.  The associated rate riders will be calculated in the EDDVAR model.</t>
    </r>
  </si>
  <si>
    <t>Account 1557 is to be recovered in a manner similar to the Smart Meter accounts.  Distributors should request for disposition upon completion of the MIST meter deployment.  A prudence review and disposition should be done in the application, outside of this continuity schedule.</t>
  </si>
  <si>
    <t xml:space="preserve">Accounts that produced a variance on the  continuity schedule are listed below.  
Please provide a detailed explanation for each variance below.
</t>
  </si>
  <si>
    <t>Per the APH March 2015 Guidance, the Direct Benefits portion of Account 1531 should be transferred to rate base.  The Direct Benefits portion of Account 1532 should be included in the DVA continuity schedule to be requested for disposition.  In this continuity schedule, Account 1531 is listed for reference only.  Account 1532 is included in the Group 2 allocation of balances that are used to calculate the rate riders.  Only input the Direct Benefits portion of the account balances in this continuity schedule.</t>
  </si>
  <si>
    <t>Input the LRAMVA balance in the continuity schedule as calculated from the LRAMVA model.  The associated rate riders will be calculated in the DVA continuity schedule.</t>
  </si>
  <si>
    <r>
      <t>Variance WMS – Sub-account CBR Class A</t>
    </r>
    <r>
      <rPr>
        <vertAlign val="superscript"/>
        <sz val="11"/>
        <rFont val="Arial"/>
        <family val="2"/>
      </rPr>
      <t>10</t>
    </r>
  </si>
  <si>
    <r>
      <t>Variance WMS – Sub-account CBR Class B</t>
    </r>
    <r>
      <rPr>
        <vertAlign val="superscript"/>
        <sz val="11"/>
        <rFont val="Arial"/>
        <family val="2"/>
      </rPr>
      <t>10</t>
    </r>
  </si>
  <si>
    <t>When inputting balances in the continuity schedule, Account 1580 RSVA - Wholesale Market Service Charge is to exclude any amounts relating to CBR.  The CBR amounts are to be entered separately in the Class A and Class B 1580 sub-accounts.  Only Class B amounts are to be disposed.  Class A amounts are not to be disposed.</t>
  </si>
  <si>
    <r>
      <t xml:space="preserve">Metered </t>
    </r>
    <r>
      <rPr>
        <b/>
        <sz val="10"/>
        <color rgb="FFFF0000"/>
        <rFont val="Arial"/>
        <family val="2"/>
      </rPr>
      <t>kW</t>
    </r>
    <r>
      <rPr>
        <b/>
        <sz val="10"/>
        <rFont val="Arial"/>
        <family val="2"/>
      </rPr>
      <t xml:space="preserve"> for any Class A Customers in 2015 (partial or full year)
(if applicable)</t>
    </r>
  </si>
  <si>
    <t>(e.g. If in the 2015 EDR process, you received approval to dispose the GA variance account balance as of December 31, 2013, please enter 2013 in cell B16.)</t>
  </si>
  <si>
    <t>Allocation of total Non-RPP consumption (kWh) between Class B and New Class A (Former Class B) customers</t>
  </si>
  <si>
    <t>Total Class B Consumption for Years Since Last Dispposition (Non-RPP consumption LESS WMP and Class A)</t>
  </si>
  <si>
    <t>A</t>
  </si>
  <si>
    <t>New Class A Customer(s)' Former Class B Consumption</t>
  </si>
  <si>
    <t>B</t>
  </si>
  <si>
    <t>Portion of Consumption of Former Class B Customers</t>
  </si>
  <si>
    <t>C=B/A</t>
  </si>
  <si>
    <t>D</t>
  </si>
  <si>
    <t>New Class A Customer(s)' Former Class B Portion of GA Balance</t>
  </si>
  <si>
    <t>E=C*D</t>
  </si>
  <si>
    <t>GA Balance to be disposed to Current Class B Customers</t>
  </si>
  <si>
    <t>F=D-E</t>
  </si>
  <si>
    <t># of Former Class B customer(s)</t>
  </si>
  <si>
    <t>Customer</t>
  </si>
  <si>
    <t>Total Metered kWh Consumption for each new Class A customer for the period prior to becoming Class A</t>
  </si>
  <si>
    <t>Metered kWh Consumption for each new Class A customer for the period prior to becoming Class A in 2015</t>
  </si>
  <si>
    <t>Metered kWh Consumption for each new Class A customer for the period prior to becoming Class A in 2014</t>
  </si>
  <si>
    <t>Metered kWh Consumption for each new Class A customer for the period prior to becoming Class A in 2013</t>
  </si>
  <si>
    <t>Metered kWh Consumption for each new Class A customer for the period prior to becoming Class A in 2012</t>
  </si>
  <si>
    <t>% of kWh</t>
  </si>
  <si>
    <t>Customer specific GA allocation for the period prior to becoming Class A</t>
  </si>
  <si>
    <t>Monthly Equal Payments</t>
  </si>
  <si>
    <r>
      <t xml:space="preserve"> Metered </t>
    </r>
    <r>
      <rPr>
        <b/>
        <sz val="10"/>
        <color rgb="FFFF0000"/>
        <rFont val="Arial"/>
        <family val="2"/>
      </rPr>
      <t>kWh</t>
    </r>
    <r>
      <rPr>
        <b/>
        <sz val="10"/>
        <rFont val="Arial"/>
        <family val="2"/>
      </rPr>
      <t xml:space="preserve"> Consumption for New Class A customer(s) in the period prior to becoming Class A (i.e. Jan. 1 - June 30, 2015) </t>
    </r>
  </si>
  <si>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</si>
  <si>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r>
      <t xml:space="preserve">Metered </t>
    </r>
    <r>
      <rPr>
        <b/>
        <sz val="10"/>
        <color rgb="FFFF0000"/>
        <rFont val="Arial"/>
        <family val="2"/>
      </rPr>
      <t>kWh</t>
    </r>
    <r>
      <rPr>
        <b/>
        <sz val="10"/>
        <rFont val="Arial"/>
        <family val="2"/>
      </rPr>
      <t xml:space="preserve"> for any Class A Customers in 2015 (partial or full year)
(if applicable)*</t>
    </r>
  </si>
  <si>
    <t>*For new Class A customers (who became Class A in 2015), add their consumption only related to July to December period.</t>
  </si>
  <si>
    <t>.</t>
  </si>
  <si>
    <t>Year of Group 1 Account Balance Last Disposed</t>
  </si>
  <si>
    <r>
      <t xml:space="preserve">Metered Consumption </t>
    </r>
    <r>
      <rPr>
        <b/>
        <sz val="10"/>
        <color rgb="FFFF0000"/>
        <rFont val="Arial"/>
        <family val="2"/>
      </rPr>
      <t xml:space="preserve">kWh </t>
    </r>
    <r>
      <rPr>
        <b/>
        <sz val="10"/>
        <rFont val="Arial"/>
        <family val="2"/>
      </rPr>
      <t>for Current Class B Customers (Non-RPP consumption LESS WMP, Class A and new Class A's former Class B consumption, if applicable)</t>
    </r>
  </si>
  <si>
    <t>C</t>
  </si>
  <si>
    <t>D=A-C</t>
  </si>
  <si>
    <t>E</t>
  </si>
  <si>
    <t>F =B-C-E</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</si>
  <si>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</si>
  <si>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InnPower Corporation</t>
  </si>
  <si>
    <t>EB-2016-0085</t>
  </si>
  <si>
    <t>Brenda L Pinke</t>
  </si>
  <si>
    <t>705-431-6870 Ext 262</t>
  </si>
  <si>
    <t>brendap@innpower.ca</t>
  </si>
  <si>
    <t>RESIDENTIAL</t>
  </si>
  <si>
    <t>GENERAL SERVICE &lt; 50 KW</t>
  </si>
  <si>
    <t>GENERAL SERVICE &gt; 50 KW TO 4,999 KW</t>
  </si>
  <si>
    <t>SENTINEL LIGHTING</t>
  </si>
  <si>
    <t>STREET LIGHTING</t>
  </si>
  <si>
    <t>UNMETERED SCATTERED LOAD</t>
  </si>
  <si>
    <t>Rounding</t>
  </si>
  <si>
    <t>RPP 2016 1st quarter reconcilation adjustment for 2015 balances</t>
  </si>
  <si>
    <t>Energy East contract pursuant to EB-2013-0398 dated June 13, 2014.</t>
  </si>
  <si>
    <t>due to breakout accounts for 1580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</si>
</sst>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quot;#,##0;[Red]\-&quot;$&quot;#,##0"/>
    <numFmt numFmtId="8" formatCode="&quot;$&quot;#,##0.00;[Red]\-&quot;$&quot;#,##0.00"/>
    <numFmt numFmtId="44" formatCode="_-&quot;$&quot;* #,##0.00_-;\-&quot;$&quot;* #,##0.00_-;_-&quot;$&quot;* &quot;-&quot;??_-;_-@_-"/>
    <numFmt numFmtId="43" formatCode="_-* #,##0.00_-;\-* #,##0.00_-;_-* &quot;-&quot;??_-;_-@_-"/>
    <numFmt numFmtId="164" formatCode="&quot;$&quot;#,##0_);\(&quot;$&quot;#,##0\)"/>
    <numFmt numFmtId="165" formatCode="&quot;$&quot;#,##0.00_);[Red]\(&quot;$&quot;#,##0.00\)"/>
    <numFmt numFmtId="166" formatCode="_(&quot;$&quot;* #,##0.00_);_(&quot;$&quot;* \(#,##0.00\);_(&quot;$&quot;* &quot;-&quot;??_);_(@_)"/>
    <numFmt numFmtId="167" formatCode="_(* #,##0.0_);_(* \(#,##0.0\);_(* &quot;-&quot;??_);_(@_)"/>
    <numFmt numFmtId="168" formatCode="_(* #,##0_);_(* \(#,##0\);_(* &quot;-&quot;??_);_(@_)"/>
    <numFmt numFmtId="169" formatCode="&quot;£ &quot;#,##0.00;[Red]\-&quot;£ &quot;#,##0.00"/>
    <numFmt numFmtId="170" formatCode="#,##0.0"/>
    <numFmt numFmtId="171" formatCode="##\-#"/>
    <numFmt numFmtId="172" formatCode="mm/dd/yyyy"/>
    <numFmt numFmtId="173" formatCode="0\-0"/>
    <numFmt numFmtId="174" formatCode="_-&quot;$&quot;* #,##0_-;\-&quot;$&quot;* #,##0_-;_-&quot;$&quot;* &quot;-&quot;??_-;_-@_-"/>
    <numFmt numFmtId="175" formatCode="0.0"/>
    <numFmt numFmtId="176" formatCode="#,##0;[Red]\(#,##0\)"/>
    <numFmt numFmtId="177" formatCode="_-* #,##0_-;\-* #,##0_-;_-* &quot;-&quot;??_-;_-@_-"/>
    <numFmt numFmtId="178" formatCode="_-* #,##0.0000_-;\-* #,##0.0000_-;_-* &quot;-&quot;??_-;_-@_-"/>
    <numFmt numFmtId="179" formatCode="0.0%"/>
    <numFmt numFmtId="180" formatCode="&quot;$&quot;#,##0.0000_);[Red]\(&quot;$&quot;#,##0.0000\)"/>
    <numFmt numFmtId="181" formatCode="_-&quot;$&quot;* #,##0.0000_-;\-&quot;$&quot;* #,##0.0000_-;_-&quot;$&quot;* &quot;-&quot;??_-;_-@_-"/>
    <numFmt numFmtId="182" formatCode="_ #,##0.000000;[Red]\(#,##0.000000\)"/>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2"/>
      <color theme="1"/>
      <name val="Arial"/>
      <family val="2"/>
    </font>
    <font>
      <b/>
      <sz val="11"/>
      <color rgb="FFFF0000"/>
      <name val="Arial"/>
      <family val="2"/>
    </font>
    <font>
      <b/>
      <sz val="10"/>
      <color rgb="FF0070C0"/>
      <name val="Arial"/>
      <family val="2"/>
    </font>
    <font>
      <b/>
      <sz val="8"/>
      <color rgb="FFFF0000"/>
      <name val="Arial"/>
      <family val="2"/>
    </font>
    <font>
      <i/>
      <sz val="8"/>
      <color rgb="FFFF0000"/>
      <name val="Arial"/>
      <family val="2"/>
    </font>
    <font>
      <b/>
      <i/>
      <sz val="10"/>
      <name val="Arial"/>
      <family val="2"/>
    </font>
    <font>
      <sz val="9"/>
      <color indexed="81"/>
      <name val="Tahoma"/>
      <family val="2"/>
    </font>
    <font>
      <b/>
      <sz val="9"/>
      <color indexed="81"/>
      <name val="Tahoma"/>
      <family val="2"/>
    </font>
    <font>
      <b/>
      <vertAlign val="superscrip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vertAlign val="superscript"/>
      <sz val="8"/>
      <name val="Book Antiqua"/>
      <family val="1"/>
    </font>
    <font>
      <i/>
      <sz val="11"/>
      <color rgb="FFFF0000"/>
      <name val="Arial"/>
      <family val="2"/>
    </font>
    <font>
      <sz val="8"/>
      <color rgb="FF000000"/>
      <name val="Tahoma"/>
      <family val="2"/>
    </font>
    <font>
      <b/>
      <sz val="10"/>
      <color theme="1"/>
      <name val="Arial"/>
      <family val="2"/>
    </font>
    <font>
      <sz val="10"/>
      <color theme="1"/>
      <name val="Arial"/>
      <family val="2"/>
    </font>
    <font>
      <b/>
      <sz val="10"/>
      <color indexed="10"/>
      <name val="Arial"/>
      <family val="2"/>
    </font>
    <font>
      <b/>
      <vertAlign val="superscript"/>
      <sz val="11"/>
      <color indexed="12"/>
      <name val="Arial"/>
      <family val="2"/>
    </font>
    <font>
      <u/>
      <sz val="8"/>
      <color rgb="FF0000FF"/>
      <name val="Calibri"/>
      <family val="2"/>
      <scheme val="minor"/>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9"/>
      </top>
      <bottom/>
      <diagonal/>
    </border>
    <border>
      <left style="medium">
        <color auto="1"/>
      </left>
      <right/>
      <top style="medium">
        <color indexed="12"/>
      </top>
      <bottom/>
      <diagonal/>
    </border>
    <border>
      <left style="medium">
        <color auto="1"/>
      </left>
      <right style="medium">
        <color indexed="9"/>
      </right>
      <top style="medium">
        <color indexed="9"/>
      </top>
      <bottom style="medium">
        <color indexed="9"/>
      </bottom>
      <diagonal/>
    </border>
    <border>
      <left style="medium">
        <color auto="1"/>
      </left>
      <right/>
      <top/>
      <bottom/>
      <diagonal/>
    </border>
    <border>
      <left style="medium">
        <color auto="1"/>
      </left>
      <right style="medium">
        <color indexed="9"/>
      </right>
      <top style="medium">
        <color indexed="9"/>
      </top>
      <bottom/>
      <diagonal/>
    </border>
    <border>
      <left style="medium">
        <color auto="1"/>
      </left>
      <right/>
      <top style="medium">
        <color indexed="9"/>
      </top>
      <bottom style="medium">
        <color auto="1"/>
      </bottom>
      <diagonal/>
    </border>
    <border>
      <left/>
      <right/>
      <top/>
      <bottom style="medium">
        <color auto="1"/>
      </bottom>
      <diagonal/>
    </border>
    <border>
      <left/>
      <right style="medium">
        <color indexed="64"/>
      </right>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
      <left style="medium">
        <color indexed="9"/>
      </left>
      <right style="medium">
        <color indexed="9"/>
      </right>
      <top/>
      <bottom style="medium">
        <color indexed="9"/>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auto="1"/>
      </left>
      <right style="medium">
        <color indexed="64"/>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indexed="9"/>
      </right>
      <top/>
      <bottom style="medium">
        <color indexed="9"/>
      </bottom>
      <diagonal/>
    </border>
    <border>
      <left style="medium">
        <color indexed="9"/>
      </left>
      <right style="medium">
        <color indexed="9"/>
      </right>
      <top/>
      <bottom style="medium">
        <color indexed="9"/>
      </bottom>
      <diagonal/>
    </border>
    <border>
      <left/>
      <right/>
      <top/>
      <bottom style="medium">
        <color indexed="12"/>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5">
    <xf numFmtId="0" fontId="0" fillId="0" borderId="0"/>
    <xf numFmtId="167" fontId="7" fillId="0" borderId="0"/>
    <xf numFmtId="170" fontId="7" fillId="0" borderId="0"/>
    <xf numFmtId="172" fontId="7" fillId="0" borderId="0"/>
    <xf numFmtId="173" fontId="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3" fontId="7" fillId="0" borderId="0" applyFont="0" applyFill="0" applyBorder="0" applyAlignment="0" applyProtection="0"/>
    <xf numFmtId="164" fontId="7" fillId="0" borderId="0" applyFont="0" applyFill="0" applyBorder="0" applyAlignment="0" applyProtection="0"/>
    <xf numFmtId="14" fontId="7" fillId="0" borderId="0" applyFont="0" applyFill="0" applyBorder="0" applyAlignment="0" applyProtection="0"/>
    <xf numFmtId="0" fontId="29" fillId="0" borderId="0" applyNumberFormat="0" applyFill="0" applyBorder="0" applyAlignment="0" applyProtection="0"/>
    <xf numFmtId="2" fontId="7" fillId="0" borderId="0" applyFont="0" applyFill="0" applyBorder="0" applyAlignment="0" applyProtection="0"/>
    <xf numFmtId="0" fontId="30" fillId="4" borderId="0" applyNumberFormat="0" applyBorder="0" applyAlignment="0" applyProtection="0"/>
    <xf numFmtId="38" fontId="11" fillId="22" borderId="0" applyNumberFormat="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10" fontId="11" fillId="23" borderId="4" applyNumberFormat="0" applyBorder="0" applyAlignment="0" applyProtection="0"/>
    <xf numFmtId="0" fontId="33" fillId="0" borderId="5" applyNumberFormat="0" applyFill="0" applyAlignment="0" applyProtection="0"/>
    <xf numFmtId="171" fontId="7" fillId="0" borderId="0"/>
    <xf numFmtId="168" fontId="7" fillId="0" borderId="0"/>
    <xf numFmtId="0" fontId="34" fillId="24" borderId="0" applyNumberFormat="0" applyBorder="0" applyAlignment="0" applyProtection="0"/>
    <xf numFmtId="169" fontId="7" fillId="0" borderId="0"/>
    <xf numFmtId="0" fontId="15" fillId="25" borderId="6" applyNumberFormat="0" applyFont="0" applyAlignment="0" applyProtection="0"/>
    <xf numFmtId="0" fontId="35" fillId="20" borderId="7" applyNumberFormat="0" applyAlignment="0" applyProtection="0"/>
    <xf numFmtId="10" fontId="7" fillId="0" borderId="0" applyFont="0" applyFill="0" applyBorder="0" applyAlignment="0" applyProtection="0"/>
    <xf numFmtId="0" fontId="36" fillId="0" borderId="0" applyNumberFormat="0" applyFill="0" applyBorder="0" applyAlignment="0" applyProtection="0"/>
    <xf numFmtId="0" fontId="7" fillId="0" borderId="8" applyNumberFormat="0" applyFont="0" applyBorder="0" applyAlignment="0" applyProtection="0"/>
    <xf numFmtId="0" fontId="37" fillId="0" borderId="0" applyNumberForma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2" fillId="0" borderId="0" applyFont="0" applyFill="0" applyBorder="0" applyAlignment="0" applyProtection="0"/>
    <xf numFmtId="0" fontId="6" fillId="0" borderId="0"/>
    <xf numFmtId="167" fontId="7" fillId="0" borderId="0"/>
    <xf numFmtId="167" fontId="7" fillId="0" borderId="0"/>
    <xf numFmtId="167" fontId="7" fillId="0" borderId="0"/>
    <xf numFmtId="167" fontId="7" fillId="0" borderId="0"/>
    <xf numFmtId="172" fontId="7" fillId="0" borderId="0"/>
    <xf numFmtId="171" fontId="7" fillId="0" borderId="0"/>
    <xf numFmtId="171" fontId="7" fillId="0" borderId="0"/>
    <xf numFmtId="171" fontId="7" fillId="0" borderId="0"/>
    <xf numFmtId="171" fontId="7" fillId="0" borderId="0"/>
    <xf numFmtId="0" fontId="7" fillId="0" borderId="0"/>
    <xf numFmtId="0" fontId="7" fillId="0" borderId="0"/>
    <xf numFmtId="167" fontId="7" fillId="0" borderId="0"/>
    <xf numFmtId="167" fontId="7" fillId="0" borderId="0"/>
    <xf numFmtId="167" fontId="7" fillId="0" borderId="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4" fillId="57" borderId="0" applyNumberFormat="0" applyBorder="0" applyAlignment="0" applyProtection="0"/>
    <xf numFmtId="0" fontId="65" fillId="58" borderId="0" applyNumberFormat="0" applyBorder="0" applyAlignment="0" applyProtection="0"/>
    <xf numFmtId="0" fontId="66" fillId="59" borderId="52" applyNumberFormat="0" applyAlignment="0" applyProtection="0"/>
    <xf numFmtId="0" fontId="67" fillId="60" borderId="53"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8" fillId="0" borderId="0" applyNumberFormat="0" applyFill="0" applyBorder="0" applyAlignment="0" applyProtection="0"/>
    <xf numFmtId="0" fontId="69" fillId="61" borderId="0" applyNumberFormat="0" applyBorder="0" applyAlignment="0" applyProtection="0"/>
    <xf numFmtId="0" fontId="70" fillId="0" borderId="54" applyNumberFormat="0" applyFill="0" applyAlignment="0" applyProtection="0"/>
    <xf numFmtId="0" fontId="71" fillId="0" borderId="55" applyNumberFormat="0" applyFill="0" applyAlignment="0" applyProtection="0"/>
    <xf numFmtId="0" fontId="44" fillId="0" borderId="56" applyNumberFormat="0" applyFill="0" applyAlignment="0" applyProtection="0"/>
    <xf numFmtId="0" fontId="44" fillId="0" borderId="0" applyNumberFormat="0" applyFill="0" applyBorder="0" applyAlignment="0" applyProtection="0"/>
    <xf numFmtId="0" fontId="72" fillId="62" borderId="52" applyNumberFormat="0" applyAlignment="0" applyProtection="0"/>
    <xf numFmtId="0" fontId="73" fillId="0" borderId="57" applyNumberFormat="0" applyFill="0" applyAlignment="0" applyProtection="0"/>
    <xf numFmtId="171" fontId="7" fillId="0" borderId="0"/>
    <xf numFmtId="171" fontId="7" fillId="0" borderId="0"/>
    <xf numFmtId="171" fontId="7" fillId="0" borderId="0"/>
    <xf numFmtId="0" fontId="74" fillId="63" borderId="0" applyNumberFormat="0" applyBorder="0" applyAlignment="0" applyProtection="0"/>
    <xf numFmtId="0" fontId="5" fillId="0" borderId="0"/>
    <xf numFmtId="0" fontId="5" fillId="0" borderId="0"/>
    <xf numFmtId="0" fontId="5" fillId="0" borderId="0"/>
    <xf numFmtId="0" fontId="5" fillId="64" borderId="58" applyNumberFormat="0" applyFont="0" applyAlignment="0" applyProtection="0"/>
    <xf numFmtId="0" fontId="75" fillId="59" borderId="59" applyNumberFormat="0" applyAlignment="0" applyProtection="0"/>
    <xf numFmtId="9" fontId="7" fillId="0" borderId="0" applyFont="0" applyFill="0" applyBorder="0" applyAlignment="0" applyProtection="0"/>
    <xf numFmtId="9" fontId="5" fillId="0" borderId="0" applyFont="0" applyFill="0" applyBorder="0" applyAlignment="0" applyProtection="0"/>
    <xf numFmtId="0" fontId="76" fillId="0" borderId="0" applyNumberFormat="0" applyFill="0" applyBorder="0" applyAlignment="0" applyProtection="0"/>
    <xf numFmtId="0" fontId="43" fillId="0" borderId="60" applyNumberFormat="0" applyFill="0" applyAlignment="0" applyProtection="0"/>
    <xf numFmtId="0" fontId="7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4" applyNumberFormat="0" applyFill="0" applyAlignment="0" applyProtection="0"/>
    <xf numFmtId="0" fontId="7" fillId="25" borderId="6" applyNumberFormat="0" applyFont="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9"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6" applyNumberFormat="0" applyFill="0" applyAlignment="0" applyProtection="0"/>
    <xf numFmtId="0" fontId="31" fillId="0" borderId="63" applyNumberFormat="0" applyFill="0" applyAlignment="0" applyProtection="0"/>
    <xf numFmtId="0" fontId="4" fillId="0" borderId="0"/>
    <xf numFmtId="0" fontId="4" fillId="0" borderId="0"/>
    <xf numFmtId="0" fontId="4" fillId="0" borderId="0"/>
    <xf numFmtId="0" fontId="4" fillId="64" borderId="58" applyNumberFormat="0" applyFon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25" borderId="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7"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1" applyNumberFormat="0" applyFill="0" applyAlignment="0" applyProtection="0"/>
    <xf numFmtId="0" fontId="31" fillId="0" borderId="65"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8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502">
    <xf numFmtId="0" fontId="0" fillId="0" borderId="0" xfId="0"/>
    <xf numFmtId="0" fontId="0" fillId="0" borderId="0" xfId="0" applyProtection="1"/>
    <xf numFmtId="0" fontId="10" fillId="0" borderId="0" xfId="0" applyFont="1" applyProtection="1"/>
    <xf numFmtId="0" fontId="21" fillId="0" borderId="0" xfId="0" applyFont="1" applyProtection="1"/>
    <xf numFmtId="0" fontId="8" fillId="0" borderId="0" xfId="0" applyFont="1" applyProtection="1"/>
    <xf numFmtId="0" fontId="8" fillId="0" borderId="0" xfId="0" applyFont="1" applyBorder="1" applyProtection="1"/>
    <xf numFmtId="0" fontId="0" fillId="0" borderId="10" xfId="0" applyBorder="1" applyProtection="1"/>
    <xf numFmtId="0" fontId="8" fillId="0" borderId="0" xfId="0" applyFont="1" applyAlignment="1" applyProtection="1">
      <alignment horizontal="center"/>
    </xf>
    <xf numFmtId="0" fontId="9" fillId="0" borderId="0" xfId="0" applyFont="1" applyAlignment="1" applyProtection="1"/>
    <xf numFmtId="0" fontId="9" fillId="0" borderId="0" xfId="0" applyFont="1" applyAlignment="1" applyProtection="1">
      <alignment horizontal="left"/>
    </xf>
    <xf numFmtId="0" fontId="9" fillId="0" borderId="0" xfId="0" applyFont="1" applyAlignment="1" applyProtection="1">
      <alignment horizontal="center"/>
    </xf>
    <xf numFmtId="0" fontId="9" fillId="0" borderId="0" xfId="0" applyFont="1" applyBorder="1" applyProtection="1"/>
    <xf numFmtId="0" fontId="8" fillId="0" borderId="0" xfId="0" applyFont="1" applyFill="1" applyBorder="1" applyProtection="1"/>
    <xf numFmtId="0" fontId="9" fillId="0" borderId="0" xfId="0" applyFont="1" applyFill="1" applyBorder="1" applyProtection="1"/>
    <xf numFmtId="0" fontId="38" fillId="0" borderId="0" xfId="0" applyFont="1" applyAlignment="1" applyProtection="1">
      <alignment vertical="center"/>
    </xf>
    <xf numFmtId="0" fontId="8" fillId="0" borderId="10" xfId="0" applyFont="1" applyBorder="1" applyProtection="1"/>
    <xf numFmtId="0" fontId="20" fillId="0" borderId="13" xfId="0" applyFont="1" applyBorder="1" applyAlignment="1" applyProtection="1"/>
    <xf numFmtId="0" fontId="20" fillId="0" borderId="14" xfId="0" applyFont="1" applyBorder="1" applyAlignment="1" applyProtection="1"/>
    <xf numFmtId="0" fontId="20" fillId="0" borderId="17" xfId="0" applyFont="1" applyBorder="1" applyAlignment="1" applyProtection="1"/>
    <xf numFmtId="0" fontId="6" fillId="0" borderId="0" xfId="59" applyProtection="1"/>
    <xf numFmtId="0" fontId="6" fillId="0" borderId="0" xfId="59" applyFill="1" applyProtection="1"/>
    <xf numFmtId="0" fontId="6" fillId="28" borderId="0" xfId="59" applyFill="1" applyAlignment="1" applyProtection="1">
      <alignment horizontal="left"/>
    </xf>
    <xf numFmtId="0" fontId="43" fillId="0" borderId="0" xfId="59" applyFont="1" applyProtection="1"/>
    <xf numFmtId="175" fontId="44" fillId="0" borderId="0" xfId="59" applyNumberFormat="1" applyFont="1" applyAlignment="1" applyProtection="1">
      <alignment horizontal="left"/>
    </xf>
    <xf numFmtId="0" fontId="45" fillId="0" borderId="0" xfId="59" applyFont="1" applyAlignment="1" applyProtection="1">
      <alignment horizontal="right" vertical="center"/>
    </xf>
    <xf numFmtId="0" fontId="6" fillId="0" borderId="0" xfId="59" applyAlignment="1" applyProtection="1">
      <alignment horizontal="right" vertical="center"/>
    </xf>
    <xf numFmtId="0" fontId="6" fillId="0" borderId="0" xfId="59" applyAlignment="1" applyProtection="1">
      <alignment vertical="center"/>
    </xf>
    <xf numFmtId="0" fontId="6" fillId="0" borderId="0" xfId="59" applyFill="1" applyAlignment="1" applyProtection="1">
      <alignment vertical="center"/>
    </xf>
    <xf numFmtId="0" fontId="45" fillId="0" borderId="0" xfId="59" applyFont="1" applyAlignment="1" applyProtection="1">
      <alignment horizontal="right" vertical="center" indent="1"/>
    </xf>
    <xf numFmtId="0" fontId="46" fillId="0" borderId="0" xfId="59" applyFont="1" applyProtection="1"/>
    <xf numFmtId="0" fontId="46" fillId="0" borderId="0" xfId="59" applyFont="1" applyAlignment="1" applyProtection="1">
      <alignment horizontal="right" vertical="center"/>
    </xf>
    <xf numFmtId="0" fontId="48" fillId="0" borderId="0" xfId="59" applyFont="1"/>
    <xf numFmtId="0" fontId="6" fillId="0" borderId="0" xfId="59"/>
    <xf numFmtId="0" fontId="6" fillId="30" borderId="14" xfId="59" applyFill="1" applyBorder="1"/>
    <xf numFmtId="0" fontId="6" fillId="29" borderId="14" xfId="59" applyFill="1" applyBorder="1"/>
    <xf numFmtId="0" fontId="6" fillId="0" borderId="0" xfId="59" applyAlignment="1">
      <alignment wrapText="1"/>
    </xf>
    <xf numFmtId="0" fontId="6" fillId="0" borderId="14" xfId="59" applyBorder="1"/>
    <xf numFmtId="0" fontId="12" fillId="0" borderId="0" xfId="0" applyFont="1" applyAlignment="1" applyProtection="1">
      <alignment vertical="center"/>
    </xf>
    <xf numFmtId="0" fontId="16" fillId="0" borderId="0" xfId="59" applyFont="1" applyBorder="1" applyProtection="1"/>
    <xf numFmtId="0" fontId="16" fillId="0" borderId="0" xfId="59" applyFont="1" applyBorder="1" applyAlignment="1" applyProtection="1">
      <alignment horizontal="center"/>
    </xf>
    <xf numFmtId="0" fontId="7" fillId="0" borderId="4" xfId="0" applyFont="1" applyBorder="1" applyProtection="1"/>
    <xf numFmtId="0" fontId="7" fillId="0" borderId="4" xfId="0" applyFont="1" applyBorder="1" applyAlignment="1" applyProtection="1">
      <alignment horizontal="center"/>
    </xf>
    <xf numFmtId="176" fontId="7" fillId="0" borderId="4" xfId="57" applyNumberFormat="1" applyFont="1" applyBorder="1" applyAlignment="1" applyProtection="1">
      <alignment horizontal="center" vertical="center"/>
    </xf>
    <xf numFmtId="0" fontId="7" fillId="0" borderId="4" xfId="0" applyFont="1" applyBorder="1" applyAlignment="1" applyProtection="1"/>
    <xf numFmtId="0" fontId="7" fillId="0" borderId="4" xfId="0" applyFont="1" applyBorder="1" applyAlignment="1" applyProtection="1">
      <alignment horizontal="left"/>
    </xf>
    <xf numFmtId="0" fontId="10" fillId="0" borderId="0" xfId="0" applyFont="1" applyAlignment="1" applyProtection="1"/>
    <xf numFmtId="174" fontId="10" fillId="0" borderId="0" xfId="57" applyNumberFormat="1" applyFont="1" applyAlignment="1" applyProtection="1"/>
    <xf numFmtId="0" fontId="7" fillId="0" borderId="4" xfId="0" applyFont="1" applyBorder="1" applyAlignment="1" applyProtection="1">
      <alignment wrapText="1"/>
    </xf>
    <xf numFmtId="0" fontId="10" fillId="0" borderId="0" xfId="0" applyFont="1" applyBorder="1" applyProtection="1"/>
    <xf numFmtId="0" fontId="7" fillId="0" borderId="0" xfId="0" applyFont="1" applyBorder="1" applyAlignment="1" applyProtection="1">
      <alignment horizontal="center"/>
    </xf>
    <xf numFmtId="176" fontId="7" fillId="0" borderId="0" xfId="57" applyNumberFormat="1" applyFont="1" applyBorder="1" applyAlignment="1" applyProtection="1">
      <alignment horizontal="center" vertical="center"/>
    </xf>
    <xf numFmtId="0" fontId="7" fillId="0" borderId="0" xfId="0" applyFont="1" applyBorder="1" applyProtection="1"/>
    <xf numFmtId="174" fontId="7" fillId="0" borderId="0" xfId="57" applyNumberFormat="1" applyFont="1" applyBorder="1" applyProtection="1"/>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10" fillId="31" borderId="4" xfId="0" applyFont="1" applyFill="1" applyBorder="1" applyProtection="1"/>
    <xf numFmtId="176" fontId="10" fillId="31" borderId="4" xfId="57" applyNumberFormat="1" applyFont="1" applyFill="1" applyBorder="1" applyAlignment="1" applyProtection="1">
      <alignment horizontal="center" vertical="center"/>
    </xf>
    <xf numFmtId="0" fontId="10" fillId="31" borderId="4" xfId="0" applyFont="1" applyFill="1" applyBorder="1" applyAlignment="1" applyProtection="1">
      <alignment horizontal="center" vertical="center"/>
    </xf>
    <xf numFmtId="0" fontId="7" fillId="28" borderId="0" xfId="0" applyFont="1" applyFill="1" applyBorder="1" applyAlignment="1" applyProtection="1">
      <alignment horizontal="center" vertical="center"/>
    </xf>
    <xf numFmtId="0" fontId="7" fillId="28" borderId="4" xfId="0" applyFont="1" applyFill="1" applyBorder="1" applyAlignment="1" applyProtection="1">
      <alignment horizontal="center" vertical="center"/>
    </xf>
    <xf numFmtId="174" fontId="0" fillId="0" borderId="4" xfId="57" applyNumberFormat="1" applyFont="1" applyBorder="1"/>
    <xf numFmtId="176" fontId="10" fillId="28" borderId="4" xfId="57" applyNumberFormat="1" applyFont="1" applyFill="1" applyBorder="1" applyAlignment="1" applyProtection="1">
      <alignment horizontal="center" vertical="center"/>
    </xf>
    <xf numFmtId="0" fontId="10" fillId="28" borderId="4" xfId="0" applyFont="1" applyFill="1" applyBorder="1" applyAlignment="1" applyProtection="1">
      <alignment horizontal="center" vertical="center"/>
    </xf>
    <xf numFmtId="0" fontId="10" fillId="0" borderId="0" xfId="70" applyFont="1" applyAlignment="1" applyProtection="1">
      <alignment vertical="top"/>
    </xf>
    <xf numFmtId="0" fontId="10" fillId="0" borderId="0" xfId="70" applyFont="1" applyAlignment="1" applyProtection="1">
      <alignment vertical="top" wrapText="1"/>
    </xf>
    <xf numFmtId="0" fontId="10" fillId="29" borderId="4" xfId="70" applyFont="1" applyFill="1" applyBorder="1" applyAlignment="1" applyProtection="1">
      <alignment horizontal="center"/>
      <protection locked="0"/>
    </xf>
    <xf numFmtId="0" fontId="14" fillId="0" borderId="0" xfId="0" applyFont="1" applyAlignment="1" applyProtection="1">
      <alignment vertical="top"/>
    </xf>
    <xf numFmtId="8" fontId="0" fillId="0" borderId="0" xfId="0" applyNumberFormat="1" applyProtection="1"/>
    <xf numFmtId="8" fontId="8" fillId="0" borderId="0" xfId="0" applyNumberFormat="1" applyFont="1" applyFill="1" applyBorder="1" applyProtection="1"/>
    <xf numFmtId="0" fontId="0" fillId="0" borderId="0" xfId="0" applyNumberFormat="1" applyProtection="1"/>
    <xf numFmtId="0" fontId="9" fillId="0" borderId="0" xfId="0" applyNumberFormat="1" applyFont="1" applyProtection="1"/>
    <xf numFmtId="0" fontId="9" fillId="0" borderId="0" xfId="0" applyNumberFormat="1" applyFont="1" applyAlignment="1" applyProtection="1">
      <alignment wrapText="1"/>
    </xf>
    <xf numFmtId="0" fontId="20" fillId="0" borderId="14" xfId="0" applyNumberFormat="1" applyFont="1" applyBorder="1" applyAlignment="1" applyProtection="1">
      <alignment horizontal="center"/>
    </xf>
    <xf numFmtId="0" fontId="20" fillId="0" borderId="13" xfId="0" applyNumberFormat="1" applyFont="1" applyBorder="1" applyAlignment="1" applyProtection="1"/>
    <xf numFmtId="0" fontId="7" fillId="29" borderId="4" xfId="0" applyFont="1" applyFill="1" applyBorder="1" applyAlignment="1" applyProtection="1">
      <alignment horizontal="center" vertical="center"/>
      <protection locked="0"/>
    </xf>
    <xf numFmtId="177" fontId="7" fillId="30" borderId="4" xfId="56" applyNumberFormat="1" applyFont="1" applyFill="1" applyBorder="1" applyProtection="1">
      <protection locked="0"/>
    </xf>
    <xf numFmtId="9" fontId="7" fillId="30" borderId="4" xfId="58" applyFont="1" applyFill="1" applyBorder="1" applyProtection="1">
      <protection locked="0"/>
    </xf>
    <xf numFmtId="6" fontId="8" fillId="0" borderId="9" xfId="0" applyNumberFormat="1" applyFont="1" applyBorder="1" applyProtection="1"/>
    <xf numFmtId="6" fontId="8" fillId="0" borderId="0" xfId="0" applyNumberFormat="1" applyFont="1" applyBorder="1" applyProtection="1"/>
    <xf numFmtId="6" fontId="0" fillId="0" borderId="0" xfId="0" applyNumberFormat="1" applyBorder="1" applyAlignment="1" applyProtection="1">
      <alignment wrapText="1"/>
    </xf>
    <xf numFmtId="6" fontId="9" fillId="0" borderId="10" xfId="0" applyNumberFormat="1" applyFont="1" applyBorder="1" applyAlignment="1" applyProtection="1">
      <alignment horizontal="center" vertical="center" wrapText="1"/>
    </xf>
    <xf numFmtId="6" fontId="0" fillId="0" borderId="12" xfId="0" applyNumberFormat="1" applyBorder="1" applyAlignment="1" applyProtection="1">
      <alignment wrapText="1"/>
    </xf>
    <xf numFmtId="6" fontId="0" fillId="0" borderId="18" xfId="0" applyNumberFormat="1" applyBorder="1" applyAlignment="1" applyProtection="1">
      <alignment wrapText="1"/>
    </xf>
    <xf numFmtId="6" fontId="0" fillId="0" borderId="11" xfId="0" applyNumberFormat="1" applyBorder="1" applyAlignment="1" applyProtection="1">
      <alignment wrapText="1"/>
    </xf>
    <xf numFmtId="6" fontId="0" fillId="0" borderId="0" xfId="0" applyNumberFormat="1" applyBorder="1" applyProtection="1"/>
    <xf numFmtId="6" fontId="0" fillId="0" borderId="10" xfId="0" applyNumberFormat="1" applyBorder="1" applyProtection="1"/>
    <xf numFmtId="6" fontId="0" fillId="0" borderId="15" xfId="0" applyNumberFormat="1" applyBorder="1" applyProtection="1"/>
    <xf numFmtId="6" fontId="0" fillId="0" borderId="11" xfId="0" applyNumberFormat="1" applyBorder="1" applyProtection="1"/>
    <xf numFmtId="6" fontId="0" fillId="0" borderId="0" xfId="0" applyNumberFormat="1" applyProtection="1"/>
    <xf numFmtId="6" fontId="8" fillId="30" borderId="19" xfId="0" applyNumberFormat="1" applyFont="1" applyFill="1" applyBorder="1" applyProtection="1">
      <protection locked="0"/>
    </xf>
    <xf numFmtId="6" fontId="8" fillId="30" borderId="20" xfId="0" applyNumberFormat="1" applyFont="1" applyFill="1" applyBorder="1" applyProtection="1">
      <protection locked="0"/>
    </xf>
    <xf numFmtId="6" fontId="8" fillId="0" borderId="0" xfId="0" applyNumberFormat="1" applyFont="1" applyFill="1" applyBorder="1" applyProtection="1"/>
    <xf numFmtId="6" fontId="8" fillId="0" borderId="10" xfId="0" applyNumberFormat="1" applyFont="1" applyFill="1" applyBorder="1" applyProtection="1"/>
    <xf numFmtId="6" fontId="8" fillId="26" borderId="19" xfId="0" applyNumberFormat="1" applyFont="1" applyFill="1" applyBorder="1" applyProtection="1"/>
    <xf numFmtId="6" fontId="8" fillId="26" borderId="20" xfId="0" applyNumberFormat="1" applyFont="1" applyFill="1" applyBorder="1" applyProtection="1"/>
    <xf numFmtId="6" fontId="8" fillId="26" borderId="29" xfId="0" applyNumberFormat="1" applyFont="1" applyFill="1" applyBorder="1" applyProtection="1"/>
    <xf numFmtId="6" fontId="8" fillId="30" borderId="21" xfId="0" applyNumberFormat="1" applyFont="1" applyFill="1" applyBorder="1" applyProtection="1">
      <protection locked="0"/>
    </xf>
    <xf numFmtId="6" fontId="8" fillId="30" borderId="22" xfId="0" applyNumberFormat="1" applyFont="1" applyFill="1" applyBorder="1" applyProtection="1">
      <protection locked="0"/>
    </xf>
    <xf numFmtId="6" fontId="8" fillId="0" borderId="9" xfId="0" applyNumberFormat="1" applyFont="1" applyFill="1" applyBorder="1" applyProtection="1"/>
    <xf numFmtId="6" fontId="8" fillId="0" borderId="15" xfId="0" applyNumberFormat="1" applyFont="1" applyFill="1" applyBorder="1" applyProtection="1"/>
    <xf numFmtId="6" fontId="8" fillId="22" borderId="20" xfId="0" applyNumberFormat="1" applyFont="1" applyFill="1" applyBorder="1" applyProtection="1"/>
    <xf numFmtId="6" fontId="8" fillId="30" borderId="23" xfId="0" applyNumberFormat="1" applyFont="1" applyFill="1" applyBorder="1" applyProtection="1">
      <protection locked="0"/>
    </xf>
    <xf numFmtId="6" fontId="8" fillId="30" borderId="24" xfId="0" applyNumberFormat="1" applyFont="1" applyFill="1" applyBorder="1" applyProtection="1">
      <protection locked="0"/>
    </xf>
    <xf numFmtId="6" fontId="8" fillId="30" borderId="25" xfId="0" applyNumberFormat="1" applyFont="1" applyFill="1" applyBorder="1" applyProtection="1">
      <protection locked="0"/>
    </xf>
    <xf numFmtId="6" fontId="8" fillId="30" borderId="26" xfId="0" applyNumberFormat="1" applyFont="1" applyFill="1" applyBorder="1" applyProtection="1">
      <protection locked="0"/>
    </xf>
    <xf numFmtId="6" fontId="8" fillId="30" borderId="15" xfId="0" applyNumberFormat="1" applyFont="1" applyFill="1" applyBorder="1" applyProtection="1">
      <protection locked="0"/>
    </xf>
    <xf numFmtId="6" fontId="8" fillId="26" borderId="23" xfId="0" applyNumberFormat="1" applyFont="1" applyFill="1" applyBorder="1" applyProtection="1"/>
    <xf numFmtId="6" fontId="8" fillId="26" borderId="24" xfId="0" applyNumberFormat="1" applyFont="1" applyFill="1" applyBorder="1" applyProtection="1"/>
    <xf numFmtId="6" fontId="8" fillId="30" borderId="44" xfId="0" applyNumberFormat="1" applyFont="1" applyFill="1" applyBorder="1" applyProtection="1">
      <protection locked="0"/>
    </xf>
    <xf numFmtId="6" fontId="8" fillId="0" borderId="45" xfId="0" applyNumberFormat="1" applyFont="1" applyBorder="1" applyProtection="1"/>
    <xf numFmtId="6" fontId="8" fillId="30" borderId="46" xfId="0" applyNumberFormat="1" applyFont="1" applyFill="1" applyBorder="1" applyProtection="1">
      <protection locked="0"/>
    </xf>
    <xf numFmtId="6" fontId="8" fillId="0" borderId="47" xfId="0" applyNumberFormat="1" applyFont="1" applyFill="1" applyBorder="1" applyProtection="1"/>
    <xf numFmtId="6" fontId="8" fillId="26" borderId="46" xfId="0" applyNumberFormat="1" applyFont="1" applyFill="1" applyBorder="1" applyProtection="1"/>
    <xf numFmtId="6" fontId="8" fillId="0" borderId="49" xfId="0" applyNumberFormat="1" applyFont="1" applyFill="1" applyBorder="1" applyProtection="1"/>
    <xf numFmtId="6" fontId="8" fillId="0" borderId="50" xfId="0" applyNumberFormat="1" applyFont="1" applyFill="1" applyBorder="1" applyProtection="1"/>
    <xf numFmtId="0" fontId="0" fillId="0" borderId="0" xfId="0" applyAlignment="1" applyProtection="1">
      <alignment vertical="top"/>
    </xf>
    <xf numFmtId="8" fontId="0" fillId="0" borderId="0" xfId="0" applyNumberFormat="1" applyAlignment="1" applyProtection="1">
      <alignment vertical="top"/>
    </xf>
    <xf numFmtId="8" fontId="7" fillId="0" borderId="0" xfId="0" applyNumberFormat="1" applyFont="1" applyProtection="1"/>
    <xf numFmtId="0" fontId="8" fillId="0" borderId="4" xfId="0" applyFont="1" applyBorder="1" applyProtection="1"/>
    <xf numFmtId="0" fontId="8" fillId="0" borderId="4" xfId="0" applyFont="1" applyBorder="1" applyAlignment="1" applyProtection="1">
      <alignment horizontal="center"/>
    </xf>
    <xf numFmtId="0" fontId="8" fillId="0" borderId="4" xfId="0" applyFont="1" applyBorder="1" applyAlignment="1" applyProtection="1">
      <alignment wrapText="1"/>
    </xf>
    <xf numFmtId="0" fontId="8" fillId="0" borderId="4" xfId="0" applyFont="1" applyBorder="1" applyAlignment="1" applyProtection="1"/>
    <xf numFmtId="0" fontId="8" fillId="0" borderId="4" xfId="0" applyFont="1" applyBorder="1" applyAlignment="1" applyProtection="1">
      <alignmen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left"/>
    </xf>
    <xf numFmtId="0" fontId="0" fillId="0" borderId="27" xfId="0" applyBorder="1" applyProtection="1">
      <protection locked="0"/>
    </xf>
    <xf numFmtId="0" fontId="7" fillId="0" borderId="4" xfId="0" applyFont="1" applyBorder="1" applyAlignment="1" applyProtection="1">
      <alignment horizontal="left" vertical="top" wrapText="1"/>
    </xf>
    <xf numFmtId="0" fontId="55" fillId="0" borderId="4" xfId="0" applyFont="1" applyBorder="1" applyAlignment="1">
      <alignment vertical="top"/>
    </xf>
    <xf numFmtId="0" fontId="55" fillId="0" borderId="4" xfId="0" applyFont="1" applyBorder="1" applyAlignment="1">
      <alignment vertical="center"/>
    </xf>
    <xf numFmtId="0" fontId="0" fillId="0" borderId="0" xfId="0" applyAlignment="1" applyProtection="1">
      <alignment vertical="center"/>
    </xf>
    <xf numFmtId="0" fontId="7" fillId="30" borderId="4" xfId="0" applyFont="1" applyFill="1" applyBorder="1" applyAlignment="1" applyProtection="1">
      <alignment horizontal="left" vertical="center"/>
      <protection locked="0"/>
    </xf>
    <xf numFmtId="176" fontId="7" fillId="0" borderId="4" xfId="56" applyNumberFormat="1" applyFont="1" applyBorder="1" applyAlignment="1" applyProtection="1">
      <alignment horizontal="center" vertical="center"/>
    </xf>
    <xf numFmtId="176" fontId="10" fillId="0" borderId="4" xfId="57" applyNumberFormat="1" applyFont="1" applyBorder="1" applyAlignment="1" applyProtection="1">
      <alignment horizontal="center" vertical="center"/>
    </xf>
    <xf numFmtId="0" fontId="7" fillId="0" borderId="0" xfId="0" applyFont="1" applyAlignment="1" applyProtection="1">
      <alignment horizontal="left" vertical="top" wrapText="1"/>
    </xf>
    <xf numFmtId="0" fontId="0" fillId="0" borderId="0" xfId="0" applyAlignment="1" applyProtection="1">
      <alignment horizontal="center" vertical="center"/>
    </xf>
    <xf numFmtId="0" fontId="7" fillId="30" borderId="4" xfId="0" applyFont="1" applyFill="1" applyBorder="1" applyAlignment="1" applyProtection="1">
      <alignment horizontal="left" vertical="center"/>
    </xf>
    <xf numFmtId="0" fontId="7" fillId="29" borderId="4" xfId="0" applyFont="1" applyFill="1" applyBorder="1" applyAlignment="1" applyProtection="1">
      <alignment horizontal="center" vertical="center"/>
    </xf>
    <xf numFmtId="177" fontId="7" fillId="28" borderId="4" xfId="0" applyNumberFormat="1" applyFont="1" applyFill="1" applyBorder="1" applyAlignment="1" applyProtection="1">
      <alignment horizontal="right" vertical="center"/>
    </xf>
    <xf numFmtId="177" fontId="7" fillId="28" borderId="4" xfId="56" applyNumberFormat="1" applyFont="1" applyFill="1" applyBorder="1" applyProtection="1"/>
    <xf numFmtId="0" fontId="0" fillId="33" borderId="0" xfId="0" applyFill="1" applyProtection="1"/>
    <xf numFmtId="0" fontId="10" fillId="0" borderId="4" xfId="0" applyFont="1" applyBorder="1" applyProtection="1"/>
    <xf numFmtId="0" fontId="0" fillId="0" borderId="4" xfId="0" applyBorder="1" applyProtection="1"/>
    <xf numFmtId="3" fontId="10" fillId="0" borderId="4" xfId="0" applyNumberFormat="1" applyFont="1" applyBorder="1" applyProtection="1"/>
    <xf numFmtId="174" fontId="10" fillId="0" borderId="4" xfId="57" applyNumberFormat="1" applyFont="1" applyBorder="1" applyProtection="1"/>
    <xf numFmtId="177" fontId="10" fillId="0" borderId="4" xfId="56" applyNumberFormat="1" applyFont="1" applyBorder="1" applyProtection="1"/>
    <xf numFmtId="9" fontId="10" fillId="0" borderId="4" xfId="58" applyFont="1" applyBorder="1" applyProtection="1"/>
    <xf numFmtId="0" fontId="7" fillId="0" borderId="0" xfId="0" applyFont="1" applyProtection="1"/>
    <xf numFmtId="0" fontId="11" fillId="0" borderId="0" xfId="0" applyFont="1" applyAlignment="1" applyProtection="1">
      <alignment horizontal="right" indent="1"/>
    </xf>
    <xf numFmtId="174" fontId="11" fillId="0" borderId="0" xfId="57" applyNumberFormat="1" applyFont="1" applyAlignment="1" applyProtection="1">
      <alignment horizontal="right" indent="1"/>
    </xf>
    <xf numFmtId="174" fontId="11" fillId="0" borderId="0" xfId="0" applyNumberFormat="1" applyFont="1" applyAlignment="1" applyProtection="1">
      <alignment horizontal="right" indent="1"/>
    </xf>
    <xf numFmtId="179" fontId="7" fillId="30" borderId="4" xfId="58" applyNumberFormat="1" applyFont="1" applyFill="1" applyBorder="1" applyProtection="1">
      <protection locked="0"/>
    </xf>
    <xf numFmtId="0" fontId="54" fillId="0" borderId="0" xfId="0" applyFont="1" applyProtection="1"/>
    <xf numFmtId="0" fontId="59" fillId="0" borderId="0" xfId="0" applyFont="1" applyProtection="1"/>
    <xf numFmtId="0" fontId="7" fillId="28" borderId="4" xfId="0" applyFont="1" applyFill="1" applyBorder="1" applyProtection="1"/>
    <xf numFmtId="177" fontId="0" fillId="0" borderId="4" xfId="56" applyNumberFormat="1" applyFont="1" applyBorder="1" applyAlignment="1" applyProtection="1">
      <alignment horizontal="center" vertical="center"/>
    </xf>
    <xf numFmtId="174" fontId="0" fillId="0" borderId="4" xfId="57" applyNumberFormat="1" applyFont="1" applyBorder="1" applyProtection="1"/>
    <xf numFmtId="178" fontId="10" fillId="0" borderId="4" xfId="56" applyNumberFormat="1" applyFont="1" applyBorder="1" applyAlignment="1" applyProtection="1">
      <alignment horizontal="center" vertical="center"/>
    </xf>
    <xf numFmtId="0" fontId="60" fillId="0" borderId="0" xfId="0" applyFont="1" applyProtection="1"/>
    <xf numFmtId="177" fontId="0" fillId="0" borderId="0" xfId="0" applyNumberFormat="1" applyProtection="1"/>
    <xf numFmtId="0" fontId="10" fillId="32" borderId="4" xfId="0" applyFont="1" applyFill="1" applyBorder="1" applyProtection="1"/>
    <xf numFmtId="0" fontId="10" fillId="32" borderId="4" xfId="0" applyFont="1" applyFill="1" applyBorder="1" applyAlignment="1" applyProtection="1">
      <alignment horizontal="center" vertical="center"/>
    </xf>
    <xf numFmtId="177" fontId="10" fillId="32" borderId="4" xfId="56" applyNumberFormat="1" applyFont="1" applyFill="1" applyBorder="1" applyAlignment="1" applyProtection="1">
      <alignment horizontal="center" vertical="center"/>
    </xf>
    <xf numFmtId="174" fontId="10" fillId="32" borderId="4" xfId="57" applyNumberFormat="1" applyFont="1" applyFill="1" applyBorder="1" applyProtection="1"/>
    <xf numFmtId="0" fontId="13" fillId="0" borderId="0" xfId="0" applyFont="1" applyProtection="1"/>
    <xf numFmtId="0" fontId="10" fillId="28" borderId="0" xfId="0" applyFont="1" applyFill="1" applyBorder="1" applyAlignment="1" applyProtection="1">
      <alignment vertical="center" wrapText="1"/>
    </xf>
    <xf numFmtId="44" fontId="10" fillId="0" borderId="4" xfId="57" applyFont="1" applyBorder="1" applyAlignment="1" applyProtection="1">
      <alignment horizontal="center" vertical="center"/>
    </xf>
    <xf numFmtId="0" fontId="10" fillId="0" borderId="42" xfId="0" applyFont="1" applyBorder="1" applyAlignment="1" applyProtection="1">
      <alignment horizontal="center" vertical="center" wrapText="1"/>
    </xf>
    <xf numFmtId="0" fontId="10" fillId="0" borderId="42" xfId="0"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0" fontId="7" fillId="28" borderId="0" xfId="0" applyFont="1" applyFill="1" applyBorder="1" applyProtection="1"/>
    <xf numFmtId="0" fontId="7" fillId="28" borderId="0" xfId="0" applyFont="1" applyFill="1" applyProtection="1"/>
    <xf numFmtId="0" fontId="10" fillId="33" borderId="4" xfId="0" applyFont="1" applyFill="1" applyBorder="1" applyAlignment="1" applyProtection="1">
      <alignment vertical="center"/>
    </xf>
    <xf numFmtId="0" fontId="10" fillId="28" borderId="4" xfId="0" applyFont="1" applyFill="1" applyBorder="1" applyAlignment="1" applyProtection="1">
      <alignment horizontal="right" indent="2"/>
    </xf>
    <xf numFmtId="165" fontId="7" fillId="28" borderId="4" xfId="57" applyNumberFormat="1" applyFont="1" applyFill="1" applyBorder="1" applyProtection="1"/>
    <xf numFmtId="180" fontId="7" fillId="28" borderId="4" xfId="57" applyNumberFormat="1" applyFont="1" applyFill="1" applyBorder="1" applyProtection="1"/>
    <xf numFmtId="176" fontId="10" fillId="31" borderId="4"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1" borderId="4"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Alignment="1" applyProtection="1">
      <alignment vertical="top"/>
    </xf>
    <xf numFmtId="0" fontId="7" fillId="0" borderId="0" xfId="0" applyFont="1" applyAlignment="1" applyProtection="1">
      <alignment vertical="top" wrapText="1"/>
    </xf>
    <xf numFmtId="0" fontId="0" fillId="30" borderId="28" xfId="0" applyFill="1" applyBorder="1" applyAlignment="1" applyProtection="1">
      <alignment horizontal="left" vertical="top" wrapText="1"/>
      <protection locked="0"/>
    </xf>
    <xf numFmtId="0" fontId="0" fillId="30" borderId="10" xfId="0" applyFill="1" applyBorder="1" applyAlignment="1" applyProtection="1">
      <alignment horizontal="left" vertical="top" wrapText="1"/>
      <protection locked="0"/>
    </xf>
    <xf numFmtId="6" fontId="8" fillId="30" borderId="48" xfId="0" applyNumberFormat="1" applyFont="1" applyFill="1" applyBorder="1" applyProtection="1">
      <protection locked="0"/>
    </xf>
    <xf numFmtId="6" fontId="8" fillId="30" borderId="46" xfId="0" applyNumberFormat="1" applyFont="1" applyFill="1" applyBorder="1" applyProtection="1">
      <protection locked="0"/>
    </xf>
    <xf numFmtId="6" fontId="8" fillId="30" borderId="20" xfId="0" applyNumberFormat="1" applyFont="1" applyFill="1" applyBorder="1" applyProtection="1">
      <protection locked="0"/>
    </xf>
    <xf numFmtId="6" fontId="8" fillId="30" borderId="24" xfId="0" applyNumberFormat="1" applyFont="1" applyFill="1" applyBorder="1" applyProtection="1">
      <protection locked="0"/>
    </xf>
    <xf numFmtId="6" fontId="8" fillId="30" borderId="20" xfId="0" applyNumberFormat="1" applyFont="1" applyFill="1" applyBorder="1" applyProtection="1">
      <protection locked="0"/>
    </xf>
    <xf numFmtId="6" fontId="8" fillId="30" borderId="20" xfId="0" applyNumberFormat="1" applyFont="1" applyFill="1" applyBorder="1" applyProtection="1">
      <protection locked="0"/>
    </xf>
    <xf numFmtId="6" fontId="8" fillId="30" borderId="22" xfId="0" applyNumberFormat="1" applyFont="1" applyFill="1" applyBorder="1" applyProtection="1">
      <protection locked="0"/>
    </xf>
    <xf numFmtId="0" fontId="7" fillId="30" borderId="4" xfId="0" applyFont="1" applyFill="1" applyBorder="1" applyProtection="1">
      <protection locked="0"/>
    </xf>
    <xf numFmtId="0" fontId="7" fillId="29" borderId="4" xfId="0" applyFont="1" applyFill="1" applyBorder="1" applyProtection="1">
      <protection locked="0"/>
    </xf>
    <xf numFmtId="177" fontId="7" fillId="30" borderId="4" xfId="0" applyNumberFormat="1" applyFont="1" applyFill="1" applyBorder="1" applyAlignment="1" applyProtection="1">
      <alignment horizontal="right" vertical="center"/>
      <protection locked="0"/>
    </xf>
    <xf numFmtId="177" fontId="7" fillId="30" borderId="4" xfId="103" applyNumberFormat="1" applyFont="1" applyFill="1" applyBorder="1" applyProtection="1">
      <protection locked="0"/>
    </xf>
    <xf numFmtId="9" fontId="7" fillId="30" borderId="4" xfId="130" applyFont="1" applyFill="1" applyBorder="1" applyProtection="1">
      <protection locked="0"/>
    </xf>
    <xf numFmtId="6" fontId="8" fillId="26" borderId="68" xfId="0" applyNumberFormat="1" applyFont="1" applyFill="1" applyBorder="1" applyProtection="1"/>
    <xf numFmtId="6" fontId="8" fillId="26" borderId="62" xfId="0" applyNumberFormat="1" applyFont="1" applyFill="1" applyBorder="1" applyProtection="1"/>
    <xf numFmtId="6" fontId="8" fillId="26" borderId="69" xfId="0" applyNumberFormat="1" applyFont="1" applyFill="1" applyBorder="1" applyProtection="1"/>
    <xf numFmtId="6" fontId="0" fillId="0" borderId="70" xfId="0" applyNumberFormat="1" applyBorder="1" applyProtection="1"/>
    <xf numFmtId="176" fontId="7" fillId="0" borderId="4" xfId="104" applyNumberFormat="1" applyFont="1" applyBorder="1" applyAlignment="1" applyProtection="1">
      <alignment horizontal="center" vertical="center"/>
    </xf>
    <xf numFmtId="181" fontId="10" fillId="0" borderId="4" xfId="57" applyNumberFormat="1" applyFont="1" applyBorder="1" applyAlignment="1" applyProtection="1">
      <alignment horizontal="center" vertical="center"/>
    </xf>
    <xf numFmtId="9" fontId="0" fillId="0" borderId="0" xfId="58" applyFont="1" applyProtection="1"/>
    <xf numFmtId="6" fontId="8" fillId="30" borderId="46" xfId="201" applyNumberFormat="1" applyFont="1" applyFill="1" applyBorder="1" applyProtection="1">
      <protection locked="0"/>
    </xf>
    <xf numFmtId="6" fontId="8" fillId="30" borderId="20" xfId="202" applyNumberFormat="1" applyFont="1" applyFill="1" applyBorder="1" applyProtection="1">
      <protection locked="0"/>
    </xf>
    <xf numFmtId="6" fontId="8" fillId="30" borderId="20" xfId="203" applyNumberFormat="1" applyFont="1" applyFill="1" applyBorder="1" applyProtection="1">
      <protection locked="0"/>
    </xf>
    <xf numFmtId="6" fontId="8" fillId="30" borderId="20" xfId="204" applyNumberFormat="1" applyFont="1" applyFill="1" applyBorder="1" applyProtection="1">
      <protection locked="0"/>
    </xf>
    <xf numFmtId="6" fontId="8" fillId="30" borderId="20" xfId="205" applyNumberFormat="1" applyFont="1" applyFill="1" applyBorder="1" applyProtection="1">
      <protection locked="0"/>
    </xf>
    <xf numFmtId="6" fontId="8" fillId="30" borderId="20" xfId="206" applyNumberFormat="1" applyFont="1" applyFill="1" applyBorder="1" applyProtection="1">
      <protection locked="0"/>
    </xf>
    <xf numFmtId="6" fontId="8" fillId="30" borderId="46" xfId="207" applyNumberFormat="1" applyFont="1" applyFill="1" applyBorder="1" applyProtection="1">
      <protection locked="0"/>
    </xf>
    <xf numFmtId="6" fontId="8" fillId="30" borderId="20" xfId="208" applyNumberFormat="1" applyFont="1" applyFill="1" applyBorder="1" applyProtection="1">
      <protection locked="0"/>
    </xf>
    <xf numFmtId="6" fontId="8" fillId="30" borderId="46" xfId="209" applyNumberFormat="1" applyFont="1" applyFill="1" applyBorder="1" applyProtection="1">
      <protection locked="0"/>
    </xf>
    <xf numFmtId="6" fontId="8" fillId="30" borderId="20" xfId="210" applyNumberFormat="1" applyFont="1" applyFill="1" applyBorder="1" applyProtection="1">
      <protection locked="0"/>
    </xf>
    <xf numFmtId="6" fontId="8" fillId="30" borderId="46" xfId="211" applyNumberFormat="1" applyFont="1" applyFill="1" applyBorder="1" applyProtection="1">
      <protection locked="0"/>
    </xf>
    <xf numFmtId="6" fontId="8" fillId="30" borderId="24" xfId="212" applyNumberFormat="1" applyFont="1" applyFill="1" applyBorder="1" applyProtection="1">
      <protection locked="0"/>
    </xf>
    <xf numFmtId="6" fontId="8" fillId="30" borderId="48" xfId="213" applyNumberFormat="1" applyFont="1" applyFill="1" applyBorder="1" applyProtection="1">
      <protection locked="0"/>
    </xf>
    <xf numFmtId="6" fontId="8" fillId="30" borderId="24" xfId="214" applyNumberFormat="1" applyFont="1" applyFill="1" applyBorder="1" applyProtection="1">
      <protection locked="0"/>
    </xf>
    <xf numFmtId="6" fontId="8" fillId="30" borderId="48" xfId="215" applyNumberFormat="1" applyFont="1" applyFill="1" applyBorder="1" applyProtection="1">
      <protection locked="0"/>
    </xf>
    <xf numFmtId="6" fontId="8" fillId="30" borderId="73" xfId="0" applyNumberFormat="1" applyFont="1" applyFill="1" applyBorder="1" applyProtection="1">
      <protection locked="0"/>
    </xf>
    <xf numFmtId="6" fontId="8" fillId="30" borderId="20" xfId="216" applyNumberFormat="1" applyFont="1" applyFill="1" applyBorder="1" applyProtection="1">
      <protection locked="0"/>
    </xf>
    <xf numFmtId="6" fontId="8" fillId="30" borderId="20" xfId="217" applyNumberFormat="1" applyFont="1" applyFill="1" applyBorder="1" applyProtection="1">
      <protection locked="0"/>
    </xf>
    <xf numFmtId="6" fontId="8" fillId="30" borderId="24" xfId="218" applyNumberFormat="1" applyFont="1" applyFill="1" applyBorder="1" applyProtection="1">
      <protection locked="0"/>
    </xf>
    <xf numFmtId="6" fontId="8" fillId="30" borderId="24" xfId="219" applyNumberFormat="1" applyFont="1" applyFill="1" applyBorder="1" applyProtection="1">
      <protection locked="0"/>
    </xf>
    <xf numFmtId="6" fontId="8" fillId="30" borderId="24" xfId="220" applyNumberFormat="1" applyFont="1" applyFill="1" applyBorder="1" applyProtection="1">
      <protection locked="0"/>
    </xf>
    <xf numFmtId="6" fontId="8" fillId="30" borderId="20" xfId="221" applyNumberFormat="1" applyFont="1" applyFill="1" applyBorder="1" applyProtection="1">
      <protection locked="0"/>
    </xf>
    <xf numFmtId="6" fontId="8" fillId="30" borderId="20" xfId="222" applyNumberFormat="1" applyFont="1" applyFill="1" applyBorder="1" applyProtection="1">
      <protection locked="0"/>
    </xf>
    <xf numFmtId="6" fontId="8" fillId="30" borderId="20" xfId="223" applyNumberFormat="1" applyFont="1" applyFill="1" applyBorder="1" applyProtection="1">
      <protection locked="0"/>
    </xf>
    <xf numFmtId="6" fontId="8" fillId="30" borderId="20" xfId="224" applyNumberFormat="1" applyFont="1" applyFill="1" applyBorder="1" applyProtection="1">
      <protection locked="0"/>
    </xf>
    <xf numFmtId="6" fontId="8" fillId="30" borderId="24" xfId="223" applyNumberFormat="1" applyFont="1" applyFill="1" applyBorder="1" applyProtection="1">
      <protection locked="0"/>
    </xf>
    <xf numFmtId="6" fontId="8" fillId="30" borderId="24" xfId="225" applyNumberFormat="1" applyFont="1" applyFill="1" applyBorder="1" applyProtection="1">
      <protection locked="0"/>
    </xf>
    <xf numFmtId="6" fontId="8" fillId="30" borderId="20" xfId="226" applyNumberFormat="1" applyFont="1" applyFill="1" applyBorder="1" applyProtection="1">
      <protection locked="0"/>
    </xf>
    <xf numFmtId="6" fontId="8" fillId="30" borderId="20" xfId="227" applyNumberFormat="1" applyFont="1" applyFill="1" applyBorder="1" applyProtection="1">
      <protection locked="0"/>
    </xf>
    <xf numFmtId="6" fontId="8" fillId="30" borderId="20" xfId="228" applyNumberFormat="1" applyFont="1" applyFill="1" applyBorder="1" applyProtection="1">
      <protection locked="0"/>
    </xf>
    <xf numFmtId="6" fontId="8" fillId="30" borderId="20" xfId="229" applyNumberFormat="1" applyFont="1" applyFill="1" applyBorder="1" applyProtection="1">
      <protection locked="0"/>
    </xf>
    <xf numFmtId="6" fontId="8" fillId="30" borderId="20" xfId="230" applyNumberFormat="1" applyFont="1" applyFill="1" applyBorder="1" applyProtection="1">
      <protection locked="0"/>
    </xf>
    <xf numFmtId="6" fontId="8" fillId="30" borderId="20" xfId="231" applyNumberFormat="1" applyFont="1" applyFill="1" applyBorder="1" applyProtection="1">
      <protection locked="0"/>
    </xf>
    <xf numFmtId="6" fontId="8" fillId="30" borderId="20" xfId="232" applyNumberFormat="1" applyFont="1" applyFill="1" applyBorder="1" applyProtection="1">
      <protection locked="0"/>
    </xf>
    <xf numFmtId="6" fontId="8" fillId="30" borderId="20" xfId="233" applyNumberFormat="1" applyFont="1" applyFill="1" applyBorder="1" applyProtection="1">
      <protection locked="0"/>
    </xf>
    <xf numFmtId="6" fontId="8" fillId="30" borderId="20" xfId="234" applyNumberFormat="1" applyFont="1" applyFill="1" applyBorder="1" applyProtection="1">
      <protection locked="0"/>
    </xf>
    <xf numFmtId="6" fontId="8" fillId="30" borderId="20" xfId="235" applyNumberFormat="1" applyFont="1" applyFill="1" applyBorder="1" applyProtection="1">
      <protection locked="0"/>
    </xf>
    <xf numFmtId="6" fontId="8" fillId="30" borderId="20" xfId="236" applyNumberFormat="1" applyFont="1" applyFill="1" applyBorder="1" applyProtection="1">
      <protection locked="0"/>
    </xf>
    <xf numFmtId="6" fontId="8" fillId="30" borderId="24" xfId="237" applyNumberFormat="1" applyFont="1" applyFill="1" applyBorder="1" applyProtection="1">
      <protection locked="0"/>
    </xf>
    <xf numFmtId="6" fontId="8" fillId="30" borderId="20" xfId="238" applyNumberFormat="1" applyFont="1" applyFill="1" applyBorder="1" applyProtection="1">
      <protection locked="0"/>
    </xf>
    <xf numFmtId="6" fontId="8" fillId="30" borderId="20" xfId="239" applyNumberFormat="1" applyFont="1" applyFill="1" applyBorder="1" applyProtection="1">
      <protection locked="0"/>
    </xf>
    <xf numFmtId="6" fontId="8" fillId="30" borderId="20" xfId="240" applyNumberFormat="1" applyFont="1" applyFill="1" applyBorder="1" applyProtection="1">
      <protection locked="0"/>
    </xf>
    <xf numFmtId="6" fontId="8" fillId="30" borderId="24" xfId="241" applyNumberFormat="1" applyFont="1" applyFill="1" applyBorder="1" applyProtection="1">
      <protection locked="0"/>
    </xf>
    <xf numFmtId="6" fontId="8" fillId="30" borderId="20" xfId="242" applyNumberFormat="1" applyFont="1" applyFill="1" applyBorder="1" applyProtection="1">
      <protection locked="0"/>
    </xf>
    <xf numFmtId="6" fontId="8" fillId="30" borderId="20" xfId="243" applyNumberFormat="1" applyFont="1" applyFill="1" applyBorder="1" applyProtection="1">
      <protection locked="0"/>
    </xf>
    <xf numFmtId="6" fontId="8" fillId="30" borderId="20" xfId="244" applyNumberFormat="1" applyFont="1" applyFill="1" applyBorder="1" applyProtection="1">
      <protection locked="0"/>
    </xf>
    <xf numFmtId="6" fontId="8" fillId="30" borderId="20" xfId="245" applyNumberFormat="1" applyFont="1" applyFill="1" applyBorder="1" applyProtection="1">
      <protection locked="0"/>
    </xf>
    <xf numFmtId="6" fontId="8" fillId="30" borderId="74" xfId="0" applyNumberFormat="1" applyFont="1" applyFill="1" applyBorder="1" applyProtection="1">
      <protection locked="0"/>
    </xf>
    <xf numFmtId="177" fontId="7" fillId="30" borderId="4" xfId="246" applyNumberFormat="1" applyFont="1" applyFill="1" applyBorder="1" applyProtection="1">
      <protection locked="0"/>
    </xf>
    <xf numFmtId="177" fontId="7" fillId="30" borderId="4" xfId="247" applyNumberFormat="1" applyFont="1" applyFill="1" applyBorder="1" applyProtection="1">
      <protection locked="0"/>
    </xf>
    <xf numFmtId="177" fontId="7" fillId="30" borderId="4" xfId="248" applyNumberFormat="1" applyFont="1" applyFill="1" applyBorder="1" applyProtection="1">
      <protection locked="0"/>
    </xf>
    <xf numFmtId="177" fontId="7" fillId="30" borderId="4" xfId="249" applyNumberFormat="1" applyFont="1" applyFill="1" applyBorder="1" applyProtection="1">
      <protection locked="0"/>
    </xf>
    <xf numFmtId="177" fontId="7" fillId="30" borderId="4" xfId="250" applyNumberFormat="1" applyFont="1" applyFill="1" applyBorder="1" applyProtection="1">
      <protection locked="0"/>
    </xf>
    <xf numFmtId="176" fontId="7" fillId="30" borderId="4" xfId="246" applyNumberFormat="1" applyFont="1" applyFill="1" applyBorder="1" applyProtection="1">
      <protection locked="0"/>
    </xf>
    <xf numFmtId="0" fontId="8" fillId="0" borderId="47" xfId="0" applyFont="1" applyBorder="1" applyAlignment="1" applyProtection="1"/>
    <xf numFmtId="0" fontId="8" fillId="0" borderId="10" xfId="0" applyFont="1" applyBorder="1" applyAlignment="1" applyProtection="1">
      <alignment horizontal="center"/>
    </xf>
    <xf numFmtId="0" fontId="8" fillId="0" borderId="47" xfId="0" applyFont="1" applyBorder="1" applyAlignment="1" applyProtection="1">
      <alignment horizontal="left"/>
    </xf>
    <xf numFmtId="0" fontId="8" fillId="0" borderId="47" xfId="59" applyFont="1" applyBorder="1" applyAlignment="1" applyProtection="1">
      <alignment horizontal="left" wrapText="1"/>
    </xf>
    <xf numFmtId="6" fontId="8" fillId="0" borderId="48" xfId="0" applyNumberFormat="1" applyFont="1" applyFill="1" applyBorder="1" applyProtection="1">
      <protection locked="0"/>
    </xf>
    <xf numFmtId="6" fontId="8" fillId="0" borderId="24" xfId="223" applyNumberFormat="1" applyFont="1" applyFill="1" applyBorder="1" applyProtection="1">
      <protection locked="0"/>
    </xf>
    <xf numFmtId="6" fontId="8" fillId="0" borderId="48" xfId="201" applyNumberFormat="1" applyFont="1" applyFill="1" applyBorder="1" applyProtection="1">
      <protection locked="0"/>
    </xf>
    <xf numFmtId="0" fontId="0" fillId="0" borderId="0" xfId="0" applyFill="1" applyProtection="1"/>
    <xf numFmtId="6" fontId="8" fillId="0" borderId="47" xfId="0" applyNumberFormat="1" applyFont="1" applyFill="1" applyBorder="1" applyProtection="1">
      <protection locked="0"/>
    </xf>
    <xf numFmtId="6" fontId="8" fillId="0" borderId="0" xfId="0" applyNumberFormat="1" applyFont="1" applyFill="1" applyBorder="1" applyProtection="1">
      <protection locked="0"/>
    </xf>
    <xf numFmtId="6" fontId="8" fillId="0" borderId="20" xfId="0" applyNumberFormat="1" applyFont="1" applyFill="1" applyBorder="1" applyProtection="1">
      <protection locked="0"/>
    </xf>
    <xf numFmtId="6" fontId="0" fillId="0" borderId="10" xfId="0" applyNumberFormat="1" applyFill="1" applyBorder="1" applyProtection="1"/>
    <xf numFmtId="6" fontId="8" fillId="0" borderId="15" xfId="0" applyNumberFormat="1" applyFont="1" applyFill="1" applyBorder="1" applyProtection="1">
      <protection locked="0"/>
    </xf>
    <xf numFmtId="6" fontId="0" fillId="0" borderId="0" xfId="0" applyNumberFormat="1" applyFill="1" applyProtection="1"/>
    <xf numFmtId="0" fontId="12" fillId="0" borderId="32" xfId="0" applyFont="1" applyBorder="1" applyAlignment="1" applyProtection="1">
      <alignment vertical="center"/>
    </xf>
    <xf numFmtId="0" fontId="8" fillId="0" borderId="35" xfId="0" applyFont="1" applyBorder="1" applyProtection="1"/>
    <xf numFmtId="0" fontId="8" fillId="0" borderId="47" xfId="0" applyFont="1" applyBorder="1" applyProtection="1"/>
    <xf numFmtId="0" fontId="8" fillId="0" borderId="10" xfId="0" applyFont="1" applyBorder="1" applyAlignment="1" applyProtection="1">
      <alignment horizontal="center" vertical="top"/>
    </xf>
    <xf numFmtId="0" fontId="8" fillId="0" borderId="10" xfId="0" applyFont="1" applyFill="1" applyBorder="1" applyAlignment="1" applyProtection="1">
      <alignment horizontal="center"/>
    </xf>
    <xf numFmtId="0" fontId="9" fillId="0" borderId="47" xfId="0" applyFont="1" applyBorder="1" applyAlignment="1" applyProtection="1"/>
    <xf numFmtId="0" fontId="9" fillId="0" borderId="10" xfId="0" applyFont="1" applyBorder="1" applyAlignment="1" applyProtection="1"/>
    <xf numFmtId="0" fontId="9" fillId="0" borderId="47" xfId="0" applyFont="1" applyBorder="1" applyAlignment="1" applyProtection="1">
      <alignment horizontal="left"/>
    </xf>
    <xf numFmtId="0" fontId="9" fillId="0" borderId="10" xfId="0" applyFont="1" applyBorder="1" applyAlignment="1" applyProtection="1">
      <alignment horizontal="center"/>
    </xf>
    <xf numFmtId="0" fontId="9" fillId="0" borderId="10" xfId="0" applyFont="1" applyBorder="1" applyAlignment="1" applyProtection="1">
      <alignment horizontal="left"/>
    </xf>
    <xf numFmtId="0" fontId="12" fillId="0" borderId="47" xfId="0" applyFont="1" applyBorder="1" applyAlignment="1" applyProtection="1">
      <alignment vertical="center"/>
    </xf>
    <xf numFmtId="0" fontId="8" fillId="0" borderId="47" xfId="0" applyFont="1" applyBorder="1" applyAlignment="1" applyProtection="1">
      <alignment wrapText="1"/>
    </xf>
    <xf numFmtId="0" fontId="9" fillId="0" borderId="47" xfId="0" applyFont="1" applyBorder="1" applyProtection="1"/>
    <xf numFmtId="0" fontId="8" fillId="0" borderId="47" xfId="0" applyFont="1" applyBorder="1" applyAlignment="1" applyProtection="1">
      <alignment vertical="center" wrapText="1"/>
    </xf>
    <xf numFmtId="0" fontId="8" fillId="0" borderId="10" xfId="0" applyFont="1" applyBorder="1" applyAlignment="1" applyProtection="1">
      <alignment horizontal="center" vertical="center"/>
    </xf>
    <xf numFmtId="0" fontId="8" fillId="0" borderId="47" xfId="0" applyFont="1" applyFill="1" applyBorder="1" applyProtection="1"/>
    <xf numFmtId="0" fontId="8" fillId="0" borderId="10" xfId="0" applyFont="1" applyFill="1" applyBorder="1" applyProtection="1"/>
    <xf numFmtId="0" fontId="16" fillId="0" borderId="47" xfId="59" applyFont="1" applyBorder="1" applyProtection="1"/>
    <xf numFmtId="0" fontId="16" fillId="0" borderId="10" xfId="59" applyFont="1" applyBorder="1" applyAlignment="1" applyProtection="1">
      <alignment horizontal="center"/>
    </xf>
    <xf numFmtId="0" fontId="9" fillId="0" borderId="47" xfId="0" applyFont="1" applyFill="1" applyBorder="1" applyProtection="1"/>
    <xf numFmtId="0" fontId="8" fillId="0" borderId="71" xfId="0" applyFont="1" applyBorder="1" applyProtection="1"/>
    <xf numFmtId="0" fontId="8" fillId="0" borderId="72" xfId="0" applyFont="1" applyBorder="1" applyAlignment="1" applyProtection="1">
      <alignment horizontal="center"/>
    </xf>
    <xf numFmtId="6" fontId="0" fillId="0" borderId="0" xfId="0" applyNumberFormat="1" applyFill="1" applyBorder="1" applyProtection="1"/>
    <xf numFmtId="8" fontId="0" fillId="0" borderId="0" xfId="0" applyNumberFormat="1" applyFill="1" applyProtection="1"/>
    <xf numFmtId="6" fontId="7" fillId="0" borderId="0" xfId="0" applyNumberFormat="1" applyFont="1" applyProtection="1"/>
    <xf numFmtId="0" fontId="0" fillId="65" borderId="0" xfId="0" applyFill="1" applyProtection="1"/>
    <xf numFmtId="0" fontId="0" fillId="0" borderId="0" xfId="56" applyNumberFormat="1" applyFont="1" applyProtection="1"/>
    <xf numFmtId="0" fontId="52" fillId="0" borderId="0" xfId="0" applyFont="1" applyProtection="1"/>
    <xf numFmtId="182" fontId="0" fillId="0" borderId="0" xfId="0" applyNumberFormat="1" applyAlignment="1" applyProtection="1">
      <alignment horizontal="center" vertical="center"/>
    </xf>
    <xf numFmtId="8" fontId="0" fillId="0" borderId="10" xfId="0" applyNumberFormat="1" applyBorder="1" applyProtection="1"/>
    <xf numFmtId="8" fontId="0" fillId="0" borderId="10" xfId="0" applyNumberFormat="1" applyFill="1" applyBorder="1" applyProtection="1"/>
    <xf numFmtId="8" fontId="8" fillId="0" borderId="10" xfId="0" applyNumberFormat="1" applyFont="1" applyFill="1" applyBorder="1" applyProtection="1"/>
    <xf numFmtId="8" fontId="0" fillId="0" borderId="51" xfId="0" applyNumberFormat="1" applyBorder="1" applyProtection="1"/>
    <xf numFmtId="179" fontId="7" fillId="65" borderId="4" xfId="246" applyNumberFormat="1" applyFont="1" applyFill="1" applyBorder="1" applyProtection="1">
      <protection locked="0"/>
    </xf>
    <xf numFmtId="179" fontId="7" fillId="65" borderId="4" xfId="56" applyNumberFormat="1" applyFont="1" applyFill="1" applyBorder="1" applyProtection="1">
      <protection locked="0"/>
    </xf>
    <xf numFmtId="9" fontId="10" fillId="65" borderId="4" xfId="58" applyFont="1" applyFill="1" applyBorder="1" applyProtection="1"/>
    <xf numFmtId="0" fontId="7" fillId="0" borderId="4" xfId="0" applyFont="1" applyFill="1" applyBorder="1" applyAlignment="1" applyProtection="1">
      <alignment horizontal="center"/>
    </xf>
    <xf numFmtId="0" fontId="54" fillId="65" borderId="0" xfId="0" applyFont="1" applyFill="1" applyProtection="1"/>
    <xf numFmtId="0" fontId="59" fillId="65" borderId="0" xfId="0" applyFont="1" applyFill="1" applyProtection="1"/>
    <xf numFmtId="0" fontId="10" fillId="65" borderId="0" xfId="0" applyFont="1" applyFill="1" applyBorder="1" applyAlignment="1" applyProtection="1">
      <alignment vertical="center" wrapText="1"/>
    </xf>
    <xf numFmtId="0" fontId="7" fillId="65" borderId="4" xfId="0" applyFont="1" applyFill="1" applyBorder="1" applyProtection="1"/>
    <xf numFmtId="0" fontId="7" fillId="65" borderId="4" xfId="0" applyFont="1" applyFill="1" applyBorder="1" applyAlignment="1" applyProtection="1">
      <alignment horizontal="center" vertical="center"/>
      <protection locked="0"/>
    </xf>
    <xf numFmtId="177" fontId="0" fillId="65" borderId="4" xfId="56" applyNumberFormat="1" applyFont="1" applyFill="1" applyBorder="1" applyAlignment="1" applyProtection="1">
      <alignment horizontal="center" vertical="center"/>
    </xf>
    <xf numFmtId="174" fontId="0" fillId="65" borderId="4" xfId="57" applyNumberFormat="1" applyFont="1" applyFill="1" applyBorder="1" applyProtection="1"/>
    <xf numFmtId="178" fontId="10" fillId="65" borderId="4" xfId="56" applyNumberFormat="1" applyFont="1" applyFill="1" applyBorder="1" applyAlignment="1" applyProtection="1">
      <alignment horizontal="center" vertical="center"/>
    </xf>
    <xf numFmtId="0" fontId="10" fillId="65" borderId="4" xfId="0" applyFont="1" applyFill="1" applyBorder="1" applyProtection="1"/>
    <xf numFmtId="0" fontId="10" fillId="65" borderId="4" xfId="0" applyFont="1" applyFill="1" applyBorder="1" applyAlignment="1" applyProtection="1">
      <alignment horizontal="center" vertical="center"/>
    </xf>
    <xf numFmtId="177" fontId="10" fillId="65" borderId="4" xfId="56" applyNumberFormat="1" applyFont="1" applyFill="1" applyBorder="1" applyAlignment="1" applyProtection="1">
      <alignment horizontal="center" vertical="center"/>
    </xf>
    <xf numFmtId="174" fontId="10" fillId="65" borderId="4" xfId="57" applyNumberFormat="1" applyFont="1" applyFill="1" applyBorder="1" applyProtection="1"/>
    <xf numFmtId="0" fontId="7" fillId="65" borderId="0" xfId="0" applyFont="1" applyFill="1" applyProtection="1"/>
    <xf numFmtId="176" fontId="10" fillId="65" borderId="4" xfId="57" applyNumberFormat="1" applyFont="1" applyFill="1" applyBorder="1" applyAlignment="1" applyProtection="1">
      <alignment horizontal="center" vertical="center"/>
    </xf>
    <xf numFmtId="0" fontId="0" fillId="30" borderId="70" xfId="0" applyFill="1" applyBorder="1" applyAlignment="1" applyProtection="1">
      <alignment horizontal="left" vertical="top" wrapText="1"/>
      <protection locked="0"/>
    </xf>
    <xf numFmtId="0" fontId="0" fillId="30" borderId="76" xfId="0"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10" fillId="0" borderId="0" xfId="0" applyFont="1" applyBorder="1" applyAlignment="1" applyProtection="1">
      <alignment horizontal="right" vertical="center" wrapText="1" indent="1"/>
    </xf>
    <xf numFmtId="176" fontId="10" fillId="0" borderId="0" xfId="57" applyNumberFormat="1" applyFont="1" applyBorder="1" applyAlignment="1" applyProtection="1">
      <alignment horizontal="center" vertical="center"/>
    </xf>
    <xf numFmtId="0" fontId="7" fillId="0" borderId="4" xfId="0" applyFont="1" applyBorder="1" applyAlignment="1" applyProtection="1">
      <alignment vertical="center" wrapText="1"/>
    </xf>
    <xf numFmtId="0" fontId="7" fillId="0" borderId="0" xfId="0" applyFont="1" applyFill="1" applyBorder="1" applyProtection="1"/>
    <xf numFmtId="8" fontId="8" fillId="0" borderId="10" xfId="0" applyNumberFormat="1" applyFont="1" applyBorder="1" applyProtection="1"/>
    <xf numFmtId="6" fontId="8" fillId="0" borderId="10" xfId="0" applyNumberFormat="1" applyFont="1" applyBorder="1" applyProtection="1"/>
    <xf numFmtId="6" fontId="8" fillId="0" borderId="0" xfId="0" applyNumberFormat="1" applyFont="1" applyProtection="1"/>
    <xf numFmtId="6" fontId="8" fillId="22" borderId="74" xfId="0" applyNumberFormat="1" applyFont="1" applyFill="1" applyBorder="1" applyProtection="1"/>
    <xf numFmtId="6" fontId="8" fillId="30" borderId="0" xfId="202" applyNumberFormat="1" applyFont="1" applyFill="1" applyBorder="1" applyProtection="1">
      <protection locked="0"/>
    </xf>
    <xf numFmtId="0" fontId="79" fillId="0" borderId="47" xfId="0" applyFont="1" applyFill="1" applyBorder="1" applyAlignment="1" applyProtection="1">
      <alignment horizontal="left"/>
    </xf>
    <xf numFmtId="0" fontId="83" fillId="0" borderId="9" xfId="0" applyFont="1" applyBorder="1" applyAlignment="1" applyProtection="1">
      <alignment vertical="center"/>
    </xf>
    <xf numFmtId="0" fontId="7" fillId="0" borderId="10" xfId="0" applyFont="1" applyBorder="1" applyProtection="1"/>
    <xf numFmtId="0" fontId="7" fillId="0" borderId="16" xfId="0" applyFont="1" applyBorder="1" applyProtection="1"/>
    <xf numFmtId="0" fontId="7" fillId="0" borderId="9" xfId="0" applyFont="1" applyBorder="1" applyAlignment="1" applyProtection="1">
      <alignment vertical="center"/>
    </xf>
    <xf numFmtId="0" fontId="7" fillId="0" borderId="0" xfId="0" applyFont="1" applyAlignment="1" applyProtection="1">
      <alignment horizontal="center" vertical="center"/>
    </xf>
    <xf numFmtId="166" fontId="7" fillId="0" borderId="15" xfId="0" applyNumberFormat="1" applyFont="1" applyBorder="1" applyAlignment="1" applyProtection="1">
      <alignment vertical="center"/>
    </xf>
    <xf numFmtId="0" fontId="7"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7" fillId="0" borderId="47" xfId="0" applyFont="1" applyBorder="1" applyAlignment="1" applyProtection="1">
      <alignment vertical="center"/>
    </xf>
    <xf numFmtId="0" fontId="7" fillId="0" borderId="10" xfId="0" applyFont="1" applyBorder="1" applyAlignment="1" applyProtection="1">
      <alignment horizontal="center" vertical="center"/>
    </xf>
    <xf numFmtId="0" fontId="7" fillId="0" borderId="71" xfId="0" applyFont="1" applyBorder="1" applyAlignment="1" applyProtection="1">
      <alignment vertical="center"/>
    </xf>
    <xf numFmtId="0" fontId="7" fillId="0" borderId="72" xfId="0" applyFont="1" applyBorder="1" applyAlignment="1" applyProtection="1">
      <alignment horizontal="center" vertical="center"/>
    </xf>
    <xf numFmtId="166" fontId="7" fillId="0" borderId="70" xfId="0" applyNumberFormat="1" applyFont="1" applyBorder="1" applyAlignment="1" applyProtection="1">
      <alignment vertical="center"/>
    </xf>
    <xf numFmtId="176" fontId="7" fillId="0" borderId="4" xfId="57" applyNumberFormat="1" applyFont="1" applyFill="1" applyBorder="1" applyAlignment="1" applyProtection="1">
      <alignment horizontal="center" vertical="center"/>
    </xf>
    <xf numFmtId="179" fontId="7" fillId="30" borderId="4" xfId="184" applyNumberFormat="1" applyFont="1" applyFill="1" applyBorder="1" applyProtection="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right" vertical="center" wrapText="1" indent="1"/>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xf>
    <xf numFmtId="8" fontId="0" fillId="0" borderId="0" xfId="0" applyNumberFormat="1" applyProtection="1">
      <protection locked="0"/>
    </xf>
    <xf numFmtId="8" fontId="7" fillId="0" borderId="0" xfId="0" applyNumberFormat="1" applyFont="1" applyProtection="1">
      <protection locked="0"/>
    </xf>
    <xf numFmtId="0" fontId="0" fillId="0" borderId="0" xfId="0" applyProtection="1">
      <protection locked="0"/>
    </xf>
    <xf numFmtId="6" fontId="0" fillId="0" borderId="0" xfId="0" applyNumberFormat="1" applyProtection="1">
      <protection locked="0"/>
    </xf>
    <xf numFmtId="6" fontId="0" fillId="0" borderId="0" xfId="0" applyNumberFormat="1" applyFill="1" applyProtection="1">
      <protection locked="0"/>
    </xf>
    <xf numFmtId="6" fontId="8" fillId="0" borderId="0" xfId="0" applyNumberFormat="1" applyFont="1" applyProtection="1">
      <protection locked="0"/>
    </xf>
    <xf numFmtId="0" fontId="2" fillId="0" borderId="0" xfId="255" applyProtection="1"/>
    <xf numFmtId="0" fontId="2" fillId="0" borderId="0" xfId="255"/>
    <xf numFmtId="0" fontId="45" fillId="0" borderId="0" xfId="255" applyFont="1" applyAlignment="1" applyProtection="1">
      <alignment horizontal="left" wrapText="1"/>
    </xf>
    <xf numFmtId="0" fontId="2" fillId="0" borderId="0" xfId="255" applyAlignment="1" applyProtection="1">
      <alignment wrapText="1"/>
    </xf>
    <xf numFmtId="0" fontId="45" fillId="0" borderId="0" xfId="255" applyFont="1" applyAlignment="1" applyProtection="1">
      <alignment horizontal="left" vertical="center" wrapText="1"/>
    </xf>
    <xf numFmtId="0" fontId="2" fillId="0" borderId="0" xfId="255" applyAlignment="1">
      <alignment horizontal="left"/>
    </xf>
    <xf numFmtId="0" fontId="43" fillId="0" borderId="0" xfId="255" applyFont="1" applyAlignment="1" applyProtection="1">
      <alignment horizontal="left" wrapText="1"/>
    </xf>
    <xf numFmtId="0" fontId="43" fillId="0" borderId="42" xfId="255" applyFont="1" applyBorder="1" applyAlignment="1" applyProtection="1">
      <alignment horizontal="center" wrapText="1"/>
    </xf>
    <xf numFmtId="0" fontId="43" fillId="0" borderId="4" xfId="255" applyFont="1" applyBorder="1" applyAlignment="1" applyProtection="1">
      <alignment horizontal="center"/>
    </xf>
    <xf numFmtId="0" fontId="43" fillId="0" borderId="4" xfId="255" applyFont="1" applyBorder="1" applyAlignment="1">
      <alignment horizontal="center"/>
    </xf>
    <xf numFmtId="0" fontId="43" fillId="0" borderId="84" xfId="255" applyFont="1" applyBorder="1" applyAlignment="1">
      <alignment horizontal="center"/>
    </xf>
    <xf numFmtId="0" fontId="82" fillId="0" borderId="4" xfId="255" applyFont="1" applyBorder="1" applyAlignment="1" applyProtection="1">
      <alignment wrapText="1"/>
    </xf>
    <xf numFmtId="0" fontId="82" fillId="0" borderId="83" xfId="255" applyFont="1" applyBorder="1" applyAlignment="1" applyProtection="1">
      <alignment horizontal="center" wrapText="1"/>
    </xf>
    <xf numFmtId="177" fontId="0" fillId="0" borderId="14" xfId="256" applyNumberFormat="1" applyFont="1" applyBorder="1" applyProtection="1"/>
    <xf numFmtId="0" fontId="43" fillId="0" borderId="0" xfId="255" applyFont="1"/>
    <xf numFmtId="177" fontId="0" fillId="0" borderId="84" xfId="256" applyNumberFormat="1" applyFont="1" applyBorder="1" applyProtection="1"/>
    <xf numFmtId="177" fontId="0" fillId="0" borderId="4" xfId="256" applyNumberFormat="1" applyFont="1" applyBorder="1" applyProtection="1"/>
    <xf numFmtId="0" fontId="81" fillId="0" borderId="4" xfId="255" applyFont="1" applyBorder="1" applyAlignment="1" applyProtection="1">
      <alignment horizontal="left" wrapText="1"/>
    </xf>
    <xf numFmtId="0" fontId="82" fillId="0" borderId="83" xfId="255" quotePrefix="1" applyFont="1" applyBorder="1" applyAlignment="1" applyProtection="1">
      <alignment horizontal="center" wrapText="1"/>
    </xf>
    <xf numFmtId="10" fontId="43" fillId="0" borderId="14" xfId="257" applyNumberFormat="1" applyFont="1" applyBorder="1" applyProtection="1"/>
    <xf numFmtId="10" fontId="43" fillId="0" borderId="84" xfId="257" applyNumberFormat="1" applyFont="1" applyBorder="1" applyProtection="1"/>
    <xf numFmtId="10" fontId="43" fillId="0" borderId="4" xfId="257" applyNumberFormat="1" applyFont="1" applyBorder="1" applyProtection="1"/>
    <xf numFmtId="177" fontId="0" fillId="0" borderId="0" xfId="256" applyNumberFormat="1" applyFont="1" applyProtection="1"/>
    <xf numFmtId="9" fontId="0" fillId="0" borderId="0" xfId="257" applyFont="1" applyProtection="1"/>
    <xf numFmtId="177" fontId="2" fillId="0" borderId="0" xfId="255" applyNumberFormat="1" applyProtection="1"/>
    <xf numFmtId="0" fontId="82" fillId="0" borderId="77" xfId="255" applyFont="1" applyBorder="1" applyProtection="1"/>
    <xf numFmtId="0" fontId="2" fillId="0" borderId="0" xfId="255" applyBorder="1" applyAlignment="1" applyProtection="1">
      <alignment horizontal="left"/>
    </xf>
    <xf numFmtId="177" fontId="2" fillId="0" borderId="0" xfId="255" applyNumberFormat="1"/>
    <xf numFmtId="0" fontId="82" fillId="0" borderId="43" xfId="255" applyFont="1" applyBorder="1" applyProtection="1"/>
    <xf numFmtId="0" fontId="82" fillId="0" borderId="81" xfId="255" applyFont="1" applyBorder="1" applyProtection="1"/>
    <xf numFmtId="174" fontId="0" fillId="0" borderId="14" xfId="258" applyNumberFormat="1" applyFont="1" applyBorder="1" applyProtection="1"/>
    <xf numFmtId="0" fontId="82" fillId="0" borderId="83" xfId="255" applyFont="1" applyBorder="1" applyAlignment="1" applyProtection="1">
      <alignment wrapText="1"/>
    </xf>
    <xf numFmtId="44" fontId="0" fillId="0" borderId="14" xfId="258" applyNumberFormat="1" applyFont="1" applyFill="1" applyBorder="1" applyProtection="1"/>
    <xf numFmtId="178" fontId="0" fillId="0" borderId="0" xfId="256" applyNumberFormat="1" applyFont="1" applyProtection="1"/>
    <xf numFmtId="0" fontId="81" fillId="0" borderId="42" xfId="255" applyFont="1" applyBorder="1" applyAlignment="1" applyProtection="1">
      <alignment wrapText="1"/>
    </xf>
    <xf numFmtId="0" fontId="2" fillId="0" borderId="42" xfId="255" applyBorder="1" applyProtection="1"/>
    <xf numFmtId="0" fontId="2" fillId="0" borderId="0" xfId="255" applyFill="1" applyBorder="1"/>
    <xf numFmtId="0" fontId="81" fillId="0" borderId="4" xfId="255" applyFont="1" applyBorder="1" applyProtection="1"/>
    <xf numFmtId="0" fontId="81" fillId="0" borderId="4" xfId="255" applyFont="1" applyFill="1" applyBorder="1" applyAlignment="1" applyProtection="1">
      <alignment vertical="center" wrapText="1"/>
    </xf>
    <xf numFmtId="0" fontId="43" fillId="0" borderId="4" xfId="255" applyFont="1" applyBorder="1" applyAlignment="1" applyProtection="1">
      <alignment horizontal="center" wrapText="1"/>
    </xf>
    <xf numFmtId="0" fontId="81" fillId="0" borderId="4" xfId="255" applyFont="1" applyBorder="1" applyAlignment="1" applyProtection="1">
      <alignment wrapText="1"/>
    </xf>
    <xf numFmtId="0" fontId="45" fillId="30" borderId="4" xfId="255" applyFont="1" applyFill="1" applyBorder="1" applyAlignment="1" applyProtection="1">
      <alignment horizontal="left" vertical="center" wrapText="1"/>
      <protection locked="0"/>
    </xf>
    <xf numFmtId="0" fontId="45" fillId="0" borderId="0" xfId="255" applyFont="1" applyAlignment="1" applyProtection="1">
      <alignment horizontal="left" wrapText="1"/>
    </xf>
    <xf numFmtId="0" fontId="2" fillId="0" borderId="0" xfId="255" applyAlignment="1" applyProtection="1">
      <alignment wrapText="1"/>
    </xf>
    <xf numFmtId="177" fontId="0" fillId="30" borderId="82" xfId="256" applyNumberFormat="1" applyFont="1" applyFill="1" applyBorder="1" applyProtection="1">
      <protection locked="0"/>
    </xf>
    <xf numFmtId="177" fontId="0" fillId="30" borderId="43" xfId="256" applyNumberFormat="1" applyFont="1" applyFill="1" applyBorder="1" applyProtection="1">
      <protection locked="0"/>
    </xf>
    <xf numFmtId="177" fontId="0" fillId="30" borderId="4" xfId="256" applyNumberFormat="1" applyFont="1" applyFill="1" applyBorder="1" applyProtection="1">
      <protection locked="0"/>
    </xf>
    <xf numFmtId="0" fontId="7" fillId="30" borderId="28" xfId="0" applyFont="1" applyFill="1" applyBorder="1" applyAlignment="1" applyProtection="1">
      <alignment horizontal="left" vertical="top" wrapText="1"/>
      <protection locked="0"/>
    </xf>
    <xf numFmtId="0" fontId="6" fillId="0" borderId="0" xfId="59" applyAlignment="1">
      <alignment horizontal="left"/>
    </xf>
    <xf numFmtId="0" fontId="7" fillId="0" borderId="9" xfId="59" applyFont="1" applyBorder="1" applyAlignment="1">
      <alignment horizontal="left" vertical="top" wrapText="1"/>
    </xf>
    <xf numFmtId="0" fontId="7" fillId="0" borderId="0" xfId="59" applyFont="1" applyBorder="1" applyAlignment="1">
      <alignment horizontal="left" vertical="top" wrapText="1"/>
    </xf>
    <xf numFmtId="0" fontId="7" fillId="0" borderId="0" xfId="59" applyFont="1" applyAlignment="1">
      <alignment horizontal="left" wrapText="1"/>
    </xf>
    <xf numFmtId="0" fontId="6" fillId="0" borderId="0" xfId="59" applyAlignment="1">
      <alignment horizontal="left" wrapText="1"/>
    </xf>
    <xf numFmtId="0" fontId="6" fillId="0" borderId="0" xfId="59" applyAlignment="1" applyProtection="1">
      <alignment horizontal="left" vertical="top" wrapText="1"/>
    </xf>
    <xf numFmtId="0" fontId="46" fillId="29" borderId="39" xfId="59" applyFont="1" applyFill="1" applyBorder="1" applyAlignment="1" applyProtection="1">
      <alignment horizontal="left" vertical="center" wrapText="1"/>
      <protection locked="0"/>
    </xf>
    <xf numFmtId="0" fontId="46" fillId="29" borderId="40" xfId="59" applyFont="1" applyFill="1" applyBorder="1" applyAlignment="1" applyProtection="1">
      <alignment horizontal="left" vertical="center" wrapText="1"/>
      <protection locked="0"/>
    </xf>
    <xf numFmtId="0" fontId="46" fillId="29" borderId="41" xfId="59" applyFont="1" applyFill="1" applyBorder="1" applyAlignment="1" applyProtection="1">
      <alignment horizontal="left" vertical="center" wrapText="1"/>
      <protection locked="0"/>
    </xf>
    <xf numFmtId="0" fontId="47" fillId="30" borderId="39" xfId="59" applyFont="1" applyFill="1" applyBorder="1" applyAlignment="1" applyProtection="1">
      <alignment horizontal="left" vertical="center"/>
      <protection locked="0"/>
    </xf>
    <xf numFmtId="0" fontId="47" fillId="30" borderId="40" xfId="59" applyFont="1" applyFill="1" applyBorder="1" applyAlignment="1" applyProtection="1">
      <alignment horizontal="left" vertical="center"/>
      <protection locked="0"/>
    </xf>
    <xf numFmtId="0" fontId="47" fillId="30" borderId="41" xfId="59" applyFont="1" applyFill="1" applyBorder="1" applyAlignment="1" applyProtection="1">
      <alignment horizontal="left" vertical="center"/>
      <protection locked="0"/>
    </xf>
    <xf numFmtId="0" fontId="46" fillId="30" borderId="39" xfId="183" applyFont="1" applyFill="1" applyBorder="1" applyAlignment="1" applyProtection="1">
      <alignment horizontal="left" vertical="center"/>
      <protection locked="0"/>
    </xf>
    <xf numFmtId="0" fontId="46" fillId="30" borderId="40" xfId="183" applyFont="1" applyFill="1" applyBorder="1" applyAlignment="1" applyProtection="1">
      <alignment horizontal="left" vertical="center"/>
      <protection locked="0"/>
    </xf>
    <xf numFmtId="0" fontId="46" fillId="30" borderId="41" xfId="183" applyFont="1" applyFill="1" applyBorder="1" applyAlignment="1" applyProtection="1">
      <alignment horizontal="left" vertical="center"/>
      <protection locked="0"/>
    </xf>
    <xf numFmtId="0" fontId="46" fillId="30" borderId="39" xfId="183" applyNumberFormat="1" applyFont="1" applyFill="1" applyBorder="1" applyAlignment="1" applyProtection="1">
      <alignment horizontal="left" vertical="center"/>
      <protection locked="0"/>
    </xf>
    <xf numFmtId="0" fontId="46" fillId="30" borderId="40" xfId="183" applyNumberFormat="1" applyFont="1" applyFill="1" applyBorder="1" applyAlignment="1" applyProtection="1">
      <alignment horizontal="left" vertical="center"/>
      <protection locked="0"/>
    </xf>
    <xf numFmtId="0" fontId="46" fillId="30" borderId="41" xfId="183" applyNumberFormat="1" applyFont="1" applyFill="1" applyBorder="1" applyAlignment="1" applyProtection="1">
      <alignment horizontal="left" vertical="center"/>
      <protection locked="0"/>
    </xf>
    <xf numFmtId="0" fontId="18" fillId="0" borderId="17" xfId="0" applyNumberFormat="1" applyFont="1" applyFill="1" applyBorder="1" applyAlignment="1" applyProtection="1">
      <alignment horizontal="center" vertical="center"/>
    </xf>
    <xf numFmtId="0" fontId="18" fillId="0" borderId="31"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8" fontId="21" fillId="0" borderId="32" xfId="0" applyNumberFormat="1" applyFont="1" applyFill="1" applyBorder="1" applyAlignment="1" applyProtection="1">
      <alignment horizontal="center" vertical="center" wrapText="1"/>
    </xf>
    <xf numFmtId="8" fontId="21" fillId="0" borderId="47" xfId="0" applyNumberFormat="1" applyFont="1" applyFill="1" applyBorder="1" applyAlignment="1" applyProtection="1">
      <alignment horizontal="center" vertical="center" wrapText="1"/>
    </xf>
    <xf numFmtId="8" fontId="21" fillId="0" borderId="33" xfId="0" applyNumberFormat="1" applyFont="1" applyFill="1" applyBorder="1" applyAlignment="1" applyProtection="1">
      <alignment horizontal="center" vertical="center" wrapText="1"/>
    </xf>
    <xf numFmtId="8" fontId="21" fillId="0" borderId="30" xfId="0" applyNumberFormat="1" applyFont="1" applyFill="1" applyBorder="1" applyAlignment="1" applyProtection="1">
      <alignment horizontal="center" vertical="center" wrapText="1"/>
    </xf>
    <xf numFmtId="8" fontId="21" fillId="0" borderId="0" xfId="0" applyNumberFormat="1" applyFont="1" applyFill="1" applyBorder="1" applyAlignment="1" applyProtection="1">
      <alignment horizontal="center" vertical="center" wrapText="1"/>
    </xf>
    <xf numFmtId="8" fontId="21" fillId="0" borderId="34" xfId="0" applyNumberFormat="1" applyFont="1" applyFill="1" applyBorder="1" applyAlignment="1" applyProtection="1">
      <alignment horizontal="center" vertical="center" wrapText="1"/>
    </xf>
    <xf numFmtId="8" fontId="19" fillId="0" borderId="0" xfId="0" applyNumberFormat="1" applyFont="1" applyFill="1" applyBorder="1" applyAlignment="1" applyProtection="1">
      <alignment horizontal="center" vertical="center" wrapText="1"/>
    </xf>
    <xf numFmtId="8" fontId="19" fillId="0" borderId="34" xfId="0" applyNumberFormat="1" applyFont="1" applyFill="1" applyBorder="1" applyAlignment="1" applyProtection="1">
      <alignment horizontal="center" vertical="center" wrapText="1"/>
    </xf>
    <xf numFmtId="8" fontId="21" fillId="0" borderId="35" xfId="0" applyNumberFormat="1" applyFont="1" applyFill="1" applyBorder="1" applyAlignment="1" applyProtection="1">
      <alignment horizontal="center" vertical="center" wrapText="1"/>
    </xf>
    <xf numFmtId="8" fontId="21" fillId="0" borderId="10" xfId="0" applyNumberFormat="1" applyFont="1" applyFill="1" applyBorder="1" applyAlignment="1" applyProtection="1">
      <alignment horizontal="center" vertical="center" wrapText="1"/>
    </xf>
    <xf numFmtId="8" fontId="21" fillId="0" borderId="36" xfId="0" applyNumberFormat="1" applyFont="1" applyFill="1" applyBorder="1" applyAlignment="1" applyProtection="1">
      <alignment horizontal="center" vertical="center" wrapText="1"/>
    </xf>
    <xf numFmtId="0" fontId="20" fillId="0" borderId="17" xfId="0" applyNumberFormat="1" applyFont="1" applyBorder="1" applyAlignment="1" applyProtection="1">
      <alignment horizontal="center"/>
    </xf>
    <xf numFmtId="0" fontId="20" fillId="0" borderId="31" xfId="0" applyNumberFormat="1" applyFont="1" applyBorder="1" applyAlignment="1" applyProtection="1">
      <alignment horizontal="center"/>
    </xf>
    <xf numFmtId="0" fontId="20" fillId="0" borderId="13" xfId="0" applyNumberFormat="1" applyFont="1" applyBorder="1" applyAlignment="1" applyProtection="1">
      <alignment horizontal="center"/>
    </xf>
    <xf numFmtId="8" fontId="21" fillId="0" borderId="37" xfId="0" applyNumberFormat="1" applyFont="1" applyFill="1" applyBorder="1" applyAlignment="1" applyProtection="1">
      <alignment horizontal="center" vertical="center" wrapText="1"/>
    </xf>
    <xf numFmtId="8" fontId="21" fillId="0" borderId="15" xfId="0" applyNumberFormat="1" applyFont="1" applyFill="1" applyBorder="1" applyAlignment="1" applyProtection="1">
      <alignment horizontal="center" vertical="center" wrapText="1"/>
    </xf>
    <xf numFmtId="8" fontId="21" fillId="0" borderId="38" xfId="0" applyNumberFormat="1" applyFont="1" applyFill="1" applyBorder="1" applyAlignment="1" applyProtection="1">
      <alignment horizontal="center" vertical="center" wrapText="1"/>
    </xf>
    <xf numFmtId="8" fontId="21" fillId="0" borderId="75" xfId="0" applyNumberFormat="1" applyFont="1" applyFill="1" applyBorder="1" applyAlignment="1" applyProtection="1">
      <alignment horizontal="center" vertical="center" wrapText="1"/>
    </xf>
    <xf numFmtId="8" fontId="40" fillId="0" borderId="30" xfId="0" applyNumberFormat="1" applyFont="1" applyFill="1" applyBorder="1" applyAlignment="1" applyProtection="1">
      <alignment horizontal="center" vertical="center" wrapText="1"/>
    </xf>
    <xf numFmtId="8" fontId="41" fillId="0" borderId="0" xfId="0" applyNumberFormat="1" applyFont="1" applyFill="1" applyBorder="1" applyAlignment="1" applyProtection="1">
      <alignment horizontal="center" vertical="center" wrapText="1"/>
    </xf>
    <xf numFmtId="8" fontId="41" fillId="0" borderId="34" xfId="0" applyNumberFormat="1" applyFont="1" applyFill="1" applyBorder="1" applyAlignment="1" applyProtection="1">
      <alignment horizontal="center" vertical="center" wrapText="1"/>
    </xf>
    <xf numFmtId="0" fontId="38" fillId="0" borderId="32" xfId="0" applyFont="1" applyFill="1" applyBorder="1" applyAlignment="1" applyProtection="1">
      <alignment horizontal="left" vertical="center"/>
    </xf>
    <xf numFmtId="0" fontId="38" fillId="0" borderId="47" xfId="0" applyFont="1" applyFill="1" applyBorder="1" applyAlignment="1" applyProtection="1">
      <alignment horizontal="left" vertical="center"/>
    </xf>
    <xf numFmtId="0" fontId="21" fillId="0" borderId="35"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7" fillId="0" borderId="0" xfId="0" applyFont="1" applyAlignment="1" applyProtection="1">
      <alignment horizontal="left" vertical="top" wrapText="1"/>
    </xf>
    <xf numFmtId="0" fontId="9" fillId="27" borderId="0" xfId="0" applyFont="1" applyFill="1" applyBorder="1" applyAlignment="1" applyProtection="1">
      <alignment horizontal="left" vertical="top" wrapText="1"/>
    </xf>
    <xf numFmtId="0" fontId="21" fillId="0" borderId="35"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36" xfId="0" applyFont="1" applyBorder="1" applyAlignment="1" applyProtection="1">
      <alignment horizontal="center" vertical="center" wrapText="1"/>
    </xf>
    <xf numFmtId="0" fontId="38" fillId="0" borderId="32" xfId="0" applyFont="1" applyBorder="1" applyAlignment="1" applyProtection="1">
      <alignment horizontal="left" vertical="center" wrapText="1"/>
    </xf>
    <xf numFmtId="0" fontId="38" fillId="0" borderId="9" xfId="0" applyFont="1" applyBorder="1" applyAlignment="1" applyProtection="1">
      <alignment horizontal="left" vertical="center" wrapText="1"/>
    </xf>
    <xf numFmtId="0" fontId="38" fillId="0" borderId="33" xfId="0" applyFont="1" applyBorder="1" applyAlignment="1" applyProtection="1">
      <alignment horizontal="left" vertical="center" wrapText="1"/>
    </xf>
    <xf numFmtId="0" fontId="10" fillId="0" borderId="0" xfId="0" applyFont="1" applyAlignment="1" applyProtection="1">
      <alignment horizontal="left" vertical="top" wrapText="1"/>
    </xf>
    <xf numFmtId="0" fontId="52" fillId="0" borderId="0" xfId="0" applyFont="1" applyAlignment="1" applyProtection="1">
      <alignment horizontal="left" vertical="top" wrapText="1"/>
    </xf>
    <xf numFmtId="176" fontId="10" fillId="28" borderId="4" xfId="69" applyNumberFormat="1" applyFont="1" applyFill="1" applyBorder="1" applyAlignment="1" applyProtection="1">
      <alignment horizontal="center" vertical="center" wrapText="1"/>
    </xf>
    <xf numFmtId="176" fontId="10" fillId="28" borderId="4" xfId="69" applyNumberFormat="1" applyFont="1" applyFill="1" applyBorder="1" applyAlignment="1" applyProtection="1">
      <alignment horizontal="center" vertical="center"/>
    </xf>
    <xf numFmtId="0" fontId="10" fillId="28" borderId="4" xfId="69" applyFont="1" applyFill="1" applyBorder="1" applyAlignment="1" applyProtection="1">
      <alignment horizontal="center" vertical="center"/>
    </xf>
    <xf numFmtId="0" fontId="10" fillId="0" borderId="4" xfId="69" applyFont="1" applyBorder="1" applyAlignment="1" applyProtection="1">
      <alignment horizontal="center" vertical="center" wrapText="1"/>
    </xf>
    <xf numFmtId="0" fontId="10" fillId="0" borderId="4" xfId="69" applyFont="1" applyBorder="1" applyAlignment="1" applyProtection="1">
      <alignment horizontal="center" vertical="center"/>
    </xf>
    <xf numFmtId="10" fontId="10" fillId="28" borderId="4" xfId="69" applyNumberFormat="1" applyFont="1" applyFill="1" applyBorder="1" applyAlignment="1" applyProtection="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xf>
    <xf numFmtId="176" fontId="10" fillId="65" borderId="4" xfId="69" applyNumberFormat="1" applyFont="1" applyFill="1" applyBorder="1" applyAlignment="1" applyProtection="1">
      <alignment horizontal="center" vertical="center" wrapText="1"/>
    </xf>
    <xf numFmtId="0" fontId="7" fillId="0" borderId="4" xfId="0" applyFont="1" applyBorder="1" applyAlignment="1" applyProtection="1">
      <alignment horizontal="center" vertical="center"/>
    </xf>
    <xf numFmtId="0" fontId="43" fillId="28" borderId="42" xfId="0" applyFont="1" applyFill="1" applyBorder="1" applyAlignment="1" applyProtection="1">
      <alignment horizontal="center" vertical="center" wrapText="1"/>
    </xf>
    <xf numFmtId="0" fontId="43" fillId="0" borderId="43" xfId="0" applyFont="1" applyBorder="1" applyAlignment="1" applyProtection="1">
      <alignment wrapText="1"/>
    </xf>
    <xf numFmtId="0" fontId="10" fillId="28" borderId="4" xfId="69" applyNumberFormat="1" applyFont="1" applyFill="1" applyBorder="1" applyAlignment="1" applyProtection="1">
      <alignment horizontal="center" vertical="center" wrapText="1"/>
    </xf>
    <xf numFmtId="0" fontId="7" fillId="0" borderId="4" xfId="0" quotePrefix="1" applyFont="1" applyBorder="1" applyAlignment="1" applyProtection="1">
      <alignment horizontal="center" vertical="center"/>
    </xf>
    <xf numFmtId="0" fontId="0" fillId="0" borderId="4" xfId="0" applyBorder="1" applyAlignment="1" applyProtection="1">
      <alignment horizontal="center" vertical="center"/>
    </xf>
    <xf numFmtId="0" fontId="10" fillId="28" borderId="4" xfId="0" applyFont="1" applyFill="1" applyBorder="1" applyAlignment="1" applyProtection="1">
      <alignment horizontal="right" vertical="center" wrapText="1" indent="1"/>
    </xf>
    <xf numFmtId="0" fontId="10" fillId="65" borderId="4" xfId="0" applyFont="1" applyFill="1" applyBorder="1" applyAlignment="1" applyProtection="1">
      <alignment horizontal="right" vertical="center" wrapText="1" indent="1"/>
    </xf>
    <xf numFmtId="0" fontId="7" fillId="0" borderId="4" xfId="0" applyFont="1" applyBorder="1" applyAlignment="1" applyProtection="1">
      <alignment horizontal="right" vertical="center" wrapText="1" indent="1"/>
    </xf>
    <xf numFmtId="0" fontId="10" fillId="0" borderId="4" xfId="0" applyFont="1" applyBorder="1" applyAlignment="1" applyProtection="1">
      <alignment horizontal="right" vertical="center" wrapText="1" indent="1"/>
    </xf>
    <xf numFmtId="0" fontId="2" fillId="30" borderId="78" xfId="255" applyFill="1" applyBorder="1" applyAlignment="1" applyProtection="1">
      <alignment horizontal="center"/>
      <protection locked="0"/>
    </xf>
    <xf numFmtId="0" fontId="2" fillId="30" borderId="85" xfId="255" applyFill="1" applyBorder="1" applyAlignment="1" applyProtection="1">
      <alignment horizontal="center"/>
      <protection locked="0"/>
    </xf>
    <xf numFmtId="0" fontId="2" fillId="30" borderId="79" xfId="255" applyFill="1" applyBorder="1" applyAlignment="1" applyProtection="1">
      <alignment horizontal="center"/>
      <protection locked="0"/>
    </xf>
    <xf numFmtId="0" fontId="45" fillId="0" borderId="0" xfId="255" applyFont="1" applyAlignment="1" applyProtection="1">
      <alignment horizontal="left" wrapText="1"/>
    </xf>
    <xf numFmtId="0" fontId="2" fillId="0" borderId="0" xfId="255" applyAlignment="1" applyProtection="1">
      <alignment wrapText="1"/>
    </xf>
    <xf numFmtId="0" fontId="45" fillId="0" borderId="80" xfId="255" applyFont="1" applyFill="1" applyBorder="1" applyAlignment="1" applyProtection="1">
      <alignment horizontal="left" vertical="center" wrapText="1" indent="1"/>
    </xf>
    <xf numFmtId="0" fontId="45" fillId="0" borderId="0" xfId="255" applyFont="1" applyFill="1" applyBorder="1" applyAlignment="1" applyProtection="1">
      <alignment horizontal="left" vertical="center" wrapText="1" indent="1"/>
    </xf>
    <xf numFmtId="0" fontId="45" fillId="0" borderId="0" xfId="255" applyFont="1" applyAlignment="1" applyProtection="1">
      <alignment horizontal="left"/>
    </xf>
    <xf numFmtId="0" fontId="45" fillId="0" borderId="77" xfId="255" applyFont="1" applyBorder="1" applyAlignment="1" applyProtection="1">
      <alignment horizontal="left" wrapText="1"/>
    </xf>
    <xf numFmtId="0" fontId="45" fillId="0" borderId="0" xfId="255" applyFont="1" applyBorder="1" applyAlignment="1" applyProtection="1">
      <alignment horizontal="left" wrapText="1"/>
    </xf>
    <xf numFmtId="0" fontId="10" fillId="28" borderId="42" xfId="69" applyFont="1" applyFill="1" applyBorder="1" applyAlignment="1" applyProtection="1">
      <alignment horizontal="center" vertical="center" wrapText="1"/>
    </xf>
    <xf numFmtId="0" fontId="10" fillId="28" borderId="43" xfId="69" applyFont="1" applyFill="1" applyBorder="1" applyAlignment="1" applyProtection="1">
      <alignment horizontal="center" vertical="center" wrapText="1"/>
    </xf>
    <xf numFmtId="0" fontId="10" fillId="28"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xf>
    <xf numFmtId="0" fontId="10" fillId="65" borderId="42" xfId="69" applyFont="1" applyFill="1" applyBorder="1" applyAlignment="1" applyProtection="1">
      <alignment horizontal="center" vertical="center" wrapText="1"/>
    </xf>
    <xf numFmtId="0" fontId="10" fillId="65" borderId="43" xfId="69" applyFont="1" applyFill="1" applyBorder="1" applyAlignment="1" applyProtection="1">
      <alignment horizontal="center" vertical="center" wrapText="1"/>
    </xf>
    <xf numFmtId="8" fontId="21" fillId="0" borderId="4" xfId="0" applyNumberFormat="1" applyFont="1" applyBorder="1" applyAlignment="1" applyProtection="1">
      <alignment horizontal="center" vertical="center" wrapText="1"/>
    </xf>
    <xf numFmtId="8" fontId="19" fillId="0" borderId="4" xfId="0" applyNumberFormat="1" applyFont="1" applyBorder="1" applyAlignment="1" applyProtection="1">
      <alignment horizontal="center" vertical="center" wrapText="1"/>
    </xf>
  </cellXfs>
  <cellStyles count="265">
    <cellStyle name="$" xfId="1"/>
    <cellStyle name="$.00" xfId="2"/>
    <cellStyle name="$_9. Rev2Cost_GDPIPI" xfId="60"/>
    <cellStyle name="$_9. Rev2Cost_GDPIPI 2" xfId="71"/>
    <cellStyle name="$_lists" xfId="61"/>
    <cellStyle name="$_lists 2" xfId="72"/>
    <cellStyle name="$_lists_4. Current Monthly Fixed Charge" xfId="62"/>
    <cellStyle name="$_Sheet4" xfId="63"/>
    <cellStyle name="$_Sheet4 2" xfId="73"/>
    <cellStyle name="$M" xfId="3"/>
    <cellStyle name="$M.00" xfId="4"/>
    <cellStyle name="$M_9. Rev2Cost_GDPIPI" xfId="64"/>
    <cellStyle name="20% - Accent1" xfId="5" builtinId="30" customBuiltin="1"/>
    <cellStyle name="20% - Accent1 2" xfId="74"/>
    <cellStyle name="20% - Accent1 2 2" xfId="140"/>
    <cellStyle name="20% - Accent2" xfId="6" builtinId="34" customBuiltin="1"/>
    <cellStyle name="20% - Accent2 2" xfId="75"/>
    <cellStyle name="20% - Accent2 2 2" xfId="141"/>
    <cellStyle name="20% - Accent3" xfId="7" builtinId="38" customBuiltin="1"/>
    <cellStyle name="20% - Accent3 2" xfId="76"/>
    <cellStyle name="20% - Accent3 2 2" xfId="142"/>
    <cellStyle name="20% - Accent4" xfId="8" builtinId="42" customBuiltin="1"/>
    <cellStyle name="20% - Accent4 2" xfId="77"/>
    <cellStyle name="20% - Accent4 2 2" xfId="143"/>
    <cellStyle name="20% - Accent5" xfId="9" builtinId="46" customBuiltin="1"/>
    <cellStyle name="20% - Accent5 2" xfId="78"/>
    <cellStyle name="20% - Accent5 2 2" xfId="144"/>
    <cellStyle name="20% - Accent6" xfId="10" builtinId="50" customBuiltin="1"/>
    <cellStyle name="20% - Accent6 2" xfId="79"/>
    <cellStyle name="20% - Accent6 2 2" xfId="145"/>
    <cellStyle name="40% - Accent1" xfId="11" builtinId="31" customBuiltin="1"/>
    <cellStyle name="40% - Accent1 2" xfId="80"/>
    <cellStyle name="40% - Accent1 2 2" xfId="146"/>
    <cellStyle name="40% - Accent2" xfId="12" builtinId="35" customBuiltin="1"/>
    <cellStyle name="40% - Accent2 2" xfId="81"/>
    <cellStyle name="40% - Accent2 2 2" xfId="147"/>
    <cellStyle name="40% - Accent3" xfId="13" builtinId="39" customBuiltin="1"/>
    <cellStyle name="40% - Accent3 2" xfId="82"/>
    <cellStyle name="40% - Accent3 2 2" xfId="148"/>
    <cellStyle name="40% - Accent4" xfId="14" builtinId="43" customBuiltin="1"/>
    <cellStyle name="40% - Accent4 2" xfId="83"/>
    <cellStyle name="40% - Accent4 2 2" xfId="149"/>
    <cellStyle name="40% - Accent5" xfId="15" builtinId="47" customBuiltin="1"/>
    <cellStyle name="40% - Accent5 2" xfId="84"/>
    <cellStyle name="40% - Accent5 2 2" xfId="150"/>
    <cellStyle name="40% - Accent6" xfId="16" builtinId="51" customBuiltin="1"/>
    <cellStyle name="40% - Accent6 2" xfId="85"/>
    <cellStyle name="40% - Accent6 2 2" xfId="151"/>
    <cellStyle name="60% - Accent1" xfId="17" builtinId="32" customBuiltin="1"/>
    <cellStyle name="60% - Accent1 2" xfId="86"/>
    <cellStyle name="60% - Accent2" xfId="18" builtinId="36" customBuiltin="1"/>
    <cellStyle name="60% - Accent2 2" xfId="87"/>
    <cellStyle name="60% - Accent3" xfId="19" builtinId="40" customBuiltin="1"/>
    <cellStyle name="60% - Accent3 2" xfId="88"/>
    <cellStyle name="60% - Accent4" xfId="20" builtinId="44" customBuiltin="1"/>
    <cellStyle name="60% - Accent4 2" xfId="89"/>
    <cellStyle name="60% - Accent5" xfId="21" builtinId="48" customBuiltin="1"/>
    <cellStyle name="60% - Accent5 2" xfId="90"/>
    <cellStyle name="60% - Accent6" xfId="22" builtinId="52" customBuiltin="1"/>
    <cellStyle name="60% - Accent6 2" xfId="91"/>
    <cellStyle name="Accent1" xfId="23" builtinId="29" customBuiltin="1"/>
    <cellStyle name="Accent1 2" xfId="92"/>
    <cellStyle name="Accent2" xfId="24" builtinId="33" customBuiltin="1"/>
    <cellStyle name="Accent2 2" xfId="93"/>
    <cellStyle name="Accent3" xfId="25" builtinId="37" customBuiltin="1"/>
    <cellStyle name="Accent3 2" xfId="94"/>
    <cellStyle name="Accent4" xfId="26" builtinId="41" customBuiltin="1"/>
    <cellStyle name="Accent4 2" xfId="95"/>
    <cellStyle name="Accent5" xfId="27" builtinId="45" customBuiltin="1"/>
    <cellStyle name="Accent5 2" xfId="96"/>
    <cellStyle name="Accent6" xfId="28" builtinId="49" customBuiltin="1"/>
    <cellStyle name="Accent6 2" xfId="97"/>
    <cellStyle name="Bad" xfId="29" builtinId="27" customBuiltin="1"/>
    <cellStyle name="Bad 2" xfId="98"/>
    <cellStyle name="Calculation" xfId="30" builtinId="22" customBuiltin="1"/>
    <cellStyle name="Calculation 2" xfId="99"/>
    <cellStyle name="Check Cell" xfId="31" builtinId="23" customBuiltin="1"/>
    <cellStyle name="Check Cell 2" xfId="100"/>
    <cellStyle name="Comma" xfId="56" builtinId="3"/>
    <cellStyle name="Comma 2" xfId="101"/>
    <cellStyle name="Comma 2 2" xfId="153"/>
    <cellStyle name="Comma 2 2 2" xfId="256"/>
    <cellStyle name="Comma 3" xfId="102"/>
    <cellStyle name="Comma 3 2" xfId="154"/>
    <cellStyle name="Comma 32" xfId="246"/>
    <cellStyle name="Comma 33" xfId="247"/>
    <cellStyle name="Comma 34" xfId="248"/>
    <cellStyle name="Comma 35" xfId="249"/>
    <cellStyle name="Comma 36" xfId="250"/>
    <cellStyle name="Comma 4" xfId="103"/>
    <cellStyle name="Comma 5" xfId="252"/>
    <cellStyle name="Comma0" xfId="32"/>
    <cellStyle name="Currency" xfId="57" builtinId="4"/>
    <cellStyle name="Currency 2" xfId="104"/>
    <cellStyle name="Currency 3" xfId="254"/>
    <cellStyle name="Currency 4" xfId="258"/>
    <cellStyle name="Currency0" xfId="33"/>
    <cellStyle name="Date" xfId="34"/>
    <cellStyle name="Explanatory Text" xfId="35" builtinId="53" customBuiltin="1"/>
    <cellStyle name="Explanatory Text 2" xfId="105"/>
    <cellStyle name="Fixed" xfId="36"/>
    <cellStyle name="Good" xfId="37" builtinId="26" customBuiltin="1"/>
    <cellStyle name="Good 2" xfId="106"/>
    <cellStyle name="Grey" xfId="38"/>
    <cellStyle name="Heading 1" xfId="39" builtinId="16" customBuiltin="1"/>
    <cellStyle name="Heading 1 2" xfId="107"/>
    <cellStyle name="Heading 2" xfId="40" builtinId="17" customBuiltin="1"/>
    <cellStyle name="Heading 2 2" xfId="108"/>
    <cellStyle name="Heading 3" xfId="41" builtinId="18" customBuiltin="1"/>
    <cellStyle name="Heading 3 2" xfId="109"/>
    <cellStyle name="Heading 3 3" xfId="197"/>
    <cellStyle name="Heading 3 4" xfId="158"/>
    <cellStyle name="Heading 3 5" xfId="134"/>
    <cellStyle name="Heading 3 6" xfId="198"/>
    <cellStyle name="Heading 3 7" xfId="157"/>
    <cellStyle name="Heading 3 8" xfId="192"/>
    <cellStyle name="Heading 4" xfId="42" builtinId="19" customBuiltin="1"/>
    <cellStyle name="Heading 4 2" xfId="110"/>
    <cellStyle name="Hyperlink 2" xfId="259"/>
    <cellStyle name="Input" xfId="43" builtinId="20" customBuiltin="1"/>
    <cellStyle name="Input [yellow]" xfId="44"/>
    <cellStyle name="Input 2" xfId="111"/>
    <cellStyle name="Linked Cell" xfId="45" builtinId="24" customBuiltin="1"/>
    <cellStyle name="Linked Cell 2" xfId="112"/>
    <cellStyle name="M" xfId="46"/>
    <cellStyle name="M.00" xfId="47"/>
    <cellStyle name="M_9. Rev2Cost_GDPIPI" xfId="65"/>
    <cellStyle name="M_9. Rev2Cost_GDPIPI 2" xfId="113"/>
    <cellStyle name="M_lists" xfId="66"/>
    <cellStyle name="M_lists 2" xfId="114"/>
    <cellStyle name="M_lists_4. Current Monthly Fixed Charge" xfId="67"/>
    <cellStyle name="M_Sheet4" xfId="68"/>
    <cellStyle name="M_Sheet4 2" xfId="115"/>
    <cellStyle name="Neutral" xfId="48" builtinId="28" customBuiltin="1"/>
    <cellStyle name="Neutral 2" xfId="116"/>
    <cellStyle name="Normal" xfId="0" builtinId="0"/>
    <cellStyle name="Normal - Style1" xfId="49"/>
    <cellStyle name="Normal 167" xfId="260"/>
    <cellStyle name="Normal 168" xfId="261"/>
    <cellStyle name="Normal 169" xfId="262"/>
    <cellStyle name="Normal 170" xfId="263"/>
    <cellStyle name="Normal 171" xfId="264"/>
    <cellStyle name="Normal 19" xfId="201"/>
    <cellStyle name="Normal 2" xfId="59"/>
    <cellStyle name="Normal 2 2" xfId="183"/>
    <cellStyle name="Normal 2 3" xfId="137"/>
    <cellStyle name="Normal 20" xfId="207"/>
    <cellStyle name="Normal 21" xfId="215"/>
    <cellStyle name="Normal 22" xfId="209"/>
    <cellStyle name="Normal 23" xfId="211"/>
    <cellStyle name="Normal 24" xfId="213"/>
    <cellStyle name="Normal 25" xfId="202"/>
    <cellStyle name="Normal 26" xfId="208"/>
    <cellStyle name="Normal 27" xfId="214"/>
    <cellStyle name="Normal 28" xfId="210"/>
    <cellStyle name="Normal 29" xfId="212"/>
    <cellStyle name="Normal 3" xfId="117"/>
    <cellStyle name="Normal 3 2" xfId="159"/>
    <cellStyle name="Normal 30" xfId="203"/>
    <cellStyle name="Normal 31" xfId="205"/>
    <cellStyle name="Normal 32" xfId="223"/>
    <cellStyle name="Normal 34" xfId="216"/>
    <cellStyle name="Normal 35" xfId="225"/>
    <cellStyle name="Normal 37" xfId="220"/>
    <cellStyle name="Normal 38" xfId="218"/>
    <cellStyle name="Normal 4" xfId="118"/>
    <cellStyle name="Normal 4 2" xfId="160"/>
    <cellStyle name="Normal 41" xfId="204"/>
    <cellStyle name="Normal 42" xfId="206"/>
    <cellStyle name="Normal 44" xfId="222"/>
    <cellStyle name="Normal 45" xfId="224"/>
    <cellStyle name="Normal 46" xfId="217"/>
    <cellStyle name="Normal 48" xfId="221"/>
    <cellStyle name="Normal 49" xfId="219"/>
    <cellStyle name="Normal 5" xfId="119"/>
    <cellStyle name="Normal 5 2" xfId="161"/>
    <cellStyle name="Normal 50" xfId="226"/>
    <cellStyle name="Normal 51" xfId="227"/>
    <cellStyle name="Normal 52" xfId="228"/>
    <cellStyle name="Normal 53" xfId="229"/>
    <cellStyle name="Normal 54" xfId="232"/>
    <cellStyle name="Normal 55" xfId="233"/>
    <cellStyle name="Normal 56" xfId="235"/>
    <cellStyle name="Normal 57" xfId="236"/>
    <cellStyle name="Normal 58" xfId="234"/>
    <cellStyle name="Normal 59" xfId="237"/>
    <cellStyle name="Normal 6" xfId="251"/>
    <cellStyle name="Normal 60" xfId="230"/>
    <cellStyle name="Normal 61" xfId="231"/>
    <cellStyle name="Normal 62" xfId="243"/>
    <cellStyle name="Normal 63" xfId="244"/>
    <cellStyle name="Normal 65" xfId="238"/>
    <cellStyle name="Normal 66" xfId="239"/>
    <cellStyle name="Normal 67" xfId="240"/>
    <cellStyle name="Normal 68" xfId="245"/>
    <cellStyle name="Normal 7" xfId="255"/>
    <cellStyle name="Normal 70" xfId="242"/>
    <cellStyle name="Normal 71" xfId="241"/>
    <cellStyle name="Normal_6. Cost Allocation for Def-Var" xfId="69"/>
    <cellStyle name="Normal_Sheet7" xfId="70"/>
    <cellStyle name="Note" xfId="50" builtinId="10" customBuiltin="1"/>
    <cellStyle name="Note 2" xfId="120"/>
    <cellStyle name="Note 2 2" xfId="162"/>
    <cellStyle name="Note 3" xfId="180"/>
    <cellStyle name="Note 4" xfId="135"/>
    <cellStyle name="Output" xfId="51" builtinId="21" customBuiltin="1"/>
    <cellStyle name="Output 2" xfId="121"/>
    <cellStyle name="Percent" xfId="58" builtinId="5"/>
    <cellStyle name="Percent [2]" xfId="52"/>
    <cellStyle name="Percent 10" xfId="184"/>
    <cellStyle name="Percent 11" xfId="168"/>
    <cellStyle name="Percent 12" xfId="177"/>
    <cellStyle name="Percent 13" xfId="169"/>
    <cellStyle name="Percent 14" xfId="176"/>
    <cellStyle name="Percent 15" xfId="170"/>
    <cellStyle name="Percent 16" xfId="175"/>
    <cellStyle name="Percent 17" xfId="171"/>
    <cellStyle name="Percent 18" xfId="174"/>
    <cellStyle name="Percent 19" xfId="172"/>
    <cellStyle name="Percent 2" xfId="122"/>
    <cellStyle name="Percent 20" xfId="188"/>
    <cellStyle name="Percent 21" xfId="187"/>
    <cellStyle name="Percent 22" xfId="189"/>
    <cellStyle name="Percent 23" xfId="185"/>
    <cellStyle name="Percent 24" xfId="165"/>
    <cellStyle name="Percent 25" xfId="167"/>
    <cellStyle name="Percent 26" xfId="173"/>
    <cellStyle name="Percent 27" xfId="178"/>
    <cellStyle name="Percent 28" xfId="190"/>
    <cellStyle name="Percent 29" xfId="136"/>
    <cellStyle name="Percent 3" xfId="123"/>
    <cellStyle name="Percent 3 2" xfId="163"/>
    <cellStyle name="Percent 30" xfId="129"/>
    <cellStyle name="Percent 31" xfId="156"/>
    <cellStyle name="Percent 32" xfId="155"/>
    <cellStyle name="Percent 33" xfId="132"/>
    <cellStyle name="Percent 34" xfId="193"/>
    <cellStyle name="Percent 35" xfId="138"/>
    <cellStyle name="Percent 36" xfId="195"/>
    <cellStyle name="Percent 37" xfId="139"/>
    <cellStyle name="Percent 38" xfId="199"/>
    <cellStyle name="Percent 39" xfId="152"/>
    <cellStyle name="Percent 4" xfId="182"/>
    <cellStyle name="Percent 40" xfId="133"/>
    <cellStyle name="Percent 41" xfId="194"/>
    <cellStyle name="Percent 42" xfId="128"/>
    <cellStyle name="Percent 43" xfId="200"/>
    <cellStyle name="Percent 44" xfId="131"/>
    <cellStyle name="Percent 45" xfId="127"/>
    <cellStyle name="Percent 46" xfId="191"/>
    <cellStyle name="Percent 47" xfId="196"/>
    <cellStyle name="Percent 48" xfId="130"/>
    <cellStyle name="Percent 49" xfId="253"/>
    <cellStyle name="Percent 5" xfId="164"/>
    <cellStyle name="Percent 50" xfId="257"/>
    <cellStyle name="Percent 6" xfId="179"/>
    <cellStyle name="Percent 7" xfId="186"/>
    <cellStyle name="Percent 8" xfId="181"/>
    <cellStyle name="Percent 9" xfId="166"/>
    <cellStyle name="Title" xfId="53" builtinId="15" customBuiltin="1"/>
    <cellStyle name="Title 2" xfId="124"/>
    <cellStyle name="Total" xfId="54" builtinId="25" customBuiltin="1"/>
    <cellStyle name="Total 2" xfId="125"/>
    <cellStyle name="Warning Text" xfId="55" builtinId="11" customBuiltin="1"/>
    <cellStyle name="Warning Text 2" xfId="126"/>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checked="Checked" fmlaLink="CB27" lockText="1" noThreeD="1"/>
</file>

<file path=xl/ctrlProps/ctrlProp10.xml><?xml version="1.0" encoding="utf-8"?>
<formControlPr xmlns="http://schemas.microsoft.com/office/spreadsheetml/2009/9/main" objectType="CheckBox" checked="Checked" fmlaLink="CB50" lockText="1" noThreeD="1"/>
</file>

<file path=xl/ctrlProps/ctrlProp11.xml><?xml version="1.0" encoding="utf-8"?>
<formControlPr xmlns="http://schemas.microsoft.com/office/spreadsheetml/2009/9/main" objectType="CheckBox" checked="Checked" fmlaLink="$CB$52" lockText="1" noThreeD="1"/>
</file>

<file path=xl/ctrlProps/ctrlProp12.xml><?xml version="1.0" encoding="utf-8"?>
<formControlPr xmlns="http://schemas.microsoft.com/office/spreadsheetml/2009/9/main" objectType="CheckBox" checked="Checked" fmlaLink="$CB$85" lockText="1" noThreeD="1"/>
</file>

<file path=xl/ctrlProps/ctrlProp13.xml><?xml version="1.0" encoding="utf-8"?>
<formControlPr xmlns="http://schemas.microsoft.com/office/spreadsheetml/2009/9/main" objectType="CheckBox" checked="Checked" fmlaLink="$CB$86" lockText="1" noThreeD="1"/>
</file>

<file path=xl/ctrlProps/ctrlProp14.xml><?xml version="1.0" encoding="utf-8"?>
<formControlPr xmlns="http://schemas.microsoft.com/office/spreadsheetml/2009/9/main" objectType="CheckBox" checked="Checked" fmlaLink="$CB$58" lockText="1" noThreeD="1"/>
</file>

<file path=xl/ctrlProps/ctrlProp15.xml><?xml version="1.0" encoding="utf-8"?>
<formControlPr xmlns="http://schemas.microsoft.com/office/spreadsheetml/2009/9/main" objectType="CheckBox" fmlaLink="CA11" lockText="1" noThreeD="1"/>
</file>

<file path=xl/ctrlProps/ctrlProp16.xml><?xml version="1.0" encoding="utf-8"?>
<formControlPr xmlns="http://schemas.microsoft.com/office/spreadsheetml/2009/9/main" objectType="CheckBox" fmlaLink="B2"/>
</file>

<file path=xl/ctrlProps/ctrlProp2.xml><?xml version="1.0" encoding="utf-8"?>
<formControlPr xmlns="http://schemas.microsoft.com/office/spreadsheetml/2009/9/main" objectType="CheckBox" checked="Checked" fmlaLink="CB28" lockText="1" noThreeD="1"/>
</file>

<file path=xl/ctrlProps/ctrlProp3.xml><?xml version="1.0" encoding="utf-8"?>
<formControlPr xmlns="http://schemas.microsoft.com/office/spreadsheetml/2009/9/main" objectType="CheckBox" checked="Checked" fmlaLink="$CB$33" lockText="1" noThreeD="1"/>
</file>

<file path=xl/ctrlProps/ctrlProp4.xml><?xml version="1.0" encoding="utf-8"?>
<formControlPr xmlns="http://schemas.microsoft.com/office/spreadsheetml/2009/9/main" objectType="CheckBox" checked="Checked" fmlaLink="CB34" lockText="1" noThreeD="1"/>
</file>

<file path=xl/ctrlProps/ctrlProp5.xml><?xml version="1.0" encoding="utf-8"?>
<formControlPr xmlns="http://schemas.microsoft.com/office/spreadsheetml/2009/9/main" objectType="CheckBox" fmlaLink="$CB$35" lockText="1" noThreeD="1"/>
</file>

<file path=xl/ctrlProps/ctrlProp6.xml><?xml version="1.0" encoding="utf-8"?>
<formControlPr xmlns="http://schemas.microsoft.com/office/spreadsheetml/2009/9/main" objectType="CheckBox" checked="Checked" fmlaLink="$CB$36" lockText="1" noThreeD="1"/>
</file>

<file path=xl/ctrlProps/ctrlProp7.xml><?xml version="1.0" encoding="utf-8"?>
<formControlPr xmlns="http://schemas.microsoft.com/office/spreadsheetml/2009/9/main" objectType="CheckBox" checked="Checked" fmlaLink="$CB$37" lockText="1" noThreeD="1"/>
</file>

<file path=xl/ctrlProps/ctrlProp8.xml><?xml version="1.0" encoding="utf-8"?>
<formControlPr xmlns="http://schemas.microsoft.com/office/spreadsheetml/2009/9/main" objectType="CheckBox" checked="Checked" fmlaLink="$CB$38" lockText="1" noThreeD="1"/>
</file>

<file path=xl/ctrlProps/ctrlProp9.xml><?xml version="1.0" encoding="utf-8"?>
<formControlPr xmlns="http://schemas.microsoft.com/office/spreadsheetml/2009/9/main" objectType="CheckBox" checked="Checked" fmlaLink="$CB$3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11" name="Group 10"/>
        <xdr:cNvGrpSpPr/>
      </xdr:nvGrpSpPr>
      <xdr:grpSpPr>
        <a:xfrm>
          <a:off x="0" y="0"/>
          <a:ext cx="9084115" cy="1915766"/>
          <a:chOff x="0" y="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8" name="Rectangle 7"/>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5</xdr:col>
      <xdr:colOff>139053</xdr:colOff>
      <xdr:row>14</xdr:row>
      <xdr:rowOff>22411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8420200" cy="2173941"/>
        </a:xfrm>
        <a:prstGeom prst="rect">
          <a:avLst/>
        </a:prstGeom>
        <a:ln>
          <a:noFill/>
        </a:ln>
        <a:effectLst>
          <a:softEdge rad="112500"/>
        </a:effectLst>
      </xdr:spPr>
    </xdr:pic>
    <xdr:clientData/>
  </xdr:twoCellAnchor>
  <xdr:twoCellAnchor>
    <xdr:from>
      <xdr:col>0</xdr:col>
      <xdr:colOff>156883</xdr:colOff>
      <xdr:row>3</xdr:row>
      <xdr:rowOff>87476</xdr:rowOff>
    </xdr:from>
    <xdr:to>
      <xdr:col>5</xdr:col>
      <xdr:colOff>0</xdr:colOff>
      <xdr:row>11</xdr:row>
      <xdr:rowOff>22409</xdr:rowOff>
    </xdr:to>
    <xdr:sp macro="" textlink="">
      <xdr:nvSpPr>
        <xdr:cNvPr id="7" name="Rectangle 6"/>
        <xdr:cNvSpPr/>
      </xdr:nvSpPr>
      <xdr:spPr>
        <a:xfrm>
          <a:off x="156883" y="558123"/>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2</xdr:col>
      <xdr:colOff>2329485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71</xdr:col>
          <xdr:colOff>106680</xdr:colOff>
          <xdr:row>26</xdr:row>
          <xdr:rowOff>30480</xdr:rowOff>
        </xdr:from>
        <xdr:to>
          <xdr:col>71</xdr:col>
          <xdr:colOff>2080260</xdr:colOff>
          <xdr:row>27</xdr:row>
          <xdr:rowOff>22860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27</xdr:row>
          <xdr:rowOff>7620</xdr:rowOff>
        </xdr:from>
        <xdr:to>
          <xdr:col>71</xdr:col>
          <xdr:colOff>2080260</xdr:colOff>
          <xdr:row>28</xdr:row>
          <xdr:rowOff>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32</xdr:row>
          <xdr:rowOff>38100</xdr:rowOff>
        </xdr:from>
        <xdr:to>
          <xdr:col>71</xdr:col>
          <xdr:colOff>2080260</xdr:colOff>
          <xdr:row>33</xdr:row>
          <xdr:rowOff>38100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33</xdr:row>
          <xdr:rowOff>7620</xdr:rowOff>
        </xdr:from>
        <xdr:to>
          <xdr:col>71</xdr:col>
          <xdr:colOff>1737360</xdr:colOff>
          <xdr:row>34</xdr:row>
          <xdr:rowOff>7620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34</xdr:row>
          <xdr:rowOff>30480</xdr:rowOff>
        </xdr:from>
        <xdr:to>
          <xdr:col>71</xdr:col>
          <xdr:colOff>2080260</xdr:colOff>
          <xdr:row>35</xdr:row>
          <xdr:rowOff>30480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35</xdr:row>
          <xdr:rowOff>30480</xdr:rowOff>
        </xdr:from>
        <xdr:to>
          <xdr:col>71</xdr:col>
          <xdr:colOff>2080260</xdr:colOff>
          <xdr:row>36</xdr:row>
          <xdr:rowOff>30480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36</xdr:row>
          <xdr:rowOff>30480</xdr:rowOff>
        </xdr:from>
        <xdr:to>
          <xdr:col>71</xdr:col>
          <xdr:colOff>2080260</xdr:colOff>
          <xdr:row>37</xdr:row>
          <xdr:rowOff>30480</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37</xdr:row>
          <xdr:rowOff>30480</xdr:rowOff>
        </xdr:from>
        <xdr:to>
          <xdr:col>71</xdr:col>
          <xdr:colOff>2080260</xdr:colOff>
          <xdr:row>38</xdr:row>
          <xdr:rowOff>38100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38</xdr:row>
          <xdr:rowOff>30480</xdr:rowOff>
        </xdr:from>
        <xdr:to>
          <xdr:col>71</xdr:col>
          <xdr:colOff>2080260</xdr:colOff>
          <xdr:row>39</xdr:row>
          <xdr:rowOff>22860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49</xdr:row>
          <xdr:rowOff>30480</xdr:rowOff>
        </xdr:from>
        <xdr:to>
          <xdr:col>71</xdr:col>
          <xdr:colOff>2080260</xdr:colOff>
          <xdr:row>50</xdr:row>
          <xdr:rowOff>30480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50</xdr:row>
          <xdr:rowOff>182880</xdr:rowOff>
        </xdr:from>
        <xdr:to>
          <xdr:col>71</xdr:col>
          <xdr:colOff>2080260</xdr:colOff>
          <xdr:row>52</xdr:row>
          <xdr:rowOff>22860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83</xdr:row>
          <xdr:rowOff>182880</xdr:rowOff>
        </xdr:from>
        <xdr:to>
          <xdr:col>71</xdr:col>
          <xdr:colOff>2080260</xdr:colOff>
          <xdr:row>84</xdr:row>
          <xdr:rowOff>220980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85</xdr:row>
          <xdr:rowOff>0</xdr:rowOff>
        </xdr:from>
        <xdr:to>
          <xdr:col>71</xdr:col>
          <xdr:colOff>2080260</xdr:colOff>
          <xdr:row>86</xdr:row>
          <xdr:rowOff>7620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56</xdr:row>
          <xdr:rowOff>182880</xdr:rowOff>
        </xdr:from>
        <xdr:to>
          <xdr:col>71</xdr:col>
          <xdr:colOff>2080260</xdr:colOff>
          <xdr:row>58</xdr:row>
          <xdr:rowOff>22860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xdr:from>
      <xdr:col>68</xdr:col>
      <xdr:colOff>1053354</xdr:colOff>
      <xdr:row>6</xdr:row>
      <xdr:rowOff>56030</xdr:rowOff>
    </xdr:from>
    <xdr:to>
      <xdr:col>71</xdr:col>
      <xdr:colOff>1557074</xdr:colOff>
      <xdr:row>17</xdr:row>
      <xdr:rowOff>63344</xdr:rowOff>
    </xdr:to>
    <xdr:sp macro="" textlink="">
      <xdr:nvSpPr>
        <xdr:cNvPr id="21" name="Rounded Rectangle 20"/>
        <xdr:cNvSpPr/>
      </xdr:nvSpPr>
      <xdr:spPr>
        <a:xfrm>
          <a:off x="78004148" y="997324"/>
          <a:ext cx="5882544" cy="17330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200">
              <a:solidFill>
                <a:schemeClr val="tx1"/>
              </a:solidFill>
              <a:latin typeface="Arial" pitchFamily="34" charset="0"/>
              <a:cs typeface="Arial" pitchFamily="34" charset="0"/>
            </a:rPr>
            <a:t>If you</a:t>
          </a:r>
          <a:r>
            <a:rPr lang="en-CA" sz="1200" baseline="0">
              <a:solidFill>
                <a:schemeClr val="tx1"/>
              </a:solidFill>
              <a:latin typeface="Arial" pitchFamily="34" charset="0"/>
              <a:cs typeface="Arial" pitchFamily="34" charset="0"/>
            </a:rPr>
            <a:t> have a Class A customer, </a:t>
          </a:r>
          <a:r>
            <a:rPr lang="en-CA" sz="1200">
              <a:solidFill>
                <a:schemeClr val="tx1"/>
              </a:solidFill>
              <a:latin typeface="Arial" pitchFamily="34" charset="0"/>
              <a:cs typeface="Arial" pitchFamily="34" charset="0"/>
            </a:rPr>
            <a:t>1580 </a:t>
          </a:r>
          <a:r>
            <a:rPr lang="en-CA" sz="1200" baseline="0">
              <a:solidFill>
                <a:schemeClr val="tx1"/>
              </a:solidFill>
              <a:latin typeface="Arial" pitchFamily="34" charset="0"/>
              <a:cs typeface="Arial" pitchFamily="34" charset="0"/>
            </a:rPr>
            <a:t>Sub-account CBR Class B should be disposed through a rate rider calculated outside the model (if significant).</a:t>
          </a:r>
        </a:p>
        <a:p>
          <a:pPr algn="l"/>
          <a:endParaRPr lang="en-CA" sz="1200" baseline="0">
            <a:solidFill>
              <a:schemeClr val="tx1"/>
            </a:solidFill>
            <a:latin typeface="Arial" pitchFamily="34" charset="0"/>
            <a:cs typeface="Arial" pitchFamily="34" charset="0"/>
          </a:endParaRPr>
        </a:p>
        <a:p>
          <a:pPr algn="l"/>
          <a:r>
            <a:rPr lang="en-CA" sz="1200" baseline="0">
              <a:solidFill>
                <a:schemeClr val="tx1"/>
              </a:solidFill>
              <a:latin typeface="Arial" pitchFamily="34" charset="0"/>
              <a:cs typeface="Arial" pitchFamily="34" charset="0"/>
            </a:rPr>
            <a:t>If you have only Class B customers, the balance applicable to Class B will be allocated and disposed with Account 1580 when the check box below is left unchecked  See note 10 below.</a:t>
          </a:r>
          <a:endParaRPr lang="en-CA" sz="1200">
            <a:solidFill>
              <a:schemeClr val="tx1"/>
            </a:solidFill>
            <a:latin typeface="Arial" pitchFamily="34" charset="0"/>
            <a:cs typeface="Arial" pitchFamily="34" charset="0"/>
          </a:endParaRPr>
        </a:p>
        <a:p>
          <a:pPr algn="l"/>
          <a:endParaRPr lang="en-CA" sz="1200">
            <a:solidFill>
              <a:schemeClr val="tx1"/>
            </a:solidFill>
            <a:latin typeface="Arial" pitchFamily="34" charset="0"/>
            <a:cs typeface="Arial" pitchFamily="34" charset="0"/>
          </a:endParaRPr>
        </a:p>
        <a:p>
          <a:pPr algn="l"/>
          <a:r>
            <a:rPr lang="en-CA" sz="1200">
              <a:solidFill>
                <a:schemeClr val="tx1"/>
              </a:solidFill>
              <a:latin typeface="Arial" pitchFamily="34" charset="0"/>
              <a:cs typeface="Arial" pitchFamily="34" charset="0"/>
            </a:rPr>
            <a:t>Please click if you have one or more Class A customers.</a:t>
          </a:r>
          <a:endParaRPr lang="en-CA" sz="1200" baseline="0">
            <a:solidFill>
              <a:schemeClr val="tx1"/>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71</xdr:col>
          <xdr:colOff>198120</xdr:colOff>
          <xdr:row>14</xdr:row>
          <xdr:rowOff>68580</xdr:rowOff>
        </xdr:from>
        <xdr:to>
          <xdr:col>71</xdr:col>
          <xdr:colOff>617220</xdr:colOff>
          <xdr:row>16</xdr:row>
          <xdr:rowOff>83820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0</xdr:col>
      <xdr:colOff>0</xdr:colOff>
      <xdr:row>0</xdr:row>
      <xdr:rowOff>0</xdr:rowOff>
    </xdr:from>
    <xdr:to>
      <xdr:col>4</xdr:col>
      <xdr:colOff>647800</xdr:colOff>
      <xdr:row>13</xdr:row>
      <xdr:rowOff>68916</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420200" cy="2173941"/>
        </a:xfrm>
        <a:prstGeom prst="rect">
          <a:avLst/>
        </a:prstGeom>
        <a:ln>
          <a:noFill/>
        </a:ln>
        <a:effectLst>
          <a:softEdge rad="112500"/>
        </a:effectLst>
      </xdr:spPr>
    </xdr:pic>
    <xdr:clientData/>
  </xdr:twoCellAnchor>
  <xdr:twoCellAnchor>
    <xdr:from>
      <xdr:col>0</xdr:col>
      <xdr:colOff>156883</xdr:colOff>
      <xdr:row>3</xdr:row>
      <xdr:rowOff>27525</xdr:rowOff>
    </xdr:from>
    <xdr:to>
      <xdr:col>4</xdr:col>
      <xdr:colOff>508747</xdr:colOff>
      <xdr:row>10</xdr:row>
      <xdr:rowOff>84042</xdr:rowOff>
    </xdr:to>
    <xdr:sp macro="" textlink="">
      <xdr:nvSpPr>
        <xdr:cNvPr id="8" name="Rectangle 7"/>
        <xdr:cNvSpPr/>
      </xdr:nvSpPr>
      <xdr:spPr>
        <a:xfrm>
          <a:off x="156883" y="513300"/>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0</xdr:row>
      <xdr:rowOff>138609</xdr:rowOff>
    </xdr:from>
    <xdr:to>
      <xdr:col>1</xdr:col>
      <xdr:colOff>195056</xdr:colOff>
      <xdr:row>3</xdr:row>
      <xdr:rowOff>20894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38609"/>
          <a:ext cx="389282" cy="36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146321</xdr:colOff>
      <xdr:row>0</xdr:row>
      <xdr:rowOff>113398</xdr:rowOff>
    </xdr:from>
    <xdr:to>
      <xdr:col>2</xdr:col>
      <xdr:colOff>1724928</xdr:colOff>
      <xdr:row>2</xdr:row>
      <xdr:rowOff>110670</xdr:rowOff>
    </xdr:to>
    <xdr:sp macro="" textlink="">
      <xdr:nvSpPr>
        <xdr:cNvPr id="10" name="Rectangle 9"/>
        <xdr:cNvSpPr/>
      </xdr:nvSpPr>
      <xdr:spPr>
        <a:xfrm>
          <a:off x="546371" y="113398"/>
          <a:ext cx="2578732" cy="32112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8</xdr:col>
      <xdr:colOff>428625</xdr:colOff>
      <xdr:row>12</xdr:row>
      <xdr:rowOff>29816</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775" y="57150"/>
          <a:ext cx="100298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7" name="Rectangle 6"/>
        <xdr:cNvSpPr/>
      </xdr:nvSpPr>
      <xdr:spPr>
        <a:xfrm>
          <a:off x="299136" y="701561"/>
          <a:ext cx="79188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1</xdr:col>
      <xdr:colOff>2519985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10</xdr:col>
      <xdr:colOff>752475</xdr:colOff>
      <xdr:row>1</xdr:row>
      <xdr:rowOff>76200</xdr:rowOff>
    </xdr:from>
    <xdr:to>
      <xdr:col>16</xdr:col>
      <xdr:colOff>76200</xdr:colOff>
      <xdr:row>14</xdr:row>
      <xdr:rowOff>13448</xdr:rowOff>
    </xdr:to>
    <xdr:sp macro="" textlink="">
      <xdr:nvSpPr>
        <xdr:cNvPr id="10" name="Rounded Rectangle 9"/>
        <xdr:cNvSpPr/>
      </xdr:nvSpPr>
      <xdr:spPr>
        <a:xfrm>
          <a:off x="12753975" y="238125"/>
          <a:ext cx="4010025" cy="17946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100" baseline="0">
              <a:solidFill>
                <a:schemeClr val="tx1"/>
              </a:solidFill>
              <a:latin typeface="Arial" pitchFamily="34" charset="0"/>
              <a:cs typeface="Arial" pitchFamily="34" charset="0"/>
            </a:rPr>
            <a:t>If a Class B customer switched into Class A during the 2015 rate year, click  this check box: </a:t>
          </a:r>
        </a:p>
        <a:p>
          <a:pPr algn="l"/>
          <a:endParaRPr lang="en-CA" sz="1100" baseline="0">
            <a:solidFill>
              <a:schemeClr val="tx1"/>
            </a:solidFill>
            <a:latin typeface="Arial" pitchFamily="34" charset="0"/>
            <a:cs typeface="Arial" pitchFamily="34" charset="0"/>
          </a:endParaRPr>
        </a:p>
        <a:p>
          <a:pPr algn="l"/>
          <a:r>
            <a:rPr lang="en-CA" sz="1100" baseline="0">
              <a:solidFill>
                <a:schemeClr val="tx1"/>
              </a:solidFill>
              <a:latin typeface="Arial" pitchFamily="34" charset="0"/>
              <a:cs typeface="Arial" pitchFamily="34" charset="0"/>
            </a:rPr>
            <a:t>Identify the total consumption for former Class B customers prior to becoming Class A customers (i.e. Jan 1. to June 30, 2015) in column Q. </a:t>
          </a:r>
        </a:p>
      </xdr:txBody>
    </xdr:sp>
    <xdr:clientData/>
  </xdr:twoCellAnchor>
  <mc:AlternateContent xmlns:mc="http://schemas.openxmlformats.org/markup-compatibility/2006">
    <mc:Choice xmlns:a14="http://schemas.microsoft.com/office/drawing/2010/main" Requires="a14">
      <xdr:twoCellAnchor editAs="oneCell">
        <xdr:from>
          <xdr:col>12</xdr:col>
          <xdr:colOff>845820</xdr:colOff>
          <xdr:row>3</xdr:row>
          <xdr:rowOff>45720</xdr:rowOff>
        </xdr:from>
        <xdr:to>
          <xdr:col>18</xdr:col>
          <xdr:colOff>419100</xdr:colOff>
          <xdr:row>4</xdr:row>
          <xdr:rowOff>76200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275" y="0"/>
          <a:ext cx="900982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7" name="Rectangle 6"/>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8924095"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9" name="Rectangle 8"/>
        <xdr:cNvSpPr/>
      </xdr:nvSpPr>
      <xdr:spPr>
        <a:xfrm>
          <a:off x="232826" y="818540"/>
          <a:ext cx="84141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10" name="Rectangle 9"/>
        <xdr:cNvSpPr/>
      </xdr:nvSpPr>
      <xdr:spPr>
        <a:xfrm>
          <a:off x="641986" y="275200"/>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8</xdr:col>
      <xdr:colOff>75370</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0"/>
          <a:ext cx="8857420" cy="1915766"/>
        </a:xfrm>
        <a:prstGeom prst="rect">
          <a:avLst/>
        </a:prstGeom>
        <a:ln>
          <a:noFill/>
        </a:ln>
        <a:effectLst>
          <a:softEdge rad="112500"/>
        </a:effectLst>
      </xdr:spPr>
    </xdr:pic>
    <xdr:clientData/>
  </xdr:twoCellAnchor>
  <xdr:twoCellAnchor>
    <xdr:from>
      <xdr:col>0</xdr:col>
      <xdr:colOff>156261</xdr:colOff>
      <xdr:row>4</xdr:row>
      <xdr:rowOff>53861</xdr:rowOff>
    </xdr:from>
    <xdr:to>
      <xdr:col>7</xdr:col>
      <xdr:colOff>674206</xdr:colOff>
      <xdr:row>7</xdr:row>
      <xdr:rowOff>114715</xdr:rowOff>
    </xdr:to>
    <xdr:sp macro="" textlink="">
      <xdr:nvSpPr>
        <xdr:cNvPr id="7" name="Rectangle 6"/>
        <xdr:cNvSpPr/>
      </xdr:nvSpPr>
      <xdr:spPr>
        <a:xfrm>
          <a:off x="15626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224874</xdr:colOff>
      <xdr:row>1</xdr:row>
      <xdr:rowOff>26550</xdr:rowOff>
    </xdr:from>
    <xdr:to>
      <xdr:col>1</xdr:col>
      <xdr:colOff>4556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2487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565421</xdr:colOff>
      <xdr:row>0</xdr:row>
      <xdr:rowOff>158221</xdr:rowOff>
    </xdr:from>
    <xdr:to>
      <xdr:col>2</xdr:col>
      <xdr:colOff>157785</xdr:colOff>
      <xdr:row>3</xdr:row>
      <xdr:rowOff>8696</xdr:rowOff>
    </xdr:to>
    <xdr:sp macro="" textlink="">
      <xdr:nvSpPr>
        <xdr:cNvPr id="9" name="Rectangle 8"/>
        <xdr:cNvSpPr/>
      </xdr:nvSpPr>
      <xdr:spPr>
        <a:xfrm>
          <a:off x="56542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8</xdr:col>
      <xdr:colOff>733425</xdr:colOff>
      <xdr:row>123</xdr:row>
      <xdr:rowOff>628650</xdr:rowOff>
    </xdr:from>
    <xdr:to>
      <xdr:col>13</xdr:col>
      <xdr:colOff>85725</xdr:colOff>
      <xdr:row>129</xdr:row>
      <xdr:rowOff>104775</xdr:rowOff>
    </xdr:to>
    <xdr:sp macro="" textlink="">
      <xdr:nvSpPr>
        <xdr:cNvPr id="2" name="TextBox 1"/>
        <xdr:cNvSpPr txBox="1"/>
      </xdr:nvSpPr>
      <xdr:spPr>
        <a:xfrm>
          <a:off x="9534525" y="17306925"/>
          <a:ext cx="4000500"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8</xdr:col>
      <xdr:colOff>828675</xdr:colOff>
      <xdr:row>151</xdr:row>
      <xdr:rowOff>209550</xdr:rowOff>
    </xdr:from>
    <xdr:to>
      <xdr:col>13</xdr:col>
      <xdr:colOff>180975</xdr:colOff>
      <xdr:row>158</xdr:row>
      <xdr:rowOff>142875</xdr:rowOff>
    </xdr:to>
    <xdr:sp macro="" textlink="">
      <xdr:nvSpPr>
        <xdr:cNvPr id="10" name="TextBox 9"/>
        <xdr:cNvSpPr txBox="1"/>
      </xdr:nvSpPr>
      <xdr:spPr>
        <a:xfrm>
          <a:off x="9629775" y="22088475"/>
          <a:ext cx="4000500" cy="12287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including Accounts 1575 and 1576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7</xdr:col>
      <xdr:colOff>409575</xdr:colOff>
      <xdr:row>72</xdr:row>
      <xdr:rowOff>19051</xdr:rowOff>
    </xdr:from>
    <xdr:to>
      <xdr:col>10</xdr:col>
      <xdr:colOff>342900</xdr:colOff>
      <xdr:row>76</xdr:row>
      <xdr:rowOff>1</xdr:rowOff>
    </xdr:to>
    <xdr:sp macro="" textlink="">
      <xdr:nvSpPr>
        <xdr:cNvPr id="11" name="TextBox 10"/>
        <xdr:cNvSpPr txBox="1"/>
      </xdr:nvSpPr>
      <xdr:spPr>
        <a:xfrm>
          <a:off x="8458200" y="12744451"/>
          <a:ext cx="3505200" cy="62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Rate riders for Global Adjustment is to be calculated on the basis of kWh for all classes.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InnPower/OEB/2016%20Filings/2017%20COS/Interrogatory%20Responses/DVA/IRM_V11_NEW_GA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7%20COS/Models/Interrogatories-TC/Load%20Forecast/InnPower_2017%20Load%20Forecast_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Tables"/>
      <sheetName val="Summary"/>
      <sheetName val="Purchased Power Model "/>
      <sheetName val="Purchased Power Model WN"/>
      <sheetName val="Rate Class Energy Model"/>
      <sheetName val="Rate Class Customer Model"/>
      <sheetName val="Rate Class Load Model"/>
      <sheetName val="Weather Analysis"/>
      <sheetName val="2017 COP Forecast"/>
    </sheetNames>
    <sheetDataSet>
      <sheetData sheetId="0"/>
      <sheetData sheetId="1">
        <row r="14">
          <cell r="L14">
            <v>15554.75</v>
          </cell>
        </row>
        <row r="15">
          <cell r="L15">
            <v>144001990.04708877</v>
          </cell>
        </row>
        <row r="18">
          <cell r="L18">
            <v>1034.4166666666667</v>
          </cell>
        </row>
        <row r="19">
          <cell r="L19">
            <v>31418007.178141017</v>
          </cell>
        </row>
        <row r="22">
          <cell r="L22">
            <v>87.5</v>
          </cell>
        </row>
        <row r="23">
          <cell r="L23">
            <v>63122597.065548651</v>
          </cell>
        </row>
        <row r="24">
          <cell r="L24">
            <v>174966.34292758067</v>
          </cell>
        </row>
        <row r="27">
          <cell r="L27">
            <v>161</v>
          </cell>
        </row>
        <row r="28">
          <cell r="L28">
            <v>103051.65856497742</v>
          </cell>
        </row>
        <row r="29">
          <cell r="L29">
            <v>286.28122226821648</v>
          </cell>
        </row>
        <row r="32">
          <cell r="L32">
            <v>2994.8333333333335</v>
          </cell>
        </row>
        <row r="33">
          <cell r="L33">
            <v>561223.48942778981</v>
          </cell>
        </row>
        <row r="34">
          <cell r="L34">
            <v>1598.6472960042561</v>
          </cell>
        </row>
        <row r="37">
          <cell r="L37">
            <v>73.5</v>
          </cell>
        </row>
        <row r="38">
          <cell r="L38">
            <v>461015.01227876113</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5"/>
  <sheetViews>
    <sheetView showGridLines="0" topLeftCell="A22" zoomScaleNormal="100" workbookViewId="0">
      <selection activeCell="M28" sqref="M28"/>
    </sheetView>
  </sheetViews>
  <sheetFormatPr defaultColWidth="9.109375" defaultRowHeight="14.4" x14ac:dyDescent="0.3"/>
  <cols>
    <col min="1" max="1" width="13.33203125" style="19" customWidth="1"/>
    <col min="2" max="4" width="9.109375" style="19"/>
    <col min="5" max="5" width="9.109375" style="19" customWidth="1"/>
    <col min="6" max="21" width="9.109375" style="19"/>
    <col min="22" max="22" width="54.109375" style="19" hidden="1" customWidth="1"/>
    <col min="23" max="16384" width="9.109375" style="19"/>
  </cols>
  <sheetData>
    <row r="1" spans="2:22" ht="15" x14ac:dyDescent="0.3">
      <c r="V1" s="127" t="s">
        <v>101</v>
      </c>
    </row>
    <row r="2" spans="2:22" ht="15" x14ac:dyDescent="0.3">
      <c r="V2" s="127" t="s">
        <v>102</v>
      </c>
    </row>
    <row r="3" spans="2:22" ht="15" x14ac:dyDescent="0.3">
      <c r="V3" s="127" t="s">
        <v>193</v>
      </c>
    </row>
    <row r="4" spans="2:22" ht="15" x14ac:dyDescent="0.3">
      <c r="V4" s="127" t="s">
        <v>103</v>
      </c>
    </row>
    <row r="5" spans="2:22" ht="15" x14ac:dyDescent="0.3">
      <c r="V5" s="127" t="s">
        <v>104</v>
      </c>
    </row>
    <row r="6" spans="2:22" ht="15" x14ac:dyDescent="0.3">
      <c r="V6" s="127" t="s">
        <v>105</v>
      </c>
    </row>
    <row r="7" spans="2:22" ht="15" x14ac:dyDescent="0.3">
      <c r="V7" s="127" t="s">
        <v>106</v>
      </c>
    </row>
    <row r="8" spans="2:22" ht="15" x14ac:dyDescent="0.3">
      <c r="V8" s="127" t="s">
        <v>107</v>
      </c>
    </row>
    <row r="9" spans="2:22" ht="15" x14ac:dyDescent="0.3">
      <c r="V9" s="127" t="s">
        <v>108</v>
      </c>
    </row>
    <row r="10" spans="2:22" ht="15" x14ac:dyDescent="0.3">
      <c r="V10" s="127" t="s">
        <v>194</v>
      </c>
    </row>
    <row r="11" spans="2:22" ht="15" x14ac:dyDescent="0.3">
      <c r="G11" s="20"/>
      <c r="V11" s="127" t="s">
        <v>109</v>
      </c>
    </row>
    <row r="12" spans="2:22" ht="15" x14ac:dyDescent="0.3">
      <c r="B12" s="21"/>
      <c r="C12" s="21"/>
      <c r="D12" s="21"/>
      <c r="E12" s="21"/>
      <c r="F12" s="21"/>
      <c r="G12" s="20"/>
      <c r="M12" s="22" t="s">
        <v>49</v>
      </c>
      <c r="N12" s="23">
        <v>2.8</v>
      </c>
      <c r="V12" s="127" t="s">
        <v>110</v>
      </c>
    </row>
    <row r="13" spans="2:22" ht="15.6" thickBot="1" x14ac:dyDescent="0.35">
      <c r="G13" s="20"/>
      <c r="V13" s="127" t="s">
        <v>334</v>
      </c>
    </row>
    <row r="14" spans="2:22" ht="16.2" thickTop="1" thickBot="1" x14ac:dyDescent="0.35">
      <c r="E14" s="24" t="s">
        <v>50</v>
      </c>
      <c r="F14" s="414" t="s">
        <v>382</v>
      </c>
      <c r="G14" s="415"/>
      <c r="H14" s="415"/>
      <c r="I14" s="415"/>
      <c r="J14" s="415"/>
      <c r="K14" s="415"/>
      <c r="L14" s="416"/>
      <c r="V14" s="127" t="s">
        <v>111</v>
      </c>
    </row>
    <row r="15" spans="2:22" ht="15.6" thickBot="1" x14ac:dyDescent="0.35">
      <c r="E15" s="25"/>
      <c r="F15" s="26"/>
      <c r="G15" s="27"/>
      <c r="H15" s="26"/>
      <c r="I15" s="26"/>
      <c r="J15" s="26"/>
      <c r="V15" s="127" t="s">
        <v>112</v>
      </c>
    </row>
    <row r="16" spans="2:22" ht="16.2" thickTop="1" thickBot="1" x14ac:dyDescent="0.35">
      <c r="E16" s="28" t="s">
        <v>51</v>
      </c>
      <c r="F16" s="417"/>
      <c r="G16" s="418"/>
      <c r="H16" s="418"/>
      <c r="I16" s="418"/>
      <c r="J16" s="419"/>
      <c r="V16" s="127" t="s">
        <v>195</v>
      </c>
    </row>
    <row r="17" spans="2:22" ht="15.6" thickBot="1" x14ac:dyDescent="0.35">
      <c r="E17" s="29"/>
      <c r="V17" s="127" t="s">
        <v>113</v>
      </c>
    </row>
    <row r="18" spans="2:22" ht="16.2" thickTop="1" thickBot="1" x14ac:dyDescent="0.35">
      <c r="E18" s="28" t="s">
        <v>52</v>
      </c>
      <c r="F18" s="420" t="s">
        <v>383</v>
      </c>
      <c r="G18" s="421"/>
      <c r="H18" s="421"/>
      <c r="I18" s="421"/>
      <c r="J18" s="422"/>
      <c r="V18" s="127" t="s">
        <v>114</v>
      </c>
    </row>
    <row r="19" spans="2:22" ht="12.75" customHeight="1" thickBot="1" x14ac:dyDescent="0.35">
      <c r="E19" s="29"/>
      <c r="V19" s="127" t="s">
        <v>115</v>
      </c>
    </row>
    <row r="20" spans="2:22" ht="16.2" thickTop="1" thickBot="1" x14ac:dyDescent="0.35">
      <c r="E20" s="28" t="s">
        <v>53</v>
      </c>
      <c r="F20" s="420" t="s">
        <v>384</v>
      </c>
      <c r="G20" s="421"/>
      <c r="H20" s="421"/>
      <c r="I20" s="421"/>
      <c r="J20" s="422"/>
      <c r="V20" s="127" t="s">
        <v>116</v>
      </c>
    </row>
    <row r="21" spans="2:22" ht="15.6" thickBot="1" x14ac:dyDescent="0.35">
      <c r="E21" s="30"/>
      <c r="F21" s="26"/>
      <c r="G21" s="27"/>
      <c r="H21" s="26"/>
      <c r="I21" s="26"/>
      <c r="J21" s="26"/>
      <c r="V21" s="127" t="s">
        <v>196</v>
      </c>
    </row>
    <row r="22" spans="2:22" ht="16.2" thickTop="1" thickBot="1" x14ac:dyDescent="0.35">
      <c r="E22" s="24" t="s">
        <v>54</v>
      </c>
      <c r="F22" s="420" t="s">
        <v>385</v>
      </c>
      <c r="G22" s="421"/>
      <c r="H22" s="421"/>
      <c r="I22" s="421"/>
      <c r="J22" s="422"/>
      <c r="V22" s="127" t="s">
        <v>117</v>
      </c>
    </row>
    <row r="23" spans="2:22" ht="15.6" thickBot="1" x14ac:dyDescent="0.35">
      <c r="E23" s="30"/>
      <c r="F23" s="26"/>
      <c r="G23" s="27"/>
      <c r="H23" s="26"/>
      <c r="I23" s="26"/>
      <c r="J23" s="26"/>
      <c r="V23" s="127" t="s">
        <v>118</v>
      </c>
    </row>
    <row r="24" spans="2:22" ht="16.2" thickTop="1" thickBot="1" x14ac:dyDescent="0.35">
      <c r="E24" s="24" t="s">
        <v>55</v>
      </c>
      <c r="F24" s="423" t="s">
        <v>386</v>
      </c>
      <c r="G24" s="424"/>
      <c r="H24" s="424"/>
      <c r="I24" s="424"/>
      <c r="J24" s="425"/>
      <c r="V24" s="127" t="s">
        <v>119</v>
      </c>
    </row>
    <row r="25" spans="2:22" ht="15" x14ac:dyDescent="0.3">
      <c r="E25" s="30"/>
      <c r="F25" s="26"/>
      <c r="G25" s="27"/>
      <c r="H25" s="26"/>
      <c r="I25" s="26"/>
      <c r="J25" s="26"/>
      <c r="V25" s="127" t="s">
        <v>120</v>
      </c>
    </row>
    <row r="26" spans="2:22" ht="15" x14ac:dyDescent="0.3">
      <c r="E26" s="24"/>
      <c r="I26" s="26"/>
      <c r="J26" s="26"/>
      <c r="V26" s="128" t="s">
        <v>121</v>
      </c>
    </row>
    <row r="27" spans="2:22" ht="15" x14ac:dyDescent="0.3">
      <c r="B27" s="413" t="s">
        <v>60</v>
      </c>
      <c r="C27" s="413"/>
      <c r="D27" s="413"/>
      <c r="E27" s="413"/>
      <c r="F27" s="413"/>
      <c r="G27" s="413"/>
      <c r="H27" s="413"/>
      <c r="I27" s="413"/>
      <c r="J27" s="413"/>
      <c r="K27" s="413"/>
      <c r="L27" s="413"/>
      <c r="M27" s="413"/>
      <c r="V27" s="127" t="s">
        <v>122</v>
      </c>
    </row>
    <row r="28" spans="2:22" ht="15" x14ac:dyDescent="0.3">
      <c r="V28" s="127" t="s">
        <v>123</v>
      </c>
    </row>
    <row r="29" spans="2:22" ht="15" x14ac:dyDescent="0.3">
      <c r="B29" s="31" t="s">
        <v>56</v>
      </c>
      <c r="C29" s="32"/>
      <c r="D29" s="32"/>
      <c r="E29" s="32"/>
      <c r="F29" s="32"/>
      <c r="G29" s="32"/>
      <c r="H29" s="32"/>
      <c r="I29" s="32"/>
      <c r="J29" s="32"/>
      <c r="K29" s="32"/>
      <c r="L29" s="32"/>
      <c r="M29" s="32"/>
      <c r="N29" s="32"/>
      <c r="V29" s="127" t="s">
        <v>124</v>
      </c>
    </row>
    <row r="30" spans="2:22" ht="15.6" thickBot="1" x14ac:dyDescent="0.35">
      <c r="B30" s="32"/>
      <c r="C30" s="32"/>
      <c r="D30" s="32"/>
      <c r="E30" s="32"/>
      <c r="F30" s="32"/>
      <c r="G30" s="32"/>
      <c r="H30" s="32"/>
      <c r="I30" s="32"/>
      <c r="J30" s="32"/>
      <c r="K30" s="32"/>
      <c r="L30" s="32"/>
      <c r="M30" s="32"/>
      <c r="N30" s="32"/>
      <c r="V30" s="127" t="s">
        <v>125</v>
      </c>
    </row>
    <row r="31" spans="2:22" ht="15.6" thickBot="1" x14ac:dyDescent="0.35">
      <c r="B31" s="33"/>
      <c r="C31" s="408" t="s">
        <v>57</v>
      </c>
      <c r="D31" s="408"/>
      <c r="E31" s="408"/>
      <c r="F31" s="408"/>
      <c r="G31" s="408"/>
      <c r="H31" s="408"/>
      <c r="I31" s="408"/>
      <c r="J31" s="408"/>
      <c r="K31" s="408"/>
      <c r="L31" s="408"/>
      <c r="M31" s="32"/>
      <c r="N31" s="32"/>
      <c r="V31" s="127" t="s">
        <v>126</v>
      </c>
    </row>
    <row r="32" spans="2:22" ht="15.6" thickBot="1" x14ac:dyDescent="0.35">
      <c r="B32" s="32"/>
      <c r="C32" s="32"/>
      <c r="D32" s="32"/>
      <c r="E32" s="32"/>
      <c r="F32" s="32"/>
      <c r="G32" s="32"/>
      <c r="H32" s="32"/>
      <c r="I32" s="32"/>
      <c r="J32" s="32"/>
      <c r="K32" s="32"/>
      <c r="L32" s="32"/>
      <c r="M32" s="32"/>
      <c r="N32" s="32"/>
      <c r="V32" s="127" t="s">
        <v>127</v>
      </c>
    </row>
    <row r="33" spans="2:22" ht="15.6" thickBot="1" x14ac:dyDescent="0.35">
      <c r="B33" s="34"/>
      <c r="C33" s="409" t="s">
        <v>58</v>
      </c>
      <c r="D33" s="410"/>
      <c r="E33" s="410"/>
      <c r="F33" s="410"/>
      <c r="G33" s="410"/>
      <c r="H33" s="410"/>
      <c r="I33" s="410"/>
      <c r="J33" s="410"/>
      <c r="K33" s="410"/>
      <c r="L33" s="410"/>
      <c r="M33" s="410"/>
      <c r="N33" s="410"/>
      <c r="V33" s="127" t="s">
        <v>128</v>
      </c>
    </row>
    <row r="34" spans="2:22" ht="15.6" thickBot="1" x14ac:dyDescent="0.35">
      <c r="B34" s="35"/>
      <c r="C34" s="32"/>
      <c r="D34" s="32"/>
      <c r="E34" s="32"/>
      <c r="F34" s="32"/>
      <c r="G34" s="32"/>
      <c r="H34" s="32"/>
      <c r="I34" s="32"/>
      <c r="J34" s="32"/>
      <c r="K34" s="32"/>
      <c r="L34" s="32"/>
      <c r="M34" s="32"/>
      <c r="N34" s="32"/>
      <c r="V34" s="127" t="s">
        <v>197</v>
      </c>
    </row>
    <row r="35" spans="2:22" ht="15.6" thickBot="1" x14ac:dyDescent="0.35">
      <c r="B35" s="36"/>
      <c r="C35" s="411" t="s">
        <v>59</v>
      </c>
      <c r="D35" s="412"/>
      <c r="E35" s="412"/>
      <c r="F35" s="412"/>
      <c r="G35" s="412"/>
      <c r="H35" s="412"/>
      <c r="I35" s="412"/>
      <c r="J35" s="412"/>
      <c r="K35" s="412"/>
      <c r="L35" s="412"/>
      <c r="M35" s="412"/>
      <c r="N35" s="32"/>
      <c r="V35" s="127" t="s">
        <v>129</v>
      </c>
    </row>
    <row r="36" spans="2:22" ht="15" x14ac:dyDescent="0.3">
      <c r="B36" s="32"/>
      <c r="C36" s="32"/>
      <c r="D36" s="32"/>
      <c r="E36" s="32"/>
      <c r="F36" s="32"/>
      <c r="G36" s="32"/>
      <c r="H36" s="32"/>
      <c r="I36" s="32"/>
      <c r="J36" s="32"/>
      <c r="K36" s="32"/>
      <c r="L36" s="32"/>
      <c r="M36" s="32"/>
      <c r="N36" s="32"/>
      <c r="V36" s="127" t="s">
        <v>198</v>
      </c>
    </row>
    <row r="37" spans="2:22" ht="15" x14ac:dyDescent="0.3">
      <c r="V37" s="127" t="s">
        <v>199</v>
      </c>
    </row>
    <row r="38" spans="2:22" ht="15" x14ac:dyDescent="0.3">
      <c r="V38" s="127" t="s">
        <v>130</v>
      </c>
    </row>
    <row r="39" spans="2:22" ht="15" x14ac:dyDescent="0.3">
      <c r="V39" s="127" t="s">
        <v>131</v>
      </c>
    </row>
    <row r="40" spans="2:22" ht="15" x14ac:dyDescent="0.3">
      <c r="V40" s="127" t="s">
        <v>132</v>
      </c>
    </row>
    <row r="41" spans="2:22" ht="15" x14ac:dyDescent="0.3">
      <c r="V41" s="127" t="s">
        <v>133</v>
      </c>
    </row>
    <row r="42" spans="2:22" ht="15" x14ac:dyDescent="0.3">
      <c r="V42" s="128" t="s">
        <v>134</v>
      </c>
    </row>
    <row r="43" spans="2:22" ht="15" x14ac:dyDescent="0.3">
      <c r="V43" s="127" t="s">
        <v>135</v>
      </c>
    </row>
    <row r="44" spans="2:22" ht="15" x14ac:dyDescent="0.3">
      <c r="V44" s="127" t="s">
        <v>136</v>
      </c>
    </row>
    <row r="45" spans="2:22" ht="15" x14ac:dyDescent="0.3">
      <c r="V45" s="127" t="s">
        <v>173</v>
      </c>
    </row>
    <row r="46" spans="2:22" ht="15" x14ac:dyDescent="0.3">
      <c r="V46" s="127" t="s">
        <v>200</v>
      </c>
    </row>
    <row r="47" spans="2:22" ht="15" x14ac:dyDescent="0.3">
      <c r="V47" s="127" t="s">
        <v>137</v>
      </c>
    </row>
    <row r="48" spans="2:22" ht="15" x14ac:dyDescent="0.3">
      <c r="V48" s="127" t="s">
        <v>138</v>
      </c>
    </row>
    <row r="49" spans="22:22" ht="15" x14ac:dyDescent="0.3">
      <c r="V49" s="127" t="s">
        <v>139</v>
      </c>
    </row>
    <row r="50" spans="22:22" ht="15" x14ac:dyDescent="0.3">
      <c r="V50" s="127" t="s">
        <v>140</v>
      </c>
    </row>
    <row r="51" spans="22:22" ht="15" x14ac:dyDescent="0.3">
      <c r="V51" s="127" t="s">
        <v>141</v>
      </c>
    </row>
    <row r="52" spans="22:22" ht="15" x14ac:dyDescent="0.3">
      <c r="V52" s="127" t="s">
        <v>142</v>
      </c>
    </row>
    <row r="53" spans="22:22" ht="15" x14ac:dyDescent="0.3">
      <c r="V53" s="127" t="s">
        <v>143</v>
      </c>
    </row>
    <row r="54" spans="22:22" ht="15" x14ac:dyDescent="0.3">
      <c r="V54" s="127" t="s">
        <v>144</v>
      </c>
    </row>
    <row r="55" spans="22:22" ht="15" x14ac:dyDescent="0.3">
      <c r="V55" s="127" t="s">
        <v>145</v>
      </c>
    </row>
    <row r="56" spans="22:22" ht="15" x14ac:dyDescent="0.3">
      <c r="V56" s="127" t="s">
        <v>146</v>
      </c>
    </row>
    <row r="57" spans="22:22" ht="15" x14ac:dyDescent="0.3">
      <c r="V57" s="127" t="s">
        <v>147</v>
      </c>
    </row>
    <row r="58" spans="22:22" ht="15" x14ac:dyDescent="0.3">
      <c r="V58" s="127" t="s">
        <v>148</v>
      </c>
    </row>
    <row r="59" spans="22:22" ht="15" x14ac:dyDescent="0.3">
      <c r="V59" s="127" t="s">
        <v>149</v>
      </c>
    </row>
    <row r="60" spans="22:22" ht="15" x14ac:dyDescent="0.3">
      <c r="V60" s="127" t="s">
        <v>150</v>
      </c>
    </row>
    <row r="61" spans="22:22" ht="15" x14ac:dyDescent="0.3">
      <c r="V61" s="127" t="s">
        <v>151</v>
      </c>
    </row>
    <row r="62" spans="22:22" ht="15" x14ac:dyDescent="0.3">
      <c r="V62" s="127" t="s">
        <v>152</v>
      </c>
    </row>
    <row r="63" spans="22:22" ht="15" x14ac:dyDescent="0.3">
      <c r="V63" s="127" t="s">
        <v>153</v>
      </c>
    </row>
    <row r="64" spans="22:22" ht="15" x14ac:dyDescent="0.3">
      <c r="V64" s="127" t="s">
        <v>154</v>
      </c>
    </row>
    <row r="65" spans="22:22" ht="15" x14ac:dyDescent="0.3">
      <c r="V65" s="127" t="s">
        <v>155</v>
      </c>
    </row>
    <row r="66" spans="22:22" ht="15" x14ac:dyDescent="0.3">
      <c r="V66" s="127" t="s">
        <v>156</v>
      </c>
    </row>
    <row r="67" spans="22:22" ht="15" x14ac:dyDescent="0.3">
      <c r="V67" s="127" t="s">
        <v>157</v>
      </c>
    </row>
    <row r="68" spans="22:22" ht="15" x14ac:dyDescent="0.3">
      <c r="V68" s="127" t="s">
        <v>158</v>
      </c>
    </row>
    <row r="69" spans="22:22" ht="15" x14ac:dyDescent="0.3">
      <c r="V69" s="127" t="s">
        <v>335</v>
      </c>
    </row>
    <row r="70" spans="22:22" ht="15" x14ac:dyDescent="0.3">
      <c r="V70" s="127" t="s">
        <v>159</v>
      </c>
    </row>
    <row r="71" spans="22:22" ht="15" x14ac:dyDescent="0.3">
      <c r="V71" s="127" t="s">
        <v>160</v>
      </c>
    </row>
    <row r="72" spans="22:22" ht="15" x14ac:dyDescent="0.3">
      <c r="V72" s="127" t="s">
        <v>161</v>
      </c>
    </row>
    <row r="73" spans="22:22" ht="15" x14ac:dyDescent="0.3">
      <c r="V73" s="127" t="s">
        <v>162</v>
      </c>
    </row>
    <row r="74" spans="22:22" ht="15" x14ac:dyDescent="0.3">
      <c r="V74" s="128" t="s">
        <v>163</v>
      </c>
    </row>
    <row r="75" spans="22:22" x14ac:dyDescent="0.3">
      <c r="V75"/>
    </row>
  </sheetData>
  <sheetProtection password="F8BD" sheet="1" objects="1" scenarios="1"/>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$V$1:$V$74</formula1>
    </dataValidation>
  </dataValidations>
  <pageMargins left="0.25" right="0.25" top="0.75" bottom="0.75" header="0.3" footer="0.3"/>
  <pageSetup scale="65"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B104"/>
  <sheetViews>
    <sheetView showGridLines="0" topLeftCell="B21" zoomScale="85" zoomScaleNormal="85" workbookViewId="0">
      <pane xSplit="3" topLeftCell="BS1" activePane="topRight" state="frozenSplit"/>
      <selection pane="topRight" activeCell="BT31" sqref="BT31"/>
    </sheetView>
  </sheetViews>
  <sheetFormatPr defaultColWidth="9.109375" defaultRowHeight="13.2" x14ac:dyDescent="0.25"/>
  <cols>
    <col min="1" max="1" width="9.109375" style="1" hidden="1" customWidth="1"/>
    <col min="2" max="2" width="2.88671875" style="1" bestFit="1" customWidth="1"/>
    <col min="3" max="3" width="86.44140625" style="1" customWidth="1"/>
    <col min="4" max="4" width="11" style="1" customWidth="1"/>
    <col min="5" max="5" width="16.109375" style="67" customWidth="1"/>
    <col min="6" max="6" width="23.109375" style="67" customWidth="1"/>
    <col min="7" max="8" width="18.44140625" style="67" customWidth="1"/>
    <col min="9" max="9" width="14.6640625" style="67" customWidth="1"/>
    <col min="10" max="10" width="14.109375" style="67" customWidth="1"/>
    <col min="11" max="13" width="14.88671875" style="67" customWidth="1"/>
    <col min="14" max="14" width="15.44140625" style="67" customWidth="1"/>
    <col min="15" max="15" width="16.109375" style="67" customWidth="1"/>
    <col min="16" max="16" width="23.109375" style="67" customWidth="1"/>
    <col min="17" max="18" width="18.44140625" style="67" customWidth="1"/>
    <col min="19" max="19" width="14.6640625" style="67" customWidth="1"/>
    <col min="20" max="20" width="14.109375" style="67" customWidth="1"/>
    <col min="21" max="23" width="14.88671875" style="67" customWidth="1"/>
    <col min="24" max="24" width="15.44140625" style="67" customWidth="1"/>
    <col min="25" max="25" width="16.109375" style="67" customWidth="1"/>
    <col min="26" max="26" width="23.109375" style="67" customWidth="1"/>
    <col min="27" max="28" width="18.44140625" style="67" customWidth="1"/>
    <col min="29" max="29" width="14.6640625" style="67" customWidth="1"/>
    <col min="30" max="30" width="14.109375" style="67" customWidth="1"/>
    <col min="31" max="33" width="14.88671875" style="67" customWidth="1"/>
    <col min="34" max="34" width="15.44140625" style="67" customWidth="1"/>
    <col min="35" max="35" width="16.109375" style="67" customWidth="1"/>
    <col min="36" max="36" width="23.109375" style="67" customWidth="1"/>
    <col min="37" max="38" width="18.44140625" style="67" customWidth="1"/>
    <col min="39" max="39" width="14.6640625" style="67" customWidth="1"/>
    <col min="40" max="40" width="14.109375" style="67" customWidth="1"/>
    <col min="41" max="43" width="14.88671875" style="67" customWidth="1"/>
    <col min="44" max="44" width="15.44140625" style="67" customWidth="1"/>
    <col min="45" max="45" width="16.109375" style="67" customWidth="1"/>
    <col min="46" max="46" width="23.109375" style="67" customWidth="1"/>
    <col min="47" max="48" width="18.44140625" style="67" customWidth="1"/>
    <col min="49" max="49" width="14.6640625" style="67" customWidth="1"/>
    <col min="50" max="50" width="14.109375" style="67" customWidth="1"/>
    <col min="51" max="53" width="14.88671875" style="67" customWidth="1"/>
    <col min="54" max="54" width="15.44140625" style="67" customWidth="1"/>
    <col min="55" max="55" width="16.109375" style="67" customWidth="1"/>
    <col min="56" max="56" width="23.109375" style="67" customWidth="1"/>
    <col min="57" max="58" width="18.44140625" style="67" customWidth="1"/>
    <col min="59" max="59" width="14.6640625" style="67" customWidth="1"/>
    <col min="60" max="60" width="14.109375" style="67" customWidth="1"/>
    <col min="61" max="63" width="14.88671875" style="67" customWidth="1"/>
    <col min="64" max="64" width="15.44140625" style="67" customWidth="1"/>
    <col min="65" max="66" width="14.88671875" style="67" customWidth="1"/>
    <col min="67" max="67" width="16.88671875" style="67" customWidth="1"/>
    <col min="68" max="68" width="17.33203125" style="67" customWidth="1"/>
    <col min="69" max="71" width="26.88671875" style="67" customWidth="1"/>
    <col min="72" max="72" width="47" style="67" customWidth="1"/>
    <col min="73" max="73" width="22.44140625" style="67" bestFit="1" customWidth="1"/>
    <col min="74" max="74" width="19.88671875" style="67" customWidth="1"/>
    <col min="75" max="78" width="9.109375" style="1"/>
    <col min="79" max="79" width="12.5546875" style="1" hidden="1" customWidth="1"/>
    <col min="80" max="80" width="9.109375" style="1" hidden="1" customWidth="1"/>
    <col min="81" max="16384" width="9.109375" style="1"/>
  </cols>
  <sheetData>
    <row r="1" spans="69:79" x14ac:dyDescent="0.25">
      <c r="BQ1" s="354"/>
      <c r="BR1" s="354"/>
      <c r="BS1" s="354"/>
      <c r="BT1" s="354"/>
    </row>
    <row r="2" spans="69:79" x14ac:dyDescent="0.25">
      <c r="BQ2" s="354"/>
      <c r="BR2" s="354"/>
      <c r="BS2" s="354"/>
      <c r="BT2" s="354"/>
    </row>
    <row r="3" spans="69:79" x14ac:dyDescent="0.25">
      <c r="BQ3" s="354"/>
      <c r="BR3" s="354"/>
      <c r="BS3" s="354"/>
      <c r="BT3" s="354"/>
    </row>
    <row r="4" spans="69:79" x14ac:dyDescent="0.25">
      <c r="BQ4" s="354"/>
      <c r="BR4" s="354"/>
      <c r="BS4" s="354"/>
      <c r="BT4" s="354"/>
    </row>
    <row r="5" spans="69:79" x14ac:dyDescent="0.25">
      <c r="BQ5" s="354"/>
      <c r="BR5" s="354"/>
      <c r="BS5" s="354"/>
      <c r="BT5" s="354"/>
    </row>
    <row r="6" spans="69:79" x14ac:dyDescent="0.25">
      <c r="BQ6" s="354"/>
      <c r="BR6" s="354"/>
      <c r="BS6" s="354"/>
      <c r="BT6" s="354"/>
    </row>
    <row r="7" spans="69:79" x14ac:dyDescent="0.25">
      <c r="BQ7" s="354"/>
      <c r="BR7" s="354"/>
      <c r="BS7" s="354"/>
      <c r="BT7" s="354"/>
    </row>
    <row r="8" spans="69:79" x14ac:dyDescent="0.25">
      <c r="BQ8" s="354"/>
      <c r="BR8" s="354"/>
      <c r="BS8" s="354"/>
      <c r="BT8" s="354"/>
    </row>
    <row r="9" spans="69:79" x14ac:dyDescent="0.25">
      <c r="BQ9" s="354"/>
      <c r="BR9" s="354"/>
      <c r="BS9" s="354"/>
      <c r="BT9" s="354"/>
    </row>
    <row r="10" spans="69:79" x14ac:dyDescent="0.25">
      <c r="BQ10" s="354"/>
      <c r="BR10" s="354"/>
      <c r="BS10" s="354"/>
      <c r="BT10" s="354"/>
    </row>
    <row r="11" spans="69:79" x14ac:dyDescent="0.25">
      <c r="BQ11" s="354"/>
      <c r="BR11" s="354"/>
      <c r="BS11" s="354"/>
      <c r="BT11" s="354"/>
      <c r="CA11" s="356" t="b">
        <v>0</v>
      </c>
    </row>
    <row r="12" spans="69:79" x14ac:dyDescent="0.25">
      <c r="BQ12" s="354"/>
      <c r="BR12" s="354"/>
      <c r="BS12" s="354"/>
      <c r="BT12" s="354"/>
    </row>
    <row r="13" spans="69:79" x14ac:dyDescent="0.25">
      <c r="BQ13" s="354"/>
      <c r="BR13" s="354"/>
      <c r="BS13" s="354"/>
      <c r="BT13" s="354"/>
    </row>
    <row r="14" spans="69:79" x14ac:dyDescent="0.25">
      <c r="BQ14" s="354"/>
      <c r="BR14" s="354"/>
      <c r="BS14" s="354"/>
      <c r="BT14" s="354"/>
    </row>
    <row r="15" spans="69:79" x14ac:dyDescent="0.25">
      <c r="BQ15" s="354"/>
      <c r="BR15" s="354"/>
      <c r="BS15" s="354"/>
      <c r="BT15" s="354"/>
    </row>
    <row r="16" spans="69:79" x14ac:dyDescent="0.25">
      <c r="BQ16" s="354"/>
      <c r="BR16" s="354"/>
      <c r="BS16" s="354"/>
      <c r="BT16" s="354"/>
    </row>
    <row r="17" spans="1:80" x14ac:dyDescent="0.25">
      <c r="BQ17" s="354"/>
      <c r="BR17" s="354"/>
      <c r="BS17" s="354"/>
      <c r="BT17" s="354"/>
    </row>
    <row r="18" spans="1:80" ht="14.4" thickBot="1" x14ac:dyDescent="0.35">
      <c r="C18" s="3"/>
      <c r="R18" s="293"/>
      <c r="BO18" s="117"/>
      <c r="BP18" s="117"/>
      <c r="BQ18" s="355"/>
      <c r="BR18" s="355"/>
      <c r="BS18" s="355"/>
      <c r="BT18" s="355"/>
    </row>
    <row r="19" spans="1:80" s="69" customFormat="1" ht="29.4" thickBot="1" x14ac:dyDescent="0.6">
      <c r="C19" s="70"/>
      <c r="D19" s="71"/>
      <c r="E19" s="426">
        <v>2010</v>
      </c>
      <c r="F19" s="427"/>
      <c r="G19" s="427"/>
      <c r="H19" s="427"/>
      <c r="I19" s="427"/>
      <c r="J19" s="427"/>
      <c r="K19" s="427"/>
      <c r="L19" s="427"/>
      <c r="M19" s="427"/>
      <c r="N19" s="428"/>
      <c r="O19" s="426">
        <v>2011</v>
      </c>
      <c r="P19" s="427"/>
      <c r="Q19" s="427"/>
      <c r="R19" s="427"/>
      <c r="S19" s="427"/>
      <c r="T19" s="427"/>
      <c r="U19" s="427"/>
      <c r="V19" s="427"/>
      <c r="W19" s="427"/>
      <c r="X19" s="428"/>
      <c r="Y19" s="426">
        <v>2012</v>
      </c>
      <c r="Z19" s="427"/>
      <c r="AA19" s="427"/>
      <c r="AB19" s="427"/>
      <c r="AC19" s="427"/>
      <c r="AD19" s="427"/>
      <c r="AE19" s="427"/>
      <c r="AF19" s="427"/>
      <c r="AG19" s="427"/>
      <c r="AH19" s="428"/>
      <c r="AI19" s="426">
        <v>2013</v>
      </c>
      <c r="AJ19" s="427"/>
      <c r="AK19" s="427"/>
      <c r="AL19" s="427"/>
      <c r="AM19" s="427"/>
      <c r="AN19" s="427"/>
      <c r="AO19" s="427"/>
      <c r="AP19" s="427"/>
      <c r="AQ19" s="427"/>
      <c r="AR19" s="428"/>
      <c r="AS19" s="426">
        <v>2014</v>
      </c>
      <c r="AT19" s="427"/>
      <c r="AU19" s="427"/>
      <c r="AV19" s="427"/>
      <c r="AW19" s="427"/>
      <c r="AX19" s="427"/>
      <c r="AY19" s="427"/>
      <c r="AZ19" s="427"/>
      <c r="BA19" s="427"/>
      <c r="BB19" s="428"/>
      <c r="BC19" s="426">
        <v>2015</v>
      </c>
      <c r="BD19" s="427"/>
      <c r="BE19" s="427"/>
      <c r="BF19" s="427"/>
      <c r="BG19" s="427"/>
      <c r="BH19" s="427"/>
      <c r="BI19" s="427"/>
      <c r="BJ19" s="427"/>
      <c r="BK19" s="427"/>
      <c r="BL19" s="428"/>
      <c r="BM19" s="426">
        <v>2016</v>
      </c>
      <c r="BN19" s="427"/>
      <c r="BO19" s="427"/>
      <c r="BP19" s="428"/>
      <c r="BQ19" s="440" t="s">
        <v>249</v>
      </c>
      <c r="BR19" s="441"/>
      <c r="BS19" s="441"/>
      <c r="BT19" s="442"/>
      <c r="BU19" s="72" t="s">
        <v>24</v>
      </c>
      <c r="BV19" s="73"/>
    </row>
    <row r="20" spans="1:80" ht="14.25" customHeight="1" x14ac:dyDescent="0.25">
      <c r="C20" s="450" t="s">
        <v>20</v>
      </c>
      <c r="D20" s="452" t="s">
        <v>0</v>
      </c>
      <c r="E20" s="429" t="s">
        <v>37</v>
      </c>
      <c r="F20" s="432" t="s">
        <v>250</v>
      </c>
      <c r="G20" s="432" t="s">
        <v>275</v>
      </c>
      <c r="H20" s="432" t="s">
        <v>251</v>
      </c>
      <c r="I20" s="432" t="s">
        <v>16</v>
      </c>
      <c r="J20" s="432" t="s">
        <v>17</v>
      </c>
      <c r="K20" s="432" t="s">
        <v>22</v>
      </c>
      <c r="L20" s="432" t="s">
        <v>275</v>
      </c>
      <c r="M20" s="432" t="s">
        <v>236</v>
      </c>
      <c r="N20" s="437" t="s">
        <v>18</v>
      </c>
      <c r="O20" s="429" t="s">
        <v>38</v>
      </c>
      <c r="P20" s="432" t="s">
        <v>253</v>
      </c>
      <c r="Q20" s="432" t="s">
        <v>279</v>
      </c>
      <c r="R20" s="432" t="s">
        <v>252</v>
      </c>
      <c r="S20" s="432" t="s">
        <v>39</v>
      </c>
      <c r="T20" s="432" t="s">
        <v>40</v>
      </c>
      <c r="U20" s="432" t="s">
        <v>22</v>
      </c>
      <c r="V20" s="432" t="s">
        <v>279</v>
      </c>
      <c r="W20" s="432" t="s">
        <v>254</v>
      </c>
      <c r="X20" s="437" t="s">
        <v>41</v>
      </c>
      <c r="Y20" s="429" t="s">
        <v>85</v>
      </c>
      <c r="Z20" s="432" t="s">
        <v>266</v>
      </c>
      <c r="AA20" s="432" t="s">
        <v>280</v>
      </c>
      <c r="AB20" s="432" t="s">
        <v>235</v>
      </c>
      <c r="AC20" s="432" t="s">
        <v>86</v>
      </c>
      <c r="AD20" s="432" t="s">
        <v>87</v>
      </c>
      <c r="AE20" s="432" t="s">
        <v>88</v>
      </c>
      <c r="AF20" s="432" t="s">
        <v>280</v>
      </c>
      <c r="AG20" s="432" t="s">
        <v>267</v>
      </c>
      <c r="AH20" s="437" t="s">
        <v>89</v>
      </c>
      <c r="AI20" s="429" t="s">
        <v>176</v>
      </c>
      <c r="AJ20" s="432" t="s">
        <v>268</v>
      </c>
      <c r="AK20" s="432" t="s">
        <v>281</v>
      </c>
      <c r="AL20" s="432" t="s">
        <v>234</v>
      </c>
      <c r="AM20" s="432" t="s">
        <v>177</v>
      </c>
      <c r="AN20" s="432" t="s">
        <v>178</v>
      </c>
      <c r="AO20" s="432" t="s">
        <v>179</v>
      </c>
      <c r="AP20" s="432" t="s">
        <v>281</v>
      </c>
      <c r="AQ20" s="432" t="s">
        <v>269</v>
      </c>
      <c r="AR20" s="437" t="s">
        <v>180</v>
      </c>
      <c r="AS20" s="429" t="s">
        <v>203</v>
      </c>
      <c r="AT20" s="432" t="s">
        <v>270</v>
      </c>
      <c r="AU20" s="432" t="s">
        <v>282</v>
      </c>
      <c r="AV20" s="432" t="s">
        <v>255</v>
      </c>
      <c r="AW20" s="432" t="s">
        <v>204</v>
      </c>
      <c r="AX20" s="432" t="s">
        <v>205</v>
      </c>
      <c r="AY20" s="432" t="s">
        <v>206</v>
      </c>
      <c r="AZ20" s="432" t="s">
        <v>282</v>
      </c>
      <c r="BA20" s="432" t="s">
        <v>271</v>
      </c>
      <c r="BB20" s="437" t="s">
        <v>207</v>
      </c>
      <c r="BC20" s="429" t="s">
        <v>256</v>
      </c>
      <c r="BD20" s="432" t="s">
        <v>272</v>
      </c>
      <c r="BE20" s="432" t="s">
        <v>283</v>
      </c>
      <c r="BF20" s="432" t="s">
        <v>257</v>
      </c>
      <c r="BG20" s="432" t="s">
        <v>258</v>
      </c>
      <c r="BH20" s="432" t="s">
        <v>259</v>
      </c>
      <c r="BI20" s="432" t="s">
        <v>260</v>
      </c>
      <c r="BJ20" s="432" t="s">
        <v>283</v>
      </c>
      <c r="BK20" s="432" t="s">
        <v>273</v>
      </c>
      <c r="BL20" s="437" t="s">
        <v>261</v>
      </c>
      <c r="BM20" s="432" t="s">
        <v>284</v>
      </c>
      <c r="BN20" s="432" t="s">
        <v>285</v>
      </c>
      <c r="BO20" s="447" t="s">
        <v>262</v>
      </c>
      <c r="BP20" s="447" t="s">
        <v>263</v>
      </c>
      <c r="BQ20" s="429" t="s">
        <v>264</v>
      </c>
      <c r="BR20" s="432" t="s">
        <v>265</v>
      </c>
      <c r="BS20" s="432" t="s">
        <v>274</v>
      </c>
      <c r="BT20" s="437" t="s">
        <v>23</v>
      </c>
      <c r="BU20" s="443" t="s">
        <v>247</v>
      </c>
      <c r="BV20" s="437" t="s">
        <v>248</v>
      </c>
    </row>
    <row r="21" spans="1:80" ht="24.75" customHeight="1" x14ac:dyDescent="0.25">
      <c r="C21" s="451"/>
      <c r="D21" s="453"/>
      <c r="E21" s="430"/>
      <c r="F21" s="433"/>
      <c r="G21" s="435"/>
      <c r="H21" s="435"/>
      <c r="I21" s="435"/>
      <c r="J21" s="433"/>
      <c r="K21" s="435"/>
      <c r="L21" s="435"/>
      <c r="M21" s="435"/>
      <c r="N21" s="438"/>
      <c r="O21" s="430"/>
      <c r="P21" s="433"/>
      <c r="Q21" s="435"/>
      <c r="R21" s="435"/>
      <c r="S21" s="435"/>
      <c r="T21" s="433"/>
      <c r="U21" s="435"/>
      <c r="V21" s="435"/>
      <c r="W21" s="435"/>
      <c r="X21" s="438"/>
      <c r="Y21" s="430"/>
      <c r="Z21" s="433"/>
      <c r="AA21" s="435"/>
      <c r="AB21" s="435"/>
      <c r="AC21" s="435"/>
      <c r="AD21" s="433"/>
      <c r="AE21" s="435"/>
      <c r="AF21" s="435"/>
      <c r="AG21" s="435"/>
      <c r="AH21" s="438"/>
      <c r="AI21" s="430"/>
      <c r="AJ21" s="433"/>
      <c r="AK21" s="435"/>
      <c r="AL21" s="435"/>
      <c r="AM21" s="435"/>
      <c r="AN21" s="433"/>
      <c r="AO21" s="435"/>
      <c r="AP21" s="435"/>
      <c r="AQ21" s="435"/>
      <c r="AR21" s="438"/>
      <c r="AS21" s="430"/>
      <c r="AT21" s="433"/>
      <c r="AU21" s="435"/>
      <c r="AV21" s="435"/>
      <c r="AW21" s="435"/>
      <c r="AX21" s="433"/>
      <c r="AY21" s="435"/>
      <c r="AZ21" s="435"/>
      <c r="BA21" s="435"/>
      <c r="BB21" s="438"/>
      <c r="BC21" s="430"/>
      <c r="BD21" s="433"/>
      <c r="BE21" s="435"/>
      <c r="BF21" s="435"/>
      <c r="BG21" s="435"/>
      <c r="BH21" s="433"/>
      <c r="BI21" s="435"/>
      <c r="BJ21" s="435"/>
      <c r="BK21" s="435"/>
      <c r="BL21" s="438"/>
      <c r="BM21" s="435"/>
      <c r="BN21" s="435"/>
      <c r="BO21" s="448"/>
      <c r="BP21" s="448"/>
      <c r="BQ21" s="430"/>
      <c r="BR21" s="433"/>
      <c r="BS21" s="433"/>
      <c r="BT21" s="438"/>
      <c r="BU21" s="444"/>
      <c r="BV21" s="438"/>
    </row>
    <row r="22" spans="1:80" ht="36.75" customHeight="1" thickBot="1" x14ac:dyDescent="0.3">
      <c r="B22" s="14"/>
      <c r="C22" s="451"/>
      <c r="D22" s="453"/>
      <c r="E22" s="431"/>
      <c r="F22" s="434"/>
      <c r="G22" s="436"/>
      <c r="H22" s="436"/>
      <c r="I22" s="436"/>
      <c r="J22" s="434"/>
      <c r="K22" s="436"/>
      <c r="L22" s="436"/>
      <c r="M22" s="436"/>
      <c r="N22" s="439"/>
      <c r="O22" s="431"/>
      <c r="P22" s="434"/>
      <c r="Q22" s="436"/>
      <c r="R22" s="436"/>
      <c r="S22" s="436"/>
      <c r="T22" s="434"/>
      <c r="U22" s="436"/>
      <c r="V22" s="436"/>
      <c r="W22" s="436"/>
      <c r="X22" s="439"/>
      <c r="Y22" s="431"/>
      <c r="Z22" s="434"/>
      <c r="AA22" s="436"/>
      <c r="AB22" s="436"/>
      <c r="AC22" s="436"/>
      <c r="AD22" s="434"/>
      <c r="AE22" s="436"/>
      <c r="AF22" s="436"/>
      <c r="AG22" s="436"/>
      <c r="AH22" s="439"/>
      <c r="AI22" s="431"/>
      <c r="AJ22" s="434"/>
      <c r="AK22" s="436"/>
      <c r="AL22" s="436"/>
      <c r="AM22" s="436"/>
      <c r="AN22" s="434"/>
      <c r="AO22" s="436"/>
      <c r="AP22" s="436"/>
      <c r="AQ22" s="436"/>
      <c r="AR22" s="439"/>
      <c r="AS22" s="431"/>
      <c r="AT22" s="434"/>
      <c r="AU22" s="436"/>
      <c r="AV22" s="436"/>
      <c r="AW22" s="436"/>
      <c r="AX22" s="434"/>
      <c r="AY22" s="436"/>
      <c r="AZ22" s="436"/>
      <c r="BA22" s="436"/>
      <c r="BB22" s="439"/>
      <c r="BC22" s="431"/>
      <c r="BD22" s="434"/>
      <c r="BE22" s="436"/>
      <c r="BF22" s="436"/>
      <c r="BG22" s="436"/>
      <c r="BH22" s="434"/>
      <c r="BI22" s="436"/>
      <c r="BJ22" s="436"/>
      <c r="BK22" s="436"/>
      <c r="BL22" s="439"/>
      <c r="BM22" s="436"/>
      <c r="BN22" s="436"/>
      <c r="BO22" s="449"/>
      <c r="BP22" s="449"/>
      <c r="BQ22" s="431"/>
      <c r="BR22" s="434"/>
      <c r="BS22" s="446" t="s">
        <v>12</v>
      </c>
      <c r="BT22" s="439" t="s">
        <v>12</v>
      </c>
      <c r="BU22" s="445"/>
      <c r="BV22" s="439"/>
    </row>
    <row r="23" spans="1:80" s="88" customFormat="1" ht="33.75" customHeight="1" thickBot="1" x14ac:dyDescent="0.3">
      <c r="A23" s="1"/>
      <c r="B23" s="1"/>
      <c r="C23" s="270" t="s">
        <v>26</v>
      </c>
      <c r="D23" s="271"/>
      <c r="E23" s="109"/>
      <c r="F23" s="78"/>
      <c r="G23" s="79"/>
      <c r="H23" s="79"/>
      <c r="I23" s="79"/>
      <c r="J23" s="79"/>
      <c r="K23" s="79"/>
      <c r="L23" s="79"/>
      <c r="M23" s="79"/>
      <c r="N23" s="80"/>
      <c r="O23" s="77"/>
      <c r="P23" s="78"/>
      <c r="Q23" s="79"/>
      <c r="R23" s="79"/>
      <c r="S23" s="79"/>
      <c r="T23" s="79"/>
      <c r="U23" s="79"/>
      <c r="V23" s="79"/>
      <c r="W23" s="79"/>
      <c r="X23" s="80"/>
      <c r="Y23" s="77"/>
      <c r="Z23" s="91"/>
      <c r="AA23" s="79"/>
      <c r="AB23" s="79"/>
      <c r="AC23" s="79"/>
      <c r="AD23" s="79"/>
      <c r="AE23" s="79"/>
      <c r="AF23" s="79"/>
      <c r="AG23" s="79"/>
      <c r="AH23" s="80"/>
      <c r="AI23" s="77"/>
      <c r="AJ23" s="78"/>
      <c r="AK23" s="79"/>
      <c r="AL23" s="79"/>
      <c r="AM23" s="79"/>
      <c r="AN23" s="79"/>
      <c r="AO23" s="79"/>
      <c r="AP23" s="79"/>
      <c r="AQ23" s="79"/>
      <c r="AR23" s="80"/>
      <c r="AS23" s="77"/>
      <c r="AT23" s="78"/>
      <c r="AU23" s="79"/>
      <c r="AV23" s="79"/>
      <c r="AW23" s="79"/>
      <c r="AX23" s="79"/>
      <c r="AY23" s="79"/>
      <c r="AZ23" s="79"/>
      <c r="BA23" s="79"/>
      <c r="BB23" s="80"/>
      <c r="BC23" s="77"/>
      <c r="BD23" s="78"/>
      <c r="BE23" s="79"/>
      <c r="BF23" s="79"/>
      <c r="BG23" s="79"/>
      <c r="BH23" s="79"/>
      <c r="BI23" s="79"/>
      <c r="BJ23" s="79"/>
      <c r="BK23" s="79"/>
      <c r="BL23" s="80"/>
      <c r="BM23" s="81"/>
      <c r="BN23" s="82"/>
      <c r="BO23" s="79"/>
      <c r="BP23" s="83"/>
      <c r="BQ23" s="84"/>
      <c r="BR23" s="84"/>
      <c r="BS23" s="84"/>
      <c r="BT23" s="299"/>
      <c r="BU23" s="86"/>
      <c r="BV23" s="87"/>
    </row>
    <row r="24" spans="1:80" s="88" customFormat="1" ht="15" customHeight="1" thickBot="1" x14ac:dyDescent="0.3">
      <c r="A24" s="1">
        <v>1</v>
      </c>
      <c r="B24" s="1"/>
      <c r="C24" s="272" t="s">
        <v>28</v>
      </c>
      <c r="D24" s="257">
        <v>1550</v>
      </c>
      <c r="E24" s="84"/>
      <c r="F24" s="332">
        <f>-218767+-43220</f>
        <v>-261987</v>
      </c>
      <c r="G24" s="96">
        <v>119047</v>
      </c>
      <c r="H24" s="90"/>
      <c r="I24" s="91">
        <f>E24+F24-G24+H24</f>
        <v>-381034</v>
      </c>
      <c r="J24" s="204">
        <v>3449</v>
      </c>
      <c r="K24" s="205">
        <v>-1402</v>
      </c>
      <c r="L24" s="90">
        <v>3060</v>
      </c>
      <c r="M24" s="90"/>
      <c r="N24" s="92">
        <f>J24+K24-L24+M24</f>
        <v>-1013</v>
      </c>
      <c r="O24" s="93">
        <f>I24</f>
        <v>-381034</v>
      </c>
      <c r="P24" s="188">
        <v>-46364</v>
      </c>
      <c r="Q24" s="185">
        <v>-162267</v>
      </c>
      <c r="R24" s="188"/>
      <c r="S24" s="91">
        <f>O24+P24-Q24+R24</f>
        <v>-265131</v>
      </c>
      <c r="T24" s="94">
        <f>N24</f>
        <v>-1013</v>
      </c>
      <c r="U24" s="188">
        <v>-4872</v>
      </c>
      <c r="V24" s="187">
        <v>322</v>
      </c>
      <c r="W24" s="188"/>
      <c r="X24" s="92">
        <f>T24+U24-V24+W24</f>
        <v>-6207</v>
      </c>
      <c r="Y24" s="93">
        <f t="shared" ref="Y24:Y32" si="0">S24</f>
        <v>-265131</v>
      </c>
      <c r="Z24" s="188">
        <v>-24959</v>
      </c>
      <c r="AA24" s="188">
        <v>-218767</v>
      </c>
      <c r="AB24" s="188"/>
      <c r="AC24" s="91">
        <f t="shared" ref="AC24:AC35" si="1">Y24+Z24-AA24+SUM(AB24:AB24)</f>
        <v>-71323</v>
      </c>
      <c r="AD24" s="94">
        <f t="shared" ref="AD24:AD35" si="2">X24</f>
        <v>-6207</v>
      </c>
      <c r="AE24" s="188">
        <v>-2278</v>
      </c>
      <c r="AF24" s="188">
        <v>-8788</v>
      </c>
      <c r="AG24" s="188"/>
      <c r="AH24" s="92">
        <f>AD24+AE24-AF24+AG24</f>
        <v>303</v>
      </c>
      <c r="AI24" s="93">
        <f t="shared" ref="AI24:AI39" si="3">AC24</f>
        <v>-71323</v>
      </c>
      <c r="AJ24" s="188">
        <v>148682</v>
      </c>
      <c r="AK24" s="188">
        <v>-46364</v>
      </c>
      <c r="AL24" s="188"/>
      <c r="AM24" s="91">
        <f>AI24+AJ24-AK24+SUM(AL24:AL24)</f>
        <v>123723</v>
      </c>
      <c r="AN24" s="94">
        <f t="shared" ref="AN24:AN39" si="4">AH24</f>
        <v>303</v>
      </c>
      <c r="AO24" s="188">
        <v>310</v>
      </c>
      <c r="AP24" s="188">
        <v>1672</v>
      </c>
      <c r="AQ24" s="90"/>
      <c r="AR24" s="92">
        <f>AN24+AO24-AP24+AQ24</f>
        <v>-1059</v>
      </c>
      <c r="AS24" s="93">
        <f t="shared" ref="AS24:AS32" si="5">AM24</f>
        <v>123723</v>
      </c>
      <c r="AT24" s="188">
        <v>101817</v>
      </c>
      <c r="AU24" s="188"/>
      <c r="AV24" s="188"/>
      <c r="AW24" s="91">
        <f t="shared" ref="AW24:AW39" si="6">AS24+AT24-AU24+SUM(AV24:AV24)</f>
        <v>225540</v>
      </c>
      <c r="AX24" s="94">
        <f t="shared" ref="AX24:AX39" si="7">AR24</f>
        <v>-1059</v>
      </c>
      <c r="AY24" s="188">
        <v>2512</v>
      </c>
      <c r="AZ24" s="188"/>
      <c r="BA24" s="90"/>
      <c r="BB24" s="92">
        <f>AX24+AY24-AZ24+BA24</f>
        <v>1453</v>
      </c>
      <c r="BC24" s="93">
        <f t="shared" ref="BC24:BC32" si="8">AW24</f>
        <v>225540</v>
      </c>
      <c r="BD24" s="188">
        <v>303480</v>
      </c>
      <c r="BE24" s="188">
        <v>123723</v>
      </c>
      <c r="BF24" s="90"/>
      <c r="BG24" s="91">
        <f>BC24+BD24-BE24+SUM(BF24:BF24)</f>
        <v>405297</v>
      </c>
      <c r="BH24" s="94">
        <f t="shared" ref="BH24:BH39" si="9">BB24</f>
        <v>1453</v>
      </c>
      <c r="BI24" s="188">
        <v>2125</v>
      </c>
      <c r="BJ24" s="188">
        <v>760</v>
      </c>
      <c r="BK24" s="188"/>
      <c r="BL24" s="92">
        <f>BH24+BI24-BJ24+BK24</f>
        <v>2818</v>
      </c>
      <c r="BM24" s="89">
        <v>101817</v>
      </c>
      <c r="BN24" s="188">
        <v>1907</v>
      </c>
      <c r="BO24" s="94">
        <f>BG24-BM24</f>
        <v>303480</v>
      </c>
      <c r="BP24" s="95">
        <f>BL24-BN24</f>
        <v>911</v>
      </c>
      <c r="BQ24" s="96">
        <f>BO24*0.011</f>
        <v>3338.2799999999997</v>
      </c>
      <c r="BR24" s="188"/>
      <c r="BS24" s="266">
        <f t="shared" ref="BS24:BS38" si="10">BP24+BQ24+BR24</f>
        <v>4249.28</v>
      </c>
      <c r="BT24" s="299">
        <f>SUM(BO24:BR24)</f>
        <v>307729.28000000003</v>
      </c>
      <c r="BU24" s="189">
        <v>408115.48</v>
      </c>
      <c r="BV24" s="85">
        <f>BU24-SUM(BG24,BL24)</f>
        <v>0.47999999998137355</v>
      </c>
    </row>
    <row r="25" spans="1:80" s="88" customFormat="1" ht="14.4" thickBot="1" x14ac:dyDescent="0.3">
      <c r="A25" s="1">
        <v>2</v>
      </c>
      <c r="B25" s="1"/>
      <c r="C25" s="272" t="s">
        <v>175</v>
      </c>
      <c r="D25" s="257">
        <v>1551</v>
      </c>
      <c r="E25" s="262"/>
      <c r="F25" s="331"/>
      <c r="G25" s="100"/>
      <c r="H25" s="100"/>
      <c r="I25" s="91"/>
      <c r="J25" s="261"/>
      <c r="K25" s="100"/>
      <c r="L25" s="100"/>
      <c r="M25" s="100"/>
      <c r="N25" s="92"/>
      <c r="O25" s="93"/>
      <c r="P25" s="100"/>
      <c r="Q25" s="100"/>
      <c r="R25" s="100"/>
      <c r="S25" s="91"/>
      <c r="T25" s="261"/>
      <c r="U25" s="100"/>
      <c r="V25" s="100"/>
      <c r="W25" s="100"/>
      <c r="X25" s="92"/>
      <c r="Y25" s="93"/>
      <c r="Z25" s="100"/>
      <c r="AA25" s="100"/>
      <c r="AB25" s="100"/>
      <c r="AC25" s="91"/>
      <c r="AD25" s="261"/>
      <c r="AE25" s="100"/>
      <c r="AF25" s="100"/>
      <c r="AG25" s="100"/>
      <c r="AH25" s="92"/>
      <c r="AI25" s="93">
        <f t="shared" si="3"/>
        <v>0</v>
      </c>
      <c r="AJ25" s="188">
        <v>9064</v>
      </c>
      <c r="AK25" s="188"/>
      <c r="AL25" s="188"/>
      <c r="AM25" s="91">
        <f t="shared" ref="AM25:AM39" si="11">AI25+AJ25-AK25+SUM(AL25:AL25)</f>
        <v>9064</v>
      </c>
      <c r="AN25" s="94">
        <f t="shared" si="4"/>
        <v>0</v>
      </c>
      <c r="AO25" s="188">
        <v>105</v>
      </c>
      <c r="AP25" s="249"/>
      <c r="AQ25" s="102"/>
      <c r="AR25" s="92">
        <f>AN25+AO25-AP25+AQ25</f>
        <v>105</v>
      </c>
      <c r="AS25" s="93">
        <f t="shared" si="5"/>
        <v>9064</v>
      </c>
      <c r="AT25" s="188">
        <v>-4678</v>
      </c>
      <c r="AU25" s="188"/>
      <c r="AV25" s="188"/>
      <c r="AW25" s="91">
        <f t="shared" si="6"/>
        <v>4386</v>
      </c>
      <c r="AX25" s="94">
        <f t="shared" si="7"/>
        <v>105</v>
      </c>
      <c r="AY25" s="188">
        <v>106</v>
      </c>
      <c r="AZ25" s="249"/>
      <c r="BA25" s="102"/>
      <c r="BB25" s="92">
        <f>AX25+AY25-AZ25+BA25</f>
        <v>211</v>
      </c>
      <c r="BC25" s="93">
        <f t="shared" si="8"/>
        <v>4386</v>
      </c>
      <c r="BD25" s="188">
        <v>-5456</v>
      </c>
      <c r="BE25" s="188">
        <v>9064</v>
      </c>
      <c r="BF25" s="90"/>
      <c r="BG25" s="91">
        <f t="shared" ref="BG25:BG39" si="12">BC25+BD25-BE25+SUM(BF25:BF25)</f>
        <v>-10134</v>
      </c>
      <c r="BH25" s="94">
        <f t="shared" si="9"/>
        <v>211</v>
      </c>
      <c r="BI25" s="188">
        <v>-71</v>
      </c>
      <c r="BJ25" s="188">
        <v>238</v>
      </c>
      <c r="BK25" s="188"/>
      <c r="BL25" s="92">
        <f>BH25+BI25-BJ25+BK25</f>
        <v>-98</v>
      </c>
      <c r="BM25" s="89">
        <v>-4677</v>
      </c>
      <c r="BN25" s="188">
        <v>-83</v>
      </c>
      <c r="BO25" s="94">
        <f t="shared" ref="BO25:BO39" si="13">BG25-BM25</f>
        <v>-5457</v>
      </c>
      <c r="BP25" s="95">
        <f t="shared" ref="BP25:BP39" si="14">BL25-BN25</f>
        <v>-15</v>
      </c>
      <c r="BQ25" s="96">
        <f t="shared" ref="BQ25:BQ39" si="15">BO25*0.011</f>
        <v>-60.026999999999994</v>
      </c>
      <c r="BR25" s="188"/>
      <c r="BS25" s="266">
        <f t="shared" si="10"/>
        <v>-75.026999999999987</v>
      </c>
      <c r="BT25" s="299">
        <f>SUM(BO25:BR25)</f>
        <v>-5532.027</v>
      </c>
      <c r="BU25" s="189">
        <v>-10232.220000000001</v>
      </c>
      <c r="BV25" s="85">
        <f t="shared" ref="BV25:BV44" si="16">BU25-SUM(BG25,BL25)</f>
        <v>-0.22000000000116415</v>
      </c>
    </row>
    <row r="26" spans="1:80" s="88" customFormat="1" ht="16.8" thickBot="1" x14ac:dyDescent="0.3">
      <c r="A26" s="1">
        <v>3</v>
      </c>
      <c r="B26" s="1"/>
      <c r="C26" s="256" t="s">
        <v>331</v>
      </c>
      <c r="D26" s="257">
        <v>1580</v>
      </c>
      <c r="E26" s="202">
        <v>-484007</v>
      </c>
      <c r="F26" s="203">
        <v>-248962</v>
      </c>
      <c r="G26" s="90">
        <v>-418413</v>
      </c>
      <c r="H26" s="90"/>
      <c r="I26" s="91">
        <f t="shared" ref="I26" si="17">E26+F26-G26+H26</f>
        <v>-314556</v>
      </c>
      <c r="J26" s="204">
        <v>-22771</v>
      </c>
      <c r="K26" s="205">
        <v>-5019</v>
      </c>
      <c r="L26" s="90">
        <v>-23489</v>
      </c>
      <c r="M26" s="90"/>
      <c r="N26" s="92">
        <f>J26+K26-L26+M26</f>
        <v>-4301</v>
      </c>
      <c r="O26" s="93">
        <f t="shared" ref="O26:O34" si="18">I26</f>
        <v>-314556</v>
      </c>
      <c r="P26" s="229">
        <v>-291192</v>
      </c>
      <c r="Q26" s="185">
        <v>-65594</v>
      </c>
      <c r="R26" s="188"/>
      <c r="S26" s="91">
        <f>O26+P26-Q26+SUM(R26:R26)</f>
        <v>-540154</v>
      </c>
      <c r="T26" s="94">
        <f t="shared" ref="T26:T34" si="19">N26</f>
        <v>-4301</v>
      </c>
      <c r="U26" s="233">
        <v>-6316</v>
      </c>
      <c r="V26" s="187">
        <v>52</v>
      </c>
      <c r="W26" s="188"/>
      <c r="X26" s="92">
        <f t="shared" ref="X26:X34" si="20">T26+U26-V26+W26</f>
        <v>-10669</v>
      </c>
      <c r="Y26" s="93">
        <f t="shared" si="0"/>
        <v>-540154</v>
      </c>
      <c r="Z26" s="188">
        <v>-340280</v>
      </c>
      <c r="AA26" s="188">
        <v>-248962</v>
      </c>
      <c r="AB26" s="188"/>
      <c r="AC26" s="91">
        <f t="shared" si="1"/>
        <v>-631472</v>
      </c>
      <c r="AD26" s="94">
        <f t="shared" si="2"/>
        <v>-10669</v>
      </c>
      <c r="AE26" s="188">
        <v>-8209</v>
      </c>
      <c r="AF26" s="188">
        <v>-10507</v>
      </c>
      <c r="AG26" s="188"/>
      <c r="AH26" s="92">
        <f t="shared" ref="AH26:AH34" si="21">AD26+AE26-AF26+AG26</f>
        <v>-8371</v>
      </c>
      <c r="AI26" s="93">
        <f t="shared" si="3"/>
        <v>-631472</v>
      </c>
      <c r="AJ26" s="188">
        <v>-182498</v>
      </c>
      <c r="AK26" s="188">
        <v>-291192</v>
      </c>
      <c r="AL26" s="188"/>
      <c r="AM26" s="91">
        <f t="shared" si="11"/>
        <v>-522778</v>
      </c>
      <c r="AN26" s="94">
        <f t="shared" si="4"/>
        <v>-8371</v>
      </c>
      <c r="AO26" s="188">
        <v>-8671</v>
      </c>
      <c r="AP26" s="188">
        <v>-5869</v>
      </c>
      <c r="AQ26" s="90"/>
      <c r="AR26" s="92">
        <f t="shared" ref="AR26:AR34" si="22">AN26+AO26-AP26+AQ26</f>
        <v>-11173</v>
      </c>
      <c r="AS26" s="93">
        <f t="shared" si="5"/>
        <v>-522778</v>
      </c>
      <c r="AT26" s="188">
        <v>6164</v>
      </c>
      <c r="AU26" s="188"/>
      <c r="AV26" s="188"/>
      <c r="AW26" s="91">
        <f t="shared" si="6"/>
        <v>-516614</v>
      </c>
      <c r="AX26" s="94">
        <f t="shared" si="7"/>
        <v>-11173</v>
      </c>
      <c r="AY26" s="188">
        <v>-5611</v>
      </c>
      <c r="AZ26" s="188"/>
      <c r="BA26" s="90"/>
      <c r="BB26" s="92">
        <f t="shared" ref="BB26:BB34" si="23">AX26+AY26-AZ26+BA26</f>
        <v>-16784</v>
      </c>
      <c r="BC26" s="93">
        <f t="shared" si="8"/>
        <v>-516614</v>
      </c>
      <c r="BD26" s="188"/>
      <c r="BE26" s="188"/>
      <c r="BF26" s="90"/>
      <c r="BG26" s="91">
        <f t="shared" si="12"/>
        <v>-516614</v>
      </c>
      <c r="BH26" s="94">
        <f t="shared" si="9"/>
        <v>-16784</v>
      </c>
      <c r="BI26" s="188"/>
      <c r="BJ26" s="188"/>
      <c r="BK26" s="188"/>
      <c r="BL26" s="92">
        <f t="shared" ref="BL26:BL34" si="24">BH26+BI26-BJ26+BK26</f>
        <v>-16784</v>
      </c>
      <c r="BM26" s="89"/>
      <c r="BN26" s="188"/>
      <c r="BO26" s="94">
        <f t="shared" si="13"/>
        <v>-516614</v>
      </c>
      <c r="BP26" s="95">
        <f t="shared" si="14"/>
        <v>-16784</v>
      </c>
      <c r="BQ26" s="96">
        <f t="shared" si="15"/>
        <v>-5682.7539999999999</v>
      </c>
      <c r="BR26" s="188"/>
      <c r="BS26" s="266">
        <f t="shared" si="10"/>
        <v>-22466.754000000001</v>
      </c>
      <c r="BT26" s="299">
        <f>SUM(BO26:BR26)</f>
        <v>-539080.75399999996</v>
      </c>
      <c r="BU26" s="189">
        <v>-521150.09</v>
      </c>
      <c r="BV26" s="85">
        <f t="shared" si="16"/>
        <v>12247.909999999974</v>
      </c>
    </row>
    <row r="27" spans="1:80" s="88" customFormat="1" ht="16.8" thickBot="1" x14ac:dyDescent="0.3">
      <c r="A27" s="1">
        <v>3.1</v>
      </c>
      <c r="B27" s="1"/>
      <c r="C27" s="256" t="s">
        <v>343</v>
      </c>
      <c r="D27" s="257">
        <v>1580</v>
      </c>
      <c r="E27" s="262"/>
      <c r="F27" s="100"/>
      <c r="G27" s="100"/>
      <c r="H27" s="100"/>
      <c r="I27" s="91"/>
      <c r="J27" s="261"/>
      <c r="K27" s="100"/>
      <c r="L27" s="100"/>
      <c r="M27" s="100"/>
      <c r="N27" s="92"/>
      <c r="O27" s="262"/>
      <c r="P27" s="100"/>
      <c r="Q27" s="100"/>
      <c r="R27" s="100"/>
      <c r="S27" s="91"/>
      <c r="T27" s="261"/>
      <c r="U27" s="100"/>
      <c r="V27" s="100"/>
      <c r="W27" s="100"/>
      <c r="X27" s="92"/>
      <c r="Y27" s="262"/>
      <c r="Z27" s="100"/>
      <c r="AA27" s="100"/>
      <c r="AB27" s="100"/>
      <c r="AC27" s="91"/>
      <c r="AD27" s="261"/>
      <c r="AE27" s="100"/>
      <c r="AF27" s="100"/>
      <c r="AG27" s="100"/>
      <c r="AH27" s="92"/>
      <c r="AI27" s="262"/>
      <c r="AJ27" s="100"/>
      <c r="AK27" s="100"/>
      <c r="AL27" s="100"/>
      <c r="AM27" s="91"/>
      <c r="AN27" s="261"/>
      <c r="AO27" s="100"/>
      <c r="AP27" s="100"/>
      <c r="AQ27" s="100"/>
      <c r="AR27" s="92"/>
      <c r="AS27" s="262"/>
      <c r="AT27" s="100"/>
      <c r="AU27" s="100"/>
      <c r="AV27" s="100"/>
      <c r="AW27" s="91"/>
      <c r="AX27" s="261"/>
      <c r="AY27" s="100"/>
      <c r="AZ27" s="100"/>
      <c r="BA27" s="100"/>
      <c r="BB27" s="92"/>
      <c r="BC27" s="93">
        <v>0</v>
      </c>
      <c r="BD27" s="188"/>
      <c r="BE27" s="188"/>
      <c r="BF27" s="188"/>
      <c r="BG27" s="91">
        <f t="shared" si="12"/>
        <v>0</v>
      </c>
      <c r="BH27" s="94">
        <f t="shared" si="9"/>
        <v>0</v>
      </c>
      <c r="BI27" s="188"/>
      <c r="BJ27" s="188"/>
      <c r="BK27" s="188"/>
      <c r="BL27" s="92">
        <f t="shared" si="24"/>
        <v>0</v>
      </c>
      <c r="BM27" s="89"/>
      <c r="BN27" s="188"/>
      <c r="BO27" s="94">
        <f t="shared" si="13"/>
        <v>0</v>
      </c>
      <c r="BP27" s="95">
        <f t="shared" si="14"/>
        <v>0</v>
      </c>
      <c r="BQ27" s="96">
        <f t="shared" si="15"/>
        <v>0</v>
      </c>
      <c r="BR27" s="188"/>
      <c r="BS27" s="266">
        <f t="shared" si="10"/>
        <v>0</v>
      </c>
      <c r="BT27" s="299">
        <f>IF(CB27=TRUE, SUM(BO27:BR27), 0)</f>
        <v>0</v>
      </c>
      <c r="BU27" s="189"/>
      <c r="BV27" s="85">
        <f>BU27-SUM(BG27,BL27)</f>
        <v>0</v>
      </c>
      <c r="CA27" s="146" t="s">
        <v>288</v>
      </c>
      <c r="CB27" s="356" t="b">
        <v>1</v>
      </c>
    </row>
    <row r="28" spans="1:80" s="88" customFormat="1" ht="16.8" thickBot="1" x14ac:dyDescent="0.3">
      <c r="A28" s="1">
        <v>3.2</v>
      </c>
      <c r="B28" s="1"/>
      <c r="C28" s="256" t="s">
        <v>344</v>
      </c>
      <c r="D28" s="257">
        <v>1580</v>
      </c>
      <c r="E28" s="262"/>
      <c r="F28" s="100"/>
      <c r="G28" s="100"/>
      <c r="H28" s="100"/>
      <c r="I28" s="91"/>
      <c r="J28" s="261"/>
      <c r="K28" s="100"/>
      <c r="L28" s="100"/>
      <c r="M28" s="100"/>
      <c r="N28" s="92"/>
      <c r="O28" s="262"/>
      <c r="P28" s="100"/>
      <c r="Q28" s="100"/>
      <c r="R28" s="100"/>
      <c r="S28" s="91"/>
      <c r="T28" s="261"/>
      <c r="U28" s="100"/>
      <c r="V28" s="100"/>
      <c r="W28" s="100"/>
      <c r="X28" s="92"/>
      <c r="Y28" s="262"/>
      <c r="Z28" s="100"/>
      <c r="AA28" s="100"/>
      <c r="AB28" s="100"/>
      <c r="AC28" s="91"/>
      <c r="AD28" s="261"/>
      <c r="AE28" s="100"/>
      <c r="AF28" s="100"/>
      <c r="AG28" s="100"/>
      <c r="AH28" s="92"/>
      <c r="AI28" s="262"/>
      <c r="AJ28" s="100"/>
      <c r="AK28" s="100"/>
      <c r="AL28" s="100"/>
      <c r="AM28" s="91"/>
      <c r="AN28" s="261"/>
      <c r="AO28" s="100"/>
      <c r="AP28" s="100"/>
      <c r="AQ28" s="100"/>
      <c r="AR28" s="92"/>
      <c r="AS28" s="262"/>
      <c r="AT28" s="100"/>
      <c r="AU28" s="100"/>
      <c r="AV28" s="100"/>
      <c r="AW28" s="91"/>
      <c r="AX28" s="261"/>
      <c r="AY28" s="100"/>
      <c r="AZ28" s="100"/>
      <c r="BA28" s="100"/>
      <c r="BB28" s="92"/>
      <c r="BC28" s="93">
        <v>0</v>
      </c>
      <c r="BD28" s="188">
        <v>-526850</v>
      </c>
      <c r="BE28" s="188">
        <v>-522778</v>
      </c>
      <c r="BF28" s="188"/>
      <c r="BG28" s="91">
        <f t="shared" si="12"/>
        <v>-4072</v>
      </c>
      <c r="BH28" s="94">
        <f t="shared" si="9"/>
        <v>0</v>
      </c>
      <c r="BI28" s="188">
        <v>-2538</v>
      </c>
      <c r="BJ28" s="188">
        <v>-18858</v>
      </c>
      <c r="BK28" s="188"/>
      <c r="BL28" s="92">
        <f t="shared" si="24"/>
        <v>16320</v>
      </c>
      <c r="BM28" s="89">
        <v>6164</v>
      </c>
      <c r="BN28" s="188">
        <v>2148</v>
      </c>
      <c r="BO28" s="94">
        <f t="shared" si="13"/>
        <v>-10236</v>
      </c>
      <c r="BP28" s="95">
        <f t="shared" si="14"/>
        <v>14172</v>
      </c>
      <c r="BQ28" s="96">
        <f t="shared" si="15"/>
        <v>-112.59599999999999</v>
      </c>
      <c r="BR28" s="188"/>
      <c r="BS28" s="266">
        <f t="shared" si="10"/>
        <v>14059.404</v>
      </c>
      <c r="BT28" s="299">
        <f>IF(CB28=TRUE, SUM(BO28:BR28), 0)</f>
        <v>3823.404</v>
      </c>
      <c r="BU28" s="189">
        <v>0</v>
      </c>
      <c r="BV28" s="85">
        <f>BU28-SUM(BG28,BL28)</f>
        <v>-12248</v>
      </c>
      <c r="CA28" s="146" t="s">
        <v>289</v>
      </c>
      <c r="CB28" s="357" t="b">
        <v>1</v>
      </c>
    </row>
    <row r="29" spans="1:80" s="88" customFormat="1" ht="14.4" thickBot="1" x14ac:dyDescent="0.3">
      <c r="A29" s="1">
        <v>4</v>
      </c>
      <c r="B29" s="1"/>
      <c r="C29" s="256" t="s">
        <v>2</v>
      </c>
      <c r="D29" s="257">
        <v>1584</v>
      </c>
      <c r="E29" s="202">
        <v>-513630</v>
      </c>
      <c r="F29" s="203">
        <v>36888</v>
      </c>
      <c r="G29" s="90">
        <v>-409791</v>
      </c>
      <c r="H29" s="90"/>
      <c r="I29" s="91">
        <f t="shared" ref="I29:I39" si="25">E29+F29-G29+H29</f>
        <v>-66951</v>
      </c>
      <c r="J29" s="204">
        <v>-29534</v>
      </c>
      <c r="K29" s="205">
        <v>-4040</v>
      </c>
      <c r="L29" s="90">
        <v>-29753</v>
      </c>
      <c r="M29" s="90"/>
      <c r="N29" s="92">
        <f t="shared" ref="N29:N39" si="26">J29+K29-L29+M29</f>
        <v>-3821</v>
      </c>
      <c r="O29" s="93">
        <f t="shared" si="18"/>
        <v>-66951</v>
      </c>
      <c r="P29" s="230">
        <v>-20724</v>
      </c>
      <c r="Q29" s="185">
        <v>-103839</v>
      </c>
      <c r="R29" s="188"/>
      <c r="S29" s="91">
        <f t="shared" ref="S29:S35" si="27">O29+P29-Q29+SUM(R29:R29)</f>
        <v>16164</v>
      </c>
      <c r="T29" s="94">
        <f t="shared" si="19"/>
        <v>-3821</v>
      </c>
      <c r="U29" s="233">
        <v>-189</v>
      </c>
      <c r="V29" s="187">
        <v>-833</v>
      </c>
      <c r="W29" s="188"/>
      <c r="X29" s="92">
        <f t="shared" si="20"/>
        <v>-3177</v>
      </c>
      <c r="Y29" s="93">
        <f t="shared" si="0"/>
        <v>16164</v>
      </c>
      <c r="Z29" s="188">
        <v>57082</v>
      </c>
      <c r="AA29" s="188">
        <v>36888</v>
      </c>
      <c r="AB29" s="188"/>
      <c r="AC29" s="91">
        <f t="shared" si="1"/>
        <v>36358</v>
      </c>
      <c r="AD29" s="94">
        <f t="shared" si="2"/>
        <v>-3177</v>
      </c>
      <c r="AE29" s="188">
        <v>-480</v>
      </c>
      <c r="AF29" s="188">
        <v>-4297</v>
      </c>
      <c r="AG29" s="188"/>
      <c r="AH29" s="92">
        <f t="shared" si="21"/>
        <v>640</v>
      </c>
      <c r="AI29" s="93">
        <f t="shared" si="3"/>
        <v>36358</v>
      </c>
      <c r="AJ29" s="188">
        <v>382888</v>
      </c>
      <c r="AK29" s="188">
        <v>-20724</v>
      </c>
      <c r="AL29" s="188"/>
      <c r="AM29" s="91">
        <f t="shared" si="11"/>
        <v>439970</v>
      </c>
      <c r="AN29" s="94">
        <f t="shared" si="4"/>
        <v>640</v>
      </c>
      <c r="AO29" s="188">
        <v>3571</v>
      </c>
      <c r="AP29" s="188">
        <v>714</v>
      </c>
      <c r="AQ29" s="90"/>
      <c r="AR29" s="92">
        <f t="shared" si="22"/>
        <v>3497</v>
      </c>
      <c r="AS29" s="93">
        <f t="shared" si="5"/>
        <v>439970</v>
      </c>
      <c r="AT29" s="188">
        <v>-96692</v>
      </c>
      <c r="AU29" s="188"/>
      <c r="AV29" s="188"/>
      <c r="AW29" s="91">
        <f t="shared" si="6"/>
        <v>343278</v>
      </c>
      <c r="AX29" s="94">
        <f t="shared" si="7"/>
        <v>3497</v>
      </c>
      <c r="AY29" s="188">
        <v>5730</v>
      </c>
      <c r="AZ29" s="188"/>
      <c r="BA29" s="90"/>
      <c r="BB29" s="92">
        <f t="shared" si="23"/>
        <v>9227</v>
      </c>
      <c r="BC29" s="93">
        <f t="shared" si="8"/>
        <v>343278</v>
      </c>
      <c r="BD29" s="188">
        <v>92901</v>
      </c>
      <c r="BE29" s="188">
        <v>439970</v>
      </c>
      <c r="BF29" s="90"/>
      <c r="BG29" s="91">
        <f t="shared" ref="BG29:BG35" si="28">BC29+BD29-BE29+SUM(BF29:BF29)</f>
        <v>-3791</v>
      </c>
      <c r="BH29" s="94">
        <f t="shared" si="9"/>
        <v>9227</v>
      </c>
      <c r="BI29" s="188">
        <v>-504</v>
      </c>
      <c r="BJ29" s="188">
        <v>9965</v>
      </c>
      <c r="BK29" s="188"/>
      <c r="BL29" s="92">
        <f t="shared" si="24"/>
        <v>-1242</v>
      </c>
      <c r="BM29" s="89">
        <v>-96692</v>
      </c>
      <c r="BN29" s="188">
        <v>-1891</v>
      </c>
      <c r="BO29" s="94">
        <f t="shared" si="13"/>
        <v>92901</v>
      </c>
      <c r="BP29" s="95">
        <f t="shared" si="14"/>
        <v>649</v>
      </c>
      <c r="BQ29" s="96">
        <f t="shared" si="15"/>
        <v>1021.9109999999999</v>
      </c>
      <c r="BR29" s="188"/>
      <c r="BS29" s="266">
        <f t="shared" si="10"/>
        <v>1670.9110000000001</v>
      </c>
      <c r="BT29" s="299">
        <f t="shared" ref="BT29:BT83" si="29">SUM(BO29:BR29)</f>
        <v>94571.910999999993</v>
      </c>
      <c r="BU29" s="189">
        <v>-5032.24</v>
      </c>
      <c r="BV29" s="85">
        <f t="shared" si="16"/>
        <v>0.76000000000021828</v>
      </c>
      <c r="CB29" s="357"/>
    </row>
    <row r="30" spans="1:80" s="88" customFormat="1" ht="14.4" thickBot="1" x14ac:dyDescent="0.3">
      <c r="A30" s="1">
        <v>5</v>
      </c>
      <c r="B30" s="1"/>
      <c r="C30" s="256" t="s">
        <v>3</v>
      </c>
      <c r="D30" s="257">
        <v>1586</v>
      </c>
      <c r="E30" s="202">
        <v>572628</v>
      </c>
      <c r="F30" s="203">
        <v>-113473</v>
      </c>
      <c r="G30" s="90">
        <v>613136</v>
      </c>
      <c r="H30" s="90"/>
      <c r="I30" s="91">
        <f t="shared" si="25"/>
        <v>-153981</v>
      </c>
      <c r="J30" s="204">
        <v>71522</v>
      </c>
      <c r="K30" s="205">
        <v>3972</v>
      </c>
      <c r="L30" s="90">
        <v>72675</v>
      </c>
      <c r="M30" s="90"/>
      <c r="N30" s="92">
        <f t="shared" si="26"/>
        <v>2819</v>
      </c>
      <c r="O30" s="93">
        <f t="shared" si="18"/>
        <v>-153981</v>
      </c>
      <c r="P30" s="230">
        <v>-99359</v>
      </c>
      <c r="Q30" s="185">
        <v>-40508</v>
      </c>
      <c r="R30" s="188"/>
      <c r="S30" s="91">
        <f t="shared" si="27"/>
        <v>-212832</v>
      </c>
      <c r="T30" s="94">
        <f t="shared" si="19"/>
        <v>2819</v>
      </c>
      <c r="U30" s="233">
        <v>-2733</v>
      </c>
      <c r="V30" s="187">
        <v>-1565</v>
      </c>
      <c r="W30" s="188"/>
      <c r="X30" s="92">
        <f t="shared" si="20"/>
        <v>1651</v>
      </c>
      <c r="Y30" s="93">
        <f t="shared" si="0"/>
        <v>-212832</v>
      </c>
      <c r="Z30" s="188">
        <v>65226</v>
      </c>
      <c r="AA30" s="188">
        <v>-113473</v>
      </c>
      <c r="AB30" s="188"/>
      <c r="AC30" s="91">
        <f t="shared" si="1"/>
        <v>-34133</v>
      </c>
      <c r="AD30" s="94">
        <f t="shared" si="2"/>
        <v>1651</v>
      </c>
      <c r="AE30" s="188">
        <v>-2364</v>
      </c>
      <c r="AF30" s="188">
        <v>1393</v>
      </c>
      <c r="AG30" s="188"/>
      <c r="AH30" s="92">
        <f t="shared" si="21"/>
        <v>-2106</v>
      </c>
      <c r="AI30" s="93">
        <f t="shared" si="3"/>
        <v>-34133</v>
      </c>
      <c r="AJ30" s="188">
        <v>240668</v>
      </c>
      <c r="AK30" s="188">
        <v>-99359</v>
      </c>
      <c r="AL30" s="188"/>
      <c r="AM30" s="91">
        <f t="shared" si="11"/>
        <v>305894</v>
      </c>
      <c r="AN30" s="94">
        <f t="shared" si="4"/>
        <v>-2106</v>
      </c>
      <c r="AO30" s="188">
        <v>2073</v>
      </c>
      <c r="AP30" s="188">
        <v>-1689</v>
      </c>
      <c r="AQ30" s="90"/>
      <c r="AR30" s="92">
        <f t="shared" si="22"/>
        <v>1656</v>
      </c>
      <c r="AS30" s="93">
        <f t="shared" si="5"/>
        <v>305894</v>
      </c>
      <c r="AT30" s="188">
        <v>-157935</v>
      </c>
      <c r="AU30" s="188"/>
      <c r="AV30" s="188"/>
      <c r="AW30" s="91">
        <f t="shared" si="6"/>
        <v>147959</v>
      </c>
      <c r="AX30" s="94">
        <f t="shared" si="7"/>
        <v>1656</v>
      </c>
      <c r="AY30" s="188">
        <v>3374</v>
      </c>
      <c r="AZ30" s="188"/>
      <c r="BA30" s="90"/>
      <c r="BB30" s="92">
        <f t="shared" si="23"/>
        <v>5030</v>
      </c>
      <c r="BC30" s="93">
        <f t="shared" si="8"/>
        <v>147959</v>
      </c>
      <c r="BD30" s="188">
        <v>185312</v>
      </c>
      <c r="BE30" s="188">
        <v>305894</v>
      </c>
      <c r="BF30" s="90"/>
      <c r="BG30" s="91">
        <f t="shared" si="28"/>
        <v>27377</v>
      </c>
      <c r="BH30" s="94">
        <f t="shared" si="9"/>
        <v>5030</v>
      </c>
      <c r="BI30" s="188">
        <v>-1109</v>
      </c>
      <c r="BJ30" s="188">
        <v>6153</v>
      </c>
      <c r="BK30" s="188"/>
      <c r="BL30" s="92">
        <f t="shared" si="24"/>
        <v>-2232</v>
      </c>
      <c r="BM30" s="89">
        <v>-157935</v>
      </c>
      <c r="BN30" s="188">
        <v>-3006</v>
      </c>
      <c r="BO30" s="94">
        <f t="shared" si="13"/>
        <v>185312</v>
      </c>
      <c r="BP30" s="95">
        <f t="shared" si="14"/>
        <v>774</v>
      </c>
      <c r="BQ30" s="96">
        <f t="shared" si="15"/>
        <v>2038.4319999999998</v>
      </c>
      <c r="BR30" s="188"/>
      <c r="BS30" s="266">
        <f t="shared" si="10"/>
        <v>2812.4319999999998</v>
      </c>
      <c r="BT30" s="299">
        <f t="shared" si="29"/>
        <v>188124.432</v>
      </c>
      <c r="BU30" s="189">
        <v>25144.329999999998</v>
      </c>
      <c r="BV30" s="85">
        <f t="shared" si="16"/>
        <v>-0.67000000000189175</v>
      </c>
      <c r="CB30" s="357"/>
    </row>
    <row r="31" spans="1:80" s="88" customFormat="1" ht="14.4" thickBot="1" x14ac:dyDescent="0.3">
      <c r="A31" s="1">
        <v>6</v>
      </c>
      <c r="B31" s="1"/>
      <c r="C31" s="256" t="s">
        <v>48</v>
      </c>
      <c r="D31" s="257">
        <v>1588</v>
      </c>
      <c r="E31" s="184">
        <v>649281</v>
      </c>
      <c r="F31" s="203">
        <v>-117209</v>
      </c>
      <c r="G31" s="90">
        <v>620568</v>
      </c>
      <c r="H31" s="90"/>
      <c r="I31" s="91">
        <f t="shared" si="25"/>
        <v>-88496</v>
      </c>
      <c r="J31" s="188">
        <v>-1739</v>
      </c>
      <c r="K31" s="188">
        <v>13842</v>
      </c>
      <c r="L31" s="90">
        <v>4720</v>
      </c>
      <c r="M31" s="90"/>
      <c r="N31" s="92">
        <f t="shared" si="26"/>
        <v>7383</v>
      </c>
      <c r="O31" s="93">
        <f t="shared" si="18"/>
        <v>-88496</v>
      </c>
      <c r="P31" s="188">
        <v>-248519</v>
      </c>
      <c r="Q31" s="185">
        <v>28713</v>
      </c>
      <c r="R31" s="188"/>
      <c r="S31" s="91">
        <f t="shared" si="27"/>
        <v>-365728</v>
      </c>
      <c r="T31" s="94">
        <f t="shared" si="19"/>
        <v>7383</v>
      </c>
      <c r="U31" s="188">
        <v>-1901</v>
      </c>
      <c r="V31" s="187">
        <v>3272</v>
      </c>
      <c r="W31" s="188"/>
      <c r="X31" s="92">
        <f t="shared" si="20"/>
        <v>2210</v>
      </c>
      <c r="Y31" s="93">
        <f t="shared" si="0"/>
        <v>-365728</v>
      </c>
      <c r="Z31" s="188">
        <v>-70987</v>
      </c>
      <c r="AA31" s="188">
        <v>-117209</v>
      </c>
      <c r="AB31" s="188"/>
      <c r="AC31" s="91">
        <f t="shared" si="1"/>
        <v>-319506</v>
      </c>
      <c r="AD31" s="94">
        <f t="shared" si="2"/>
        <v>2210</v>
      </c>
      <c r="AE31" s="188">
        <v>-4628</v>
      </c>
      <c r="AF31" s="188">
        <v>2391</v>
      </c>
      <c r="AG31" s="188"/>
      <c r="AH31" s="92">
        <f t="shared" si="21"/>
        <v>-4809</v>
      </c>
      <c r="AI31" s="93">
        <f t="shared" si="3"/>
        <v>-319506</v>
      </c>
      <c r="AJ31" s="188">
        <v>420819</v>
      </c>
      <c r="AK31" s="188">
        <v>-248519</v>
      </c>
      <c r="AL31" s="188"/>
      <c r="AM31" s="91">
        <f t="shared" si="11"/>
        <v>349832</v>
      </c>
      <c r="AN31" s="94">
        <f t="shared" si="4"/>
        <v>-4809</v>
      </c>
      <c r="AO31" s="188">
        <v>249</v>
      </c>
      <c r="AP31" s="188">
        <v>-5052</v>
      </c>
      <c r="AQ31" s="90"/>
      <c r="AR31" s="92">
        <f t="shared" si="22"/>
        <v>492</v>
      </c>
      <c r="AS31" s="93">
        <f t="shared" si="5"/>
        <v>349832</v>
      </c>
      <c r="AT31" s="188">
        <v>183234</v>
      </c>
      <c r="AU31" s="188"/>
      <c r="AV31" s="188"/>
      <c r="AW31" s="91">
        <f t="shared" si="6"/>
        <v>533066</v>
      </c>
      <c r="AX31" s="94">
        <f t="shared" si="7"/>
        <v>492</v>
      </c>
      <c r="AY31" s="188">
        <v>11112</v>
      </c>
      <c r="AZ31" s="188"/>
      <c r="BA31" s="90"/>
      <c r="BB31" s="92">
        <f t="shared" si="23"/>
        <v>11604</v>
      </c>
      <c r="BC31" s="93">
        <f t="shared" si="8"/>
        <v>533066</v>
      </c>
      <c r="BD31" s="188">
        <v>-516208</v>
      </c>
      <c r="BE31" s="188">
        <v>349831</v>
      </c>
      <c r="BF31" s="90">
        <v>148378</v>
      </c>
      <c r="BG31" s="91">
        <f t="shared" si="28"/>
        <v>-184595</v>
      </c>
      <c r="BH31" s="94">
        <f t="shared" si="9"/>
        <v>11604</v>
      </c>
      <c r="BI31" s="188">
        <v>1400</v>
      </c>
      <c r="BJ31" s="188">
        <v>5635</v>
      </c>
      <c r="BK31" s="188"/>
      <c r="BL31" s="92">
        <f t="shared" si="24"/>
        <v>7369</v>
      </c>
      <c r="BM31" s="89">
        <v>183234</v>
      </c>
      <c r="BN31" s="188">
        <v>8154</v>
      </c>
      <c r="BO31" s="94">
        <f t="shared" si="13"/>
        <v>-367829</v>
      </c>
      <c r="BP31" s="95">
        <f t="shared" si="14"/>
        <v>-785</v>
      </c>
      <c r="BQ31" s="96">
        <f t="shared" si="15"/>
        <v>-4046.1189999999997</v>
      </c>
      <c r="BR31" s="188"/>
      <c r="BS31" s="266">
        <f t="shared" si="10"/>
        <v>-4831.1189999999997</v>
      </c>
      <c r="BT31" s="299">
        <f t="shared" si="29"/>
        <v>-372660.11900000001</v>
      </c>
      <c r="BU31" s="189">
        <v>-325605.25</v>
      </c>
      <c r="BV31" s="85">
        <f t="shared" si="16"/>
        <v>-148379.25</v>
      </c>
      <c r="CB31" s="357"/>
    </row>
    <row r="32" spans="1:80" s="88" customFormat="1" ht="14.4" thickBot="1" x14ac:dyDescent="0.3">
      <c r="A32" s="1">
        <v>7</v>
      </c>
      <c r="B32" s="1"/>
      <c r="C32" s="256" t="s">
        <v>81</v>
      </c>
      <c r="D32" s="257">
        <v>1589</v>
      </c>
      <c r="E32" s="202">
        <v>316313</v>
      </c>
      <c r="F32" s="203">
        <v>-30715</v>
      </c>
      <c r="G32" s="90">
        <v>107517</v>
      </c>
      <c r="H32" s="90"/>
      <c r="I32" s="91">
        <f t="shared" si="25"/>
        <v>178081</v>
      </c>
      <c r="J32" s="206">
        <v>13502</v>
      </c>
      <c r="K32" s="207">
        <v>2156</v>
      </c>
      <c r="L32" s="90">
        <v>17442</v>
      </c>
      <c r="M32" s="90"/>
      <c r="N32" s="92">
        <f t="shared" si="26"/>
        <v>-1784</v>
      </c>
      <c r="O32" s="93">
        <f t="shared" si="18"/>
        <v>178081</v>
      </c>
      <c r="P32" s="231">
        <v>441977</v>
      </c>
      <c r="Q32" s="185">
        <v>208797</v>
      </c>
      <c r="R32" s="188"/>
      <c r="S32" s="91">
        <f t="shared" si="27"/>
        <v>411261</v>
      </c>
      <c r="T32" s="94">
        <f t="shared" si="19"/>
        <v>-1784</v>
      </c>
      <c r="U32" s="234">
        <v>3909</v>
      </c>
      <c r="V32" s="187">
        <v>-1822</v>
      </c>
      <c r="W32" s="188"/>
      <c r="X32" s="92">
        <f t="shared" si="20"/>
        <v>3947</v>
      </c>
      <c r="Y32" s="93">
        <f t="shared" si="0"/>
        <v>411261</v>
      </c>
      <c r="Z32" s="188">
        <v>120240</v>
      </c>
      <c r="AA32" s="188">
        <v>-30716</v>
      </c>
      <c r="AB32" s="188"/>
      <c r="AC32" s="91">
        <f t="shared" si="1"/>
        <v>562217</v>
      </c>
      <c r="AD32" s="94">
        <f t="shared" si="2"/>
        <v>3947</v>
      </c>
      <c r="AE32" s="188">
        <v>-447</v>
      </c>
      <c r="AF32" s="188">
        <v>-3522</v>
      </c>
      <c r="AG32" s="188"/>
      <c r="AH32" s="92">
        <f t="shared" si="21"/>
        <v>7022</v>
      </c>
      <c r="AI32" s="93">
        <f t="shared" si="3"/>
        <v>562217</v>
      </c>
      <c r="AJ32" s="188">
        <v>477578</v>
      </c>
      <c r="AK32" s="188">
        <v>441977</v>
      </c>
      <c r="AL32" s="188"/>
      <c r="AM32" s="91">
        <f t="shared" si="11"/>
        <v>597818</v>
      </c>
      <c r="AN32" s="94">
        <f t="shared" si="4"/>
        <v>7022</v>
      </c>
      <c r="AO32" s="188">
        <v>7603</v>
      </c>
      <c r="AP32" s="188">
        <v>16132</v>
      </c>
      <c r="AQ32" s="90"/>
      <c r="AR32" s="92">
        <f t="shared" si="22"/>
        <v>-1507</v>
      </c>
      <c r="AS32" s="93">
        <f t="shared" si="5"/>
        <v>597818</v>
      </c>
      <c r="AT32" s="188">
        <v>443215</v>
      </c>
      <c r="AU32" s="188"/>
      <c r="AV32" s="188"/>
      <c r="AW32" s="91">
        <f t="shared" si="6"/>
        <v>1041033</v>
      </c>
      <c r="AX32" s="94">
        <f t="shared" si="7"/>
        <v>-1507</v>
      </c>
      <c r="AY32" s="188">
        <v>6070</v>
      </c>
      <c r="AZ32" s="188"/>
      <c r="BA32" s="90"/>
      <c r="BB32" s="92">
        <f t="shared" si="23"/>
        <v>4563</v>
      </c>
      <c r="BC32" s="93">
        <f t="shared" si="8"/>
        <v>1041033</v>
      </c>
      <c r="BD32" s="188">
        <v>363636</v>
      </c>
      <c r="BE32" s="188">
        <v>597818</v>
      </c>
      <c r="BF32" s="90"/>
      <c r="BG32" s="91">
        <f t="shared" si="28"/>
        <v>806851</v>
      </c>
      <c r="BH32" s="94">
        <f t="shared" si="9"/>
        <v>4563</v>
      </c>
      <c r="BI32" s="188">
        <v>5083</v>
      </c>
      <c r="BJ32" s="188">
        <v>7281</v>
      </c>
      <c r="BK32" s="188"/>
      <c r="BL32" s="92">
        <f t="shared" si="24"/>
        <v>2365</v>
      </c>
      <c r="BM32" s="89">
        <v>443215</v>
      </c>
      <c r="BN32" s="188">
        <v>2567</v>
      </c>
      <c r="BO32" s="94">
        <f t="shared" si="13"/>
        <v>363636</v>
      </c>
      <c r="BP32" s="95">
        <f t="shared" si="14"/>
        <v>-202</v>
      </c>
      <c r="BQ32" s="96">
        <f t="shared" si="15"/>
        <v>3999.9959999999996</v>
      </c>
      <c r="BR32" s="188"/>
      <c r="BS32" s="266">
        <f t="shared" si="10"/>
        <v>3797.9959999999996</v>
      </c>
      <c r="BT32" s="299">
        <f>SUM(BO32:BR32)</f>
        <v>367433.99599999998</v>
      </c>
      <c r="BU32" s="189">
        <v>809216.83000000007</v>
      </c>
      <c r="BV32" s="85">
        <f t="shared" si="16"/>
        <v>0.83000000007450581</v>
      </c>
      <c r="CB32" s="357"/>
    </row>
    <row r="33" spans="1:80" s="88" customFormat="1" ht="16.8" thickBot="1" x14ac:dyDescent="0.3">
      <c r="A33" s="1">
        <v>8</v>
      </c>
      <c r="B33" s="1"/>
      <c r="C33" s="258" t="s">
        <v>241</v>
      </c>
      <c r="D33" s="257">
        <v>1595</v>
      </c>
      <c r="E33" s="184"/>
      <c r="F33" s="203"/>
      <c r="G33" s="90"/>
      <c r="H33" s="90"/>
      <c r="I33" s="91">
        <f t="shared" si="25"/>
        <v>0</v>
      </c>
      <c r="J33" s="188"/>
      <c r="K33" s="188"/>
      <c r="L33" s="90"/>
      <c r="M33" s="90"/>
      <c r="N33" s="92">
        <f t="shared" si="26"/>
        <v>0</v>
      </c>
      <c r="O33" s="93">
        <f>I33</f>
        <v>0</v>
      </c>
      <c r="P33" s="232"/>
      <c r="Q33" s="185"/>
      <c r="R33" s="188"/>
      <c r="S33" s="91">
        <f t="shared" si="27"/>
        <v>0</v>
      </c>
      <c r="T33" s="94">
        <f>N33</f>
        <v>0</v>
      </c>
      <c r="U33" s="188"/>
      <c r="V33" s="187"/>
      <c r="W33" s="188">
        <v>-50021</v>
      </c>
      <c r="X33" s="92">
        <f t="shared" si="20"/>
        <v>-50021</v>
      </c>
      <c r="Y33" s="93">
        <f t="shared" ref="Y33:Y39" si="30">S33</f>
        <v>0</v>
      </c>
      <c r="Z33" s="188">
        <v>8405</v>
      </c>
      <c r="AA33" s="188"/>
      <c r="AB33" s="188"/>
      <c r="AC33" s="91">
        <f t="shared" si="1"/>
        <v>8405</v>
      </c>
      <c r="AD33" s="94">
        <f t="shared" si="2"/>
        <v>-50021</v>
      </c>
      <c r="AE33" s="188">
        <v>96656</v>
      </c>
      <c r="AF33" s="188"/>
      <c r="AG33" s="188"/>
      <c r="AH33" s="92">
        <f t="shared" si="21"/>
        <v>46635</v>
      </c>
      <c r="AI33" s="93">
        <f t="shared" si="3"/>
        <v>8405</v>
      </c>
      <c r="AJ33" s="188">
        <v>-48523</v>
      </c>
      <c r="AK33" s="188"/>
      <c r="AL33" s="188"/>
      <c r="AM33" s="91">
        <f t="shared" si="11"/>
        <v>-40118</v>
      </c>
      <c r="AN33" s="94">
        <f t="shared" si="4"/>
        <v>46635</v>
      </c>
      <c r="AO33" s="188">
        <v>-418</v>
      </c>
      <c r="AP33" s="188"/>
      <c r="AQ33" s="90"/>
      <c r="AR33" s="92">
        <f t="shared" si="22"/>
        <v>46217</v>
      </c>
      <c r="AS33" s="93">
        <f t="shared" ref="AS33:AS39" si="31">AM33</f>
        <v>-40118</v>
      </c>
      <c r="AT33" s="188">
        <v>-267</v>
      </c>
      <c r="AU33" s="188"/>
      <c r="AV33" s="188"/>
      <c r="AW33" s="91">
        <f t="shared" si="6"/>
        <v>-40385</v>
      </c>
      <c r="AX33" s="94">
        <f t="shared" si="7"/>
        <v>46217</v>
      </c>
      <c r="AY33" s="188">
        <v>34</v>
      </c>
      <c r="AZ33" s="188"/>
      <c r="BA33" s="90"/>
      <c r="BB33" s="92">
        <f t="shared" si="23"/>
        <v>46251</v>
      </c>
      <c r="BC33" s="93">
        <f t="shared" ref="BC33:BC39" si="32">AW33</f>
        <v>-40385</v>
      </c>
      <c r="BD33" s="188">
        <v>267</v>
      </c>
      <c r="BE33" s="188">
        <v>-40118</v>
      </c>
      <c r="BF33" s="90"/>
      <c r="BG33" s="91">
        <f t="shared" si="28"/>
        <v>0</v>
      </c>
      <c r="BH33" s="94">
        <f t="shared" si="9"/>
        <v>46251</v>
      </c>
      <c r="BI33" s="188">
        <v>-624</v>
      </c>
      <c r="BJ33" s="188">
        <v>45627</v>
      </c>
      <c r="BK33" s="90"/>
      <c r="BL33" s="92">
        <f t="shared" si="24"/>
        <v>0</v>
      </c>
      <c r="BM33" s="89">
        <v>-267</v>
      </c>
      <c r="BN33" s="188">
        <v>622</v>
      </c>
      <c r="BO33" s="94">
        <f t="shared" si="13"/>
        <v>267</v>
      </c>
      <c r="BP33" s="95">
        <f t="shared" si="14"/>
        <v>-622</v>
      </c>
      <c r="BQ33" s="96">
        <f t="shared" si="15"/>
        <v>2.9369999999999998</v>
      </c>
      <c r="BR33" s="188"/>
      <c r="BS33" s="266">
        <f t="shared" si="10"/>
        <v>-619.06299999999999</v>
      </c>
      <c r="BT33" s="299">
        <f t="shared" ref="BT33:BT39" si="33">IF(CB33=TRUE, SUM(BO33:BR33), 0)</f>
        <v>-352.06299999999999</v>
      </c>
      <c r="BU33" s="189"/>
      <c r="BV33" s="85">
        <f t="shared" si="16"/>
        <v>0</v>
      </c>
      <c r="CA33" s="294" t="s">
        <v>290</v>
      </c>
      <c r="CB33" s="357" t="b">
        <v>1</v>
      </c>
    </row>
    <row r="34" spans="1:80" s="88" customFormat="1" ht="16.8" thickBot="1" x14ac:dyDescent="0.3">
      <c r="A34" s="1">
        <v>9</v>
      </c>
      <c r="B34" s="1"/>
      <c r="C34" s="258" t="s">
        <v>242</v>
      </c>
      <c r="D34" s="257">
        <v>1595</v>
      </c>
      <c r="E34" s="110"/>
      <c r="F34" s="90"/>
      <c r="G34" s="90"/>
      <c r="H34" s="90"/>
      <c r="I34" s="91">
        <f t="shared" si="25"/>
        <v>0</v>
      </c>
      <c r="J34" s="90"/>
      <c r="K34" s="90"/>
      <c r="L34" s="90"/>
      <c r="M34" s="90"/>
      <c r="N34" s="92">
        <f t="shared" si="26"/>
        <v>0</v>
      </c>
      <c r="O34" s="93">
        <f t="shared" si="18"/>
        <v>0</v>
      </c>
      <c r="P34" s="185">
        <v>-7183</v>
      </c>
      <c r="Q34" s="185"/>
      <c r="R34" s="188"/>
      <c r="S34" s="91">
        <f>O34+P34-Q34+SUM(R34:R34)</f>
        <v>-7183</v>
      </c>
      <c r="T34" s="94">
        <f t="shared" si="19"/>
        <v>0</v>
      </c>
      <c r="U34" s="187"/>
      <c r="V34" s="187"/>
      <c r="W34" s="188">
        <v>-86868</v>
      </c>
      <c r="X34" s="92">
        <f t="shared" si="20"/>
        <v>-86868</v>
      </c>
      <c r="Y34" s="93">
        <f t="shared" si="30"/>
        <v>-7183</v>
      </c>
      <c r="Z34" s="188"/>
      <c r="AA34" s="188"/>
      <c r="AB34" s="188"/>
      <c r="AC34" s="91">
        <f t="shared" si="1"/>
        <v>-7183</v>
      </c>
      <c r="AD34" s="94">
        <f t="shared" si="2"/>
        <v>-86868</v>
      </c>
      <c r="AE34" s="188">
        <v>-141</v>
      </c>
      <c r="AF34" s="188"/>
      <c r="AG34" s="188"/>
      <c r="AH34" s="92">
        <f t="shared" si="21"/>
        <v>-87009</v>
      </c>
      <c r="AI34" s="93">
        <f t="shared" si="3"/>
        <v>-7183</v>
      </c>
      <c r="AJ34" s="188">
        <v>0</v>
      </c>
      <c r="AK34" s="188">
        <v>-7183</v>
      </c>
      <c r="AL34" s="188"/>
      <c r="AM34" s="91">
        <f t="shared" si="11"/>
        <v>0</v>
      </c>
      <c r="AN34" s="94">
        <f t="shared" si="4"/>
        <v>-87009</v>
      </c>
      <c r="AO34" s="188">
        <v>0</v>
      </c>
      <c r="AP34" s="188">
        <v>-87009</v>
      </c>
      <c r="AQ34" s="90"/>
      <c r="AR34" s="92">
        <f t="shared" si="22"/>
        <v>0</v>
      </c>
      <c r="AS34" s="93">
        <f t="shared" si="31"/>
        <v>0</v>
      </c>
      <c r="AT34" s="188"/>
      <c r="AU34" s="188"/>
      <c r="AV34" s="188"/>
      <c r="AW34" s="91">
        <f t="shared" si="6"/>
        <v>0</v>
      </c>
      <c r="AX34" s="94">
        <f t="shared" si="7"/>
        <v>0</v>
      </c>
      <c r="AY34" s="188"/>
      <c r="AZ34" s="188"/>
      <c r="BA34" s="90"/>
      <c r="BB34" s="92">
        <f t="shared" si="23"/>
        <v>0</v>
      </c>
      <c r="BC34" s="93">
        <f t="shared" si="32"/>
        <v>0</v>
      </c>
      <c r="BD34" s="188"/>
      <c r="BE34" s="188"/>
      <c r="BF34" s="90"/>
      <c r="BG34" s="91">
        <f t="shared" si="28"/>
        <v>0</v>
      </c>
      <c r="BH34" s="94">
        <f t="shared" si="9"/>
        <v>0</v>
      </c>
      <c r="BI34" s="188"/>
      <c r="BJ34" s="188"/>
      <c r="BK34" s="90"/>
      <c r="BL34" s="92">
        <f t="shared" si="24"/>
        <v>0</v>
      </c>
      <c r="BM34" s="89"/>
      <c r="BN34" s="188"/>
      <c r="BO34" s="94">
        <f t="shared" si="13"/>
        <v>0</v>
      </c>
      <c r="BP34" s="95">
        <f t="shared" si="14"/>
        <v>0</v>
      </c>
      <c r="BQ34" s="96">
        <f t="shared" si="15"/>
        <v>0</v>
      </c>
      <c r="BR34" s="188"/>
      <c r="BS34" s="266">
        <f t="shared" si="10"/>
        <v>0</v>
      </c>
      <c r="BT34" s="299">
        <f t="shared" si="33"/>
        <v>0</v>
      </c>
      <c r="BU34" s="189"/>
      <c r="BV34" s="85">
        <f t="shared" si="16"/>
        <v>0</v>
      </c>
      <c r="CA34" s="294" t="s">
        <v>291</v>
      </c>
      <c r="CB34" s="357" t="b">
        <v>1</v>
      </c>
    </row>
    <row r="35" spans="1:80" s="88" customFormat="1" ht="16.8" thickBot="1" x14ac:dyDescent="0.3">
      <c r="A35" s="1">
        <v>10</v>
      </c>
      <c r="B35" s="1"/>
      <c r="C35" s="258" t="s">
        <v>243</v>
      </c>
      <c r="D35" s="257">
        <v>1595</v>
      </c>
      <c r="E35" s="110"/>
      <c r="F35" s="90"/>
      <c r="G35" s="90"/>
      <c r="H35" s="90"/>
      <c r="I35" s="91">
        <f t="shared" si="25"/>
        <v>0</v>
      </c>
      <c r="J35" s="90"/>
      <c r="K35" s="90"/>
      <c r="L35" s="90"/>
      <c r="M35" s="90"/>
      <c r="N35" s="92">
        <f t="shared" si="26"/>
        <v>0</v>
      </c>
      <c r="O35" s="93">
        <f>I35</f>
        <v>0</v>
      </c>
      <c r="P35" s="185"/>
      <c r="Q35" s="185"/>
      <c r="R35" s="188"/>
      <c r="S35" s="91">
        <f t="shared" si="27"/>
        <v>0</v>
      </c>
      <c r="T35" s="94">
        <f>N35</f>
        <v>0</v>
      </c>
      <c r="U35" s="187"/>
      <c r="V35" s="187"/>
      <c r="W35" s="90"/>
      <c r="X35" s="92">
        <f>T35+U35-V35+W35</f>
        <v>0</v>
      </c>
      <c r="Y35" s="93">
        <f t="shared" si="30"/>
        <v>0</v>
      </c>
      <c r="Z35" s="188">
        <v>-7937</v>
      </c>
      <c r="AA35" s="188"/>
      <c r="AB35" s="188"/>
      <c r="AC35" s="91">
        <f t="shared" si="1"/>
        <v>-7937</v>
      </c>
      <c r="AD35" s="94">
        <f t="shared" si="2"/>
        <v>0</v>
      </c>
      <c r="AE35" s="188">
        <v>-9143</v>
      </c>
      <c r="AF35" s="188"/>
      <c r="AG35" s="188"/>
      <c r="AH35" s="92">
        <f>AD35+AE35-AF35+AG35</f>
        <v>-9143</v>
      </c>
      <c r="AI35" s="93">
        <f t="shared" si="3"/>
        <v>-7937</v>
      </c>
      <c r="AJ35" s="188">
        <v>-606</v>
      </c>
      <c r="AK35" s="188"/>
      <c r="AL35" s="188"/>
      <c r="AM35" s="91">
        <f t="shared" si="11"/>
        <v>-8543</v>
      </c>
      <c r="AN35" s="94">
        <f t="shared" si="4"/>
        <v>-9143</v>
      </c>
      <c r="AO35" s="188">
        <v>-121</v>
      </c>
      <c r="AP35" s="188"/>
      <c r="AQ35" s="90"/>
      <c r="AR35" s="92">
        <f>AN35+AO35-AP35+AQ35</f>
        <v>-9264</v>
      </c>
      <c r="AS35" s="93">
        <f t="shared" si="31"/>
        <v>-8543</v>
      </c>
      <c r="AT35" s="188"/>
      <c r="AU35" s="188"/>
      <c r="AV35" s="188"/>
      <c r="AW35" s="91">
        <f t="shared" si="6"/>
        <v>-8543</v>
      </c>
      <c r="AX35" s="94">
        <f t="shared" si="7"/>
        <v>-9264</v>
      </c>
      <c r="AY35" s="188">
        <v>-126</v>
      </c>
      <c r="AZ35" s="188"/>
      <c r="BA35" s="90"/>
      <c r="BB35" s="92">
        <f>AX35+AY35-AZ35+BA35</f>
        <v>-9390</v>
      </c>
      <c r="BC35" s="93">
        <f t="shared" si="32"/>
        <v>-8543</v>
      </c>
      <c r="BD35" s="188"/>
      <c r="BE35" s="188">
        <v>-8543</v>
      </c>
      <c r="BF35" s="90"/>
      <c r="BG35" s="91">
        <f t="shared" si="28"/>
        <v>0</v>
      </c>
      <c r="BH35" s="94">
        <f t="shared" si="9"/>
        <v>-9390</v>
      </c>
      <c r="BI35" s="188"/>
      <c r="BJ35" s="188">
        <v>-9390</v>
      </c>
      <c r="BK35" s="90"/>
      <c r="BL35" s="92">
        <f>BH35+BI35-BJ35+BK35</f>
        <v>0</v>
      </c>
      <c r="BM35" s="89"/>
      <c r="BN35" s="188"/>
      <c r="BO35" s="94">
        <f t="shared" si="13"/>
        <v>0</v>
      </c>
      <c r="BP35" s="95">
        <f t="shared" si="14"/>
        <v>0</v>
      </c>
      <c r="BQ35" s="96">
        <f t="shared" si="15"/>
        <v>0</v>
      </c>
      <c r="BR35" s="188"/>
      <c r="BS35" s="266">
        <f t="shared" si="10"/>
        <v>0</v>
      </c>
      <c r="BT35" s="299">
        <f t="shared" si="33"/>
        <v>0</v>
      </c>
      <c r="BU35" s="189"/>
      <c r="BV35" s="85">
        <f t="shared" si="16"/>
        <v>0</v>
      </c>
      <c r="CA35" s="294" t="s">
        <v>292</v>
      </c>
      <c r="CB35" s="357" t="b">
        <v>0</v>
      </c>
    </row>
    <row r="36" spans="1:80" s="88" customFormat="1" ht="16.8" thickBot="1" x14ac:dyDescent="0.3">
      <c r="A36" s="1">
        <v>11</v>
      </c>
      <c r="B36" s="1"/>
      <c r="C36" s="258" t="s">
        <v>244</v>
      </c>
      <c r="D36" s="257">
        <v>1595</v>
      </c>
      <c r="E36" s="110"/>
      <c r="F36" s="90"/>
      <c r="G36" s="90"/>
      <c r="H36" s="90"/>
      <c r="I36" s="91">
        <f t="shared" si="25"/>
        <v>0</v>
      </c>
      <c r="J36" s="90"/>
      <c r="K36" s="90"/>
      <c r="L36" s="90"/>
      <c r="M36" s="90"/>
      <c r="N36" s="92">
        <f t="shared" si="26"/>
        <v>0</v>
      </c>
      <c r="O36" s="93">
        <f>I36</f>
        <v>0</v>
      </c>
      <c r="P36" s="90"/>
      <c r="Q36" s="90"/>
      <c r="R36" s="188"/>
      <c r="S36" s="91">
        <f>O36+P36-Q36+SUM(R36:R36)</f>
        <v>0</v>
      </c>
      <c r="T36" s="94">
        <f>N36</f>
        <v>0</v>
      </c>
      <c r="U36" s="187"/>
      <c r="V36" s="187"/>
      <c r="W36" s="90"/>
      <c r="X36" s="92">
        <f>T36+U36-V36+W36</f>
        <v>0</v>
      </c>
      <c r="Y36" s="93">
        <f t="shared" si="30"/>
        <v>0</v>
      </c>
      <c r="Z36" s="188"/>
      <c r="AA36" s="188"/>
      <c r="AB36" s="188"/>
      <c r="AC36" s="91">
        <f>Y36+Z36-AA36+SUM(AB36:AB36)</f>
        <v>0</v>
      </c>
      <c r="AD36" s="94">
        <f>X36</f>
        <v>0</v>
      </c>
      <c r="AE36" s="188"/>
      <c r="AF36" s="188"/>
      <c r="AG36" s="188"/>
      <c r="AH36" s="92">
        <f>AD36+AE36-AF36+AG36</f>
        <v>0</v>
      </c>
      <c r="AI36" s="93">
        <f t="shared" si="3"/>
        <v>0</v>
      </c>
      <c r="AJ36" s="188">
        <v>-203204</v>
      </c>
      <c r="AK36" s="188"/>
      <c r="AL36" s="188"/>
      <c r="AM36" s="91">
        <f t="shared" si="11"/>
        <v>-203204</v>
      </c>
      <c r="AN36" s="94">
        <f t="shared" si="4"/>
        <v>0</v>
      </c>
      <c r="AO36" s="188">
        <v>-109339</v>
      </c>
      <c r="AP36" s="188"/>
      <c r="AQ36" s="90"/>
      <c r="AR36" s="92">
        <f>AN36+AO36-AP36+AQ36</f>
        <v>-109339</v>
      </c>
      <c r="AS36" s="93">
        <f t="shared" si="31"/>
        <v>-203204</v>
      </c>
      <c r="AT36" s="188">
        <v>264952</v>
      </c>
      <c r="AU36" s="188"/>
      <c r="AV36" s="188"/>
      <c r="AW36" s="91">
        <f t="shared" si="6"/>
        <v>61748</v>
      </c>
      <c r="AX36" s="94">
        <f t="shared" si="7"/>
        <v>-109339</v>
      </c>
      <c r="AY36" s="188">
        <v>71135</v>
      </c>
      <c r="AZ36" s="188"/>
      <c r="BA36" s="90"/>
      <c r="BB36" s="92">
        <f>AX36+AY36-AZ36+BA36</f>
        <v>-38204</v>
      </c>
      <c r="BC36" s="93">
        <f t="shared" si="32"/>
        <v>61748</v>
      </c>
      <c r="BD36" s="188">
        <v>2445</v>
      </c>
      <c r="BE36" s="188"/>
      <c r="BF36" s="90">
        <v>4170</v>
      </c>
      <c r="BG36" s="91">
        <f t="shared" si="12"/>
        <v>68363</v>
      </c>
      <c r="BH36" s="94">
        <f t="shared" si="9"/>
        <v>-38204</v>
      </c>
      <c r="BI36" s="188">
        <v>758</v>
      </c>
      <c r="BJ36" s="188"/>
      <c r="BK36" s="90"/>
      <c r="BL36" s="92">
        <f>BH36+BI36-BJ36+BK36</f>
        <v>-37446</v>
      </c>
      <c r="BM36" s="89">
        <v>61748</v>
      </c>
      <c r="BN36" s="90">
        <v>-37469</v>
      </c>
      <c r="BO36" s="94">
        <f t="shared" si="13"/>
        <v>6615</v>
      </c>
      <c r="BP36" s="95">
        <f t="shared" si="14"/>
        <v>23</v>
      </c>
      <c r="BQ36" s="96">
        <f t="shared" si="15"/>
        <v>72.765000000000001</v>
      </c>
      <c r="BR36" s="188"/>
      <c r="BS36" s="266">
        <f t="shared" si="10"/>
        <v>95.765000000000001</v>
      </c>
      <c r="BT36" s="299">
        <f t="shared" si="33"/>
        <v>6710.7650000000003</v>
      </c>
      <c r="BU36" s="189">
        <v>30917</v>
      </c>
      <c r="BV36" s="85">
        <f t="shared" si="16"/>
        <v>0</v>
      </c>
      <c r="CA36" s="294" t="s">
        <v>293</v>
      </c>
      <c r="CB36" s="357" t="b">
        <v>1</v>
      </c>
    </row>
    <row r="37" spans="1:80" s="88" customFormat="1" ht="16.8" thickBot="1" x14ac:dyDescent="0.3">
      <c r="A37" s="1">
        <v>12</v>
      </c>
      <c r="B37" s="1"/>
      <c r="C37" s="258" t="s">
        <v>245</v>
      </c>
      <c r="D37" s="257">
        <v>1595</v>
      </c>
      <c r="E37" s="110"/>
      <c r="F37" s="90"/>
      <c r="G37" s="90"/>
      <c r="H37" s="90"/>
      <c r="I37" s="91">
        <f t="shared" si="25"/>
        <v>0</v>
      </c>
      <c r="J37" s="90"/>
      <c r="K37" s="90"/>
      <c r="L37" s="90"/>
      <c r="M37" s="90"/>
      <c r="N37" s="92">
        <f t="shared" si="26"/>
        <v>0</v>
      </c>
      <c r="O37" s="93">
        <f>I37</f>
        <v>0</v>
      </c>
      <c r="P37" s="90"/>
      <c r="Q37" s="90"/>
      <c r="R37" s="188"/>
      <c r="S37" s="91">
        <f>O37+P37-Q37+SUM(R37:R37)</f>
        <v>0</v>
      </c>
      <c r="T37" s="94">
        <f>N37</f>
        <v>0</v>
      </c>
      <c r="U37" s="90"/>
      <c r="V37" s="90"/>
      <c r="W37" s="90"/>
      <c r="X37" s="92">
        <f>T37+U37-V37+W37</f>
        <v>0</v>
      </c>
      <c r="Y37" s="93">
        <f t="shared" si="30"/>
        <v>0</v>
      </c>
      <c r="Z37" s="188"/>
      <c r="AA37" s="188"/>
      <c r="AB37" s="188"/>
      <c r="AC37" s="91">
        <f>Y37+Z37-AA37+SUM(AB37:AB37)</f>
        <v>0</v>
      </c>
      <c r="AD37" s="94">
        <f>X37</f>
        <v>0</v>
      </c>
      <c r="AE37" s="188"/>
      <c r="AF37" s="188"/>
      <c r="AG37" s="188"/>
      <c r="AH37" s="92">
        <f>AD37+AE37-AF37+AG37</f>
        <v>0</v>
      </c>
      <c r="AI37" s="93">
        <f t="shared" si="3"/>
        <v>0</v>
      </c>
      <c r="AJ37" s="188">
        <v>186127</v>
      </c>
      <c r="AK37" s="188">
        <v>248860</v>
      </c>
      <c r="AL37" s="188"/>
      <c r="AM37" s="91">
        <f t="shared" si="11"/>
        <v>-62733</v>
      </c>
      <c r="AN37" s="94">
        <f t="shared" si="4"/>
        <v>0</v>
      </c>
      <c r="AO37" s="188">
        <v>-1503</v>
      </c>
      <c r="AP37" s="188">
        <v>57757</v>
      </c>
      <c r="AQ37" s="90"/>
      <c r="AR37" s="92">
        <f>AN37+AO37-AP37+AQ37</f>
        <v>-59260</v>
      </c>
      <c r="AS37" s="93">
        <f t="shared" si="31"/>
        <v>-62733</v>
      </c>
      <c r="AT37" s="188">
        <v>211714</v>
      </c>
      <c r="AU37" s="188"/>
      <c r="AV37" s="188"/>
      <c r="AW37" s="91">
        <f t="shared" si="6"/>
        <v>148981</v>
      </c>
      <c r="AX37" s="94">
        <f t="shared" si="7"/>
        <v>-59260</v>
      </c>
      <c r="AY37" s="188">
        <v>2015</v>
      </c>
      <c r="AZ37" s="188"/>
      <c r="BA37" s="90"/>
      <c r="BB37" s="92">
        <f>AX37+AY37-AZ37+BA37</f>
        <v>-57245</v>
      </c>
      <c r="BC37" s="93">
        <f t="shared" si="32"/>
        <v>148981</v>
      </c>
      <c r="BD37" s="188">
        <v>117</v>
      </c>
      <c r="BE37" s="188"/>
      <c r="BF37" s="90"/>
      <c r="BG37" s="91">
        <f t="shared" si="12"/>
        <v>149098</v>
      </c>
      <c r="BH37" s="94">
        <f t="shared" si="9"/>
        <v>-57245</v>
      </c>
      <c r="BI37" s="188">
        <v>1763</v>
      </c>
      <c r="BJ37" s="188"/>
      <c r="BK37" s="90"/>
      <c r="BL37" s="92">
        <f>BH37+BI37-BJ37+BK37</f>
        <v>-55482</v>
      </c>
      <c r="BM37" s="89">
        <v>148981</v>
      </c>
      <c r="BN37" s="90">
        <v>-55468</v>
      </c>
      <c r="BO37" s="94">
        <f t="shared" si="13"/>
        <v>117</v>
      </c>
      <c r="BP37" s="95">
        <f t="shared" si="14"/>
        <v>-14</v>
      </c>
      <c r="BQ37" s="96">
        <f t="shared" si="15"/>
        <v>1.2869999999999999</v>
      </c>
      <c r="BR37" s="188"/>
      <c r="BS37" s="266">
        <f t="shared" si="10"/>
        <v>-12.713000000000001</v>
      </c>
      <c r="BT37" s="299">
        <f t="shared" si="33"/>
        <v>104.28700000000001</v>
      </c>
      <c r="BU37" s="189">
        <v>93616</v>
      </c>
      <c r="BV37" s="85">
        <f t="shared" si="16"/>
        <v>0</v>
      </c>
      <c r="CA37" s="294" t="s">
        <v>294</v>
      </c>
      <c r="CB37" s="357" t="b">
        <v>1</v>
      </c>
    </row>
    <row r="38" spans="1:80" s="88" customFormat="1" ht="16.8" thickBot="1" x14ac:dyDescent="0.3">
      <c r="A38" s="1">
        <v>13</v>
      </c>
      <c r="B38" s="1"/>
      <c r="C38" s="258" t="s">
        <v>246</v>
      </c>
      <c r="D38" s="257">
        <v>1595</v>
      </c>
      <c r="E38" s="110"/>
      <c r="F38" s="90"/>
      <c r="G38" s="90"/>
      <c r="H38" s="90"/>
      <c r="I38" s="91">
        <f t="shared" si="25"/>
        <v>0</v>
      </c>
      <c r="J38" s="90"/>
      <c r="K38" s="90"/>
      <c r="L38" s="90"/>
      <c r="M38" s="90"/>
      <c r="N38" s="92">
        <f t="shared" si="26"/>
        <v>0</v>
      </c>
      <c r="O38" s="93">
        <f>I38</f>
        <v>0</v>
      </c>
      <c r="P38" s="90"/>
      <c r="Q38" s="90"/>
      <c r="R38" s="188"/>
      <c r="S38" s="91">
        <f>O38+P38-Q38+SUM(R38:R38)</f>
        <v>0</v>
      </c>
      <c r="T38" s="94">
        <f>N38</f>
        <v>0</v>
      </c>
      <c r="U38" s="90"/>
      <c r="V38" s="90"/>
      <c r="W38" s="90"/>
      <c r="X38" s="92">
        <f>T38+U38-V38+W38</f>
        <v>0</v>
      </c>
      <c r="Y38" s="93">
        <f t="shared" si="30"/>
        <v>0</v>
      </c>
      <c r="Z38" s="188"/>
      <c r="AA38" s="188"/>
      <c r="AB38" s="188"/>
      <c r="AC38" s="91">
        <f>Y38+Z38-AA38+SUM(AB38:AB38)</f>
        <v>0</v>
      </c>
      <c r="AD38" s="94">
        <f>X38</f>
        <v>0</v>
      </c>
      <c r="AE38" s="188"/>
      <c r="AF38" s="188"/>
      <c r="AG38" s="188"/>
      <c r="AH38" s="92">
        <f>AD38+AE38-AF38+AG38</f>
        <v>0</v>
      </c>
      <c r="AI38" s="93">
        <f t="shared" si="3"/>
        <v>0</v>
      </c>
      <c r="AJ38" s="188"/>
      <c r="AK38" s="188"/>
      <c r="AL38" s="188"/>
      <c r="AM38" s="91">
        <f t="shared" si="11"/>
        <v>0</v>
      </c>
      <c r="AN38" s="94">
        <f t="shared" si="4"/>
        <v>0</v>
      </c>
      <c r="AO38" s="90"/>
      <c r="AP38" s="90"/>
      <c r="AQ38" s="90"/>
      <c r="AR38" s="92">
        <f>AN38+AO38-AP38+AQ38</f>
        <v>0</v>
      </c>
      <c r="AS38" s="93">
        <f t="shared" si="31"/>
        <v>0</v>
      </c>
      <c r="AT38" s="188"/>
      <c r="AU38" s="188"/>
      <c r="AV38" s="188"/>
      <c r="AW38" s="91">
        <f t="shared" si="6"/>
        <v>0</v>
      </c>
      <c r="AX38" s="94">
        <f t="shared" si="7"/>
        <v>0</v>
      </c>
      <c r="AY38" s="188"/>
      <c r="AZ38" s="188"/>
      <c r="BA38" s="90"/>
      <c r="BB38" s="92">
        <f>AX38+AY38-AZ38+BA38</f>
        <v>0</v>
      </c>
      <c r="BC38" s="93">
        <f t="shared" si="32"/>
        <v>0</v>
      </c>
      <c r="BD38" s="188"/>
      <c r="BE38" s="188"/>
      <c r="BF38" s="90"/>
      <c r="BG38" s="91">
        <f t="shared" si="12"/>
        <v>0</v>
      </c>
      <c r="BH38" s="94">
        <f t="shared" si="9"/>
        <v>0</v>
      </c>
      <c r="BI38" s="188"/>
      <c r="BJ38" s="188"/>
      <c r="BK38" s="90"/>
      <c r="BL38" s="92">
        <f>BH38+BI38-BJ38+BK38</f>
        <v>0</v>
      </c>
      <c r="BM38" s="89">
        <v>1254861</v>
      </c>
      <c r="BN38" s="90">
        <v>-1254861</v>
      </c>
      <c r="BO38" s="94">
        <f t="shared" si="13"/>
        <v>-1254861</v>
      </c>
      <c r="BP38" s="95">
        <f t="shared" si="14"/>
        <v>1254861</v>
      </c>
      <c r="BQ38" s="96">
        <f>BO38*0.011</f>
        <v>-13803.471</v>
      </c>
      <c r="BR38" s="188"/>
      <c r="BS38" s="266">
        <f t="shared" si="10"/>
        <v>1241057.5290000001</v>
      </c>
      <c r="BT38" s="299">
        <f t="shared" si="33"/>
        <v>-13803.471</v>
      </c>
      <c r="BU38" s="189"/>
      <c r="BV38" s="85">
        <f t="shared" si="16"/>
        <v>0</v>
      </c>
      <c r="CA38" s="294" t="s">
        <v>296</v>
      </c>
      <c r="CB38" s="357" t="b">
        <v>1</v>
      </c>
    </row>
    <row r="39" spans="1:80" s="88" customFormat="1" ht="16.8" thickBot="1" x14ac:dyDescent="0.3">
      <c r="A39" s="1">
        <v>14</v>
      </c>
      <c r="B39" s="1"/>
      <c r="C39" s="259" t="s">
        <v>319</v>
      </c>
      <c r="D39" s="273">
        <v>1595</v>
      </c>
      <c r="E39" s="110"/>
      <c r="F39" s="90"/>
      <c r="G39" s="90"/>
      <c r="H39" s="90"/>
      <c r="I39" s="91">
        <f t="shared" si="25"/>
        <v>0</v>
      </c>
      <c r="J39" s="90"/>
      <c r="K39" s="90"/>
      <c r="L39" s="90"/>
      <c r="M39" s="90"/>
      <c r="N39" s="92">
        <f t="shared" si="26"/>
        <v>0</v>
      </c>
      <c r="O39" s="93">
        <f>I39</f>
        <v>0</v>
      </c>
      <c r="P39" s="90"/>
      <c r="Q39" s="90"/>
      <c r="R39" s="188"/>
      <c r="S39" s="91">
        <f>O39+P39-Q39+SUM(R39:R39)</f>
        <v>0</v>
      </c>
      <c r="T39" s="94">
        <f>N39</f>
        <v>0</v>
      </c>
      <c r="U39" s="90"/>
      <c r="V39" s="90"/>
      <c r="W39" s="90"/>
      <c r="X39" s="92">
        <f>T39+U39-V39+W39</f>
        <v>0</v>
      </c>
      <c r="Y39" s="93">
        <f t="shared" si="30"/>
        <v>0</v>
      </c>
      <c r="Z39" s="188"/>
      <c r="AA39" s="188"/>
      <c r="AB39" s="188"/>
      <c r="AC39" s="91">
        <f>Y39+Z39-AA39+SUM(AB39:AB39)</f>
        <v>0</v>
      </c>
      <c r="AD39" s="94">
        <f>X39</f>
        <v>0</v>
      </c>
      <c r="AE39" s="90"/>
      <c r="AF39" s="90"/>
      <c r="AG39" s="90"/>
      <c r="AH39" s="92">
        <f>AD39+AE39-AF39+AG39</f>
        <v>0</v>
      </c>
      <c r="AI39" s="93">
        <f t="shared" si="3"/>
        <v>0</v>
      </c>
      <c r="AJ39" s="188"/>
      <c r="AK39" s="188"/>
      <c r="AL39" s="188"/>
      <c r="AM39" s="91">
        <f t="shared" si="11"/>
        <v>0</v>
      </c>
      <c r="AN39" s="94">
        <f t="shared" si="4"/>
        <v>0</v>
      </c>
      <c r="AO39" s="90"/>
      <c r="AP39" s="90"/>
      <c r="AQ39" s="90"/>
      <c r="AR39" s="92">
        <f>AN39+AO39-AP39+AQ39</f>
        <v>0</v>
      </c>
      <c r="AS39" s="93">
        <f t="shared" si="31"/>
        <v>0</v>
      </c>
      <c r="AT39" s="188"/>
      <c r="AU39" s="188"/>
      <c r="AV39" s="188"/>
      <c r="AW39" s="91">
        <f t="shared" si="6"/>
        <v>0</v>
      </c>
      <c r="AX39" s="94">
        <f t="shared" si="7"/>
        <v>0</v>
      </c>
      <c r="AY39" s="188"/>
      <c r="AZ39" s="188"/>
      <c r="BA39" s="90"/>
      <c r="BB39" s="92">
        <f>AX39+AY39-AZ39+BA39</f>
        <v>0</v>
      </c>
      <c r="BC39" s="93">
        <f t="shared" si="32"/>
        <v>0</v>
      </c>
      <c r="BD39" s="188">
        <v>-1108824</v>
      </c>
      <c r="BE39" s="188">
        <v>-1254861</v>
      </c>
      <c r="BF39" s="90"/>
      <c r="BG39" s="91">
        <f t="shared" si="12"/>
        <v>146037</v>
      </c>
      <c r="BH39" s="94">
        <f t="shared" si="9"/>
        <v>0</v>
      </c>
      <c r="BI39" s="188">
        <v>8677</v>
      </c>
      <c r="BJ39" s="188">
        <v>-47410</v>
      </c>
      <c r="BK39" s="90"/>
      <c r="BL39" s="92">
        <f>BH39+BI39-BJ39+BK39</f>
        <v>56087</v>
      </c>
      <c r="BM39" s="89">
        <v>0</v>
      </c>
      <c r="BN39" s="90"/>
      <c r="BO39" s="94">
        <f t="shared" si="13"/>
        <v>146037</v>
      </c>
      <c r="BP39" s="95">
        <f t="shared" si="14"/>
        <v>56087</v>
      </c>
      <c r="BQ39" s="96">
        <f t="shared" si="15"/>
        <v>1606.4069999999999</v>
      </c>
      <c r="BR39" s="188"/>
      <c r="BS39" s="266">
        <f t="shared" ref="BS39" si="34">BP39+BQ39+BR39</f>
        <v>57693.406999999999</v>
      </c>
      <c r="BT39" s="299">
        <f t="shared" si="33"/>
        <v>203730.40700000001</v>
      </c>
      <c r="BU39" s="189">
        <v>202124</v>
      </c>
      <c r="BV39" s="85">
        <f t="shared" si="16"/>
        <v>0</v>
      </c>
      <c r="CA39" s="294" t="s">
        <v>295</v>
      </c>
      <c r="CB39" s="357" t="b">
        <v>1</v>
      </c>
    </row>
    <row r="40" spans="1:80" s="269" customFormat="1" ht="15" thickBot="1" x14ac:dyDescent="0.35">
      <c r="A40" s="263"/>
      <c r="B40" s="263"/>
      <c r="C40" s="333" t="s">
        <v>317</v>
      </c>
      <c r="D40" s="274"/>
      <c r="E40" s="264"/>
      <c r="F40" s="265"/>
      <c r="G40" s="265"/>
      <c r="H40" s="265"/>
      <c r="I40" s="91"/>
      <c r="J40" s="265"/>
      <c r="K40" s="265"/>
      <c r="L40" s="265"/>
      <c r="M40" s="265"/>
      <c r="N40" s="92"/>
      <c r="O40" s="111"/>
      <c r="P40" s="265"/>
      <c r="Q40" s="265"/>
      <c r="R40" s="265"/>
      <c r="S40" s="91"/>
      <c r="T40" s="91"/>
      <c r="U40" s="265"/>
      <c r="V40" s="265"/>
      <c r="W40" s="265"/>
      <c r="X40" s="92"/>
      <c r="Y40" s="111"/>
      <c r="Z40" s="265"/>
      <c r="AA40" s="265"/>
      <c r="AB40" s="265"/>
      <c r="AC40" s="91"/>
      <c r="AD40" s="91"/>
      <c r="AE40" s="265"/>
      <c r="AF40" s="265"/>
      <c r="AG40" s="265"/>
      <c r="AH40" s="92"/>
      <c r="AI40" s="111"/>
      <c r="AJ40" s="265"/>
      <c r="AK40" s="265"/>
      <c r="AL40" s="265"/>
      <c r="AM40" s="91"/>
      <c r="AN40" s="91"/>
      <c r="AO40" s="265"/>
      <c r="AP40" s="265"/>
      <c r="AQ40" s="265"/>
      <c r="AR40" s="92"/>
      <c r="AS40" s="111"/>
      <c r="AT40" s="265"/>
      <c r="AU40" s="265"/>
      <c r="AV40" s="265"/>
      <c r="AW40" s="91"/>
      <c r="AX40" s="91"/>
      <c r="AY40" s="265"/>
      <c r="AZ40" s="265"/>
      <c r="BA40" s="265"/>
      <c r="BB40" s="92"/>
      <c r="BC40" s="111"/>
      <c r="BD40" s="265"/>
      <c r="BE40" s="265"/>
      <c r="BF40" s="265"/>
      <c r="BG40" s="91"/>
      <c r="BH40" s="91"/>
      <c r="BI40" s="265"/>
      <c r="BJ40" s="265"/>
      <c r="BK40" s="265"/>
      <c r="BL40" s="92"/>
      <c r="BM40" s="264"/>
      <c r="BN40" s="265"/>
      <c r="BO40" s="91"/>
      <c r="BP40" s="92"/>
      <c r="BQ40" s="265"/>
      <c r="BR40" s="265"/>
      <c r="BS40" s="266"/>
      <c r="BT40" s="300"/>
      <c r="BU40" s="268"/>
      <c r="BV40" s="267"/>
      <c r="CB40" s="358"/>
    </row>
    <row r="41" spans="1:80" s="88" customFormat="1" ht="15" customHeight="1" x14ac:dyDescent="0.25">
      <c r="A41" s="1"/>
      <c r="B41" s="1"/>
      <c r="C41" s="272"/>
      <c r="D41" s="15"/>
      <c r="E41" s="111"/>
      <c r="F41" s="91"/>
      <c r="G41" s="91"/>
      <c r="H41" s="91"/>
      <c r="I41" s="91"/>
      <c r="J41" s="91"/>
      <c r="K41" s="91"/>
      <c r="L41" s="91"/>
      <c r="M41" s="91"/>
      <c r="N41" s="92"/>
      <c r="O41" s="98"/>
      <c r="P41" s="91"/>
      <c r="Q41" s="91"/>
      <c r="R41" s="91"/>
      <c r="S41" s="91"/>
      <c r="T41" s="91"/>
      <c r="U41" s="91"/>
      <c r="V41" s="91"/>
      <c r="W41" s="91"/>
      <c r="X41" s="92"/>
      <c r="Y41" s="98"/>
      <c r="Z41" s="91"/>
      <c r="AA41" s="91"/>
      <c r="AB41" s="91"/>
      <c r="AC41" s="91"/>
      <c r="AD41" s="91"/>
      <c r="AE41" s="91"/>
      <c r="AF41" s="91"/>
      <c r="AG41" s="91"/>
      <c r="AH41" s="92"/>
      <c r="AI41" s="98"/>
      <c r="AJ41" s="91"/>
      <c r="AK41" s="91"/>
      <c r="AL41" s="91"/>
      <c r="AM41" s="91"/>
      <c r="AN41" s="91"/>
      <c r="AO41" s="91"/>
      <c r="AP41" s="91"/>
      <c r="AQ41" s="91"/>
      <c r="AR41" s="92"/>
      <c r="AS41" s="98"/>
      <c r="AT41" s="91"/>
      <c r="AU41" s="91"/>
      <c r="AV41" s="91"/>
      <c r="AW41" s="91"/>
      <c r="AX41" s="91"/>
      <c r="AY41" s="91"/>
      <c r="AZ41" s="91"/>
      <c r="BA41" s="91"/>
      <c r="BB41" s="92"/>
      <c r="BC41" s="98"/>
      <c r="BD41" s="91"/>
      <c r="BE41" s="91"/>
      <c r="BF41" s="91"/>
      <c r="BG41" s="91"/>
      <c r="BH41" s="91"/>
      <c r="BI41" s="91"/>
      <c r="BJ41" s="91"/>
      <c r="BK41" s="91"/>
      <c r="BL41" s="92"/>
      <c r="BM41" s="98"/>
      <c r="BN41" s="91"/>
      <c r="BO41" s="91"/>
      <c r="BP41" s="92"/>
      <c r="BQ41" s="84"/>
      <c r="BR41" s="84"/>
      <c r="BS41" s="292"/>
      <c r="BT41" s="299"/>
      <c r="BU41" s="86"/>
      <c r="BV41" s="85"/>
      <c r="CB41" s="357"/>
    </row>
    <row r="42" spans="1:80" s="330" customFormat="1" ht="13.8" x14ac:dyDescent="0.25">
      <c r="A42" s="4"/>
      <c r="B42" s="4"/>
      <c r="C42" s="275" t="s">
        <v>82</v>
      </c>
      <c r="D42" s="276"/>
      <c r="E42" s="111">
        <f>SUM(E24:E39)</f>
        <v>540585</v>
      </c>
      <c r="F42" s="91">
        <f>SUM(F24:F39)</f>
        <v>-735458</v>
      </c>
      <c r="G42" s="91">
        <f t="shared" ref="G42:AJ42" si="35">SUM(G24:G39)</f>
        <v>632064</v>
      </c>
      <c r="H42" s="91">
        <f t="shared" si="35"/>
        <v>0</v>
      </c>
      <c r="I42" s="91">
        <f t="shared" si="35"/>
        <v>-826937</v>
      </c>
      <c r="J42" s="91">
        <f t="shared" si="35"/>
        <v>34429</v>
      </c>
      <c r="K42" s="91">
        <f t="shared" si="35"/>
        <v>9509</v>
      </c>
      <c r="L42" s="91">
        <f t="shared" si="35"/>
        <v>44655</v>
      </c>
      <c r="M42" s="91">
        <f t="shared" si="35"/>
        <v>0</v>
      </c>
      <c r="N42" s="91">
        <f t="shared" si="35"/>
        <v>-717</v>
      </c>
      <c r="O42" s="98">
        <f t="shared" si="35"/>
        <v>-826937</v>
      </c>
      <c r="P42" s="91">
        <f t="shared" si="35"/>
        <v>-271364</v>
      </c>
      <c r="Q42" s="91">
        <f t="shared" si="35"/>
        <v>-134698</v>
      </c>
      <c r="R42" s="91">
        <f t="shared" si="35"/>
        <v>0</v>
      </c>
      <c r="S42" s="91">
        <f t="shared" si="35"/>
        <v>-963603</v>
      </c>
      <c r="T42" s="91">
        <f t="shared" si="35"/>
        <v>-717</v>
      </c>
      <c r="U42" s="91">
        <f t="shared" si="35"/>
        <v>-12102</v>
      </c>
      <c r="V42" s="91">
        <f t="shared" si="35"/>
        <v>-574</v>
      </c>
      <c r="W42" s="91">
        <f t="shared" si="35"/>
        <v>-136889</v>
      </c>
      <c r="X42" s="91">
        <f t="shared" si="35"/>
        <v>-149134</v>
      </c>
      <c r="Y42" s="98">
        <f t="shared" si="35"/>
        <v>-963603</v>
      </c>
      <c r="Z42" s="91">
        <f t="shared" si="35"/>
        <v>-193210</v>
      </c>
      <c r="AA42" s="91">
        <f t="shared" si="35"/>
        <v>-692239</v>
      </c>
      <c r="AB42" s="91">
        <f t="shared" si="35"/>
        <v>0</v>
      </c>
      <c r="AC42" s="91">
        <f t="shared" si="35"/>
        <v>-464574</v>
      </c>
      <c r="AD42" s="91">
        <f t="shared" si="35"/>
        <v>-149134</v>
      </c>
      <c r="AE42" s="91">
        <f t="shared" si="35"/>
        <v>68966</v>
      </c>
      <c r="AF42" s="91">
        <f t="shared" si="35"/>
        <v>-23330</v>
      </c>
      <c r="AG42" s="91">
        <f t="shared" si="35"/>
        <v>0</v>
      </c>
      <c r="AH42" s="91">
        <f t="shared" si="35"/>
        <v>-56838</v>
      </c>
      <c r="AI42" s="98">
        <f t="shared" si="35"/>
        <v>-464574</v>
      </c>
      <c r="AJ42" s="91">
        <f t="shared" si="35"/>
        <v>1430995</v>
      </c>
      <c r="AK42" s="91">
        <f t="shared" ref="AK42:BU42" si="36">SUM(AK24:AK39)</f>
        <v>-22504</v>
      </c>
      <c r="AL42" s="91">
        <f t="shared" si="36"/>
        <v>0</v>
      </c>
      <c r="AM42" s="91">
        <f t="shared" si="36"/>
        <v>988925</v>
      </c>
      <c r="AN42" s="91">
        <f t="shared" si="36"/>
        <v>-56838</v>
      </c>
      <c r="AO42" s="91">
        <f t="shared" si="36"/>
        <v>-106141</v>
      </c>
      <c r="AP42" s="91">
        <f t="shared" si="36"/>
        <v>-23344</v>
      </c>
      <c r="AQ42" s="91">
        <f t="shared" si="36"/>
        <v>0</v>
      </c>
      <c r="AR42" s="91">
        <f t="shared" si="36"/>
        <v>-139635</v>
      </c>
      <c r="AS42" s="98">
        <f t="shared" si="36"/>
        <v>988925</v>
      </c>
      <c r="AT42" s="91">
        <f t="shared" si="36"/>
        <v>951524</v>
      </c>
      <c r="AU42" s="91">
        <f t="shared" si="36"/>
        <v>0</v>
      </c>
      <c r="AV42" s="91">
        <f t="shared" si="36"/>
        <v>0</v>
      </c>
      <c r="AW42" s="91">
        <f t="shared" si="36"/>
        <v>1940449</v>
      </c>
      <c r="AX42" s="91">
        <f t="shared" si="36"/>
        <v>-139635</v>
      </c>
      <c r="AY42" s="91">
        <f t="shared" si="36"/>
        <v>96351</v>
      </c>
      <c r="AZ42" s="91">
        <f t="shared" si="36"/>
        <v>0</v>
      </c>
      <c r="BA42" s="91">
        <f t="shared" si="36"/>
        <v>0</v>
      </c>
      <c r="BB42" s="91">
        <f t="shared" si="36"/>
        <v>-43284</v>
      </c>
      <c r="BC42" s="98">
        <f t="shared" si="36"/>
        <v>1940449</v>
      </c>
      <c r="BD42" s="91">
        <f t="shared" si="36"/>
        <v>-1209180</v>
      </c>
      <c r="BE42" s="91">
        <f t="shared" si="36"/>
        <v>0</v>
      </c>
      <c r="BF42" s="91">
        <f t="shared" si="36"/>
        <v>152548</v>
      </c>
      <c r="BG42" s="91">
        <f t="shared" si="36"/>
        <v>883817</v>
      </c>
      <c r="BH42" s="91">
        <f t="shared" si="36"/>
        <v>-43284</v>
      </c>
      <c r="BI42" s="91">
        <f t="shared" si="36"/>
        <v>14960</v>
      </c>
      <c r="BJ42" s="91">
        <f t="shared" si="36"/>
        <v>1</v>
      </c>
      <c r="BK42" s="91">
        <f t="shared" si="36"/>
        <v>0</v>
      </c>
      <c r="BL42" s="91">
        <f t="shared" si="36"/>
        <v>-28325</v>
      </c>
      <c r="BM42" s="98">
        <f t="shared" si="36"/>
        <v>1940449</v>
      </c>
      <c r="BN42" s="91">
        <f t="shared" si="36"/>
        <v>-1337380</v>
      </c>
      <c r="BO42" s="91">
        <f t="shared" si="36"/>
        <v>-1056632</v>
      </c>
      <c r="BP42" s="91">
        <f t="shared" si="36"/>
        <v>1309055</v>
      </c>
      <c r="BQ42" s="98">
        <f t="shared" si="36"/>
        <v>-11622.952000000001</v>
      </c>
      <c r="BR42" s="91">
        <f>SUM(BR24:BR39)</f>
        <v>0</v>
      </c>
      <c r="BS42" s="91">
        <f>SUM(BS24:BS39)</f>
        <v>1297432.048</v>
      </c>
      <c r="BT42" s="328">
        <f>SUM(BT24:BT39)</f>
        <v>240800.04800000007</v>
      </c>
      <c r="BU42" s="98">
        <f t="shared" si="36"/>
        <v>707113.84000000008</v>
      </c>
      <c r="BV42" s="329">
        <f t="shared" si="16"/>
        <v>-148378.15999999992</v>
      </c>
      <c r="CB42" s="359"/>
    </row>
    <row r="43" spans="1:80" s="330" customFormat="1" ht="13.8" x14ac:dyDescent="0.25">
      <c r="A43" s="4"/>
      <c r="B43" s="4"/>
      <c r="C43" s="275" t="s">
        <v>83</v>
      </c>
      <c r="D43" s="276"/>
      <c r="E43" s="111">
        <f>E42-E44</f>
        <v>224272</v>
      </c>
      <c r="F43" s="91">
        <f t="shared" ref="F43:AH43" si="37">F42-F44</f>
        <v>-704743</v>
      </c>
      <c r="G43" s="91">
        <f t="shared" si="37"/>
        <v>524547</v>
      </c>
      <c r="H43" s="91">
        <f t="shared" si="37"/>
        <v>0</v>
      </c>
      <c r="I43" s="91">
        <f t="shared" si="37"/>
        <v>-1005018</v>
      </c>
      <c r="J43" s="91">
        <f t="shared" si="37"/>
        <v>20927</v>
      </c>
      <c r="K43" s="91">
        <f t="shared" si="37"/>
        <v>7353</v>
      </c>
      <c r="L43" s="91">
        <f t="shared" si="37"/>
        <v>27213</v>
      </c>
      <c r="M43" s="91">
        <f t="shared" si="37"/>
        <v>0</v>
      </c>
      <c r="N43" s="92">
        <f t="shared" si="37"/>
        <v>1067</v>
      </c>
      <c r="O43" s="98">
        <f t="shared" si="37"/>
        <v>-1005018</v>
      </c>
      <c r="P43" s="91">
        <f t="shared" si="37"/>
        <v>-713341</v>
      </c>
      <c r="Q43" s="91">
        <f t="shared" si="37"/>
        <v>-343495</v>
      </c>
      <c r="R43" s="91">
        <f t="shared" si="37"/>
        <v>0</v>
      </c>
      <c r="S43" s="91">
        <f t="shared" si="37"/>
        <v>-1374864</v>
      </c>
      <c r="T43" s="91">
        <f t="shared" si="37"/>
        <v>1067</v>
      </c>
      <c r="U43" s="91">
        <f t="shared" si="37"/>
        <v>-16011</v>
      </c>
      <c r="V43" s="91">
        <f t="shared" si="37"/>
        <v>1248</v>
      </c>
      <c r="W43" s="91">
        <f t="shared" si="37"/>
        <v>-136889</v>
      </c>
      <c r="X43" s="92">
        <f t="shared" si="37"/>
        <v>-153081</v>
      </c>
      <c r="Y43" s="98">
        <f t="shared" si="37"/>
        <v>-1374864</v>
      </c>
      <c r="Z43" s="91">
        <f t="shared" si="37"/>
        <v>-313450</v>
      </c>
      <c r="AA43" s="91">
        <f t="shared" si="37"/>
        <v>-661523</v>
      </c>
      <c r="AB43" s="91">
        <f t="shared" si="37"/>
        <v>0</v>
      </c>
      <c r="AC43" s="91">
        <f t="shared" si="37"/>
        <v>-1026791</v>
      </c>
      <c r="AD43" s="91">
        <f t="shared" si="37"/>
        <v>-153081</v>
      </c>
      <c r="AE43" s="91">
        <f t="shared" si="37"/>
        <v>69413</v>
      </c>
      <c r="AF43" s="91">
        <f t="shared" si="37"/>
        <v>-19808</v>
      </c>
      <c r="AG43" s="91">
        <f t="shared" si="37"/>
        <v>0</v>
      </c>
      <c r="AH43" s="92">
        <f t="shared" si="37"/>
        <v>-63860</v>
      </c>
      <c r="AI43" s="98">
        <f t="shared" ref="AI43:AR43" si="38">AI42-AI44</f>
        <v>-1026791</v>
      </c>
      <c r="AJ43" s="91">
        <f t="shared" si="38"/>
        <v>953417</v>
      </c>
      <c r="AK43" s="91">
        <f t="shared" si="38"/>
        <v>-464481</v>
      </c>
      <c r="AL43" s="91">
        <f t="shared" si="38"/>
        <v>0</v>
      </c>
      <c r="AM43" s="91">
        <f t="shared" si="38"/>
        <v>391107</v>
      </c>
      <c r="AN43" s="91">
        <f t="shared" si="38"/>
        <v>-63860</v>
      </c>
      <c r="AO43" s="91">
        <f t="shared" si="38"/>
        <v>-113744</v>
      </c>
      <c r="AP43" s="91">
        <f t="shared" si="38"/>
        <v>-39476</v>
      </c>
      <c r="AQ43" s="91">
        <f t="shared" si="38"/>
        <v>0</v>
      </c>
      <c r="AR43" s="92">
        <f t="shared" si="38"/>
        <v>-138128</v>
      </c>
      <c r="AS43" s="98">
        <f t="shared" ref="AS43:BB43" si="39">AS42-AS44</f>
        <v>391107</v>
      </c>
      <c r="AT43" s="91">
        <f t="shared" si="39"/>
        <v>508309</v>
      </c>
      <c r="AU43" s="91">
        <f t="shared" si="39"/>
        <v>0</v>
      </c>
      <c r="AV43" s="91">
        <f t="shared" si="39"/>
        <v>0</v>
      </c>
      <c r="AW43" s="91">
        <f t="shared" si="39"/>
        <v>899416</v>
      </c>
      <c r="AX43" s="91">
        <f t="shared" si="39"/>
        <v>-138128</v>
      </c>
      <c r="AY43" s="91">
        <f t="shared" si="39"/>
        <v>90281</v>
      </c>
      <c r="AZ43" s="91">
        <f t="shared" si="39"/>
        <v>0</v>
      </c>
      <c r="BA43" s="91">
        <f t="shared" si="39"/>
        <v>0</v>
      </c>
      <c r="BB43" s="92">
        <f t="shared" si="39"/>
        <v>-47847</v>
      </c>
      <c r="BC43" s="98">
        <f t="shared" ref="BC43:BL43" si="40">BC42-BC44</f>
        <v>899416</v>
      </c>
      <c r="BD43" s="91">
        <f t="shared" si="40"/>
        <v>-1572816</v>
      </c>
      <c r="BE43" s="91">
        <f t="shared" si="40"/>
        <v>-597818</v>
      </c>
      <c r="BF43" s="91">
        <f t="shared" si="40"/>
        <v>152548</v>
      </c>
      <c r="BG43" s="91">
        <f t="shared" si="40"/>
        <v>76966</v>
      </c>
      <c r="BH43" s="91">
        <f t="shared" si="40"/>
        <v>-47847</v>
      </c>
      <c r="BI43" s="91">
        <f t="shared" si="40"/>
        <v>9877</v>
      </c>
      <c r="BJ43" s="91">
        <f t="shared" si="40"/>
        <v>-7280</v>
      </c>
      <c r="BK43" s="91">
        <f t="shared" si="40"/>
        <v>0</v>
      </c>
      <c r="BL43" s="92">
        <f t="shared" si="40"/>
        <v>-30690</v>
      </c>
      <c r="BM43" s="98">
        <f t="shared" ref="BM43:BQ43" si="41">BM42-BM44</f>
        <v>1497234</v>
      </c>
      <c r="BN43" s="91">
        <f t="shared" si="41"/>
        <v>-1339947</v>
      </c>
      <c r="BO43" s="91">
        <f t="shared" si="41"/>
        <v>-1420268</v>
      </c>
      <c r="BP43" s="92">
        <f t="shared" si="41"/>
        <v>1309257</v>
      </c>
      <c r="BQ43" s="91">
        <f t="shared" si="41"/>
        <v>-15622.948</v>
      </c>
      <c r="BR43" s="91">
        <f>BR42-BR44</f>
        <v>0</v>
      </c>
      <c r="BS43" s="91">
        <f>BS42-BS44</f>
        <v>1293634.0519999999</v>
      </c>
      <c r="BT43" s="68">
        <f>BT42-BT44</f>
        <v>-126633.94799999992</v>
      </c>
      <c r="BU43" s="99">
        <f>BU42-BU44</f>
        <v>-102102.98999999999</v>
      </c>
      <c r="BV43" s="329">
        <f t="shared" si="16"/>
        <v>-148378.99</v>
      </c>
      <c r="CB43" s="359"/>
    </row>
    <row r="44" spans="1:80" s="330" customFormat="1" ht="13.8" x14ac:dyDescent="0.25">
      <c r="A44" s="4"/>
      <c r="B44" s="4"/>
      <c r="C44" s="277" t="str">
        <f>C32</f>
        <v>RSVA - Global Adjustment</v>
      </c>
      <c r="D44" s="278">
        <v>1589</v>
      </c>
      <c r="E44" s="111">
        <f>E32</f>
        <v>316313</v>
      </c>
      <c r="F44" s="91">
        <f t="shared" ref="F44:AJ44" si="42">F32</f>
        <v>-30715</v>
      </c>
      <c r="G44" s="91">
        <f t="shared" si="42"/>
        <v>107517</v>
      </c>
      <c r="H44" s="91">
        <f t="shared" si="42"/>
        <v>0</v>
      </c>
      <c r="I44" s="91">
        <f t="shared" si="42"/>
        <v>178081</v>
      </c>
      <c r="J44" s="91">
        <f t="shared" si="42"/>
        <v>13502</v>
      </c>
      <c r="K44" s="91">
        <f t="shared" si="42"/>
        <v>2156</v>
      </c>
      <c r="L44" s="91">
        <f t="shared" si="42"/>
        <v>17442</v>
      </c>
      <c r="M44" s="91">
        <f t="shared" si="42"/>
        <v>0</v>
      </c>
      <c r="N44" s="92">
        <f t="shared" si="42"/>
        <v>-1784</v>
      </c>
      <c r="O44" s="98">
        <f t="shared" si="42"/>
        <v>178081</v>
      </c>
      <c r="P44" s="91">
        <f t="shared" si="42"/>
        <v>441977</v>
      </c>
      <c r="Q44" s="91">
        <f t="shared" si="42"/>
        <v>208797</v>
      </c>
      <c r="R44" s="91">
        <f t="shared" si="42"/>
        <v>0</v>
      </c>
      <c r="S44" s="91">
        <f t="shared" si="42"/>
        <v>411261</v>
      </c>
      <c r="T44" s="91">
        <f t="shared" si="42"/>
        <v>-1784</v>
      </c>
      <c r="U44" s="91">
        <f t="shared" si="42"/>
        <v>3909</v>
      </c>
      <c r="V44" s="91">
        <f t="shared" si="42"/>
        <v>-1822</v>
      </c>
      <c r="W44" s="91">
        <f t="shared" si="42"/>
        <v>0</v>
      </c>
      <c r="X44" s="92">
        <f t="shared" si="42"/>
        <v>3947</v>
      </c>
      <c r="Y44" s="98">
        <f t="shared" si="42"/>
        <v>411261</v>
      </c>
      <c r="Z44" s="91">
        <f t="shared" si="42"/>
        <v>120240</v>
      </c>
      <c r="AA44" s="91">
        <f t="shared" si="42"/>
        <v>-30716</v>
      </c>
      <c r="AB44" s="91">
        <f t="shared" si="42"/>
        <v>0</v>
      </c>
      <c r="AC44" s="91">
        <f t="shared" si="42"/>
        <v>562217</v>
      </c>
      <c r="AD44" s="91">
        <f t="shared" si="42"/>
        <v>3947</v>
      </c>
      <c r="AE44" s="91">
        <f t="shared" si="42"/>
        <v>-447</v>
      </c>
      <c r="AF44" s="91">
        <f t="shared" si="42"/>
        <v>-3522</v>
      </c>
      <c r="AG44" s="91">
        <f t="shared" si="42"/>
        <v>0</v>
      </c>
      <c r="AH44" s="92">
        <f t="shared" si="42"/>
        <v>7022</v>
      </c>
      <c r="AI44" s="98">
        <f t="shared" si="42"/>
        <v>562217</v>
      </c>
      <c r="AJ44" s="91">
        <f t="shared" si="42"/>
        <v>477578</v>
      </c>
      <c r="AK44" s="91">
        <f t="shared" ref="AK44:BQ44" si="43">AK32</f>
        <v>441977</v>
      </c>
      <c r="AL44" s="91">
        <f t="shared" si="43"/>
        <v>0</v>
      </c>
      <c r="AM44" s="91">
        <f t="shared" si="43"/>
        <v>597818</v>
      </c>
      <c r="AN44" s="91">
        <f t="shared" si="43"/>
        <v>7022</v>
      </c>
      <c r="AO44" s="91">
        <f t="shared" si="43"/>
        <v>7603</v>
      </c>
      <c r="AP44" s="91">
        <f t="shared" si="43"/>
        <v>16132</v>
      </c>
      <c r="AQ44" s="91">
        <f t="shared" si="43"/>
        <v>0</v>
      </c>
      <c r="AR44" s="92">
        <f t="shared" si="43"/>
        <v>-1507</v>
      </c>
      <c r="AS44" s="98">
        <f t="shared" si="43"/>
        <v>597818</v>
      </c>
      <c r="AT44" s="91">
        <f t="shared" si="43"/>
        <v>443215</v>
      </c>
      <c r="AU44" s="91">
        <f t="shared" si="43"/>
        <v>0</v>
      </c>
      <c r="AV44" s="91">
        <f t="shared" si="43"/>
        <v>0</v>
      </c>
      <c r="AW44" s="91">
        <f t="shared" si="43"/>
        <v>1041033</v>
      </c>
      <c r="AX44" s="91">
        <f t="shared" si="43"/>
        <v>-1507</v>
      </c>
      <c r="AY44" s="91">
        <f t="shared" si="43"/>
        <v>6070</v>
      </c>
      <c r="AZ44" s="91">
        <f t="shared" si="43"/>
        <v>0</v>
      </c>
      <c r="BA44" s="91">
        <f t="shared" si="43"/>
        <v>0</v>
      </c>
      <c r="BB44" s="92">
        <f t="shared" si="43"/>
        <v>4563</v>
      </c>
      <c r="BC44" s="98">
        <f t="shared" ref="BC44:BL44" si="44">BC32</f>
        <v>1041033</v>
      </c>
      <c r="BD44" s="91">
        <f>BD32</f>
        <v>363636</v>
      </c>
      <c r="BE44" s="91">
        <f t="shared" si="44"/>
        <v>597818</v>
      </c>
      <c r="BF44" s="91">
        <f t="shared" si="44"/>
        <v>0</v>
      </c>
      <c r="BG44" s="91">
        <f t="shared" si="44"/>
        <v>806851</v>
      </c>
      <c r="BH44" s="91">
        <f t="shared" si="44"/>
        <v>4563</v>
      </c>
      <c r="BI44" s="91">
        <f t="shared" si="44"/>
        <v>5083</v>
      </c>
      <c r="BJ44" s="91">
        <f t="shared" si="44"/>
        <v>7281</v>
      </c>
      <c r="BK44" s="91">
        <f t="shared" si="44"/>
        <v>0</v>
      </c>
      <c r="BL44" s="92">
        <f t="shared" si="44"/>
        <v>2365</v>
      </c>
      <c r="BM44" s="98">
        <f t="shared" si="43"/>
        <v>443215</v>
      </c>
      <c r="BN44" s="91">
        <f t="shared" si="43"/>
        <v>2567</v>
      </c>
      <c r="BO44" s="91">
        <f t="shared" si="43"/>
        <v>363636</v>
      </c>
      <c r="BP44" s="92">
        <f t="shared" si="43"/>
        <v>-202</v>
      </c>
      <c r="BQ44" s="91">
        <f t="shared" si="43"/>
        <v>3999.9959999999996</v>
      </c>
      <c r="BR44" s="91">
        <f>BR32</f>
        <v>0</v>
      </c>
      <c r="BS44" s="91">
        <f>BS32</f>
        <v>3797.9959999999996</v>
      </c>
      <c r="BT44" s="328">
        <f>SUM(BO44:BR44)</f>
        <v>367433.99599999998</v>
      </c>
      <c r="BU44" s="99">
        <f>BU32</f>
        <v>809216.83000000007</v>
      </c>
      <c r="BV44" s="329">
        <f t="shared" si="16"/>
        <v>0.83000000007450581</v>
      </c>
      <c r="CB44" s="359"/>
    </row>
    <row r="45" spans="1:80" s="88" customFormat="1" ht="13.8" x14ac:dyDescent="0.25">
      <c r="A45" s="1"/>
      <c r="B45" s="1"/>
      <c r="C45" s="277"/>
      <c r="D45" s="279"/>
      <c r="E45" s="111"/>
      <c r="F45" s="91"/>
      <c r="G45" s="91"/>
      <c r="H45" s="91"/>
      <c r="I45" s="91"/>
      <c r="J45" s="91"/>
      <c r="K45" s="91"/>
      <c r="L45" s="91"/>
      <c r="M45" s="91"/>
      <c r="N45" s="92"/>
      <c r="O45" s="98"/>
      <c r="P45" s="91"/>
      <c r="Q45" s="91"/>
      <c r="R45" s="91"/>
      <c r="S45" s="91"/>
      <c r="T45" s="91"/>
      <c r="U45" s="91"/>
      <c r="V45" s="91"/>
      <c r="W45" s="91"/>
      <c r="X45" s="92"/>
      <c r="Y45" s="98"/>
      <c r="Z45" s="91"/>
      <c r="AA45" s="91"/>
      <c r="AB45" s="91"/>
      <c r="AC45" s="91"/>
      <c r="AD45" s="91"/>
      <c r="AE45" s="91"/>
      <c r="AF45" s="91"/>
      <c r="AG45" s="91"/>
      <c r="AH45" s="92"/>
      <c r="AI45" s="98"/>
      <c r="AJ45" s="91"/>
      <c r="AK45" s="91"/>
      <c r="AL45" s="91"/>
      <c r="AM45" s="91"/>
      <c r="AN45" s="91"/>
      <c r="AO45" s="91"/>
      <c r="AP45" s="91"/>
      <c r="AQ45" s="91"/>
      <c r="AR45" s="92"/>
      <c r="AS45" s="98"/>
      <c r="AT45" s="91"/>
      <c r="AU45" s="91"/>
      <c r="AV45" s="91"/>
      <c r="AW45" s="91"/>
      <c r="AX45" s="91"/>
      <c r="AY45" s="91"/>
      <c r="AZ45" s="91"/>
      <c r="BA45" s="91"/>
      <c r="BB45" s="92"/>
      <c r="BC45" s="98"/>
      <c r="BD45" s="91"/>
      <c r="BE45" s="91"/>
      <c r="BF45" s="91"/>
      <c r="BG45" s="91"/>
      <c r="BH45" s="91"/>
      <c r="BI45" s="91"/>
      <c r="BJ45" s="91"/>
      <c r="BK45" s="91"/>
      <c r="BL45" s="92"/>
      <c r="BM45" s="98"/>
      <c r="BN45" s="91"/>
      <c r="BO45" s="91"/>
      <c r="BP45" s="92"/>
      <c r="BQ45" s="84"/>
      <c r="BR45" s="84"/>
      <c r="BS45" s="292"/>
      <c r="BT45" s="299"/>
      <c r="BU45" s="86"/>
      <c r="BV45" s="85"/>
      <c r="CB45" s="357"/>
    </row>
    <row r="46" spans="1:80" s="88" customFormat="1" ht="35.25" customHeight="1" thickBot="1" x14ac:dyDescent="0.3">
      <c r="A46" s="1"/>
      <c r="B46" s="1"/>
      <c r="C46" s="280" t="s">
        <v>27</v>
      </c>
      <c r="D46" s="279"/>
      <c r="E46" s="111"/>
      <c r="F46" s="91"/>
      <c r="G46" s="91"/>
      <c r="H46" s="91"/>
      <c r="I46" s="91"/>
      <c r="J46" s="91"/>
      <c r="K46" s="91"/>
      <c r="L46" s="91"/>
      <c r="M46" s="91"/>
      <c r="N46" s="92"/>
      <c r="O46" s="98"/>
      <c r="P46" s="91"/>
      <c r="Q46" s="91"/>
      <c r="R46" s="91"/>
      <c r="S46" s="91"/>
      <c r="T46" s="91"/>
      <c r="U46" s="91"/>
      <c r="V46" s="91"/>
      <c r="W46" s="91"/>
      <c r="X46" s="92"/>
      <c r="Y46" s="98"/>
      <c r="Z46" s="91"/>
      <c r="AA46" s="91"/>
      <c r="AB46" s="91"/>
      <c r="AC46" s="91"/>
      <c r="AD46" s="91"/>
      <c r="AE46" s="91"/>
      <c r="AF46" s="91"/>
      <c r="AG46" s="91"/>
      <c r="AH46" s="92"/>
      <c r="AI46" s="98"/>
      <c r="AJ46" s="91"/>
      <c r="AK46" s="91"/>
      <c r="AL46" s="91"/>
      <c r="AM46" s="91"/>
      <c r="AN46" s="91"/>
      <c r="AO46" s="91"/>
      <c r="AP46" s="91"/>
      <c r="AQ46" s="91"/>
      <c r="AR46" s="92"/>
      <c r="AS46" s="98"/>
      <c r="AT46" s="91"/>
      <c r="AU46" s="91"/>
      <c r="AV46" s="91"/>
      <c r="AW46" s="91"/>
      <c r="AX46" s="91"/>
      <c r="AY46" s="91"/>
      <c r="AZ46" s="91"/>
      <c r="BA46" s="91"/>
      <c r="BB46" s="92"/>
      <c r="BC46" s="98"/>
      <c r="BD46" s="91"/>
      <c r="BE46" s="91"/>
      <c r="BF46" s="91"/>
      <c r="BG46" s="91"/>
      <c r="BH46" s="91"/>
      <c r="BI46" s="91"/>
      <c r="BJ46" s="91"/>
      <c r="BK46" s="91"/>
      <c r="BL46" s="92"/>
      <c r="BM46" s="98"/>
      <c r="BN46" s="91"/>
      <c r="BO46" s="91"/>
      <c r="BP46" s="92"/>
      <c r="BQ46" s="84"/>
      <c r="BR46" s="84"/>
      <c r="BS46" s="292"/>
      <c r="BT46" s="299"/>
      <c r="BU46" s="86"/>
      <c r="BV46" s="85"/>
      <c r="CB46" s="357"/>
    </row>
    <row r="47" spans="1:80" s="88" customFormat="1" ht="14.4" thickBot="1" x14ac:dyDescent="0.3">
      <c r="A47" s="1">
        <v>15</v>
      </c>
      <c r="B47" s="1"/>
      <c r="C47" s="272" t="s">
        <v>33</v>
      </c>
      <c r="D47" s="257">
        <v>1508</v>
      </c>
      <c r="E47" s="184">
        <v>1362</v>
      </c>
      <c r="F47" s="188">
        <v>116694</v>
      </c>
      <c r="G47" s="188"/>
      <c r="H47" s="188"/>
      <c r="I47" s="91">
        <f t="shared" ref="I47:I58" si="45">E47+F47-G47+H47</f>
        <v>118056</v>
      </c>
      <c r="J47" s="188">
        <v>7</v>
      </c>
      <c r="K47" s="224">
        <v>397</v>
      </c>
      <c r="L47" s="90"/>
      <c r="M47" s="90"/>
      <c r="N47" s="92">
        <f t="shared" ref="N47:N58" si="46">J47+K47-L47+M47</f>
        <v>404</v>
      </c>
      <c r="O47" s="93">
        <f t="shared" ref="O47:O54" si="47">I47</f>
        <v>118056</v>
      </c>
      <c r="P47" s="235">
        <v>180979</v>
      </c>
      <c r="Q47" s="90"/>
      <c r="R47" s="188"/>
      <c r="S47" s="91">
        <f t="shared" ref="S47:S58" si="48">O47+P47-Q47+SUM(R47:R47)</f>
        <v>299035</v>
      </c>
      <c r="T47" s="94">
        <f t="shared" ref="T47:T58" si="49">N47</f>
        <v>404</v>
      </c>
      <c r="U47" s="246">
        <v>3164</v>
      </c>
      <c r="V47" s="90"/>
      <c r="W47" s="188"/>
      <c r="X47" s="92">
        <f t="shared" ref="X47:X58" si="50">T47+U47-V47+W47</f>
        <v>3568</v>
      </c>
      <c r="Y47" s="93">
        <f t="shared" ref="Y47:Y58" si="51">S47</f>
        <v>299035</v>
      </c>
      <c r="Z47" s="188">
        <v>27732</v>
      </c>
      <c r="AA47" s="188"/>
      <c r="AB47" s="90"/>
      <c r="AC47" s="91">
        <f t="shared" ref="AC47:AC58" si="52">Y47+Z47-AA47+SUM(AB47:AB47)</f>
        <v>326767</v>
      </c>
      <c r="AD47" s="94">
        <f t="shared" ref="AD47:AD58" si="53">X47</f>
        <v>3568</v>
      </c>
      <c r="AE47" s="188">
        <v>4520</v>
      </c>
      <c r="AF47" s="90"/>
      <c r="AG47" s="90"/>
      <c r="AH47" s="92">
        <f t="shared" ref="AH47:AH58" si="54">AD47+AE47-AF47+AG47</f>
        <v>8088</v>
      </c>
      <c r="AI47" s="93">
        <f t="shared" ref="AI47:AI54" si="55">AC47</f>
        <v>326767</v>
      </c>
      <c r="AJ47" s="188">
        <v>-173101</v>
      </c>
      <c r="AK47" s="188">
        <v>9569</v>
      </c>
      <c r="AL47" s="90"/>
      <c r="AM47" s="91">
        <f t="shared" ref="AM47:AM58" si="56">AI47+AJ47-AK47+SUM(AL47:AL47)</f>
        <v>144097</v>
      </c>
      <c r="AN47" s="94">
        <f t="shared" ref="AN47:AN58" si="57">AH47</f>
        <v>8088</v>
      </c>
      <c r="AO47" s="188">
        <v>4136</v>
      </c>
      <c r="AP47" s="188">
        <v>496</v>
      </c>
      <c r="AQ47" s="90"/>
      <c r="AR47" s="92">
        <f t="shared" ref="AR47:AR52" si="58">AN47+AO47-AP47+AQ47</f>
        <v>11728</v>
      </c>
      <c r="AS47" s="93">
        <f t="shared" ref="AS47:AS54" si="59">AM47</f>
        <v>144097</v>
      </c>
      <c r="AT47" s="188">
        <v>-144437</v>
      </c>
      <c r="AU47" s="90"/>
      <c r="AV47" s="90"/>
      <c r="AW47" s="91">
        <f t="shared" ref="AW47:AW58" si="60">AS47+AT47-AU47+SUM(AV47:AV47)</f>
        <v>-340</v>
      </c>
      <c r="AX47" s="94">
        <f t="shared" ref="AX47:AX58" si="61">AR47</f>
        <v>11728</v>
      </c>
      <c r="AY47" s="188">
        <v>509</v>
      </c>
      <c r="AZ47" s="90"/>
      <c r="BA47" s="90"/>
      <c r="BB47" s="92">
        <f>AX47+AY47-AZ47+BA47</f>
        <v>12237</v>
      </c>
      <c r="BC47" s="93">
        <f t="shared" ref="BC47:BC54" si="62">AW47</f>
        <v>-340</v>
      </c>
      <c r="BD47" s="188">
        <v>22</v>
      </c>
      <c r="BE47" s="188"/>
      <c r="BF47" s="188"/>
      <c r="BG47" s="91">
        <f t="shared" ref="BG47:BG58" si="63">BC47+BD47-BE47+SUM(BF47:BF47)</f>
        <v>-318</v>
      </c>
      <c r="BH47" s="94">
        <f t="shared" ref="BH47:BH58" si="64">BB47</f>
        <v>12237</v>
      </c>
      <c r="BI47" s="188">
        <v>10</v>
      </c>
      <c r="BJ47" s="90"/>
      <c r="BK47" s="90"/>
      <c r="BL47" s="92">
        <f t="shared" ref="BL47:BL52" si="65">BH47+BI47-BJ47+BK47</f>
        <v>12247</v>
      </c>
      <c r="BM47" s="89"/>
      <c r="BN47" s="90"/>
      <c r="BO47" s="94">
        <f t="shared" ref="BO47" si="66">BG47-BM47</f>
        <v>-318</v>
      </c>
      <c r="BP47" s="95">
        <f t="shared" ref="BP47" si="67">BL47-BN47</f>
        <v>12247</v>
      </c>
      <c r="BQ47" s="96"/>
      <c r="BR47" s="188"/>
      <c r="BS47" s="266">
        <f t="shared" ref="BS47:BS58" si="68">BP47+BQ47+BR47</f>
        <v>12247</v>
      </c>
      <c r="BT47" s="299">
        <f>SUM(BO47:BR47)</f>
        <v>11929</v>
      </c>
      <c r="BU47" s="189">
        <v>14492.449999999953</v>
      </c>
      <c r="BV47" s="85">
        <f t="shared" ref="BV47:BV58" si="69">BU47-SUM(BG47,BL47)</f>
        <v>2563.4499999999534</v>
      </c>
      <c r="CB47" s="357"/>
    </row>
    <row r="48" spans="1:80" s="88" customFormat="1" ht="14.4" thickBot="1" x14ac:dyDescent="0.3">
      <c r="A48" s="1">
        <v>16</v>
      </c>
      <c r="B48" s="1"/>
      <c r="C48" s="272" t="s">
        <v>34</v>
      </c>
      <c r="D48" s="257">
        <v>1508</v>
      </c>
      <c r="E48" s="184"/>
      <c r="F48" s="188"/>
      <c r="G48" s="188"/>
      <c r="H48" s="188"/>
      <c r="I48" s="91">
        <f>E48+F48-G48+H48</f>
        <v>0</v>
      </c>
      <c r="J48" s="188"/>
      <c r="K48" s="188"/>
      <c r="L48" s="90"/>
      <c r="M48" s="90"/>
      <c r="N48" s="92">
        <f>J48+K48-L48+M48</f>
        <v>0</v>
      </c>
      <c r="O48" s="93">
        <f>I48</f>
        <v>0</v>
      </c>
      <c r="P48" s="188"/>
      <c r="Q48" s="90"/>
      <c r="R48" s="188"/>
      <c r="S48" s="91">
        <f t="shared" si="48"/>
        <v>0</v>
      </c>
      <c r="T48" s="94">
        <f t="shared" si="49"/>
        <v>0</v>
      </c>
      <c r="U48" s="188"/>
      <c r="V48" s="90"/>
      <c r="W48" s="188"/>
      <c r="X48" s="92">
        <f>T48+U48-V48+W48</f>
        <v>0</v>
      </c>
      <c r="Y48" s="93">
        <f t="shared" si="51"/>
        <v>0</v>
      </c>
      <c r="Z48" s="188"/>
      <c r="AA48" s="188"/>
      <c r="AB48" s="90"/>
      <c r="AC48" s="91">
        <f t="shared" si="52"/>
        <v>0</v>
      </c>
      <c r="AD48" s="94">
        <f t="shared" si="53"/>
        <v>0</v>
      </c>
      <c r="AE48" s="188"/>
      <c r="AF48" s="90"/>
      <c r="AG48" s="90"/>
      <c r="AH48" s="92">
        <f t="shared" si="54"/>
        <v>0</v>
      </c>
      <c r="AI48" s="93">
        <f t="shared" si="55"/>
        <v>0</v>
      </c>
      <c r="AJ48" s="188"/>
      <c r="AK48" s="188"/>
      <c r="AL48" s="90"/>
      <c r="AM48" s="91">
        <f t="shared" si="56"/>
        <v>0</v>
      </c>
      <c r="AN48" s="94">
        <f t="shared" si="57"/>
        <v>0</v>
      </c>
      <c r="AO48" s="188"/>
      <c r="AP48" s="188"/>
      <c r="AQ48" s="90"/>
      <c r="AR48" s="92">
        <f t="shared" si="58"/>
        <v>0</v>
      </c>
      <c r="AS48" s="93">
        <f t="shared" si="59"/>
        <v>0</v>
      </c>
      <c r="AT48" s="188"/>
      <c r="AU48" s="90"/>
      <c r="AV48" s="90"/>
      <c r="AW48" s="91">
        <f t="shared" si="60"/>
        <v>0</v>
      </c>
      <c r="AX48" s="94">
        <f t="shared" si="61"/>
        <v>0</v>
      </c>
      <c r="AY48" s="188"/>
      <c r="AZ48" s="90"/>
      <c r="BA48" s="90"/>
      <c r="BB48" s="92">
        <f t="shared" ref="BB48:BB52" si="70">AX48+AY48-AZ48+BA48</f>
        <v>0</v>
      </c>
      <c r="BC48" s="93">
        <f t="shared" si="62"/>
        <v>0</v>
      </c>
      <c r="BD48" s="188"/>
      <c r="BE48" s="188"/>
      <c r="BF48" s="188"/>
      <c r="BG48" s="91">
        <f t="shared" si="63"/>
        <v>0</v>
      </c>
      <c r="BH48" s="94">
        <f t="shared" si="64"/>
        <v>0</v>
      </c>
      <c r="BI48" s="188"/>
      <c r="BJ48" s="90"/>
      <c r="BK48" s="90"/>
      <c r="BL48" s="92">
        <f t="shared" si="65"/>
        <v>0</v>
      </c>
      <c r="BM48" s="89"/>
      <c r="BN48" s="90"/>
      <c r="BO48" s="94">
        <f t="shared" ref="BO48:BO58" si="71">BG48-BM48</f>
        <v>0</v>
      </c>
      <c r="BP48" s="95">
        <f t="shared" ref="BP48:BP58" si="72">BL48-BN48</f>
        <v>0</v>
      </c>
      <c r="BQ48" s="96"/>
      <c r="BR48" s="188"/>
      <c r="BS48" s="266">
        <f t="shared" si="68"/>
        <v>0</v>
      </c>
      <c r="BT48" s="299">
        <f>SUM(BO48:BR48)</f>
        <v>0</v>
      </c>
      <c r="BU48" s="189"/>
      <c r="BV48" s="85">
        <f t="shared" si="69"/>
        <v>0</v>
      </c>
      <c r="CB48" s="357"/>
    </row>
    <row r="49" spans="1:80" s="88" customFormat="1" ht="30.6" thickBot="1" x14ac:dyDescent="0.3">
      <c r="A49" s="1">
        <v>17</v>
      </c>
      <c r="B49" s="1"/>
      <c r="C49" s="281" t="s">
        <v>239</v>
      </c>
      <c r="D49" s="257">
        <v>1508</v>
      </c>
      <c r="E49" s="111"/>
      <c r="F49" s="100"/>
      <c r="G49" s="100"/>
      <c r="H49" s="100"/>
      <c r="I49" s="91"/>
      <c r="J49" s="94"/>
      <c r="K49" s="100"/>
      <c r="L49" s="100"/>
      <c r="M49" s="100"/>
      <c r="N49" s="92"/>
      <c r="O49" s="93">
        <f t="shared" ref="O49" si="73">I49</f>
        <v>0</v>
      </c>
      <c r="P49" s="235"/>
      <c r="Q49" s="188"/>
      <c r="R49" s="188"/>
      <c r="S49" s="91">
        <f t="shared" ref="S49" si="74">O49+P49-Q49+SUM(R49:R49)</f>
        <v>0</v>
      </c>
      <c r="T49" s="94">
        <f t="shared" ref="T49" si="75">N49</f>
        <v>0</v>
      </c>
      <c r="U49" s="246"/>
      <c r="V49" s="188"/>
      <c r="W49" s="188"/>
      <c r="X49" s="92">
        <f t="shared" ref="X49" si="76">T49+U49-V49+W49</f>
        <v>0</v>
      </c>
      <c r="Y49" s="93">
        <f>S49</f>
        <v>0</v>
      </c>
      <c r="Z49" s="188"/>
      <c r="AA49" s="188"/>
      <c r="AB49" s="90"/>
      <c r="AC49" s="91">
        <f t="shared" si="52"/>
        <v>0</v>
      </c>
      <c r="AD49" s="94">
        <f t="shared" si="53"/>
        <v>0</v>
      </c>
      <c r="AE49" s="188"/>
      <c r="AF49" s="90"/>
      <c r="AG49" s="90"/>
      <c r="AH49" s="92">
        <f t="shared" si="54"/>
        <v>0</v>
      </c>
      <c r="AI49" s="93">
        <f t="shared" si="55"/>
        <v>0</v>
      </c>
      <c r="AJ49" s="188"/>
      <c r="AK49" s="188"/>
      <c r="AL49" s="90"/>
      <c r="AM49" s="91">
        <f t="shared" si="56"/>
        <v>0</v>
      </c>
      <c r="AN49" s="94">
        <f t="shared" si="57"/>
        <v>0</v>
      </c>
      <c r="AO49" s="188"/>
      <c r="AP49" s="188"/>
      <c r="AQ49" s="90"/>
      <c r="AR49" s="92">
        <f t="shared" si="58"/>
        <v>0</v>
      </c>
      <c r="AS49" s="93">
        <f t="shared" si="59"/>
        <v>0</v>
      </c>
      <c r="AT49" s="188"/>
      <c r="AU49" s="90"/>
      <c r="AV49" s="90"/>
      <c r="AW49" s="91">
        <f t="shared" si="60"/>
        <v>0</v>
      </c>
      <c r="AX49" s="94">
        <f t="shared" si="61"/>
        <v>0</v>
      </c>
      <c r="AY49" s="188"/>
      <c r="AZ49" s="90"/>
      <c r="BA49" s="90"/>
      <c r="BB49" s="92">
        <f t="shared" si="70"/>
        <v>0</v>
      </c>
      <c r="BC49" s="93">
        <f t="shared" si="62"/>
        <v>0</v>
      </c>
      <c r="BD49" s="188"/>
      <c r="BE49" s="188"/>
      <c r="BF49" s="188"/>
      <c r="BG49" s="91">
        <f t="shared" si="63"/>
        <v>0</v>
      </c>
      <c r="BH49" s="94">
        <f t="shared" si="64"/>
        <v>0</v>
      </c>
      <c r="BI49" s="188"/>
      <c r="BJ49" s="90"/>
      <c r="BK49" s="90"/>
      <c r="BL49" s="92">
        <f t="shared" si="65"/>
        <v>0</v>
      </c>
      <c r="BM49" s="89"/>
      <c r="BN49" s="90"/>
      <c r="BO49" s="94">
        <f t="shared" si="71"/>
        <v>0</v>
      </c>
      <c r="BP49" s="95">
        <f t="shared" si="72"/>
        <v>0</v>
      </c>
      <c r="BQ49" s="96"/>
      <c r="BR49" s="188"/>
      <c r="BS49" s="266">
        <f t="shared" si="68"/>
        <v>0</v>
      </c>
      <c r="BT49" s="299">
        <f>SUM(BO49:BR49)</f>
        <v>0</v>
      </c>
      <c r="BU49" s="189"/>
      <c r="BV49" s="85">
        <f t="shared" si="69"/>
        <v>0</v>
      </c>
      <c r="CB49" s="357"/>
    </row>
    <row r="50" spans="1:80" s="88" customFormat="1" ht="16.8" thickBot="1" x14ac:dyDescent="0.3">
      <c r="A50" s="1">
        <v>18</v>
      </c>
      <c r="B50" s="1"/>
      <c r="C50" s="272" t="s">
        <v>43</v>
      </c>
      <c r="D50" s="257">
        <v>1508</v>
      </c>
      <c r="E50" s="184"/>
      <c r="F50" s="188"/>
      <c r="G50" s="188"/>
      <c r="H50" s="188"/>
      <c r="I50" s="91">
        <f t="shared" si="45"/>
        <v>0</v>
      </c>
      <c r="J50" s="188"/>
      <c r="K50" s="188"/>
      <c r="L50" s="90"/>
      <c r="M50" s="90"/>
      <c r="N50" s="92">
        <f t="shared" si="46"/>
        <v>0</v>
      </c>
      <c r="O50" s="93">
        <f t="shared" si="47"/>
        <v>0</v>
      </c>
      <c r="P50" s="236"/>
      <c r="Q50" s="90"/>
      <c r="R50" s="188"/>
      <c r="S50" s="91">
        <f t="shared" si="48"/>
        <v>0</v>
      </c>
      <c r="T50" s="94">
        <f t="shared" si="49"/>
        <v>0</v>
      </c>
      <c r="U50" s="188"/>
      <c r="V50" s="90"/>
      <c r="W50" s="188"/>
      <c r="X50" s="92">
        <f t="shared" si="50"/>
        <v>0</v>
      </c>
      <c r="Y50" s="93">
        <f t="shared" si="51"/>
        <v>0</v>
      </c>
      <c r="Z50" s="188"/>
      <c r="AA50" s="188"/>
      <c r="AB50" s="90"/>
      <c r="AC50" s="91">
        <f t="shared" si="52"/>
        <v>0</v>
      </c>
      <c r="AD50" s="94">
        <f t="shared" si="53"/>
        <v>0</v>
      </c>
      <c r="AE50" s="188"/>
      <c r="AF50" s="90"/>
      <c r="AG50" s="90"/>
      <c r="AH50" s="92">
        <f t="shared" si="54"/>
        <v>0</v>
      </c>
      <c r="AI50" s="93">
        <f t="shared" si="55"/>
        <v>0</v>
      </c>
      <c r="AJ50" s="188"/>
      <c r="AK50" s="188"/>
      <c r="AL50" s="90"/>
      <c r="AM50" s="91">
        <f t="shared" si="56"/>
        <v>0</v>
      </c>
      <c r="AN50" s="94">
        <f t="shared" si="57"/>
        <v>0</v>
      </c>
      <c r="AO50" s="188"/>
      <c r="AP50" s="188"/>
      <c r="AQ50" s="90"/>
      <c r="AR50" s="92">
        <f t="shared" si="58"/>
        <v>0</v>
      </c>
      <c r="AS50" s="93">
        <f t="shared" si="59"/>
        <v>0</v>
      </c>
      <c r="AT50" s="188"/>
      <c r="AU50" s="90"/>
      <c r="AV50" s="90"/>
      <c r="AW50" s="91">
        <f t="shared" si="60"/>
        <v>0</v>
      </c>
      <c r="AX50" s="94">
        <f t="shared" si="61"/>
        <v>0</v>
      </c>
      <c r="AY50" s="188"/>
      <c r="AZ50" s="90"/>
      <c r="BA50" s="90"/>
      <c r="BB50" s="92">
        <f t="shared" si="70"/>
        <v>0</v>
      </c>
      <c r="BC50" s="93">
        <f t="shared" si="62"/>
        <v>0</v>
      </c>
      <c r="BD50" s="188">
        <v>2565.0700000000002</v>
      </c>
      <c r="BE50" s="188"/>
      <c r="BF50" s="188"/>
      <c r="BG50" s="91">
        <f t="shared" si="63"/>
        <v>2565.0700000000002</v>
      </c>
      <c r="BH50" s="94">
        <f t="shared" si="64"/>
        <v>0</v>
      </c>
      <c r="BI50" s="188"/>
      <c r="BJ50" s="90"/>
      <c r="BK50" s="90"/>
      <c r="BL50" s="92">
        <f t="shared" si="65"/>
        <v>0</v>
      </c>
      <c r="BM50" s="89"/>
      <c r="BN50" s="90"/>
      <c r="BO50" s="94">
        <f t="shared" si="71"/>
        <v>2565.0700000000002</v>
      </c>
      <c r="BP50" s="95">
        <f t="shared" si="72"/>
        <v>0</v>
      </c>
      <c r="BQ50" s="96"/>
      <c r="BR50" s="188"/>
      <c r="BS50" s="266">
        <f t="shared" si="68"/>
        <v>0</v>
      </c>
      <c r="BT50" s="299">
        <f>IF(CB50=TRUE, SUM(BO50:BR50), 0)</f>
        <v>2565.0700000000002</v>
      </c>
      <c r="BU50" s="189"/>
      <c r="BV50" s="85">
        <f t="shared" si="69"/>
        <v>-2565.0700000000002</v>
      </c>
      <c r="CA50" s="296">
        <v>1508</v>
      </c>
      <c r="CB50" s="357" t="b">
        <v>1</v>
      </c>
    </row>
    <row r="51" spans="1:80" s="88" customFormat="1" ht="14.4" thickBot="1" x14ac:dyDescent="0.3">
      <c r="A51" s="1">
        <v>19</v>
      </c>
      <c r="B51" s="1"/>
      <c r="C51" s="272" t="s">
        <v>4</v>
      </c>
      <c r="D51" s="257">
        <v>1518</v>
      </c>
      <c r="E51" s="208">
        <v>728</v>
      </c>
      <c r="F51" s="209">
        <v>18696</v>
      </c>
      <c r="G51" s="188"/>
      <c r="H51" s="188"/>
      <c r="I51" s="91">
        <f t="shared" si="45"/>
        <v>19424</v>
      </c>
      <c r="J51" s="225">
        <v>-2171</v>
      </c>
      <c r="K51" s="226">
        <v>77</v>
      </c>
      <c r="L51" s="90"/>
      <c r="M51" s="90"/>
      <c r="N51" s="92">
        <f t="shared" si="46"/>
        <v>-2094</v>
      </c>
      <c r="O51" s="93">
        <f t="shared" si="47"/>
        <v>19424</v>
      </c>
      <c r="P51" s="188">
        <v>12985</v>
      </c>
      <c r="Q51" s="90"/>
      <c r="R51" s="188"/>
      <c r="S51" s="91">
        <f t="shared" si="48"/>
        <v>32409</v>
      </c>
      <c r="T51" s="94">
        <f t="shared" si="49"/>
        <v>-2094</v>
      </c>
      <c r="U51" s="247">
        <v>387</v>
      </c>
      <c r="V51" s="90"/>
      <c r="W51" s="188"/>
      <c r="X51" s="92">
        <f t="shared" si="50"/>
        <v>-1707</v>
      </c>
      <c r="Y51" s="93">
        <f t="shared" si="51"/>
        <v>32409</v>
      </c>
      <c r="Z51" s="188">
        <v>25167</v>
      </c>
      <c r="AA51" s="188"/>
      <c r="AB51" s="90"/>
      <c r="AC51" s="91">
        <f t="shared" si="52"/>
        <v>57576</v>
      </c>
      <c r="AD51" s="94">
        <f t="shared" si="53"/>
        <v>-1707</v>
      </c>
      <c r="AE51" s="188">
        <v>636</v>
      </c>
      <c r="AF51" s="90"/>
      <c r="AG51" s="90"/>
      <c r="AH51" s="92">
        <f t="shared" si="54"/>
        <v>-1071</v>
      </c>
      <c r="AI51" s="93">
        <f t="shared" si="55"/>
        <v>57576</v>
      </c>
      <c r="AJ51" s="188">
        <v>6366</v>
      </c>
      <c r="AK51" s="188">
        <v>32409</v>
      </c>
      <c r="AL51" s="90"/>
      <c r="AM51" s="91">
        <f t="shared" si="56"/>
        <v>31533</v>
      </c>
      <c r="AN51" s="94">
        <f t="shared" si="57"/>
        <v>-1071</v>
      </c>
      <c r="AO51" s="188">
        <v>621</v>
      </c>
      <c r="AP51" s="188">
        <v>-1071</v>
      </c>
      <c r="AQ51" s="90"/>
      <c r="AR51" s="92">
        <f t="shared" si="58"/>
        <v>621</v>
      </c>
      <c r="AS51" s="93">
        <f t="shared" si="59"/>
        <v>31533</v>
      </c>
      <c r="AT51" s="188">
        <v>16785</v>
      </c>
      <c r="AU51" s="90"/>
      <c r="AV51" s="90"/>
      <c r="AW51" s="91">
        <f t="shared" si="60"/>
        <v>48318</v>
      </c>
      <c r="AX51" s="94">
        <f t="shared" si="61"/>
        <v>621</v>
      </c>
      <c r="AY51" s="188">
        <v>601</v>
      </c>
      <c r="AZ51" s="90"/>
      <c r="BA51" s="90"/>
      <c r="BB51" s="92">
        <f t="shared" si="70"/>
        <v>1222</v>
      </c>
      <c r="BC51" s="93">
        <f t="shared" si="62"/>
        <v>48318</v>
      </c>
      <c r="BD51" s="188">
        <v>11011</v>
      </c>
      <c r="BE51" s="188"/>
      <c r="BF51" s="188"/>
      <c r="BG51" s="91">
        <f>BC51+BD51-BE51+SUM(BF51:BF51)</f>
        <v>59329</v>
      </c>
      <c r="BH51" s="94">
        <f t="shared" si="64"/>
        <v>1222</v>
      </c>
      <c r="BI51" s="188">
        <v>620</v>
      </c>
      <c r="BJ51" s="90"/>
      <c r="BK51" s="90"/>
      <c r="BL51" s="92">
        <f t="shared" si="65"/>
        <v>1842</v>
      </c>
      <c r="BM51" s="89"/>
      <c r="BN51" s="90"/>
      <c r="BO51" s="94">
        <f t="shared" si="71"/>
        <v>59329</v>
      </c>
      <c r="BP51" s="95">
        <f t="shared" si="72"/>
        <v>1842</v>
      </c>
      <c r="BQ51" s="96"/>
      <c r="BR51" s="188"/>
      <c r="BS51" s="266">
        <f t="shared" si="68"/>
        <v>1842</v>
      </c>
      <c r="BT51" s="299">
        <f>SUM(BO51:BR51)</f>
        <v>61171</v>
      </c>
      <c r="BU51" s="189">
        <v>61171.35</v>
      </c>
      <c r="BV51" s="85">
        <f t="shared" si="69"/>
        <v>0.34999999999854481</v>
      </c>
      <c r="CB51" s="357"/>
    </row>
    <row r="52" spans="1:80" s="88" customFormat="1" ht="14.4" thickBot="1" x14ac:dyDescent="0.3">
      <c r="A52" s="1">
        <v>20</v>
      </c>
      <c r="B52" s="1"/>
      <c r="C52" s="272" t="s">
        <v>9</v>
      </c>
      <c r="D52" s="257">
        <v>1525</v>
      </c>
      <c r="E52" s="183"/>
      <c r="F52" s="186"/>
      <c r="G52" s="186"/>
      <c r="H52" s="186"/>
      <c r="I52" s="91">
        <f t="shared" si="45"/>
        <v>0</v>
      </c>
      <c r="J52" s="227"/>
      <c r="K52" s="186"/>
      <c r="L52" s="102"/>
      <c r="M52" s="102"/>
      <c r="N52" s="92">
        <f t="shared" si="46"/>
        <v>0</v>
      </c>
      <c r="O52" s="93">
        <f t="shared" si="47"/>
        <v>0</v>
      </c>
      <c r="P52" s="188"/>
      <c r="Q52" s="90"/>
      <c r="R52" s="188"/>
      <c r="S52" s="91">
        <f t="shared" si="48"/>
        <v>0</v>
      </c>
      <c r="T52" s="94">
        <f t="shared" si="49"/>
        <v>0</v>
      </c>
      <c r="U52" s="247"/>
      <c r="V52" s="102"/>
      <c r="W52" s="186"/>
      <c r="X52" s="92">
        <f t="shared" si="50"/>
        <v>0</v>
      </c>
      <c r="Y52" s="93">
        <f t="shared" si="51"/>
        <v>0</v>
      </c>
      <c r="Z52" s="188"/>
      <c r="AA52" s="188"/>
      <c r="AB52" s="90"/>
      <c r="AC52" s="91">
        <f t="shared" si="52"/>
        <v>0</v>
      </c>
      <c r="AD52" s="94">
        <f t="shared" si="53"/>
        <v>0</v>
      </c>
      <c r="AE52" s="188"/>
      <c r="AF52" s="102"/>
      <c r="AG52" s="102"/>
      <c r="AH52" s="92">
        <f t="shared" si="54"/>
        <v>0</v>
      </c>
      <c r="AI52" s="93">
        <f t="shared" si="55"/>
        <v>0</v>
      </c>
      <c r="AJ52" s="188"/>
      <c r="AK52" s="188"/>
      <c r="AL52" s="90"/>
      <c r="AM52" s="91">
        <f t="shared" si="56"/>
        <v>0</v>
      </c>
      <c r="AN52" s="94">
        <f t="shared" si="57"/>
        <v>0</v>
      </c>
      <c r="AO52" s="188"/>
      <c r="AP52" s="186"/>
      <c r="AQ52" s="102"/>
      <c r="AR52" s="92">
        <f t="shared" si="58"/>
        <v>0</v>
      </c>
      <c r="AS52" s="93">
        <f t="shared" si="59"/>
        <v>0</v>
      </c>
      <c r="AT52" s="188"/>
      <c r="AU52" s="90"/>
      <c r="AV52" s="90"/>
      <c r="AW52" s="91">
        <f t="shared" si="60"/>
        <v>0</v>
      </c>
      <c r="AX52" s="94">
        <f t="shared" si="61"/>
        <v>0</v>
      </c>
      <c r="AY52" s="188"/>
      <c r="AZ52" s="102"/>
      <c r="BA52" s="102"/>
      <c r="BB52" s="92">
        <f t="shared" si="70"/>
        <v>0</v>
      </c>
      <c r="BC52" s="93">
        <f t="shared" si="62"/>
        <v>0</v>
      </c>
      <c r="BD52" s="188"/>
      <c r="BE52" s="188"/>
      <c r="BF52" s="188"/>
      <c r="BG52" s="91">
        <f>BC52+BD52-BE52+SUM(BF52:BF52)</f>
        <v>0</v>
      </c>
      <c r="BH52" s="94">
        <f t="shared" si="64"/>
        <v>0</v>
      </c>
      <c r="BI52" s="188"/>
      <c r="BJ52" s="102"/>
      <c r="BK52" s="102"/>
      <c r="BL52" s="92">
        <f t="shared" si="65"/>
        <v>0</v>
      </c>
      <c r="BM52" s="89"/>
      <c r="BN52" s="90"/>
      <c r="BO52" s="94">
        <f t="shared" si="71"/>
        <v>0</v>
      </c>
      <c r="BP52" s="95">
        <f t="shared" si="72"/>
        <v>0</v>
      </c>
      <c r="BQ52" s="96"/>
      <c r="BR52" s="188"/>
      <c r="BS52" s="266">
        <f t="shared" si="68"/>
        <v>0</v>
      </c>
      <c r="BT52" s="299">
        <f>IF(CB52=TRUE, SUM(BO52:BR52), 0)</f>
        <v>0</v>
      </c>
      <c r="BU52" s="189"/>
      <c r="BV52" s="85">
        <f t="shared" si="69"/>
        <v>0</v>
      </c>
      <c r="CA52" s="69">
        <v>1525</v>
      </c>
      <c r="CB52" s="357" t="b">
        <v>1</v>
      </c>
    </row>
    <row r="53" spans="1:80" s="88" customFormat="1" ht="14.4" thickBot="1" x14ac:dyDescent="0.3">
      <c r="A53" s="1">
        <v>21</v>
      </c>
      <c r="B53" s="1"/>
      <c r="C53" s="272" t="s">
        <v>5</v>
      </c>
      <c r="D53" s="257">
        <v>1548</v>
      </c>
      <c r="E53" s="216">
        <v>51376</v>
      </c>
      <c r="F53" s="215">
        <v>11843</v>
      </c>
      <c r="G53" s="102"/>
      <c r="H53" s="102"/>
      <c r="I53" s="91">
        <f>E53+F53-G53+H53</f>
        <v>63219</v>
      </c>
      <c r="J53" s="218">
        <v>11134</v>
      </c>
      <c r="K53" s="219">
        <v>450</v>
      </c>
      <c r="L53" s="188"/>
      <c r="M53" s="90"/>
      <c r="N53" s="92">
        <f>J53+K53-L53+M53</f>
        <v>11584</v>
      </c>
      <c r="O53" s="93">
        <f>I53</f>
        <v>63219</v>
      </c>
      <c r="P53" s="188">
        <v>8445</v>
      </c>
      <c r="Q53" s="90"/>
      <c r="R53" s="188"/>
      <c r="S53" s="91">
        <f>O53+P53-Q53+SUM(R53:R53)</f>
        <v>71664</v>
      </c>
      <c r="T53" s="94">
        <f>N53</f>
        <v>11584</v>
      </c>
      <c r="U53" s="243">
        <v>985</v>
      </c>
      <c r="V53" s="103"/>
      <c r="W53" s="103"/>
      <c r="X53" s="92">
        <f>T53+U53-V53+W53</f>
        <v>12569</v>
      </c>
      <c r="Y53" s="93">
        <f>S53</f>
        <v>71664</v>
      </c>
      <c r="Z53" s="188">
        <v>7843</v>
      </c>
      <c r="AA53" s="90"/>
      <c r="AB53" s="90"/>
      <c r="AC53" s="91">
        <f>Y53+Z53-AA53+SUM(AB53:AB53)</f>
        <v>79507</v>
      </c>
      <c r="AD53" s="94">
        <f>X53</f>
        <v>12569</v>
      </c>
      <c r="AE53" s="188">
        <v>1113</v>
      </c>
      <c r="AF53" s="103"/>
      <c r="AG53" s="102"/>
      <c r="AH53" s="92">
        <f>AD53+AE53-AF53+AG53</f>
        <v>13682</v>
      </c>
      <c r="AI53" s="93">
        <f>AC53</f>
        <v>79507</v>
      </c>
      <c r="AJ53" s="188">
        <v>6648</v>
      </c>
      <c r="AK53" s="188">
        <v>71664</v>
      </c>
      <c r="AL53" s="188"/>
      <c r="AM53" s="91">
        <f>AI53+AJ53-AK53+SUM(AL53:AL53)</f>
        <v>14491</v>
      </c>
      <c r="AN53" s="94">
        <f>AH53</f>
        <v>13682</v>
      </c>
      <c r="AO53" s="188">
        <v>593</v>
      </c>
      <c r="AP53" s="103">
        <v>13974</v>
      </c>
      <c r="AQ53" s="102"/>
      <c r="AR53" s="92">
        <f t="shared" ref="AR53:AR58" si="77">AN53+AO53-AP53+AQ53</f>
        <v>301</v>
      </c>
      <c r="AS53" s="93">
        <f>AM53</f>
        <v>14491</v>
      </c>
      <c r="AT53" s="188">
        <v>13247</v>
      </c>
      <c r="AU53" s="90"/>
      <c r="AV53" s="90"/>
      <c r="AW53" s="91">
        <f>AS53+AT53-AU53+SUM(AV53:AV53)</f>
        <v>27738</v>
      </c>
      <c r="AX53" s="94">
        <f>AR53</f>
        <v>301</v>
      </c>
      <c r="AY53" s="188">
        <v>272</v>
      </c>
      <c r="AZ53" s="103"/>
      <c r="BA53" s="102"/>
      <c r="BB53" s="92">
        <f t="shared" ref="BB53:BB58" si="78">AX53+AY53-AZ53+BA53</f>
        <v>573</v>
      </c>
      <c r="BC53" s="93">
        <f>AW53</f>
        <v>27738</v>
      </c>
      <c r="BD53" s="188">
        <v>-2641</v>
      </c>
      <c r="BE53" s="90"/>
      <c r="BF53" s="90"/>
      <c r="BG53" s="91">
        <f>BC53+BD53-BE53+SUM(BF53:BF53)</f>
        <v>25097</v>
      </c>
      <c r="BH53" s="94">
        <f>BB53</f>
        <v>573</v>
      </c>
      <c r="BI53" s="188">
        <v>301</v>
      </c>
      <c r="BJ53" s="103"/>
      <c r="BK53" s="102"/>
      <c r="BL53" s="92">
        <f t="shared" ref="BL53:BL58" si="79">BH53+BI53-BJ53+BK53</f>
        <v>874</v>
      </c>
      <c r="BM53" s="89"/>
      <c r="BN53" s="90"/>
      <c r="BO53" s="94">
        <f>BG53-BM53</f>
        <v>25097</v>
      </c>
      <c r="BP53" s="95">
        <f>BL53-BN53</f>
        <v>874</v>
      </c>
      <c r="BQ53" s="96">
        <v>276</v>
      </c>
      <c r="BR53" s="188"/>
      <c r="BS53" s="266">
        <f t="shared" si="68"/>
        <v>1150</v>
      </c>
      <c r="BT53" s="299">
        <f>SUM(BO53:BR53)</f>
        <v>26247</v>
      </c>
      <c r="BU53" s="189">
        <v>25971.250000000004</v>
      </c>
      <c r="BV53" s="85">
        <f>BU53-SUM(BG53,BL53)</f>
        <v>0.25000000000363798</v>
      </c>
      <c r="CB53" s="357"/>
    </row>
    <row r="54" spans="1:80" s="88" customFormat="1" ht="14.4" thickBot="1" x14ac:dyDescent="0.3">
      <c r="A54" s="1">
        <v>22</v>
      </c>
      <c r="B54" s="1"/>
      <c r="C54" s="272" t="s">
        <v>32</v>
      </c>
      <c r="D54" s="257">
        <v>1567</v>
      </c>
      <c r="E54" s="183"/>
      <c r="F54" s="186"/>
      <c r="G54" s="186"/>
      <c r="H54" s="186"/>
      <c r="I54" s="91">
        <f t="shared" ref="I54" si="80">E54+F54-G54+H54</f>
        <v>0</v>
      </c>
      <c r="J54" s="227"/>
      <c r="K54" s="186"/>
      <c r="L54" s="186"/>
      <c r="M54" s="186"/>
      <c r="N54" s="92">
        <f t="shared" ref="N54" si="81">J54+K54-L54+M54</f>
        <v>0</v>
      </c>
      <c r="O54" s="93">
        <f t="shared" si="47"/>
        <v>0</v>
      </c>
      <c r="P54" s="90"/>
      <c r="Q54" s="90"/>
      <c r="R54" s="188"/>
      <c r="S54" s="91">
        <f t="shared" si="48"/>
        <v>0</v>
      </c>
      <c r="T54" s="94">
        <f t="shared" si="49"/>
        <v>0</v>
      </c>
      <c r="U54" s="188"/>
      <c r="V54" s="90"/>
      <c r="W54" s="90"/>
      <c r="X54" s="92">
        <f>T54+U54-V54+W54</f>
        <v>0</v>
      </c>
      <c r="Y54" s="93">
        <f t="shared" si="51"/>
        <v>0</v>
      </c>
      <c r="Z54" s="188"/>
      <c r="AA54" s="188"/>
      <c r="AB54" s="90"/>
      <c r="AC54" s="91">
        <f t="shared" si="52"/>
        <v>0</v>
      </c>
      <c r="AD54" s="94">
        <f t="shared" si="53"/>
        <v>0</v>
      </c>
      <c r="AE54" s="188"/>
      <c r="AF54" s="90"/>
      <c r="AG54" s="90"/>
      <c r="AH54" s="92">
        <f t="shared" si="54"/>
        <v>0</v>
      </c>
      <c r="AI54" s="93">
        <f t="shared" si="55"/>
        <v>0</v>
      </c>
      <c r="AJ54" s="188"/>
      <c r="AK54" s="188"/>
      <c r="AL54" s="90"/>
      <c r="AM54" s="91">
        <f t="shared" si="56"/>
        <v>0</v>
      </c>
      <c r="AN54" s="94">
        <f t="shared" si="57"/>
        <v>0</v>
      </c>
      <c r="AO54" s="188"/>
      <c r="AP54" s="188"/>
      <c r="AQ54" s="90"/>
      <c r="AR54" s="92">
        <f t="shared" si="77"/>
        <v>0</v>
      </c>
      <c r="AS54" s="93">
        <f t="shared" si="59"/>
        <v>0</v>
      </c>
      <c r="AT54" s="188"/>
      <c r="AU54" s="90"/>
      <c r="AV54" s="90"/>
      <c r="AW54" s="91">
        <f t="shared" si="60"/>
        <v>0</v>
      </c>
      <c r="AX54" s="94">
        <f t="shared" si="61"/>
        <v>0</v>
      </c>
      <c r="AY54" s="188"/>
      <c r="AZ54" s="90"/>
      <c r="BA54" s="90"/>
      <c r="BB54" s="92">
        <f t="shared" si="78"/>
        <v>0</v>
      </c>
      <c r="BC54" s="93">
        <f t="shared" si="62"/>
        <v>0</v>
      </c>
      <c r="BD54" s="188"/>
      <c r="BE54" s="188"/>
      <c r="BF54" s="188"/>
      <c r="BG54" s="91">
        <f t="shared" si="63"/>
        <v>0</v>
      </c>
      <c r="BH54" s="94">
        <f t="shared" si="64"/>
        <v>0</v>
      </c>
      <c r="BI54" s="188"/>
      <c r="BJ54" s="90"/>
      <c r="BK54" s="90"/>
      <c r="BL54" s="92">
        <f t="shared" si="79"/>
        <v>0</v>
      </c>
      <c r="BM54" s="89"/>
      <c r="BN54" s="90"/>
      <c r="BO54" s="94">
        <f t="shared" si="71"/>
        <v>0</v>
      </c>
      <c r="BP54" s="95">
        <f t="shared" si="72"/>
        <v>0</v>
      </c>
      <c r="BQ54" s="96"/>
      <c r="BR54" s="188"/>
      <c r="BS54" s="266">
        <f t="shared" si="68"/>
        <v>0</v>
      </c>
      <c r="BT54" s="299">
        <f>SUM(BO54:BR54)</f>
        <v>0</v>
      </c>
      <c r="BU54" s="189"/>
      <c r="BV54" s="85">
        <f t="shared" si="69"/>
        <v>0</v>
      </c>
      <c r="CB54" s="357"/>
    </row>
    <row r="55" spans="1:80" s="88" customFormat="1" ht="14.4" thickBot="1" x14ac:dyDescent="0.3">
      <c r="A55" s="1">
        <v>23</v>
      </c>
      <c r="B55" s="1"/>
      <c r="C55" s="272" t="s">
        <v>10</v>
      </c>
      <c r="D55" s="257">
        <v>1572</v>
      </c>
      <c r="E55" s="184"/>
      <c r="F55" s="188"/>
      <c r="G55" s="188"/>
      <c r="H55" s="188"/>
      <c r="I55" s="91">
        <f t="shared" si="45"/>
        <v>0</v>
      </c>
      <c r="J55" s="186"/>
      <c r="K55" s="188"/>
      <c r="L55" s="90"/>
      <c r="M55" s="90"/>
      <c r="N55" s="92">
        <f t="shared" si="46"/>
        <v>0</v>
      </c>
      <c r="O55" s="93">
        <f>I55</f>
        <v>0</v>
      </c>
      <c r="P55" s="90"/>
      <c r="Q55" s="90"/>
      <c r="R55" s="188"/>
      <c r="S55" s="91">
        <f t="shared" si="48"/>
        <v>0</v>
      </c>
      <c r="T55" s="94">
        <f t="shared" si="49"/>
        <v>0</v>
      </c>
      <c r="U55" s="188"/>
      <c r="V55" s="90"/>
      <c r="W55" s="90"/>
      <c r="X55" s="92">
        <f t="shared" si="50"/>
        <v>0</v>
      </c>
      <c r="Y55" s="93">
        <f t="shared" si="51"/>
        <v>0</v>
      </c>
      <c r="Z55" s="188"/>
      <c r="AA55" s="188"/>
      <c r="AB55" s="90"/>
      <c r="AC55" s="91">
        <f t="shared" si="52"/>
        <v>0</v>
      </c>
      <c r="AD55" s="94">
        <f t="shared" si="53"/>
        <v>0</v>
      </c>
      <c r="AE55" s="188"/>
      <c r="AF55" s="90"/>
      <c r="AG55" s="90"/>
      <c r="AH55" s="92">
        <f t="shared" si="54"/>
        <v>0</v>
      </c>
      <c r="AI55" s="93">
        <f>AC55</f>
        <v>0</v>
      </c>
      <c r="AJ55" s="188"/>
      <c r="AK55" s="188"/>
      <c r="AL55" s="90"/>
      <c r="AM55" s="91">
        <f t="shared" si="56"/>
        <v>0</v>
      </c>
      <c r="AN55" s="94">
        <f t="shared" si="57"/>
        <v>0</v>
      </c>
      <c r="AO55" s="188"/>
      <c r="AP55" s="90"/>
      <c r="AQ55" s="90"/>
      <c r="AR55" s="92">
        <f t="shared" si="77"/>
        <v>0</v>
      </c>
      <c r="AS55" s="93">
        <f>AM55</f>
        <v>0</v>
      </c>
      <c r="AT55" s="188"/>
      <c r="AU55" s="90"/>
      <c r="AV55" s="90"/>
      <c r="AW55" s="91">
        <f t="shared" si="60"/>
        <v>0</v>
      </c>
      <c r="AX55" s="94">
        <f t="shared" si="61"/>
        <v>0</v>
      </c>
      <c r="AY55" s="188"/>
      <c r="AZ55" s="90"/>
      <c r="BA55" s="90"/>
      <c r="BB55" s="92">
        <f t="shared" si="78"/>
        <v>0</v>
      </c>
      <c r="BC55" s="93">
        <f>AW55</f>
        <v>0</v>
      </c>
      <c r="BD55" s="188"/>
      <c r="BE55" s="188"/>
      <c r="BF55" s="188"/>
      <c r="BG55" s="91">
        <f t="shared" si="63"/>
        <v>0</v>
      </c>
      <c r="BH55" s="94">
        <f t="shared" si="64"/>
        <v>0</v>
      </c>
      <c r="BI55" s="188"/>
      <c r="BJ55" s="90"/>
      <c r="BK55" s="90"/>
      <c r="BL55" s="92">
        <f t="shared" si="79"/>
        <v>0</v>
      </c>
      <c r="BM55" s="89"/>
      <c r="BN55" s="188"/>
      <c r="BO55" s="94">
        <f t="shared" si="71"/>
        <v>0</v>
      </c>
      <c r="BP55" s="95">
        <f t="shared" si="72"/>
        <v>0</v>
      </c>
      <c r="BQ55" s="96"/>
      <c r="BR55" s="188"/>
      <c r="BS55" s="266">
        <f t="shared" si="68"/>
        <v>0</v>
      </c>
      <c r="BT55" s="299">
        <f>SUM(BO55:BR55)</f>
        <v>0</v>
      </c>
      <c r="BU55" s="189"/>
      <c r="BV55" s="85">
        <f t="shared" si="69"/>
        <v>0</v>
      </c>
      <c r="CB55" s="357"/>
    </row>
    <row r="56" spans="1:80" s="88" customFormat="1" ht="14.4" thickBot="1" x14ac:dyDescent="0.3">
      <c r="A56" s="1">
        <v>24</v>
      </c>
      <c r="B56" s="1"/>
      <c r="C56" s="272" t="s">
        <v>6</v>
      </c>
      <c r="D56" s="257">
        <v>1574</v>
      </c>
      <c r="E56" s="184"/>
      <c r="F56" s="188"/>
      <c r="G56" s="188"/>
      <c r="H56" s="188"/>
      <c r="I56" s="91">
        <f t="shared" si="45"/>
        <v>0</v>
      </c>
      <c r="J56" s="186"/>
      <c r="K56" s="188"/>
      <c r="L56" s="90"/>
      <c r="M56" s="90"/>
      <c r="N56" s="92">
        <f t="shared" si="46"/>
        <v>0</v>
      </c>
      <c r="O56" s="93">
        <f>I56</f>
        <v>0</v>
      </c>
      <c r="P56" s="90"/>
      <c r="Q56" s="90"/>
      <c r="R56" s="188"/>
      <c r="S56" s="91">
        <f t="shared" si="48"/>
        <v>0</v>
      </c>
      <c r="T56" s="94">
        <f t="shared" si="49"/>
        <v>0</v>
      </c>
      <c r="U56" s="188"/>
      <c r="V56" s="90"/>
      <c r="W56" s="90"/>
      <c r="X56" s="92">
        <f t="shared" si="50"/>
        <v>0</v>
      </c>
      <c r="Y56" s="93">
        <f t="shared" si="51"/>
        <v>0</v>
      </c>
      <c r="Z56" s="188"/>
      <c r="AA56" s="188"/>
      <c r="AB56" s="90"/>
      <c r="AC56" s="91">
        <f t="shared" si="52"/>
        <v>0</v>
      </c>
      <c r="AD56" s="94">
        <f t="shared" si="53"/>
        <v>0</v>
      </c>
      <c r="AE56" s="188"/>
      <c r="AF56" s="90"/>
      <c r="AG56" s="90"/>
      <c r="AH56" s="92">
        <f t="shared" si="54"/>
        <v>0</v>
      </c>
      <c r="AI56" s="93">
        <f>AC56</f>
        <v>0</v>
      </c>
      <c r="AJ56" s="188"/>
      <c r="AK56" s="188"/>
      <c r="AL56" s="90"/>
      <c r="AM56" s="91">
        <f t="shared" si="56"/>
        <v>0</v>
      </c>
      <c r="AN56" s="94">
        <f t="shared" si="57"/>
        <v>0</v>
      </c>
      <c r="AO56" s="188"/>
      <c r="AP56" s="90"/>
      <c r="AQ56" s="90"/>
      <c r="AR56" s="92">
        <f t="shared" si="77"/>
        <v>0</v>
      </c>
      <c r="AS56" s="93">
        <f>AM56</f>
        <v>0</v>
      </c>
      <c r="AT56" s="188"/>
      <c r="AU56" s="90"/>
      <c r="AV56" s="90"/>
      <c r="AW56" s="91">
        <f t="shared" si="60"/>
        <v>0</v>
      </c>
      <c r="AX56" s="94">
        <f t="shared" si="61"/>
        <v>0</v>
      </c>
      <c r="AY56" s="188"/>
      <c r="AZ56" s="90"/>
      <c r="BA56" s="90"/>
      <c r="BB56" s="92">
        <f t="shared" si="78"/>
        <v>0</v>
      </c>
      <c r="BC56" s="93">
        <f>AW56</f>
        <v>0</v>
      </c>
      <c r="BD56" s="188"/>
      <c r="BE56" s="188"/>
      <c r="BF56" s="188"/>
      <c r="BG56" s="91">
        <f t="shared" si="63"/>
        <v>0</v>
      </c>
      <c r="BH56" s="94">
        <f t="shared" si="64"/>
        <v>0</v>
      </c>
      <c r="BI56" s="188"/>
      <c r="BJ56" s="90"/>
      <c r="BK56" s="90"/>
      <c r="BL56" s="92">
        <f t="shared" si="79"/>
        <v>0</v>
      </c>
      <c r="BM56" s="89"/>
      <c r="BN56" s="90"/>
      <c r="BO56" s="94">
        <f t="shared" si="71"/>
        <v>0</v>
      </c>
      <c r="BP56" s="95">
        <f t="shared" si="72"/>
        <v>0</v>
      </c>
      <c r="BQ56" s="96"/>
      <c r="BR56" s="188"/>
      <c r="BS56" s="266">
        <f t="shared" si="68"/>
        <v>0</v>
      </c>
      <c r="BT56" s="299">
        <f>SUM(BO56:BR56)</f>
        <v>0</v>
      </c>
      <c r="BU56" s="189"/>
      <c r="BV56" s="85">
        <f t="shared" si="69"/>
        <v>0</v>
      </c>
      <c r="CB56" s="357"/>
    </row>
    <row r="57" spans="1:80" s="88" customFormat="1" ht="14.4" thickBot="1" x14ac:dyDescent="0.3">
      <c r="A57" s="1">
        <v>25</v>
      </c>
      <c r="B57" s="1"/>
      <c r="C57" s="256" t="s">
        <v>29</v>
      </c>
      <c r="D57" s="257">
        <v>1582</v>
      </c>
      <c r="E57" s="210">
        <v>77920</v>
      </c>
      <c r="F57" s="211">
        <v>6740</v>
      </c>
      <c r="G57" s="188"/>
      <c r="H57" s="188"/>
      <c r="I57" s="91">
        <f t="shared" si="45"/>
        <v>84660</v>
      </c>
      <c r="J57" s="228">
        <v>8627</v>
      </c>
      <c r="K57" s="188">
        <v>649</v>
      </c>
      <c r="L57" s="90"/>
      <c r="M57" s="90"/>
      <c r="N57" s="92">
        <f t="shared" si="46"/>
        <v>9276</v>
      </c>
      <c r="O57" s="93">
        <f>I57</f>
        <v>84660</v>
      </c>
      <c r="P57" s="90">
        <v>-13480</v>
      </c>
      <c r="Q57" s="90"/>
      <c r="R57" s="188"/>
      <c r="S57" s="91">
        <f t="shared" si="48"/>
        <v>71180</v>
      </c>
      <c r="T57" s="94">
        <f t="shared" si="49"/>
        <v>9276</v>
      </c>
      <c r="U57" s="248">
        <v>1290</v>
      </c>
      <c r="V57" s="90"/>
      <c r="W57" s="90"/>
      <c r="X57" s="92">
        <f t="shared" si="50"/>
        <v>10566</v>
      </c>
      <c r="Y57" s="93">
        <f t="shared" si="51"/>
        <v>71180</v>
      </c>
      <c r="Z57" s="188"/>
      <c r="AA57" s="188"/>
      <c r="AB57" s="90"/>
      <c r="AC57" s="91">
        <f t="shared" si="52"/>
        <v>71180</v>
      </c>
      <c r="AD57" s="94">
        <f t="shared" si="53"/>
        <v>10566</v>
      </c>
      <c r="AE57" s="188">
        <v>1049.22</v>
      </c>
      <c r="AF57" s="90"/>
      <c r="AG57" s="90"/>
      <c r="AH57" s="92">
        <f t="shared" si="54"/>
        <v>11615.22</v>
      </c>
      <c r="AI57" s="93">
        <f>AC57</f>
        <v>71180</v>
      </c>
      <c r="AJ57" s="90"/>
      <c r="AK57" s="90">
        <v>71180.350000000006</v>
      </c>
      <c r="AL57" s="90"/>
      <c r="AM57" s="91">
        <f t="shared" si="56"/>
        <v>-0.35000000000582077</v>
      </c>
      <c r="AN57" s="94">
        <f t="shared" si="57"/>
        <v>11615.22</v>
      </c>
      <c r="AO57" s="188">
        <v>346.87</v>
      </c>
      <c r="AP57" s="90">
        <v>11962.18</v>
      </c>
      <c r="AQ57" s="90"/>
      <c r="AR57" s="92">
        <f t="shared" si="77"/>
        <v>-9.0000000000145519E-2</v>
      </c>
      <c r="AS57" s="93">
        <f>AM57</f>
        <v>-0.35000000000582077</v>
      </c>
      <c r="AT57" s="188"/>
      <c r="AU57" s="90"/>
      <c r="AV57" s="90"/>
      <c r="AW57" s="91">
        <f t="shared" si="60"/>
        <v>-0.35000000000582077</v>
      </c>
      <c r="AX57" s="94">
        <f t="shared" si="61"/>
        <v>-9.0000000000145519E-2</v>
      </c>
      <c r="AY57" s="188"/>
      <c r="AZ57" s="90"/>
      <c r="BA57" s="90"/>
      <c r="BB57" s="92">
        <f t="shared" si="78"/>
        <v>-9.0000000000145519E-2</v>
      </c>
      <c r="BC57" s="93">
        <f>AW57</f>
        <v>-0.35000000000582077</v>
      </c>
      <c r="BD57" s="188"/>
      <c r="BE57" s="90"/>
      <c r="BF57" s="90"/>
      <c r="BG57" s="91">
        <f t="shared" si="63"/>
        <v>-0.35000000000582077</v>
      </c>
      <c r="BH57" s="94">
        <f t="shared" si="64"/>
        <v>-9.0000000000145519E-2</v>
      </c>
      <c r="BI57" s="188"/>
      <c r="BJ57" s="90"/>
      <c r="BK57" s="90"/>
      <c r="BL57" s="92">
        <f t="shared" si="79"/>
        <v>-9.0000000000145519E-2</v>
      </c>
      <c r="BM57" s="89"/>
      <c r="BN57" s="90"/>
      <c r="BO57" s="94">
        <f t="shared" si="71"/>
        <v>-0.35000000000582077</v>
      </c>
      <c r="BP57" s="95">
        <f t="shared" si="72"/>
        <v>-9.0000000000145519E-2</v>
      </c>
      <c r="BQ57" s="96"/>
      <c r="BR57" s="188"/>
      <c r="BS57" s="266">
        <f t="shared" si="68"/>
        <v>-9.0000000000145519E-2</v>
      </c>
      <c r="BT57" s="299">
        <f>SUM(BO57:BR57)</f>
        <v>-0.44000000000596629</v>
      </c>
      <c r="BU57" s="189"/>
      <c r="BV57" s="85">
        <f t="shared" si="69"/>
        <v>0.44000000000596629</v>
      </c>
      <c r="CB57" s="357"/>
    </row>
    <row r="58" spans="1:80" s="88" customFormat="1" ht="14.4" thickBot="1" x14ac:dyDescent="0.3">
      <c r="A58" s="1">
        <v>26</v>
      </c>
      <c r="B58" s="1"/>
      <c r="C58" s="272" t="s">
        <v>7</v>
      </c>
      <c r="D58" s="257">
        <v>2425</v>
      </c>
      <c r="E58" s="184">
        <v>-31681</v>
      </c>
      <c r="F58" s="188">
        <v>-4841</v>
      </c>
      <c r="G58" s="188"/>
      <c r="H58" s="188"/>
      <c r="I58" s="91">
        <f t="shared" si="45"/>
        <v>-36522</v>
      </c>
      <c r="J58" s="186">
        <v>-47</v>
      </c>
      <c r="K58" s="188">
        <v>-262</v>
      </c>
      <c r="L58" s="90"/>
      <c r="M58" s="90"/>
      <c r="N58" s="92">
        <f t="shared" si="46"/>
        <v>-309</v>
      </c>
      <c r="O58" s="93">
        <f>I58</f>
        <v>-36522</v>
      </c>
      <c r="P58" s="90">
        <v>-59531</v>
      </c>
      <c r="Q58" s="90"/>
      <c r="R58" s="188"/>
      <c r="S58" s="91">
        <f t="shared" si="48"/>
        <v>-96053</v>
      </c>
      <c r="T58" s="94">
        <f t="shared" si="49"/>
        <v>-309</v>
      </c>
      <c r="U58" s="188">
        <v>-537</v>
      </c>
      <c r="V58" s="90"/>
      <c r="W58" s="90"/>
      <c r="X58" s="92">
        <f t="shared" si="50"/>
        <v>-846</v>
      </c>
      <c r="Y58" s="93">
        <f t="shared" si="51"/>
        <v>-96053</v>
      </c>
      <c r="Z58" s="188">
        <v>-6520</v>
      </c>
      <c r="AA58" s="188"/>
      <c r="AB58" s="90"/>
      <c r="AC58" s="91">
        <f t="shared" si="52"/>
        <v>-102573</v>
      </c>
      <c r="AD58" s="94">
        <f t="shared" si="53"/>
        <v>-846</v>
      </c>
      <c r="AE58" s="188">
        <v>-540</v>
      </c>
      <c r="AF58" s="90"/>
      <c r="AG58" s="90"/>
      <c r="AH58" s="92">
        <f t="shared" si="54"/>
        <v>-1386</v>
      </c>
      <c r="AI58" s="93">
        <f>AC58</f>
        <v>-102573</v>
      </c>
      <c r="AJ58" s="90"/>
      <c r="AK58" s="90">
        <v>-102573</v>
      </c>
      <c r="AL58" s="90"/>
      <c r="AM58" s="91">
        <f t="shared" si="56"/>
        <v>0</v>
      </c>
      <c r="AN58" s="94">
        <f t="shared" si="57"/>
        <v>-1386</v>
      </c>
      <c r="AO58" s="188"/>
      <c r="AP58" s="90">
        <v>-1386</v>
      </c>
      <c r="AQ58" s="90"/>
      <c r="AR58" s="92">
        <f t="shared" si="77"/>
        <v>0</v>
      </c>
      <c r="AS58" s="93">
        <f>AM58</f>
        <v>0</v>
      </c>
      <c r="AT58" s="188"/>
      <c r="AU58" s="90"/>
      <c r="AV58" s="90"/>
      <c r="AW58" s="91">
        <f t="shared" si="60"/>
        <v>0</v>
      </c>
      <c r="AX58" s="94">
        <f t="shared" si="61"/>
        <v>0</v>
      </c>
      <c r="AY58" s="188"/>
      <c r="AZ58" s="90"/>
      <c r="BA58" s="90"/>
      <c r="BB58" s="92">
        <f t="shared" si="78"/>
        <v>0</v>
      </c>
      <c r="BC58" s="93">
        <f>AW58</f>
        <v>0</v>
      </c>
      <c r="BD58" s="188"/>
      <c r="BE58" s="90"/>
      <c r="BF58" s="90"/>
      <c r="BG58" s="91">
        <f t="shared" si="63"/>
        <v>0</v>
      </c>
      <c r="BH58" s="94">
        <f t="shared" si="64"/>
        <v>0</v>
      </c>
      <c r="BI58" s="188"/>
      <c r="BJ58" s="90"/>
      <c r="BK58" s="90"/>
      <c r="BL58" s="92">
        <f t="shared" si="79"/>
        <v>0</v>
      </c>
      <c r="BM58" s="89"/>
      <c r="BN58" s="90"/>
      <c r="BO58" s="94">
        <f t="shared" si="71"/>
        <v>0</v>
      </c>
      <c r="BP58" s="95">
        <f t="shared" si="72"/>
        <v>0</v>
      </c>
      <c r="BQ58" s="96"/>
      <c r="BR58" s="188"/>
      <c r="BS58" s="266">
        <f t="shared" si="68"/>
        <v>0</v>
      </c>
      <c r="BT58" s="299">
        <f>IF(CB58=TRUE, SUM(BO58:BR58), 0)</f>
        <v>0</v>
      </c>
      <c r="BU58" s="189"/>
      <c r="BV58" s="85">
        <f t="shared" si="69"/>
        <v>0</v>
      </c>
      <c r="CA58" s="69">
        <v>2425</v>
      </c>
      <c r="CB58" s="357" t="b">
        <v>1</v>
      </c>
    </row>
    <row r="59" spans="1:80" s="88" customFormat="1" ht="13.8" x14ac:dyDescent="0.25">
      <c r="A59" s="1"/>
      <c r="B59" s="1"/>
      <c r="C59" s="272"/>
      <c r="D59" s="15"/>
      <c r="E59" s="111"/>
      <c r="F59" s="91"/>
      <c r="G59" s="91"/>
      <c r="H59" s="91"/>
      <c r="I59" s="91"/>
      <c r="J59" s="91"/>
      <c r="K59" s="91"/>
      <c r="L59" s="91"/>
      <c r="M59" s="91"/>
      <c r="N59" s="92"/>
      <c r="O59" s="98"/>
      <c r="P59" s="91"/>
      <c r="Q59" s="91"/>
      <c r="R59" s="91"/>
      <c r="S59" s="91"/>
      <c r="T59" s="91"/>
      <c r="U59" s="91"/>
      <c r="V59" s="91"/>
      <c r="W59" s="91"/>
      <c r="X59" s="92"/>
      <c r="Y59" s="98"/>
      <c r="Z59" s="91"/>
      <c r="AA59" s="91"/>
      <c r="AB59" s="91"/>
      <c r="AC59" s="91"/>
      <c r="AD59" s="91"/>
      <c r="AE59" s="91"/>
      <c r="AF59" s="91"/>
      <c r="AG59" s="91"/>
      <c r="AH59" s="92"/>
      <c r="AI59" s="98"/>
      <c r="AJ59" s="91"/>
      <c r="AK59" s="91"/>
      <c r="AL59" s="91"/>
      <c r="AM59" s="91"/>
      <c r="AN59" s="91"/>
      <c r="AO59" s="91"/>
      <c r="AP59" s="91"/>
      <c r="AQ59" s="91"/>
      <c r="AR59" s="92"/>
      <c r="AS59" s="98"/>
      <c r="AT59" s="91"/>
      <c r="AU59" s="91"/>
      <c r="AV59" s="91"/>
      <c r="AW59" s="91"/>
      <c r="AX59" s="91"/>
      <c r="AY59" s="91"/>
      <c r="AZ59" s="91"/>
      <c r="BA59" s="91"/>
      <c r="BB59" s="92"/>
      <c r="BC59" s="98"/>
      <c r="BD59" s="91"/>
      <c r="BE59" s="91"/>
      <c r="BF59" s="91"/>
      <c r="BG59" s="91"/>
      <c r="BH59" s="91"/>
      <c r="BI59" s="91"/>
      <c r="BJ59" s="91"/>
      <c r="BK59" s="91"/>
      <c r="BL59" s="92"/>
      <c r="BM59" s="98"/>
      <c r="BN59" s="91"/>
      <c r="BO59" s="91"/>
      <c r="BP59" s="92"/>
      <c r="BQ59" s="84"/>
      <c r="BR59" s="84"/>
      <c r="BS59" s="292"/>
      <c r="BT59" s="299"/>
      <c r="BU59" s="86"/>
      <c r="BV59" s="85"/>
      <c r="CB59" s="357"/>
    </row>
    <row r="60" spans="1:80" s="330" customFormat="1" ht="13.8" x14ac:dyDescent="0.25">
      <c r="A60" s="4"/>
      <c r="B60" s="4"/>
      <c r="C60" s="282" t="s">
        <v>15</v>
      </c>
      <c r="D60" s="15"/>
      <c r="E60" s="111"/>
      <c r="F60" s="91">
        <f t="shared" ref="F60:AK60" si="82">SUM(F47:F58)</f>
        <v>149132</v>
      </c>
      <c r="G60" s="91">
        <f t="shared" si="82"/>
        <v>0</v>
      </c>
      <c r="H60" s="91">
        <f t="shared" si="82"/>
        <v>0</v>
      </c>
      <c r="I60" s="91">
        <f t="shared" si="82"/>
        <v>248837</v>
      </c>
      <c r="J60" s="91">
        <f t="shared" si="82"/>
        <v>17550</v>
      </c>
      <c r="K60" s="91">
        <f t="shared" si="82"/>
        <v>1311</v>
      </c>
      <c r="L60" s="91">
        <f t="shared" si="82"/>
        <v>0</v>
      </c>
      <c r="M60" s="91">
        <f t="shared" si="82"/>
        <v>0</v>
      </c>
      <c r="N60" s="92">
        <f t="shared" si="82"/>
        <v>18861</v>
      </c>
      <c r="O60" s="98">
        <f t="shared" si="82"/>
        <v>248837</v>
      </c>
      <c r="P60" s="91">
        <f t="shared" si="82"/>
        <v>129398</v>
      </c>
      <c r="Q60" s="91">
        <f t="shared" si="82"/>
        <v>0</v>
      </c>
      <c r="R60" s="91">
        <f t="shared" si="82"/>
        <v>0</v>
      </c>
      <c r="S60" s="91">
        <f t="shared" si="82"/>
        <v>378235</v>
      </c>
      <c r="T60" s="91">
        <f t="shared" si="82"/>
        <v>18861</v>
      </c>
      <c r="U60" s="91">
        <f t="shared" si="82"/>
        <v>5289</v>
      </c>
      <c r="V60" s="91">
        <f t="shared" si="82"/>
        <v>0</v>
      </c>
      <c r="W60" s="91">
        <f t="shared" si="82"/>
        <v>0</v>
      </c>
      <c r="X60" s="92">
        <f t="shared" si="82"/>
        <v>24150</v>
      </c>
      <c r="Y60" s="98">
        <f t="shared" si="82"/>
        <v>378235</v>
      </c>
      <c r="Z60" s="91">
        <f t="shared" si="82"/>
        <v>54222</v>
      </c>
      <c r="AA60" s="91">
        <f t="shared" si="82"/>
        <v>0</v>
      </c>
      <c r="AB60" s="91">
        <f t="shared" si="82"/>
        <v>0</v>
      </c>
      <c r="AC60" s="91">
        <f t="shared" si="82"/>
        <v>432457</v>
      </c>
      <c r="AD60" s="91">
        <f t="shared" si="82"/>
        <v>24150</v>
      </c>
      <c r="AE60" s="91">
        <f t="shared" si="82"/>
        <v>6778.22</v>
      </c>
      <c r="AF60" s="91">
        <f t="shared" si="82"/>
        <v>0</v>
      </c>
      <c r="AG60" s="91">
        <f t="shared" si="82"/>
        <v>0</v>
      </c>
      <c r="AH60" s="92">
        <f t="shared" si="82"/>
        <v>30928.22</v>
      </c>
      <c r="AI60" s="98">
        <f t="shared" si="82"/>
        <v>432457</v>
      </c>
      <c r="AJ60" s="91">
        <f t="shared" si="82"/>
        <v>-160087</v>
      </c>
      <c r="AK60" s="91">
        <f t="shared" si="82"/>
        <v>82249.350000000006</v>
      </c>
      <c r="AL60" s="91">
        <f t="shared" ref="AL60:BU60" si="83">SUM(AL47:AL58)</f>
        <v>0</v>
      </c>
      <c r="AM60" s="91">
        <f t="shared" si="83"/>
        <v>190120.65</v>
      </c>
      <c r="AN60" s="91">
        <f t="shared" si="83"/>
        <v>30928.22</v>
      </c>
      <c r="AO60" s="91">
        <f t="shared" si="83"/>
        <v>5696.87</v>
      </c>
      <c r="AP60" s="91">
        <f t="shared" si="83"/>
        <v>23975.18</v>
      </c>
      <c r="AQ60" s="91">
        <f t="shared" si="83"/>
        <v>0</v>
      </c>
      <c r="AR60" s="92">
        <f t="shared" si="83"/>
        <v>12649.91</v>
      </c>
      <c r="AS60" s="98">
        <f t="shared" si="83"/>
        <v>190120.65</v>
      </c>
      <c r="AT60" s="91">
        <f t="shared" si="83"/>
        <v>-114405</v>
      </c>
      <c r="AU60" s="91">
        <f t="shared" si="83"/>
        <v>0</v>
      </c>
      <c r="AV60" s="91">
        <f t="shared" si="83"/>
        <v>0</v>
      </c>
      <c r="AW60" s="91">
        <f t="shared" si="83"/>
        <v>75715.649999999994</v>
      </c>
      <c r="AX60" s="91">
        <f t="shared" si="83"/>
        <v>12649.91</v>
      </c>
      <c r="AY60" s="91">
        <f t="shared" si="83"/>
        <v>1382</v>
      </c>
      <c r="AZ60" s="91">
        <f t="shared" si="83"/>
        <v>0</v>
      </c>
      <c r="BA60" s="91">
        <f t="shared" si="83"/>
        <v>0</v>
      </c>
      <c r="BB60" s="92">
        <f t="shared" si="83"/>
        <v>14031.91</v>
      </c>
      <c r="BC60" s="98">
        <f t="shared" si="83"/>
        <v>75715.649999999994</v>
      </c>
      <c r="BD60" s="91">
        <f t="shared" si="83"/>
        <v>10957.07</v>
      </c>
      <c r="BE60" s="91">
        <f t="shared" si="83"/>
        <v>0</v>
      </c>
      <c r="BF60" s="91">
        <f t="shared" si="83"/>
        <v>0</v>
      </c>
      <c r="BG60" s="91">
        <f t="shared" si="83"/>
        <v>86672.72</v>
      </c>
      <c r="BH60" s="91">
        <f t="shared" si="83"/>
        <v>14031.91</v>
      </c>
      <c r="BI60" s="91">
        <f t="shared" si="83"/>
        <v>931</v>
      </c>
      <c r="BJ60" s="91">
        <f t="shared" si="83"/>
        <v>0</v>
      </c>
      <c r="BK60" s="91">
        <f t="shared" si="83"/>
        <v>0</v>
      </c>
      <c r="BL60" s="92">
        <f t="shared" si="83"/>
        <v>14962.91</v>
      </c>
      <c r="BM60" s="98">
        <f t="shared" si="83"/>
        <v>0</v>
      </c>
      <c r="BN60" s="91">
        <f t="shared" si="83"/>
        <v>0</v>
      </c>
      <c r="BO60" s="91">
        <f t="shared" si="83"/>
        <v>86672.72</v>
      </c>
      <c r="BP60" s="92">
        <f t="shared" si="83"/>
        <v>14962.91</v>
      </c>
      <c r="BQ60" s="91">
        <f t="shared" si="83"/>
        <v>276</v>
      </c>
      <c r="BR60" s="91">
        <f t="shared" si="83"/>
        <v>0</v>
      </c>
      <c r="BS60" s="91">
        <f t="shared" si="83"/>
        <v>15238.91</v>
      </c>
      <c r="BT60" s="68">
        <f t="shared" si="83"/>
        <v>101911.63</v>
      </c>
      <c r="BU60" s="99">
        <f t="shared" si="83"/>
        <v>101635.04999999996</v>
      </c>
      <c r="BV60" s="329">
        <f t="shared" ref="BV60" si="84">BU60-SUM(BG60,BL60)</f>
        <v>-0.58000000004540198</v>
      </c>
      <c r="CB60" s="359"/>
    </row>
    <row r="61" spans="1:80" s="88" customFormat="1" ht="14.4" thickBot="1" x14ac:dyDescent="0.3">
      <c r="A61" s="1"/>
      <c r="B61" s="1"/>
      <c r="C61" s="272"/>
      <c r="D61" s="15"/>
      <c r="E61" s="111"/>
      <c r="F61" s="91"/>
      <c r="G61" s="91"/>
      <c r="H61" s="91"/>
      <c r="I61" s="91"/>
      <c r="J61" s="91"/>
      <c r="K61" s="91"/>
      <c r="L61" s="91"/>
      <c r="M61" s="91"/>
      <c r="N61" s="92"/>
      <c r="O61" s="98"/>
      <c r="P61" s="91"/>
      <c r="Q61" s="91"/>
      <c r="R61" s="91"/>
      <c r="S61" s="91"/>
      <c r="T61" s="91"/>
      <c r="U61" s="91"/>
      <c r="V61" s="91"/>
      <c r="W61" s="91"/>
      <c r="X61" s="92"/>
      <c r="Y61" s="98"/>
      <c r="Z61" s="91"/>
      <c r="AA61" s="91"/>
      <c r="AB61" s="91"/>
      <c r="AC61" s="91"/>
      <c r="AD61" s="91"/>
      <c r="AE61" s="91"/>
      <c r="AF61" s="91"/>
      <c r="AG61" s="91"/>
      <c r="AH61" s="92"/>
      <c r="AI61" s="98"/>
      <c r="AJ61" s="91"/>
      <c r="AK61" s="91"/>
      <c r="AL61" s="91"/>
      <c r="AM61" s="91"/>
      <c r="AN61" s="91"/>
      <c r="AO61" s="91"/>
      <c r="AP61" s="91"/>
      <c r="AQ61" s="91"/>
      <c r="AR61" s="92"/>
      <c r="AS61" s="98"/>
      <c r="AT61" s="91"/>
      <c r="AU61" s="91"/>
      <c r="AV61" s="91"/>
      <c r="AW61" s="91"/>
      <c r="AX61" s="91"/>
      <c r="AY61" s="91"/>
      <c r="AZ61" s="91"/>
      <c r="BA61" s="91"/>
      <c r="BB61" s="92"/>
      <c r="BC61" s="98"/>
      <c r="BD61" s="91"/>
      <c r="BE61" s="91"/>
      <c r="BF61" s="91"/>
      <c r="BG61" s="91"/>
      <c r="BH61" s="91"/>
      <c r="BI61" s="91"/>
      <c r="BJ61" s="91"/>
      <c r="BK61" s="91"/>
      <c r="BL61" s="92"/>
      <c r="BM61" s="98"/>
      <c r="BN61" s="91"/>
      <c r="BO61" s="91"/>
      <c r="BP61" s="92"/>
      <c r="BQ61" s="84"/>
      <c r="BR61" s="84"/>
      <c r="BS61" s="292"/>
      <c r="BT61" s="299"/>
      <c r="BU61" s="86"/>
      <c r="BV61" s="85"/>
      <c r="CB61" s="357"/>
    </row>
    <row r="62" spans="1:80" s="88" customFormat="1" ht="28.2" thickBot="1" x14ac:dyDescent="0.3">
      <c r="A62" s="1">
        <v>27</v>
      </c>
      <c r="B62" s="1"/>
      <c r="C62" s="283" t="s">
        <v>36</v>
      </c>
      <c r="D62" s="284">
        <v>1592</v>
      </c>
      <c r="E62" s="212"/>
      <c r="F62" s="90"/>
      <c r="G62" s="90"/>
      <c r="H62" s="90"/>
      <c r="I62" s="91">
        <f>E62+F62-G62+H62</f>
        <v>0</v>
      </c>
      <c r="J62" s="222"/>
      <c r="K62" s="223"/>
      <c r="L62" s="90"/>
      <c r="M62" s="90"/>
      <c r="N62" s="92">
        <f>J62+K62-L62+M62</f>
        <v>0</v>
      </c>
      <c r="O62" s="93">
        <f>I62</f>
        <v>0</v>
      </c>
      <c r="P62" s="90"/>
      <c r="Q62" s="90"/>
      <c r="R62" s="90"/>
      <c r="S62" s="91">
        <f>O62+P62-Q62+SUM(R62:R62)</f>
        <v>0</v>
      </c>
      <c r="T62" s="94">
        <f>N62</f>
        <v>0</v>
      </c>
      <c r="U62" s="245"/>
      <c r="V62" s="90"/>
      <c r="W62" s="90"/>
      <c r="X62" s="92">
        <f>T62+U62-V62+W62</f>
        <v>0</v>
      </c>
      <c r="Y62" s="93">
        <f>S62</f>
        <v>0</v>
      </c>
      <c r="Z62" s="188"/>
      <c r="AA62" s="188"/>
      <c r="AB62" s="188"/>
      <c r="AC62" s="91">
        <f>Y62+Z62-AA62+SUM(AB62:AB62)</f>
        <v>0</v>
      </c>
      <c r="AD62" s="94">
        <f>X62</f>
        <v>0</v>
      </c>
      <c r="AE62" s="188"/>
      <c r="AF62" s="188"/>
      <c r="AG62" s="90"/>
      <c r="AH62" s="92">
        <f>AD62+AE62-AF62+AG62</f>
        <v>0</v>
      </c>
      <c r="AI62" s="93">
        <f>AC62</f>
        <v>0</v>
      </c>
      <c r="AJ62" s="90"/>
      <c r="AK62" s="90"/>
      <c r="AL62" s="90"/>
      <c r="AM62" s="91">
        <f>AI62+AJ62-AK62+SUM(AL62:AL62)</f>
        <v>0</v>
      </c>
      <c r="AN62" s="94">
        <f>AH62</f>
        <v>0</v>
      </c>
      <c r="AO62" s="90"/>
      <c r="AP62" s="90"/>
      <c r="AQ62" s="90"/>
      <c r="AR62" s="92">
        <f>AN62+AO62-AP62+AQ62</f>
        <v>0</v>
      </c>
      <c r="AS62" s="93">
        <f>AM62</f>
        <v>0</v>
      </c>
      <c r="AT62" s="90"/>
      <c r="AU62" s="90"/>
      <c r="AV62" s="90"/>
      <c r="AW62" s="91">
        <f>AS62+AT62-AU62+SUM(AV62:AV62)</f>
        <v>0</v>
      </c>
      <c r="AX62" s="94">
        <f>AR62</f>
        <v>0</v>
      </c>
      <c r="AY62" s="90"/>
      <c r="AZ62" s="90"/>
      <c r="BA62" s="90"/>
      <c r="BB62" s="92">
        <f>AX62+AY62-AZ62+BA62</f>
        <v>0</v>
      </c>
      <c r="BC62" s="93">
        <f>AW62</f>
        <v>0</v>
      </c>
      <c r="BD62" s="188"/>
      <c r="BE62" s="90"/>
      <c r="BF62" s="90"/>
      <c r="BG62" s="91">
        <f>BC62+BD62-BE62+SUM(BF62:BF62)</f>
        <v>0</v>
      </c>
      <c r="BH62" s="94">
        <f>BB62</f>
        <v>0</v>
      </c>
      <c r="BI62" s="90"/>
      <c r="BJ62" s="90"/>
      <c r="BK62" s="90"/>
      <c r="BL62" s="92">
        <f>BH62+BI62-BJ62+BK62</f>
        <v>0</v>
      </c>
      <c r="BM62" s="89"/>
      <c r="BN62" s="90"/>
      <c r="BO62" s="94">
        <f t="shared" ref="BO62" si="85">BG62-BM62</f>
        <v>0</v>
      </c>
      <c r="BP62" s="95">
        <f t="shared" ref="BP62" si="86">BL62-BN62</f>
        <v>0</v>
      </c>
      <c r="BQ62" s="96"/>
      <c r="BR62" s="90"/>
      <c r="BS62" s="266">
        <f t="shared" ref="BS62:BS63" si="87">BP62+BQ62+BR62</f>
        <v>0</v>
      </c>
      <c r="BT62" s="299">
        <f t="shared" si="29"/>
        <v>0</v>
      </c>
      <c r="BU62" s="97"/>
      <c r="BV62" s="85">
        <f t="shared" ref="BV62:BV63" si="88">BU62-SUM(BG62,BL62)</f>
        <v>0</v>
      </c>
      <c r="CB62" s="357"/>
    </row>
    <row r="63" spans="1:80" s="88" customFormat="1" ht="28.2" thickBot="1" x14ac:dyDescent="0.3">
      <c r="A63" s="1">
        <v>28</v>
      </c>
      <c r="B63" s="1"/>
      <c r="C63" s="283" t="s">
        <v>320</v>
      </c>
      <c r="D63" s="284">
        <v>1592</v>
      </c>
      <c r="E63" s="110"/>
      <c r="F63" s="90">
        <v>-14870</v>
      </c>
      <c r="G63" s="90"/>
      <c r="H63" s="90"/>
      <c r="I63" s="91">
        <f>E63+F63-G63+H63</f>
        <v>-14870</v>
      </c>
      <c r="J63" s="102"/>
      <c r="K63" s="102"/>
      <c r="L63" s="102"/>
      <c r="M63" s="102"/>
      <c r="N63" s="92">
        <f>J63+K63-L63+M63</f>
        <v>0</v>
      </c>
      <c r="O63" s="93">
        <f>I63</f>
        <v>-14870</v>
      </c>
      <c r="P63" s="237">
        <v>-33762</v>
      </c>
      <c r="Q63" s="90"/>
      <c r="R63" s="90"/>
      <c r="S63" s="91">
        <f>O63+P63-Q63+SUM(R63:R63)</f>
        <v>-48632</v>
      </c>
      <c r="T63" s="94">
        <f>N63</f>
        <v>0</v>
      </c>
      <c r="U63" s="90"/>
      <c r="V63" s="90"/>
      <c r="W63" s="90"/>
      <c r="X63" s="92">
        <f>T63+U63-V63+W63</f>
        <v>0</v>
      </c>
      <c r="Y63" s="93">
        <f>S63</f>
        <v>-48632</v>
      </c>
      <c r="Z63" s="188"/>
      <c r="AA63" s="188"/>
      <c r="AB63" s="188"/>
      <c r="AC63" s="91">
        <f>Y63+Z63-AA63+SUM(AB63:AB63)</f>
        <v>-48632</v>
      </c>
      <c r="AD63" s="94">
        <f>X63</f>
        <v>0</v>
      </c>
      <c r="AE63" s="90"/>
      <c r="AF63" s="90"/>
      <c r="AG63" s="90"/>
      <c r="AH63" s="92">
        <f>AD63+AE63-AF63+AG63</f>
        <v>0</v>
      </c>
      <c r="AI63" s="93">
        <f>AC63</f>
        <v>-48632</v>
      </c>
      <c r="AJ63" s="90"/>
      <c r="AK63" s="90"/>
      <c r="AL63" s="90">
        <v>72700</v>
      </c>
      <c r="AM63" s="91">
        <f>AI63+AJ63-AK63+SUM(AL63:AL63)</f>
        <v>24068</v>
      </c>
      <c r="AN63" s="94">
        <f>AH63</f>
        <v>0</v>
      </c>
      <c r="AO63" s="90"/>
      <c r="AP63" s="90"/>
      <c r="AQ63" s="90"/>
      <c r="AR63" s="92">
        <f>AN63+AO63-AP63+AQ63</f>
        <v>0</v>
      </c>
      <c r="AS63" s="93">
        <f>AM63</f>
        <v>24068</v>
      </c>
      <c r="AT63" s="90">
        <v>-22391</v>
      </c>
      <c r="AU63" s="90"/>
      <c r="AV63" s="90"/>
      <c r="AW63" s="91">
        <f>AS63+AT63-AU63+SUM(AV63:AV63)</f>
        <v>1677</v>
      </c>
      <c r="AX63" s="94">
        <f>AR63</f>
        <v>0</v>
      </c>
      <c r="AY63" s="90"/>
      <c r="AZ63" s="90"/>
      <c r="BA63" s="90"/>
      <c r="BB63" s="92">
        <f>AX63+AY63-AZ63+BA63</f>
        <v>0</v>
      </c>
      <c r="BC63" s="93">
        <f>AW63</f>
        <v>1677</v>
      </c>
      <c r="BD63" s="188">
        <v>-64</v>
      </c>
      <c r="BE63" s="90"/>
      <c r="BF63" s="90"/>
      <c r="BG63" s="91">
        <f>BC63+BD63-BE63+SUM(BF63:BF63)</f>
        <v>1613</v>
      </c>
      <c r="BH63" s="94">
        <f>BB63</f>
        <v>0</v>
      </c>
      <c r="BI63" s="90"/>
      <c r="BJ63" s="90"/>
      <c r="BK63" s="90"/>
      <c r="BL63" s="92">
        <f>BH63+BI63-BJ63+BK63</f>
        <v>0</v>
      </c>
      <c r="BM63" s="89"/>
      <c r="BN63" s="90"/>
      <c r="BO63" s="94">
        <f t="shared" ref="BO63" si="89">BG63-BM63</f>
        <v>1613</v>
      </c>
      <c r="BP63" s="95">
        <f t="shared" ref="BP63" si="90">BL63-BN63</f>
        <v>0</v>
      </c>
      <c r="BQ63" s="96"/>
      <c r="BR63" s="188"/>
      <c r="BS63" s="266">
        <f t="shared" si="87"/>
        <v>0</v>
      </c>
      <c r="BT63" s="299">
        <f t="shared" si="29"/>
        <v>1613</v>
      </c>
      <c r="BU63" s="189">
        <v>1613.23</v>
      </c>
      <c r="BV63" s="85">
        <f t="shared" si="88"/>
        <v>0.23000000000001819</v>
      </c>
      <c r="CB63" s="357"/>
    </row>
    <row r="64" spans="1:80" s="88" customFormat="1" ht="14.4" thickBot="1" x14ac:dyDescent="0.3">
      <c r="A64" s="1"/>
      <c r="B64" s="1"/>
      <c r="C64" s="272"/>
      <c r="D64" s="15"/>
      <c r="E64" s="111"/>
      <c r="F64" s="91"/>
      <c r="G64" s="91"/>
      <c r="H64" s="91"/>
      <c r="I64" s="91"/>
      <c r="J64" s="91"/>
      <c r="K64" s="91"/>
      <c r="L64" s="91"/>
      <c r="M64" s="91"/>
      <c r="N64" s="92"/>
      <c r="O64" s="98"/>
      <c r="P64" s="91"/>
      <c r="Q64" s="91"/>
      <c r="R64" s="91"/>
      <c r="S64" s="91"/>
      <c r="T64" s="91"/>
      <c r="U64" s="91"/>
      <c r="V64" s="91"/>
      <c r="W64" s="91"/>
      <c r="X64" s="92"/>
      <c r="Y64" s="98"/>
      <c r="Z64" s="91"/>
      <c r="AA64" s="91"/>
      <c r="AB64" s="91"/>
      <c r="AC64" s="91"/>
      <c r="AD64" s="91"/>
      <c r="AE64" s="91"/>
      <c r="AF64" s="91"/>
      <c r="AG64" s="91"/>
      <c r="AH64" s="92"/>
      <c r="AI64" s="98"/>
      <c r="AJ64" s="91"/>
      <c r="AK64" s="91"/>
      <c r="AL64" s="91"/>
      <c r="AM64" s="91"/>
      <c r="AN64" s="91"/>
      <c r="AO64" s="91"/>
      <c r="AP64" s="91"/>
      <c r="AQ64" s="91"/>
      <c r="AR64" s="92"/>
      <c r="AS64" s="98"/>
      <c r="AT64" s="91"/>
      <c r="AU64" s="91"/>
      <c r="AV64" s="91"/>
      <c r="AW64" s="91"/>
      <c r="AX64" s="91"/>
      <c r="AY64" s="91"/>
      <c r="AZ64" s="91"/>
      <c r="BA64" s="91"/>
      <c r="BB64" s="92"/>
      <c r="BC64" s="98"/>
      <c r="BD64" s="91"/>
      <c r="BE64" s="91"/>
      <c r="BF64" s="91"/>
      <c r="BG64" s="91"/>
      <c r="BH64" s="91"/>
      <c r="BI64" s="91"/>
      <c r="BJ64" s="91"/>
      <c r="BK64" s="91"/>
      <c r="BL64" s="92"/>
      <c r="BM64" s="98"/>
      <c r="BN64" s="91"/>
      <c r="BO64" s="91"/>
      <c r="BP64" s="92"/>
      <c r="BQ64" s="84"/>
      <c r="BR64" s="84"/>
      <c r="BS64" s="292"/>
      <c r="BT64" s="299"/>
      <c r="BU64" s="86"/>
      <c r="BV64" s="85"/>
      <c r="CB64" s="357"/>
    </row>
    <row r="65" spans="1:80" s="330" customFormat="1" ht="14.4" thickBot="1" x14ac:dyDescent="0.3">
      <c r="A65" s="4"/>
      <c r="B65" s="4"/>
      <c r="C65" s="282" t="s">
        <v>318</v>
      </c>
      <c r="D65" s="15"/>
      <c r="E65" s="111">
        <f t="shared" ref="E65:AJ65" si="91">SUM(E62:E63,E60, E42)</f>
        <v>540585</v>
      </c>
      <c r="F65" s="91">
        <f t="shared" si="91"/>
        <v>-601196</v>
      </c>
      <c r="G65" s="91">
        <f t="shared" si="91"/>
        <v>632064</v>
      </c>
      <c r="H65" s="91">
        <f t="shared" si="91"/>
        <v>0</v>
      </c>
      <c r="I65" s="91">
        <f t="shared" si="91"/>
        <v>-592970</v>
      </c>
      <c r="J65" s="91">
        <f t="shared" si="91"/>
        <v>51979</v>
      </c>
      <c r="K65" s="91">
        <f t="shared" si="91"/>
        <v>10820</v>
      </c>
      <c r="L65" s="91">
        <f t="shared" si="91"/>
        <v>44655</v>
      </c>
      <c r="M65" s="91">
        <f t="shared" si="91"/>
        <v>0</v>
      </c>
      <c r="N65" s="91">
        <f t="shared" si="91"/>
        <v>18144</v>
      </c>
      <c r="O65" s="93">
        <f t="shared" si="91"/>
        <v>-592970</v>
      </c>
      <c r="P65" s="91">
        <f t="shared" si="91"/>
        <v>-175728</v>
      </c>
      <c r="Q65" s="91">
        <f t="shared" si="91"/>
        <v>-134698</v>
      </c>
      <c r="R65" s="91">
        <f t="shared" si="91"/>
        <v>0</v>
      </c>
      <c r="S65" s="91">
        <f t="shared" si="91"/>
        <v>-634000</v>
      </c>
      <c r="T65" s="91">
        <f t="shared" si="91"/>
        <v>18144</v>
      </c>
      <c r="U65" s="91">
        <f t="shared" si="91"/>
        <v>-6813</v>
      </c>
      <c r="V65" s="91">
        <f t="shared" si="91"/>
        <v>-574</v>
      </c>
      <c r="W65" s="91">
        <f t="shared" si="91"/>
        <v>-136889</v>
      </c>
      <c r="X65" s="91">
        <f t="shared" si="91"/>
        <v>-124984</v>
      </c>
      <c r="Y65" s="93">
        <f t="shared" si="91"/>
        <v>-634000</v>
      </c>
      <c r="Z65" s="91">
        <f t="shared" si="91"/>
        <v>-138988</v>
      </c>
      <c r="AA65" s="91">
        <f t="shared" si="91"/>
        <v>-692239</v>
      </c>
      <c r="AB65" s="91">
        <f t="shared" si="91"/>
        <v>0</v>
      </c>
      <c r="AC65" s="91">
        <f t="shared" si="91"/>
        <v>-80749</v>
      </c>
      <c r="AD65" s="91">
        <f t="shared" si="91"/>
        <v>-124984</v>
      </c>
      <c r="AE65" s="91">
        <f t="shared" si="91"/>
        <v>75744.22</v>
      </c>
      <c r="AF65" s="91">
        <f t="shared" si="91"/>
        <v>-23330</v>
      </c>
      <c r="AG65" s="91">
        <f t="shared" si="91"/>
        <v>0</v>
      </c>
      <c r="AH65" s="91">
        <f t="shared" si="91"/>
        <v>-25909.78</v>
      </c>
      <c r="AI65" s="93">
        <f t="shared" si="91"/>
        <v>-80749</v>
      </c>
      <c r="AJ65" s="91">
        <f t="shared" si="91"/>
        <v>1270908</v>
      </c>
      <c r="AK65" s="91">
        <f t="shared" ref="AK65:BU65" si="92">SUM(AK62:AK63,AK60, AK42)</f>
        <v>59745.350000000006</v>
      </c>
      <c r="AL65" s="91">
        <f t="shared" si="92"/>
        <v>72700</v>
      </c>
      <c r="AM65" s="91">
        <f t="shared" si="92"/>
        <v>1203113.6499999999</v>
      </c>
      <c r="AN65" s="91">
        <f t="shared" si="92"/>
        <v>-25909.78</v>
      </c>
      <c r="AO65" s="91">
        <f t="shared" si="92"/>
        <v>-100444.13</v>
      </c>
      <c r="AP65" s="91">
        <f t="shared" si="92"/>
        <v>631.18000000000029</v>
      </c>
      <c r="AQ65" s="91">
        <f t="shared" si="92"/>
        <v>0</v>
      </c>
      <c r="AR65" s="91">
        <f t="shared" si="92"/>
        <v>-126985.09</v>
      </c>
      <c r="AS65" s="93">
        <f t="shared" si="92"/>
        <v>1203113.6499999999</v>
      </c>
      <c r="AT65" s="91">
        <f t="shared" si="92"/>
        <v>814728</v>
      </c>
      <c r="AU65" s="91">
        <f t="shared" si="92"/>
        <v>0</v>
      </c>
      <c r="AV65" s="91">
        <f t="shared" si="92"/>
        <v>0</v>
      </c>
      <c r="AW65" s="91">
        <f t="shared" si="92"/>
        <v>2017841.65</v>
      </c>
      <c r="AX65" s="91">
        <f t="shared" si="92"/>
        <v>-126985.09</v>
      </c>
      <c r="AY65" s="91">
        <f t="shared" si="92"/>
        <v>97733</v>
      </c>
      <c r="AZ65" s="91">
        <f t="shared" si="92"/>
        <v>0</v>
      </c>
      <c r="BA65" s="91">
        <f t="shared" si="92"/>
        <v>0</v>
      </c>
      <c r="BB65" s="91">
        <f t="shared" si="92"/>
        <v>-29252.09</v>
      </c>
      <c r="BC65" s="93">
        <f t="shared" si="92"/>
        <v>2017841.65</v>
      </c>
      <c r="BD65" s="91">
        <f t="shared" si="92"/>
        <v>-1198286.93</v>
      </c>
      <c r="BE65" s="91">
        <f t="shared" si="92"/>
        <v>0</v>
      </c>
      <c r="BF65" s="91">
        <f t="shared" si="92"/>
        <v>152548</v>
      </c>
      <c r="BG65" s="91">
        <f t="shared" si="92"/>
        <v>972102.72</v>
      </c>
      <c r="BH65" s="91">
        <f t="shared" si="92"/>
        <v>-29252.09</v>
      </c>
      <c r="BI65" s="91">
        <f t="shared" si="92"/>
        <v>15891</v>
      </c>
      <c r="BJ65" s="91">
        <f t="shared" si="92"/>
        <v>1</v>
      </c>
      <c r="BK65" s="91">
        <f t="shared" si="92"/>
        <v>0</v>
      </c>
      <c r="BL65" s="91">
        <f t="shared" si="92"/>
        <v>-13362.09</v>
      </c>
      <c r="BM65" s="93">
        <f t="shared" si="92"/>
        <v>1940449</v>
      </c>
      <c r="BN65" s="91">
        <f t="shared" si="92"/>
        <v>-1337380</v>
      </c>
      <c r="BO65" s="91">
        <f t="shared" si="92"/>
        <v>-968346.28</v>
      </c>
      <c r="BP65" s="91">
        <f t="shared" si="92"/>
        <v>1324017.9099999999</v>
      </c>
      <c r="BQ65" s="93">
        <f t="shared" si="92"/>
        <v>-11346.952000000001</v>
      </c>
      <c r="BR65" s="91">
        <f t="shared" si="92"/>
        <v>0</v>
      </c>
      <c r="BS65" s="91">
        <f t="shared" si="92"/>
        <v>1312670.9579999999</v>
      </c>
      <c r="BT65" s="68">
        <f t="shared" si="92"/>
        <v>344324.67800000007</v>
      </c>
      <c r="BU65" s="99">
        <f t="shared" si="92"/>
        <v>810362.12</v>
      </c>
      <c r="BV65" s="329">
        <f>BU65-SUM(BG65,BL65)</f>
        <v>-148378.51</v>
      </c>
      <c r="BW65" s="93"/>
      <c r="CB65" s="359"/>
    </row>
    <row r="66" spans="1:80" s="88" customFormat="1" ht="13.8" x14ac:dyDescent="0.25">
      <c r="A66" s="1"/>
      <c r="B66" s="1"/>
      <c r="C66" s="285"/>
      <c r="D66" s="286"/>
      <c r="E66" s="111"/>
      <c r="F66" s="91"/>
      <c r="G66" s="91"/>
      <c r="H66" s="91"/>
      <c r="I66" s="91"/>
      <c r="J66" s="91"/>
      <c r="K66" s="91"/>
      <c r="L66" s="91"/>
      <c r="M66" s="91"/>
      <c r="N66" s="92"/>
      <c r="O66" s="98"/>
      <c r="P66" s="91"/>
      <c r="Q66" s="91"/>
      <c r="R66" s="91"/>
      <c r="S66" s="91"/>
      <c r="T66" s="91"/>
      <c r="U66" s="91"/>
      <c r="V66" s="91"/>
      <c r="W66" s="91"/>
      <c r="X66" s="92"/>
      <c r="Y66" s="98"/>
      <c r="Z66" s="91"/>
      <c r="AA66" s="91"/>
      <c r="AB66" s="91"/>
      <c r="AC66" s="91"/>
      <c r="AD66" s="91"/>
      <c r="AE66" s="91"/>
      <c r="AF66" s="91"/>
      <c r="AG66" s="91"/>
      <c r="AH66" s="92"/>
      <c r="AI66" s="98"/>
      <c r="AJ66" s="91"/>
      <c r="AK66" s="91"/>
      <c r="AL66" s="91"/>
      <c r="AM66" s="91"/>
      <c r="AN66" s="91"/>
      <c r="AO66" s="91"/>
      <c r="AP66" s="91"/>
      <c r="AQ66" s="91"/>
      <c r="AR66" s="92"/>
      <c r="AS66" s="98"/>
      <c r="AT66" s="91"/>
      <c r="AU66" s="91"/>
      <c r="AV66" s="91"/>
      <c r="AW66" s="91"/>
      <c r="AX66" s="91"/>
      <c r="AY66" s="91"/>
      <c r="AZ66" s="91"/>
      <c r="BA66" s="91"/>
      <c r="BB66" s="92"/>
      <c r="BC66" s="98"/>
      <c r="BD66" s="91"/>
      <c r="BE66" s="91"/>
      <c r="BF66" s="91"/>
      <c r="BG66" s="91"/>
      <c r="BH66" s="91"/>
      <c r="BI66" s="91"/>
      <c r="BJ66" s="91"/>
      <c r="BK66" s="91"/>
      <c r="BL66" s="92"/>
      <c r="BM66" s="98"/>
      <c r="BN66" s="91"/>
      <c r="BO66" s="91"/>
      <c r="BP66" s="92"/>
      <c r="BQ66" s="84"/>
      <c r="BR66" s="84"/>
      <c r="BS66" s="292"/>
      <c r="BT66" s="299"/>
      <c r="BU66" s="86"/>
      <c r="BV66" s="85"/>
      <c r="CB66" s="357"/>
    </row>
    <row r="67" spans="1:80" s="88" customFormat="1" ht="14.4" thickBot="1" x14ac:dyDescent="0.3">
      <c r="A67" s="1"/>
      <c r="B67" s="1"/>
      <c r="C67" s="285"/>
      <c r="D67" s="286"/>
      <c r="E67" s="111"/>
      <c r="F67" s="91"/>
      <c r="G67" s="91"/>
      <c r="H67" s="91"/>
      <c r="I67" s="91"/>
      <c r="J67" s="91"/>
      <c r="K67" s="91"/>
      <c r="L67" s="91"/>
      <c r="M67" s="91"/>
      <c r="N67" s="92"/>
      <c r="O67" s="98"/>
      <c r="P67" s="91"/>
      <c r="Q67" s="91"/>
      <c r="R67" s="91"/>
      <c r="S67" s="91"/>
      <c r="T67" s="91"/>
      <c r="U67" s="91"/>
      <c r="V67" s="91"/>
      <c r="W67" s="91"/>
      <c r="X67" s="92"/>
      <c r="Y67" s="98"/>
      <c r="Z67" s="91"/>
      <c r="AA67" s="91"/>
      <c r="AB67" s="91"/>
      <c r="AC67" s="91"/>
      <c r="AD67" s="91"/>
      <c r="AE67" s="91"/>
      <c r="AF67" s="91"/>
      <c r="AG67" s="91"/>
      <c r="AH67" s="92"/>
      <c r="AI67" s="98"/>
      <c r="AJ67" s="91"/>
      <c r="AK67" s="91"/>
      <c r="AL67" s="91"/>
      <c r="AM67" s="91"/>
      <c r="AN67" s="91"/>
      <c r="AO67" s="91"/>
      <c r="AP67" s="91"/>
      <c r="AQ67" s="91"/>
      <c r="AR67" s="92"/>
      <c r="AS67" s="98"/>
      <c r="AT67" s="91"/>
      <c r="AU67" s="91"/>
      <c r="AV67" s="91"/>
      <c r="AW67" s="91"/>
      <c r="AX67" s="91"/>
      <c r="AY67" s="91"/>
      <c r="AZ67" s="91"/>
      <c r="BA67" s="91"/>
      <c r="BB67" s="92"/>
      <c r="BC67" s="98"/>
      <c r="BD67" s="91"/>
      <c r="BE67" s="91"/>
      <c r="BF67" s="91"/>
      <c r="BG67" s="91"/>
      <c r="BH67" s="91"/>
      <c r="BI67" s="91"/>
      <c r="BJ67" s="91"/>
      <c r="BK67" s="91"/>
      <c r="BL67" s="92"/>
      <c r="BM67" s="98"/>
      <c r="BN67" s="91"/>
      <c r="BO67" s="91"/>
      <c r="BP67" s="92"/>
      <c r="BQ67" s="84"/>
      <c r="BR67" s="84"/>
      <c r="BS67" s="292"/>
      <c r="BT67" s="299"/>
      <c r="BU67" s="86"/>
      <c r="BV67" s="85"/>
      <c r="CB67" s="357"/>
    </row>
    <row r="68" spans="1:80" s="88" customFormat="1" ht="16.8" thickBot="1" x14ac:dyDescent="0.3">
      <c r="A68" s="1">
        <v>29</v>
      </c>
      <c r="B68" s="1"/>
      <c r="C68" s="287" t="s">
        <v>336</v>
      </c>
      <c r="D68" s="288">
        <v>1568</v>
      </c>
      <c r="E68" s="183"/>
      <c r="F68" s="186"/>
      <c r="G68" s="186"/>
      <c r="H68" s="186"/>
      <c r="I68" s="91">
        <f t="shared" ref="I68" si="93">E68+F68-G68+H68</f>
        <v>0</v>
      </c>
      <c r="J68" s="227"/>
      <c r="K68" s="186"/>
      <c r="L68" s="186"/>
      <c r="M68" s="186"/>
      <c r="N68" s="92">
        <f t="shared" ref="N68" si="94">J68+K68-L68+M68</f>
        <v>0</v>
      </c>
      <c r="O68" s="93">
        <f>I68</f>
        <v>0</v>
      </c>
      <c r="P68" s="104"/>
      <c r="Q68" s="104"/>
      <c r="R68" s="104"/>
      <c r="S68" s="91">
        <f>O68+P68-Q68+SUM(R68:R68)</f>
        <v>0</v>
      </c>
      <c r="T68" s="94">
        <f>N68</f>
        <v>0</v>
      </c>
      <c r="U68" s="104"/>
      <c r="V68" s="104"/>
      <c r="W68" s="104"/>
      <c r="X68" s="92">
        <f>T68+U68-V68+W68</f>
        <v>0</v>
      </c>
      <c r="Y68" s="93">
        <f>S68</f>
        <v>0</v>
      </c>
      <c r="Z68" s="104"/>
      <c r="AA68" s="104"/>
      <c r="AB68" s="104"/>
      <c r="AC68" s="91">
        <f>Y68+Z68-AA68+SUM(AB68:AB68)</f>
        <v>0</v>
      </c>
      <c r="AD68" s="91">
        <f>X68</f>
        <v>0</v>
      </c>
      <c r="AE68" s="104"/>
      <c r="AF68" s="104"/>
      <c r="AG68" s="90"/>
      <c r="AH68" s="92">
        <f>AD68+AE68-AF68+AG68</f>
        <v>0</v>
      </c>
      <c r="AI68" s="93">
        <f>AC68</f>
        <v>0</v>
      </c>
      <c r="AJ68" s="104">
        <v>30207</v>
      </c>
      <c r="AK68" s="104"/>
      <c r="AL68" s="104"/>
      <c r="AM68" s="91">
        <f>AI68+AJ68-AK68+SUM(AL68:AL68)</f>
        <v>30207</v>
      </c>
      <c r="AN68" s="91">
        <f>AH68</f>
        <v>0</v>
      </c>
      <c r="AO68" s="104">
        <v>74</v>
      </c>
      <c r="AP68" s="104"/>
      <c r="AQ68" s="90"/>
      <c r="AR68" s="92">
        <f>AN68+AO68-AP68+AQ68</f>
        <v>74</v>
      </c>
      <c r="AS68" s="93">
        <f>AM68</f>
        <v>30207</v>
      </c>
      <c r="AT68" s="104">
        <v>-12249</v>
      </c>
      <c r="AU68" s="104"/>
      <c r="AV68" s="104"/>
      <c r="AW68" s="91">
        <f>AS68+AT68-AU68+SUM(AV68:AV68)</f>
        <v>17958</v>
      </c>
      <c r="AX68" s="91">
        <f>AR68</f>
        <v>74</v>
      </c>
      <c r="AY68" s="104">
        <v>698</v>
      </c>
      <c r="AZ68" s="104"/>
      <c r="BA68" s="90"/>
      <c r="BB68" s="92">
        <f>AX68+AY68-AZ68+BA68</f>
        <v>772</v>
      </c>
      <c r="BC68" s="93">
        <f>AW68</f>
        <v>17958</v>
      </c>
      <c r="BD68" s="188">
        <v>7055</v>
      </c>
      <c r="BE68" s="104"/>
      <c r="BF68" s="104"/>
      <c r="BG68" s="91">
        <f>BC68+BD68-BE68+SUM(BF68:BF68)</f>
        <v>25013</v>
      </c>
      <c r="BH68" s="91">
        <f>BB68</f>
        <v>772</v>
      </c>
      <c r="BI68" s="104">
        <v>581</v>
      </c>
      <c r="BJ68" s="104"/>
      <c r="BK68" s="104"/>
      <c r="BL68" s="92">
        <f>BH68+BI68-BJ68+BK68</f>
        <v>1353</v>
      </c>
      <c r="BM68" s="104">
        <v>0</v>
      </c>
      <c r="BN68" s="104"/>
      <c r="BO68" s="94">
        <f t="shared" ref="BO68" si="95">BG68-BM68</f>
        <v>25013</v>
      </c>
      <c r="BP68" s="95">
        <f t="shared" ref="BP68" si="96">BL68-BN68</f>
        <v>1353</v>
      </c>
      <c r="BQ68" s="96"/>
      <c r="BR68" s="104"/>
      <c r="BS68" s="266">
        <f t="shared" ref="BS68" si="97">BP68+BQ68+BR68</f>
        <v>1353</v>
      </c>
      <c r="BT68" s="299">
        <f>SUM(BO68:BR68)</f>
        <v>26366</v>
      </c>
      <c r="BU68" s="105">
        <v>26366.539999999997</v>
      </c>
      <c r="BV68" s="85">
        <f t="shared" ref="BV68" si="98">BU68-SUM(BG68,BL68)</f>
        <v>0.53999999999723514</v>
      </c>
      <c r="CB68" s="357"/>
    </row>
    <row r="69" spans="1:80" s="88" customFormat="1" ht="13.8" x14ac:dyDescent="0.25">
      <c r="A69" s="1"/>
      <c r="B69" s="1"/>
      <c r="C69" s="287"/>
      <c r="D69" s="288"/>
      <c r="E69" s="111"/>
      <c r="F69" s="91"/>
      <c r="G69" s="91"/>
      <c r="H69" s="91"/>
      <c r="I69" s="91"/>
      <c r="J69" s="91"/>
      <c r="K69" s="91"/>
      <c r="L69" s="91"/>
      <c r="M69" s="91"/>
      <c r="N69" s="91"/>
      <c r="O69" s="98"/>
      <c r="P69" s="91"/>
      <c r="Q69" s="91"/>
      <c r="R69" s="91"/>
      <c r="S69" s="91"/>
      <c r="T69" s="91"/>
      <c r="U69" s="91"/>
      <c r="V69" s="91"/>
      <c r="W69" s="91"/>
      <c r="X69" s="91"/>
      <c r="Y69" s="98"/>
      <c r="Z69" s="91"/>
      <c r="AA69" s="91"/>
      <c r="AB69" s="91"/>
      <c r="AC69" s="91"/>
      <c r="AD69" s="91"/>
      <c r="AE69" s="91"/>
      <c r="AF69" s="91"/>
      <c r="AG69" s="91"/>
      <c r="AH69" s="91"/>
      <c r="AI69" s="98"/>
      <c r="AJ69" s="91"/>
      <c r="AK69" s="91"/>
      <c r="AL69" s="91"/>
      <c r="AM69" s="91"/>
      <c r="AN69" s="91"/>
      <c r="AO69" s="91"/>
      <c r="AP69" s="91"/>
      <c r="AQ69" s="91"/>
      <c r="AR69" s="91"/>
      <c r="AS69" s="98"/>
      <c r="AT69" s="91"/>
      <c r="AU69" s="91"/>
      <c r="AV69" s="91"/>
      <c r="AW69" s="91"/>
      <c r="AX69" s="91"/>
      <c r="AY69" s="91"/>
      <c r="AZ69" s="91"/>
      <c r="BA69" s="91"/>
      <c r="BB69" s="91"/>
      <c r="BC69" s="98"/>
      <c r="BD69" s="91"/>
      <c r="BE69" s="91"/>
      <c r="BF69" s="91"/>
      <c r="BG69" s="91"/>
      <c r="BH69" s="91"/>
      <c r="BI69" s="91"/>
      <c r="BJ69" s="91"/>
      <c r="BK69" s="91"/>
      <c r="BL69" s="91"/>
      <c r="BM69" s="98"/>
      <c r="BN69" s="91"/>
      <c r="BO69" s="91"/>
      <c r="BP69" s="92"/>
      <c r="BQ69" s="84"/>
      <c r="BR69" s="84"/>
      <c r="BS69" s="292"/>
      <c r="BT69" s="299"/>
      <c r="BU69" s="86"/>
      <c r="BV69" s="85"/>
      <c r="CB69" s="357"/>
    </row>
    <row r="70" spans="1:80" s="88" customFormat="1" ht="13.8" x14ac:dyDescent="0.25">
      <c r="A70" s="1"/>
      <c r="B70" s="1"/>
      <c r="C70" s="287"/>
      <c r="D70" s="288"/>
      <c r="E70" s="111"/>
      <c r="F70" s="91"/>
      <c r="G70" s="91"/>
      <c r="H70" s="91"/>
      <c r="I70" s="91"/>
      <c r="J70" s="91"/>
      <c r="K70" s="91"/>
      <c r="L70" s="91"/>
      <c r="M70" s="91"/>
      <c r="N70" s="91"/>
      <c r="O70" s="98"/>
      <c r="P70" s="91"/>
      <c r="Q70" s="91"/>
      <c r="R70" s="91"/>
      <c r="S70" s="91"/>
      <c r="T70" s="91"/>
      <c r="U70" s="91"/>
      <c r="V70" s="91"/>
      <c r="W70" s="91"/>
      <c r="X70" s="91"/>
      <c r="Y70" s="98"/>
      <c r="Z70" s="91"/>
      <c r="AA70" s="91"/>
      <c r="AB70" s="91"/>
      <c r="AC70" s="91"/>
      <c r="AD70" s="91"/>
      <c r="AE70" s="91"/>
      <c r="AF70" s="91"/>
      <c r="AG70" s="91"/>
      <c r="AH70" s="91"/>
      <c r="AI70" s="98"/>
      <c r="AJ70" s="91"/>
      <c r="AK70" s="91"/>
      <c r="AL70" s="91"/>
      <c r="AM70" s="91"/>
      <c r="AN70" s="91"/>
      <c r="AO70" s="91"/>
      <c r="AP70" s="91"/>
      <c r="AQ70" s="91"/>
      <c r="AR70" s="91"/>
      <c r="AS70" s="98"/>
      <c r="AT70" s="91"/>
      <c r="AU70" s="91"/>
      <c r="AV70" s="91"/>
      <c r="AW70" s="91"/>
      <c r="AX70" s="91"/>
      <c r="AY70" s="91"/>
      <c r="AZ70" s="91"/>
      <c r="BA70" s="91"/>
      <c r="BB70" s="91"/>
      <c r="BC70" s="98"/>
      <c r="BD70" s="91"/>
      <c r="BE70" s="91"/>
      <c r="BF70" s="91"/>
      <c r="BG70" s="91"/>
      <c r="BH70" s="91"/>
      <c r="BI70" s="91"/>
      <c r="BJ70" s="91"/>
      <c r="BK70" s="91"/>
      <c r="BL70" s="91"/>
      <c r="BM70" s="98"/>
      <c r="BN70" s="91"/>
      <c r="BO70" s="91"/>
      <c r="BP70" s="92"/>
      <c r="BQ70" s="84"/>
      <c r="BR70" s="84"/>
      <c r="BS70" s="292"/>
      <c r="BT70" s="299"/>
      <c r="BU70" s="86"/>
      <c r="BV70" s="85"/>
      <c r="CB70" s="357"/>
    </row>
    <row r="71" spans="1:80" s="330" customFormat="1" ht="13.8" x14ac:dyDescent="0.25">
      <c r="A71" s="4"/>
      <c r="B71" s="4"/>
      <c r="C71" s="289" t="s">
        <v>94</v>
      </c>
      <c r="D71" s="286"/>
      <c r="E71" s="111"/>
      <c r="F71" s="91">
        <f t="shared" ref="F71:AB71" si="99">F65+F68</f>
        <v>-601196</v>
      </c>
      <c r="G71" s="91">
        <f t="shared" si="99"/>
        <v>632064</v>
      </c>
      <c r="H71" s="91">
        <f t="shared" si="99"/>
        <v>0</v>
      </c>
      <c r="I71" s="91">
        <f t="shared" si="99"/>
        <v>-592970</v>
      </c>
      <c r="J71" s="91">
        <f t="shared" si="99"/>
        <v>51979</v>
      </c>
      <c r="K71" s="91">
        <f t="shared" si="99"/>
        <v>10820</v>
      </c>
      <c r="L71" s="91">
        <f t="shared" si="99"/>
        <v>44655</v>
      </c>
      <c r="M71" s="91">
        <f t="shared" si="99"/>
        <v>0</v>
      </c>
      <c r="N71" s="92">
        <f t="shared" si="99"/>
        <v>18144</v>
      </c>
      <c r="O71" s="98">
        <f t="shared" si="99"/>
        <v>-592970</v>
      </c>
      <c r="P71" s="91">
        <f t="shared" si="99"/>
        <v>-175728</v>
      </c>
      <c r="Q71" s="91">
        <f t="shared" si="99"/>
        <v>-134698</v>
      </c>
      <c r="R71" s="91">
        <f t="shared" si="99"/>
        <v>0</v>
      </c>
      <c r="S71" s="91">
        <f t="shared" si="99"/>
        <v>-634000</v>
      </c>
      <c r="T71" s="91">
        <f t="shared" si="99"/>
        <v>18144</v>
      </c>
      <c r="U71" s="91">
        <f t="shared" si="99"/>
        <v>-6813</v>
      </c>
      <c r="V71" s="91">
        <f t="shared" si="99"/>
        <v>-574</v>
      </c>
      <c r="W71" s="91">
        <f t="shared" si="99"/>
        <v>-136889</v>
      </c>
      <c r="X71" s="92">
        <f t="shared" si="99"/>
        <v>-124984</v>
      </c>
      <c r="Y71" s="98">
        <f t="shared" si="99"/>
        <v>-634000</v>
      </c>
      <c r="Z71" s="91">
        <f t="shared" si="99"/>
        <v>-138988</v>
      </c>
      <c r="AA71" s="91">
        <f t="shared" si="99"/>
        <v>-692239</v>
      </c>
      <c r="AB71" s="91">
        <f t="shared" si="99"/>
        <v>0</v>
      </c>
      <c r="AC71" s="91">
        <f t="shared" ref="AC71:BU71" si="100">AC65+AC68</f>
        <v>-80749</v>
      </c>
      <c r="AD71" s="91">
        <f t="shared" si="100"/>
        <v>-124984</v>
      </c>
      <c r="AE71" s="91">
        <f t="shared" si="100"/>
        <v>75744.22</v>
      </c>
      <c r="AF71" s="91">
        <f t="shared" si="100"/>
        <v>-23330</v>
      </c>
      <c r="AG71" s="91">
        <f t="shared" si="100"/>
        <v>0</v>
      </c>
      <c r="AH71" s="92">
        <f t="shared" si="100"/>
        <v>-25909.78</v>
      </c>
      <c r="AI71" s="98">
        <f t="shared" si="100"/>
        <v>-80749</v>
      </c>
      <c r="AJ71" s="91">
        <f t="shared" si="100"/>
        <v>1301115</v>
      </c>
      <c r="AK71" s="91">
        <f t="shared" si="100"/>
        <v>59745.350000000006</v>
      </c>
      <c r="AL71" s="91">
        <f t="shared" si="100"/>
        <v>72700</v>
      </c>
      <c r="AM71" s="91">
        <f t="shared" si="100"/>
        <v>1233320.6499999999</v>
      </c>
      <c r="AN71" s="91">
        <f t="shared" si="100"/>
        <v>-25909.78</v>
      </c>
      <c r="AO71" s="91">
        <f t="shared" si="100"/>
        <v>-100370.13</v>
      </c>
      <c r="AP71" s="91">
        <f t="shared" si="100"/>
        <v>631.18000000000029</v>
      </c>
      <c r="AQ71" s="91">
        <f t="shared" si="100"/>
        <v>0</v>
      </c>
      <c r="AR71" s="92">
        <f t="shared" si="100"/>
        <v>-126911.09</v>
      </c>
      <c r="AS71" s="98">
        <f t="shared" ref="AS71:BB71" si="101">AS65+AS68</f>
        <v>1233320.6499999999</v>
      </c>
      <c r="AT71" s="91">
        <f t="shared" si="101"/>
        <v>802479</v>
      </c>
      <c r="AU71" s="91">
        <f t="shared" si="101"/>
        <v>0</v>
      </c>
      <c r="AV71" s="91">
        <f t="shared" si="101"/>
        <v>0</v>
      </c>
      <c r="AW71" s="91">
        <f t="shared" si="101"/>
        <v>2035799.65</v>
      </c>
      <c r="AX71" s="91">
        <f t="shared" si="101"/>
        <v>-126911.09</v>
      </c>
      <c r="AY71" s="91">
        <f t="shared" si="101"/>
        <v>98431</v>
      </c>
      <c r="AZ71" s="91">
        <f t="shared" si="101"/>
        <v>0</v>
      </c>
      <c r="BA71" s="91">
        <f t="shared" si="101"/>
        <v>0</v>
      </c>
      <c r="BB71" s="92">
        <f t="shared" si="101"/>
        <v>-28480.09</v>
      </c>
      <c r="BC71" s="98">
        <f t="shared" ref="BC71:BL71" si="102">BC65+BC68</f>
        <v>2035799.65</v>
      </c>
      <c r="BD71" s="91">
        <f t="shared" si="102"/>
        <v>-1191231.93</v>
      </c>
      <c r="BE71" s="91">
        <f t="shared" si="102"/>
        <v>0</v>
      </c>
      <c r="BF71" s="91">
        <f t="shared" si="102"/>
        <v>152548</v>
      </c>
      <c r="BG71" s="91">
        <f t="shared" si="102"/>
        <v>997115.72</v>
      </c>
      <c r="BH71" s="91">
        <f t="shared" si="102"/>
        <v>-28480.09</v>
      </c>
      <c r="BI71" s="91">
        <f t="shared" si="102"/>
        <v>16472</v>
      </c>
      <c r="BJ71" s="91">
        <f t="shared" si="102"/>
        <v>1</v>
      </c>
      <c r="BK71" s="91">
        <f t="shared" si="102"/>
        <v>0</v>
      </c>
      <c r="BL71" s="92">
        <f t="shared" si="102"/>
        <v>-12009.09</v>
      </c>
      <c r="BM71" s="98">
        <f t="shared" si="100"/>
        <v>1940449</v>
      </c>
      <c r="BN71" s="91">
        <f t="shared" si="100"/>
        <v>-1337380</v>
      </c>
      <c r="BO71" s="91">
        <f t="shared" si="100"/>
        <v>-943333.28</v>
      </c>
      <c r="BP71" s="92">
        <f t="shared" si="100"/>
        <v>1325370.9099999999</v>
      </c>
      <c r="BQ71" s="98">
        <f t="shared" si="100"/>
        <v>-11346.952000000001</v>
      </c>
      <c r="BR71" s="91">
        <f t="shared" si="100"/>
        <v>0</v>
      </c>
      <c r="BS71" s="91">
        <f t="shared" si="100"/>
        <v>1314023.9579999999</v>
      </c>
      <c r="BT71" s="301">
        <f>BT65+BT68</f>
        <v>370690.67800000007</v>
      </c>
      <c r="BU71" s="92">
        <f t="shared" si="100"/>
        <v>836728.66</v>
      </c>
      <c r="BV71" s="329">
        <f t="shared" ref="BV71" si="103">BU71-SUM(BG71,BL71)</f>
        <v>-148377.96999999997</v>
      </c>
      <c r="CB71" s="359"/>
    </row>
    <row r="72" spans="1:80" s="88" customFormat="1" ht="14.4" thickBot="1" x14ac:dyDescent="0.3">
      <c r="A72" s="1"/>
      <c r="B72" s="1"/>
      <c r="C72" s="285"/>
      <c r="D72" s="286"/>
      <c r="E72" s="111"/>
      <c r="F72" s="91"/>
      <c r="G72" s="91"/>
      <c r="H72" s="91"/>
      <c r="I72" s="91"/>
      <c r="J72" s="91"/>
      <c r="K72" s="91"/>
      <c r="L72" s="91"/>
      <c r="M72" s="91"/>
      <c r="N72" s="92"/>
      <c r="O72" s="98"/>
      <c r="P72" s="91"/>
      <c r="Q72" s="91"/>
      <c r="R72" s="91"/>
      <c r="S72" s="91"/>
      <c r="T72" s="91"/>
      <c r="U72" s="91"/>
      <c r="V72" s="91"/>
      <c r="W72" s="91"/>
      <c r="X72" s="92"/>
      <c r="Y72" s="98"/>
      <c r="Z72" s="91"/>
      <c r="AA72" s="91"/>
      <c r="AB72" s="91"/>
      <c r="AC72" s="91"/>
      <c r="AD72" s="91"/>
      <c r="AE72" s="91"/>
      <c r="AF72" s="91"/>
      <c r="AG72" s="91"/>
      <c r="AH72" s="92"/>
      <c r="AI72" s="98"/>
      <c r="AJ72" s="91"/>
      <c r="AK72" s="91"/>
      <c r="AL72" s="91"/>
      <c r="AM72" s="91"/>
      <c r="AN72" s="91"/>
      <c r="AO72" s="91"/>
      <c r="AP72" s="91"/>
      <c r="AQ72" s="91"/>
      <c r="AR72" s="92"/>
      <c r="AS72" s="98"/>
      <c r="AT72" s="91"/>
      <c r="AU72" s="91"/>
      <c r="AV72" s="91"/>
      <c r="AW72" s="91"/>
      <c r="AX72" s="91"/>
      <c r="AY72" s="91"/>
      <c r="AZ72" s="91"/>
      <c r="BA72" s="91"/>
      <c r="BB72" s="92"/>
      <c r="BC72" s="98"/>
      <c r="BD72" s="91"/>
      <c r="BE72" s="91"/>
      <c r="BF72" s="91"/>
      <c r="BG72" s="91"/>
      <c r="BH72" s="91"/>
      <c r="BI72" s="91"/>
      <c r="BJ72" s="91"/>
      <c r="BK72" s="91"/>
      <c r="BL72" s="92"/>
      <c r="BM72" s="98"/>
      <c r="BN72" s="91"/>
      <c r="BO72" s="91"/>
      <c r="BP72" s="92"/>
      <c r="BQ72" s="84"/>
      <c r="BR72" s="84"/>
      <c r="BS72" s="292"/>
      <c r="BT72" s="299"/>
      <c r="BU72" s="86"/>
      <c r="BV72" s="85"/>
      <c r="CB72" s="357"/>
    </row>
    <row r="73" spans="1:80" s="88" customFormat="1" ht="16.8" thickBot="1" x14ac:dyDescent="0.3">
      <c r="A73" s="1">
        <v>30</v>
      </c>
      <c r="B73" s="1"/>
      <c r="C73" s="272" t="s">
        <v>321</v>
      </c>
      <c r="D73" s="257">
        <v>1531</v>
      </c>
      <c r="E73" s="217"/>
      <c r="F73" s="186"/>
      <c r="G73" s="102"/>
      <c r="H73" s="102"/>
      <c r="I73" s="91">
        <f t="shared" ref="I73:I82" si="104">E73+F73-G73+H73</f>
        <v>0</v>
      </c>
      <c r="J73" s="186"/>
      <c r="K73" s="186"/>
      <c r="L73" s="186"/>
      <c r="M73" s="102"/>
      <c r="N73" s="92">
        <f t="shared" ref="N73:N82" si="105">J73+K73-L73+M73</f>
        <v>0</v>
      </c>
      <c r="O73" s="93">
        <f t="shared" ref="O73:O82" si="106">I73</f>
        <v>0</v>
      </c>
      <c r="P73" s="188"/>
      <c r="Q73" s="90"/>
      <c r="R73" s="90"/>
      <c r="S73" s="91">
        <f t="shared" ref="S73:S82" si="107">O73+P73-Q73+SUM(R73:R73)</f>
        <v>0</v>
      </c>
      <c r="T73" s="94">
        <f t="shared" ref="T73:T82" si="108">N73</f>
        <v>0</v>
      </c>
      <c r="U73" s="188"/>
      <c r="V73" s="90"/>
      <c r="W73" s="90"/>
      <c r="X73" s="92">
        <f t="shared" ref="X73:X82" si="109">T73+U73-V73+W73</f>
        <v>0</v>
      </c>
      <c r="Y73" s="93">
        <f t="shared" ref="Y73:Y82" si="110">S73</f>
        <v>0</v>
      </c>
      <c r="Z73" s="188"/>
      <c r="AA73" s="90"/>
      <c r="AB73" s="90"/>
      <c r="AC73" s="91">
        <f t="shared" ref="AC73:AC82" si="111">Y73+Z73-AA73+SUM(AB73:AB73)</f>
        <v>0</v>
      </c>
      <c r="AD73" s="94">
        <f t="shared" ref="AD73:AD82" si="112">X73</f>
        <v>0</v>
      </c>
      <c r="AE73" s="188"/>
      <c r="AF73" s="90"/>
      <c r="AG73" s="102"/>
      <c r="AH73" s="92">
        <f t="shared" ref="AH73:AH82" si="113">AD73+AE73-AF73+AG73</f>
        <v>0</v>
      </c>
      <c r="AI73" s="93">
        <f t="shared" ref="AI73:AI86" si="114">AC73</f>
        <v>0</v>
      </c>
      <c r="AJ73" s="188"/>
      <c r="AK73" s="188"/>
      <c r="AL73" s="188"/>
      <c r="AM73" s="91">
        <f t="shared" ref="AM73:AM82" si="115">AI73+AJ73-AK73+SUM(AL73:AL73)</f>
        <v>0</v>
      </c>
      <c r="AN73" s="94">
        <f t="shared" ref="AN73:AN82" si="116">AH73</f>
        <v>0</v>
      </c>
      <c r="AO73" s="188"/>
      <c r="AP73" s="90"/>
      <c r="AQ73" s="102"/>
      <c r="AR73" s="92">
        <f t="shared" ref="AR73:AR82" si="117">AN73+AO73-AP73+AQ73</f>
        <v>0</v>
      </c>
      <c r="AS73" s="93">
        <f t="shared" ref="AS73:AS83" si="118">AM73</f>
        <v>0</v>
      </c>
      <c r="AT73" s="188"/>
      <c r="AU73" s="90"/>
      <c r="AV73" s="90"/>
      <c r="AW73" s="91">
        <f t="shared" ref="AW73:AW83" si="119">AS73+AT73-AU73+SUM(AV73:AV73)</f>
        <v>0</v>
      </c>
      <c r="AX73" s="94">
        <f t="shared" ref="AX73:AX83" si="120">AR73</f>
        <v>0</v>
      </c>
      <c r="AY73" s="188"/>
      <c r="AZ73" s="90"/>
      <c r="BA73" s="102"/>
      <c r="BB73" s="92">
        <f t="shared" ref="BB73:BB83" si="121">AX73+AY73-AZ73+BA73</f>
        <v>0</v>
      </c>
      <c r="BC73" s="93">
        <f t="shared" ref="BC73:BC83" si="122">AW73</f>
        <v>0</v>
      </c>
      <c r="BD73" s="188"/>
      <c r="BE73" s="90"/>
      <c r="BF73" s="90"/>
      <c r="BG73" s="91">
        <f t="shared" ref="BG73:BG83" si="123">BC73+BD73-BE73+SUM(BF73:BF73)</f>
        <v>0</v>
      </c>
      <c r="BH73" s="94">
        <f t="shared" ref="BH73:BH83" si="124">BB73</f>
        <v>0</v>
      </c>
      <c r="BI73" s="90"/>
      <c r="BJ73" s="90"/>
      <c r="BK73" s="102"/>
      <c r="BL73" s="92">
        <f t="shared" ref="BL73:BL83" si="125">BH73+BI73-BJ73+BK73</f>
        <v>0</v>
      </c>
      <c r="BM73" s="90"/>
      <c r="BN73" s="90"/>
      <c r="BO73" s="94">
        <f t="shared" ref="BO73:BO83" si="126">BG73-BM73</f>
        <v>0</v>
      </c>
      <c r="BP73" s="95">
        <f t="shared" ref="BP73:BP83" si="127">BL73-BN73</f>
        <v>0</v>
      </c>
      <c r="BQ73" s="96"/>
      <c r="BR73" s="90"/>
      <c r="BS73" s="266">
        <f t="shared" ref="BS73:BS83" si="128">BP73+BQ73+BR73</f>
        <v>0</v>
      </c>
      <c r="BT73" s="299">
        <f t="shared" ref="BT73:BT78" si="129">SUM(BO73:BR73)</f>
        <v>0</v>
      </c>
      <c r="BU73" s="189"/>
      <c r="BV73" s="85">
        <f>BU73-SUM(BG73,BL73)</f>
        <v>0</v>
      </c>
      <c r="CB73" s="357"/>
    </row>
    <row r="74" spans="1:80" s="88" customFormat="1" ht="16.8" thickBot="1" x14ac:dyDescent="0.3">
      <c r="A74" s="1">
        <v>31</v>
      </c>
      <c r="B74" s="1"/>
      <c r="C74" s="272" t="s">
        <v>322</v>
      </c>
      <c r="D74" s="257">
        <v>1532</v>
      </c>
      <c r="E74" s="217"/>
      <c r="F74" s="186"/>
      <c r="G74" s="102"/>
      <c r="H74" s="102"/>
      <c r="I74" s="91">
        <f t="shared" si="104"/>
        <v>0</v>
      </c>
      <c r="J74" s="186"/>
      <c r="K74" s="186"/>
      <c r="L74" s="186"/>
      <c r="M74" s="102"/>
      <c r="N74" s="92">
        <f t="shared" si="105"/>
        <v>0</v>
      </c>
      <c r="O74" s="93">
        <f t="shared" si="106"/>
        <v>0</v>
      </c>
      <c r="P74" s="238"/>
      <c r="Q74" s="90"/>
      <c r="R74" s="188"/>
      <c r="S74" s="91">
        <f t="shared" si="107"/>
        <v>0</v>
      </c>
      <c r="T74" s="94">
        <f t="shared" si="108"/>
        <v>0</v>
      </c>
      <c r="U74" s="241"/>
      <c r="V74" s="90"/>
      <c r="W74" s="90"/>
      <c r="X74" s="92">
        <f t="shared" si="109"/>
        <v>0</v>
      </c>
      <c r="Y74" s="93">
        <f t="shared" si="110"/>
        <v>0</v>
      </c>
      <c r="Z74" s="188"/>
      <c r="AA74" s="90"/>
      <c r="AB74" s="90"/>
      <c r="AC74" s="91">
        <f t="shared" si="111"/>
        <v>0</v>
      </c>
      <c r="AD74" s="94">
        <f t="shared" si="112"/>
        <v>0</v>
      </c>
      <c r="AE74" s="188"/>
      <c r="AF74" s="90"/>
      <c r="AG74" s="102"/>
      <c r="AH74" s="92">
        <f t="shared" si="113"/>
        <v>0</v>
      </c>
      <c r="AI74" s="93">
        <f t="shared" si="114"/>
        <v>0</v>
      </c>
      <c r="AJ74" s="188"/>
      <c r="AK74" s="188"/>
      <c r="AL74" s="188"/>
      <c r="AM74" s="91">
        <f t="shared" si="115"/>
        <v>0</v>
      </c>
      <c r="AN74" s="94">
        <f t="shared" si="116"/>
        <v>0</v>
      </c>
      <c r="AO74" s="188"/>
      <c r="AP74" s="90"/>
      <c r="AQ74" s="102"/>
      <c r="AR74" s="92">
        <f t="shared" si="117"/>
        <v>0</v>
      </c>
      <c r="AS74" s="93">
        <f t="shared" si="118"/>
        <v>0</v>
      </c>
      <c r="AT74" s="188"/>
      <c r="AU74" s="90"/>
      <c r="AV74" s="90"/>
      <c r="AW74" s="91">
        <f t="shared" si="119"/>
        <v>0</v>
      </c>
      <c r="AX74" s="94">
        <f t="shared" si="120"/>
        <v>0</v>
      </c>
      <c r="AY74" s="188"/>
      <c r="AZ74" s="90"/>
      <c r="BA74" s="102"/>
      <c r="BB74" s="92">
        <f t="shared" si="121"/>
        <v>0</v>
      </c>
      <c r="BC74" s="93">
        <f t="shared" si="122"/>
        <v>0</v>
      </c>
      <c r="BD74" s="188"/>
      <c r="BE74" s="90"/>
      <c r="BF74" s="90"/>
      <c r="BG74" s="91">
        <f t="shared" si="123"/>
        <v>0</v>
      </c>
      <c r="BH74" s="94">
        <f t="shared" si="124"/>
        <v>0</v>
      </c>
      <c r="BI74" s="188"/>
      <c r="BJ74" s="90"/>
      <c r="BK74" s="102"/>
      <c r="BL74" s="92">
        <f t="shared" si="125"/>
        <v>0</v>
      </c>
      <c r="BM74" s="90"/>
      <c r="BN74" s="90"/>
      <c r="BO74" s="94">
        <f t="shared" si="126"/>
        <v>0</v>
      </c>
      <c r="BP74" s="95">
        <f t="shared" si="127"/>
        <v>0</v>
      </c>
      <c r="BQ74" s="96"/>
      <c r="BR74" s="188"/>
      <c r="BS74" s="266">
        <f t="shared" si="128"/>
        <v>0</v>
      </c>
      <c r="BT74" s="299">
        <f t="shared" si="129"/>
        <v>0</v>
      </c>
      <c r="BU74" s="189"/>
      <c r="BV74" s="85">
        <f t="shared" ref="BV74:BV83" si="130">BU74-SUM(BG74,BL74)</f>
        <v>0</v>
      </c>
      <c r="CB74" s="357"/>
    </row>
    <row r="75" spans="1:80" s="88" customFormat="1" ht="14.4" thickBot="1" x14ac:dyDescent="0.3">
      <c r="A75" s="1">
        <v>32</v>
      </c>
      <c r="B75" s="1"/>
      <c r="C75" s="256" t="s">
        <v>21</v>
      </c>
      <c r="D75" s="257">
        <v>1533</v>
      </c>
      <c r="E75" s="217"/>
      <c r="F75" s="186"/>
      <c r="G75" s="102"/>
      <c r="H75" s="102"/>
      <c r="I75" s="91">
        <f t="shared" si="104"/>
        <v>0</v>
      </c>
      <c r="J75" s="186"/>
      <c r="K75" s="186"/>
      <c r="L75" s="186"/>
      <c r="M75" s="102"/>
      <c r="N75" s="92">
        <f t="shared" si="105"/>
        <v>0</v>
      </c>
      <c r="O75" s="93">
        <f t="shared" si="106"/>
        <v>0</v>
      </c>
      <c r="P75" s="188"/>
      <c r="Q75" s="90"/>
      <c r="R75" s="188"/>
      <c r="S75" s="91">
        <f t="shared" si="107"/>
        <v>0</v>
      </c>
      <c r="T75" s="94">
        <f t="shared" si="108"/>
        <v>0</v>
      </c>
      <c r="U75" s="188"/>
      <c r="V75" s="90"/>
      <c r="W75" s="90"/>
      <c r="X75" s="92">
        <f t="shared" si="109"/>
        <v>0</v>
      </c>
      <c r="Y75" s="93">
        <f t="shared" si="110"/>
        <v>0</v>
      </c>
      <c r="Z75" s="188"/>
      <c r="AA75" s="90"/>
      <c r="AB75" s="90"/>
      <c r="AC75" s="91">
        <f t="shared" si="111"/>
        <v>0</v>
      </c>
      <c r="AD75" s="94">
        <f t="shared" si="112"/>
        <v>0</v>
      </c>
      <c r="AE75" s="188"/>
      <c r="AF75" s="90"/>
      <c r="AG75" s="102"/>
      <c r="AH75" s="92">
        <f t="shared" si="113"/>
        <v>0</v>
      </c>
      <c r="AI75" s="93">
        <f t="shared" si="114"/>
        <v>0</v>
      </c>
      <c r="AJ75" s="188"/>
      <c r="AK75" s="188"/>
      <c r="AL75" s="188"/>
      <c r="AM75" s="91">
        <f t="shared" si="115"/>
        <v>0</v>
      </c>
      <c r="AN75" s="94">
        <f t="shared" si="116"/>
        <v>0</v>
      </c>
      <c r="AO75" s="188"/>
      <c r="AP75" s="90"/>
      <c r="AQ75" s="102"/>
      <c r="AR75" s="92">
        <f t="shared" si="117"/>
        <v>0</v>
      </c>
      <c r="AS75" s="93">
        <f t="shared" si="118"/>
        <v>0</v>
      </c>
      <c r="AT75" s="188"/>
      <c r="AU75" s="90"/>
      <c r="AV75" s="90"/>
      <c r="AW75" s="91">
        <f t="shared" si="119"/>
        <v>0</v>
      </c>
      <c r="AX75" s="94">
        <f t="shared" si="120"/>
        <v>0</v>
      </c>
      <c r="AY75" s="188"/>
      <c r="AZ75" s="90"/>
      <c r="BA75" s="102"/>
      <c r="BB75" s="92">
        <f t="shared" si="121"/>
        <v>0</v>
      </c>
      <c r="BC75" s="93">
        <f t="shared" si="122"/>
        <v>0</v>
      </c>
      <c r="BD75" s="188"/>
      <c r="BE75" s="90"/>
      <c r="BF75" s="90"/>
      <c r="BG75" s="91">
        <f t="shared" si="123"/>
        <v>0</v>
      </c>
      <c r="BH75" s="94">
        <f t="shared" si="124"/>
        <v>0</v>
      </c>
      <c r="BI75" s="188"/>
      <c r="BJ75" s="90"/>
      <c r="BK75" s="102"/>
      <c r="BL75" s="92">
        <f t="shared" si="125"/>
        <v>0</v>
      </c>
      <c r="BM75" s="90"/>
      <c r="BN75" s="90"/>
      <c r="BO75" s="94">
        <f t="shared" si="126"/>
        <v>0</v>
      </c>
      <c r="BP75" s="95">
        <f t="shared" si="127"/>
        <v>0</v>
      </c>
      <c r="BQ75" s="96"/>
      <c r="BR75" s="188"/>
      <c r="BS75" s="266">
        <f t="shared" si="128"/>
        <v>0</v>
      </c>
      <c r="BT75" s="299">
        <f t="shared" si="129"/>
        <v>0</v>
      </c>
      <c r="BU75" s="189"/>
      <c r="BV75" s="85">
        <f t="shared" si="130"/>
        <v>0</v>
      </c>
      <c r="CB75" s="357"/>
    </row>
    <row r="76" spans="1:80" s="88" customFormat="1" ht="14.4" thickBot="1" x14ac:dyDescent="0.3">
      <c r="A76" s="1">
        <v>33</v>
      </c>
      <c r="B76" s="1"/>
      <c r="C76" s="272" t="s">
        <v>13</v>
      </c>
      <c r="D76" s="257">
        <v>1534</v>
      </c>
      <c r="E76" s="217"/>
      <c r="F76" s="186"/>
      <c r="G76" s="102"/>
      <c r="H76" s="102"/>
      <c r="I76" s="91">
        <f t="shared" si="104"/>
        <v>0</v>
      </c>
      <c r="J76" s="186"/>
      <c r="K76" s="186"/>
      <c r="L76" s="186"/>
      <c r="M76" s="102"/>
      <c r="N76" s="92">
        <f t="shared" si="105"/>
        <v>0</v>
      </c>
      <c r="O76" s="93">
        <f t="shared" si="106"/>
        <v>0</v>
      </c>
      <c r="P76" s="188"/>
      <c r="Q76" s="90"/>
      <c r="R76" s="188"/>
      <c r="S76" s="91">
        <f t="shared" si="107"/>
        <v>0</v>
      </c>
      <c r="T76" s="94">
        <f t="shared" si="108"/>
        <v>0</v>
      </c>
      <c r="U76" s="188"/>
      <c r="V76" s="90"/>
      <c r="W76" s="90"/>
      <c r="X76" s="92">
        <f t="shared" si="109"/>
        <v>0</v>
      </c>
      <c r="Y76" s="93">
        <f t="shared" si="110"/>
        <v>0</v>
      </c>
      <c r="Z76" s="188"/>
      <c r="AA76" s="90"/>
      <c r="AB76" s="90"/>
      <c r="AC76" s="91">
        <f t="shared" si="111"/>
        <v>0</v>
      </c>
      <c r="AD76" s="94">
        <f t="shared" si="112"/>
        <v>0</v>
      </c>
      <c r="AE76" s="188"/>
      <c r="AF76" s="90"/>
      <c r="AG76" s="102"/>
      <c r="AH76" s="92">
        <f t="shared" si="113"/>
        <v>0</v>
      </c>
      <c r="AI76" s="93">
        <f t="shared" si="114"/>
        <v>0</v>
      </c>
      <c r="AJ76" s="188"/>
      <c r="AK76" s="188"/>
      <c r="AL76" s="188"/>
      <c r="AM76" s="91">
        <f t="shared" si="115"/>
        <v>0</v>
      </c>
      <c r="AN76" s="94">
        <f t="shared" si="116"/>
        <v>0</v>
      </c>
      <c r="AO76" s="188"/>
      <c r="AP76" s="90"/>
      <c r="AQ76" s="102"/>
      <c r="AR76" s="92">
        <f t="shared" si="117"/>
        <v>0</v>
      </c>
      <c r="AS76" s="93">
        <f t="shared" si="118"/>
        <v>0</v>
      </c>
      <c r="AT76" s="188"/>
      <c r="AU76" s="90"/>
      <c r="AV76" s="90"/>
      <c r="AW76" s="91">
        <f t="shared" si="119"/>
        <v>0</v>
      </c>
      <c r="AX76" s="94">
        <f t="shared" si="120"/>
        <v>0</v>
      </c>
      <c r="AY76" s="188"/>
      <c r="AZ76" s="90"/>
      <c r="BA76" s="102"/>
      <c r="BB76" s="92">
        <f t="shared" si="121"/>
        <v>0</v>
      </c>
      <c r="BC76" s="93">
        <f t="shared" si="122"/>
        <v>0</v>
      </c>
      <c r="BD76" s="188"/>
      <c r="BE76" s="90"/>
      <c r="BF76" s="90"/>
      <c r="BG76" s="91">
        <f t="shared" si="123"/>
        <v>0</v>
      </c>
      <c r="BH76" s="94">
        <f t="shared" si="124"/>
        <v>0</v>
      </c>
      <c r="BI76" s="188"/>
      <c r="BJ76" s="90"/>
      <c r="BK76" s="102"/>
      <c r="BL76" s="92">
        <f t="shared" si="125"/>
        <v>0</v>
      </c>
      <c r="BM76" s="90"/>
      <c r="BN76" s="90"/>
      <c r="BO76" s="94">
        <f t="shared" si="126"/>
        <v>0</v>
      </c>
      <c r="BP76" s="95">
        <f t="shared" si="127"/>
        <v>0</v>
      </c>
      <c r="BQ76" s="96"/>
      <c r="BR76" s="188"/>
      <c r="BS76" s="266">
        <f t="shared" si="128"/>
        <v>0</v>
      </c>
      <c r="BT76" s="299">
        <f t="shared" si="129"/>
        <v>0</v>
      </c>
      <c r="BU76" s="189"/>
      <c r="BV76" s="85">
        <f t="shared" si="130"/>
        <v>0</v>
      </c>
      <c r="CB76" s="357"/>
    </row>
    <row r="77" spans="1:80" s="88" customFormat="1" ht="14.4" thickBot="1" x14ac:dyDescent="0.3">
      <c r="A77" s="1">
        <v>34</v>
      </c>
      <c r="B77" s="1"/>
      <c r="C77" s="272" t="s">
        <v>14</v>
      </c>
      <c r="D77" s="257">
        <v>1535</v>
      </c>
      <c r="E77" s="217"/>
      <c r="F77" s="186"/>
      <c r="G77" s="102"/>
      <c r="H77" s="102"/>
      <c r="I77" s="91">
        <f t="shared" si="104"/>
        <v>0</v>
      </c>
      <c r="J77" s="186"/>
      <c r="K77" s="186"/>
      <c r="L77" s="186"/>
      <c r="M77" s="102"/>
      <c r="N77" s="92">
        <f t="shared" si="105"/>
        <v>0</v>
      </c>
      <c r="O77" s="93">
        <f t="shared" si="106"/>
        <v>0</v>
      </c>
      <c r="P77" s="239"/>
      <c r="Q77" s="90"/>
      <c r="R77" s="188"/>
      <c r="S77" s="91">
        <f t="shared" si="107"/>
        <v>0</v>
      </c>
      <c r="T77" s="94">
        <f t="shared" si="108"/>
        <v>0</v>
      </c>
      <c r="U77" s="242"/>
      <c r="V77" s="90"/>
      <c r="W77" s="90"/>
      <c r="X77" s="92">
        <f t="shared" si="109"/>
        <v>0</v>
      </c>
      <c r="Y77" s="93">
        <f t="shared" si="110"/>
        <v>0</v>
      </c>
      <c r="Z77" s="188"/>
      <c r="AA77" s="90"/>
      <c r="AB77" s="90"/>
      <c r="AC77" s="91">
        <f t="shared" si="111"/>
        <v>0</v>
      </c>
      <c r="AD77" s="94">
        <f t="shared" si="112"/>
        <v>0</v>
      </c>
      <c r="AE77" s="188"/>
      <c r="AF77" s="90"/>
      <c r="AG77" s="102"/>
      <c r="AH77" s="92">
        <f t="shared" si="113"/>
        <v>0</v>
      </c>
      <c r="AI77" s="93">
        <f t="shared" si="114"/>
        <v>0</v>
      </c>
      <c r="AJ77" s="188"/>
      <c r="AK77" s="188"/>
      <c r="AL77" s="188"/>
      <c r="AM77" s="91">
        <f t="shared" si="115"/>
        <v>0</v>
      </c>
      <c r="AN77" s="94">
        <f t="shared" si="116"/>
        <v>0</v>
      </c>
      <c r="AO77" s="188"/>
      <c r="AP77" s="90"/>
      <c r="AQ77" s="102"/>
      <c r="AR77" s="92">
        <f t="shared" si="117"/>
        <v>0</v>
      </c>
      <c r="AS77" s="93">
        <f t="shared" si="118"/>
        <v>0</v>
      </c>
      <c r="AT77" s="188"/>
      <c r="AU77" s="90"/>
      <c r="AV77" s="90"/>
      <c r="AW77" s="91">
        <f t="shared" si="119"/>
        <v>0</v>
      </c>
      <c r="AX77" s="94">
        <f t="shared" si="120"/>
        <v>0</v>
      </c>
      <c r="AY77" s="188"/>
      <c r="AZ77" s="90"/>
      <c r="BA77" s="102"/>
      <c r="BB77" s="92">
        <f t="shared" si="121"/>
        <v>0</v>
      </c>
      <c r="BC77" s="93">
        <f t="shared" si="122"/>
        <v>0</v>
      </c>
      <c r="BD77" s="188"/>
      <c r="BE77" s="90"/>
      <c r="BF77" s="90"/>
      <c r="BG77" s="91">
        <f t="shared" si="123"/>
        <v>0</v>
      </c>
      <c r="BH77" s="94">
        <f t="shared" si="124"/>
        <v>0</v>
      </c>
      <c r="BI77" s="188"/>
      <c r="BJ77" s="90"/>
      <c r="BK77" s="102"/>
      <c r="BL77" s="92">
        <f t="shared" si="125"/>
        <v>0</v>
      </c>
      <c r="BM77" s="90"/>
      <c r="BN77" s="90"/>
      <c r="BO77" s="94">
        <f t="shared" si="126"/>
        <v>0</v>
      </c>
      <c r="BP77" s="95">
        <f t="shared" si="127"/>
        <v>0</v>
      </c>
      <c r="BQ77" s="96"/>
      <c r="BR77" s="188"/>
      <c r="BS77" s="266">
        <f t="shared" si="128"/>
        <v>0</v>
      </c>
      <c r="BT77" s="299">
        <f t="shared" si="129"/>
        <v>0</v>
      </c>
      <c r="BU77" s="189"/>
      <c r="BV77" s="85">
        <f t="shared" si="130"/>
        <v>0</v>
      </c>
      <c r="CB77" s="357"/>
    </row>
    <row r="78" spans="1:80" s="88" customFormat="1" ht="14.4" thickBot="1" x14ac:dyDescent="0.3">
      <c r="A78" s="1">
        <v>35</v>
      </c>
      <c r="B78" s="1"/>
      <c r="C78" s="272" t="s">
        <v>19</v>
      </c>
      <c r="D78" s="257">
        <v>1536</v>
      </c>
      <c r="E78" s="217"/>
      <c r="F78" s="186"/>
      <c r="G78" s="102"/>
      <c r="H78" s="102"/>
      <c r="I78" s="91">
        <f t="shared" si="104"/>
        <v>0</v>
      </c>
      <c r="J78" s="186"/>
      <c r="K78" s="186"/>
      <c r="L78" s="186"/>
      <c r="M78" s="102"/>
      <c r="N78" s="92">
        <f t="shared" si="105"/>
        <v>0</v>
      </c>
      <c r="O78" s="93">
        <f t="shared" si="106"/>
        <v>0</v>
      </c>
      <c r="P78" s="188"/>
      <c r="Q78" s="90"/>
      <c r="R78" s="188"/>
      <c r="S78" s="91">
        <f t="shared" si="107"/>
        <v>0</v>
      </c>
      <c r="T78" s="94">
        <f t="shared" si="108"/>
        <v>0</v>
      </c>
      <c r="U78" s="188"/>
      <c r="V78" s="90"/>
      <c r="W78" s="90"/>
      <c r="X78" s="92">
        <f t="shared" si="109"/>
        <v>0</v>
      </c>
      <c r="Y78" s="93">
        <f t="shared" si="110"/>
        <v>0</v>
      </c>
      <c r="Z78" s="188"/>
      <c r="AA78" s="90"/>
      <c r="AB78" s="90"/>
      <c r="AC78" s="91">
        <f t="shared" si="111"/>
        <v>0</v>
      </c>
      <c r="AD78" s="94">
        <f t="shared" si="112"/>
        <v>0</v>
      </c>
      <c r="AE78" s="188"/>
      <c r="AF78" s="90"/>
      <c r="AG78" s="102"/>
      <c r="AH78" s="92">
        <f t="shared" si="113"/>
        <v>0</v>
      </c>
      <c r="AI78" s="93">
        <f t="shared" si="114"/>
        <v>0</v>
      </c>
      <c r="AJ78" s="188"/>
      <c r="AK78" s="188"/>
      <c r="AL78" s="188"/>
      <c r="AM78" s="91">
        <f t="shared" si="115"/>
        <v>0</v>
      </c>
      <c r="AN78" s="94">
        <f t="shared" si="116"/>
        <v>0</v>
      </c>
      <c r="AO78" s="188"/>
      <c r="AP78" s="90"/>
      <c r="AQ78" s="102"/>
      <c r="AR78" s="92">
        <f t="shared" si="117"/>
        <v>0</v>
      </c>
      <c r="AS78" s="93">
        <f t="shared" si="118"/>
        <v>0</v>
      </c>
      <c r="AT78" s="188"/>
      <c r="AU78" s="90"/>
      <c r="AV78" s="90"/>
      <c r="AW78" s="91">
        <f t="shared" si="119"/>
        <v>0</v>
      </c>
      <c r="AX78" s="94">
        <f t="shared" si="120"/>
        <v>0</v>
      </c>
      <c r="AY78" s="188"/>
      <c r="AZ78" s="90"/>
      <c r="BA78" s="102"/>
      <c r="BB78" s="92">
        <f t="shared" si="121"/>
        <v>0</v>
      </c>
      <c r="BC78" s="93">
        <f t="shared" si="122"/>
        <v>0</v>
      </c>
      <c r="BD78" s="188"/>
      <c r="BE78" s="90"/>
      <c r="BF78" s="90"/>
      <c r="BG78" s="91">
        <f t="shared" si="123"/>
        <v>0</v>
      </c>
      <c r="BH78" s="94">
        <f t="shared" si="124"/>
        <v>0</v>
      </c>
      <c r="BI78" s="188"/>
      <c r="BJ78" s="90"/>
      <c r="BK78" s="102"/>
      <c r="BL78" s="92">
        <f t="shared" si="125"/>
        <v>0</v>
      </c>
      <c r="BM78" s="90"/>
      <c r="BN78" s="90"/>
      <c r="BO78" s="94">
        <f t="shared" si="126"/>
        <v>0</v>
      </c>
      <c r="BP78" s="95">
        <f t="shared" si="127"/>
        <v>0</v>
      </c>
      <c r="BQ78" s="96"/>
      <c r="BR78" s="188"/>
      <c r="BS78" s="266">
        <f t="shared" si="128"/>
        <v>0</v>
      </c>
      <c r="BT78" s="299">
        <f t="shared" si="129"/>
        <v>0</v>
      </c>
      <c r="BU78" s="189"/>
      <c r="BV78" s="85">
        <f t="shared" si="130"/>
        <v>0</v>
      </c>
      <c r="CB78" s="357"/>
    </row>
    <row r="79" spans="1:80" s="88" customFormat="1" ht="16.8" thickBot="1" x14ac:dyDescent="0.3">
      <c r="A79" s="1">
        <v>36</v>
      </c>
      <c r="B79" s="1"/>
      <c r="C79" s="272" t="s">
        <v>228</v>
      </c>
      <c r="D79" s="257">
        <v>1555</v>
      </c>
      <c r="E79" s="183"/>
      <c r="F79" s="186"/>
      <c r="G79" s="102"/>
      <c r="H79" s="102"/>
      <c r="I79" s="91">
        <f t="shared" si="104"/>
        <v>0</v>
      </c>
      <c r="J79" s="186"/>
      <c r="K79" s="188"/>
      <c r="L79" s="188"/>
      <c r="M79" s="90"/>
      <c r="N79" s="92">
        <f t="shared" si="105"/>
        <v>0</v>
      </c>
      <c r="O79" s="93">
        <f t="shared" si="106"/>
        <v>0</v>
      </c>
      <c r="P79" s="188"/>
      <c r="Q79" s="90"/>
      <c r="R79" s="90"/>
      <c r="S79" s="91">
        <f t="shared" si="107"/>
        <v>0</v>
      </c>
      <c r="T79" s="94">
        <f t="shared" si="108"/>
        <v>0</v>
      </c>
      <c r="U79" s="188"/>
      <c r="V79" s="103"/>
      <c r="W79" s="103"/>
      <c r="X79" s="92">
        <f t="shared" si="109"/>
        <v>0</v>
      </c>
      <c r="Y79" s="93">
        <f t="shared" si="110"/>
        <v>0</v>
      </c>
      <c r="Z79" s="188"/>
      <c r="AA79" s="90"/>
      <c r="AB79" s="90"/>
      <c r="AC79" s="91">
        <f t="shared" si="111"/>
        <v>0</v>
      </c>
      <c r="AD79" s="94">
        <f t="shared" si="112"/>
        <v>0</v>
      </c>
      <c r="AE79" s="188"/>
      <c r="AF79" s="103"/>
      <c r="AG79" s="103"/>
      <c r="AH79" s="92">
        <f t="shared" si="113"/>
        <v>0</v>
      </c>
      <c r="AI79" s="93">
        <f t="shared" si="114"/>
        <v>0</v>
      </c>
      <c r="AJ79" s="188"/>
      <c r="AK79" s="188"/>
      <c r="AL79" s="188"/>
      <c r="AM79" s="91">
        <f t="shared" si="115"/>
        <v>0</v>
      </c>
      <c r="AN79" s="94">
        <f t="shared" si="116"/>
        <v>0</v>
      </c>
      <c r="AO79" s="188"/>
      <c r="AP79" s="103"/>
      <c r="AQ79" s="103"/>
      <c r="AR79" s="92">
        <f t="shared" si="117"/>
        <v>0</v>
      </c>
      <c r="AS79" s="93">
        <f t="shared" si="118"/>
        <v>0</v>
      </c>
      <c r="AT79" s="188"/>
      <c r="AU79" s="90"/>
      <c r="AV79" s="90"/>
      <c r="AW79" s="91">
        <f t="shared" si="119"/>
        <v>0</v>
      </c>
      <c r="AX79" s="94">
        <f t="shared" si="120"/>
        <v>0</v>
      </c>
      <c r="AY79" s="188"/>
      <c r="AZ79" s="103"/>
      <c r="BA79" s="103"/>
      <c r="BB79" s="92">
        <f t="shared" si="121"/>
        <v>0</v>
      </c>
      <c r="BC79" s="93">
        <f t="shared" si="122"/>
        <v>0</v>
      </c>
      <c r="BD79" s="188"/>
      <c r="BE79" s="90"/>
      <c r="BF79" s="90"/>
      <c r="BG79" s="91">
        <f t="shared" si="123"/>
        <v>0</v>
      </c>
      <c r="BH79" s="94">
        <f t="shared" si="124"/>
        <v>0</v>
      </c>
      <c r="BI79" s="188"/>
      <c r="BJ79" s="103"/>
      <c r="BK79" s="103"/>
      <c r="BL79" s="92">
        <f t="shared" si="125"/>
        <v>0</v>
      </c>
      <c r="BM79" s="89"/>
      <c r="BN79" s="90"/>
      <c r="BO79" s="94">
        <f t="shared" si="126"/>
        <v>0</v>
      </c>
      <c r="BP79" s="95">
        <f t="shared" si="127"/>
        <v>0</v>
      </c>
      <c r="BQ79" s="96"/>
      <c r="BR79" s="188"/>
      <c r="BS79" s="266">
        <f t="shared" si="128"/>
        <v>0</v>
      </c>
      <c r="BT79" s="299">
        <f t="shared" si="29"/>
        <v>0</v>
      </c>
      <c r="BU79" s="189"/>
      <c r="BV79" s="85">
        <f t="shared" si="130"/>
        <v>0</v>
      </c>
      <c r="CB79" s="357"/>
    </row>
    <row r="80" spans="1:80" s="88" customFormat="1" ht="16.8" thickBot="1" x14ac:dyDescent="0.3">
      <c r="A80" s="1">
        <v>37</v>
      </c>
      <c r="B80" s="1"/>
      <c r="C80" s="272" t="s">
        <v>230</v>
      </c>
      <c r="D80" s="257">
        <v>1555</v>
      </c>
      <c r="E80" s="214"/>
      <c r="F80" s="213"/>
      <c r="G80" s="102"/>
      <c r="H80" s="102"/>
      <c r="I80" s="91">
        <f t="shared" si="104"/>
        <v>0</v>
      </c>
      <c r="J80" s="186"/>
      <c r="K80" s="188"/>
      <c r="L80" s="188"/>
      <c r="M80" s="90"/>
      <c r="N80" s="92">
        <f t="shared" si="105"/>
        <v>0</v>
      </c>
      <c r="O80" s="93">
        <f t="shared" si="106"/>
        <v>0</v>
      </c>
      <c r="P80" s="188"/>
      <c r="Q80" s="90"/>
      <c r="R80" s="90"/>
      <c r="S80" s="91">
        <f t="shared" si="107"/>
        <v>0</v>
      </c>
      <c r="T80" s="94">
        <f t="shared" si="108"/>
        <v>0</v>
      </c>
      <c r="U80" s="188"/>
      <c r="V80" s="103"/>
      <c r="W80" s="103"/>
      <c r="X80" s="92">
        <f t="shared" si="109"/>
        <v>0</v>
      </c>
      <c r="Y80" s="93">
        <f t="shared" si="110"/>
        <v>0</v>
      </c>
      <c r="Z80" s="188"/>
      <c r="AA80" s="90"/>
      <c r="AB80" s="90"/>
      <c r="AC80" s="91">
        <f t="shared" si="111"/>
        <v>0</v>
      </c>
      <c r="AD80" s="94">
        <f t="shared" si="112"/>
        <v>0</v>
      </c>
      <c r="AE80" s="188"/>
      <c r="AF80" s="103"/>
      <c r="AG80" s="103"/>
      <c r="AH80" s="92">
        <f t="shared" si="113"/>
        <v>0</v>
      </c>
      <c r="AI80" s="93">
        <f t="shared" si="114"/>
        <v>0</v>
      </c>
      <c r="AJ80" s="188"/>
      <c r="AK80" s="188"/>
      <c r="AL80" s="188"/>
      <c r="AM80" s="91">
        <f t="shared" si="115"/>
        <v>0</v>
      </c>
      <c r="AN80" s="94">
        <f t="shared" si="116"/>
        <v>0</v>
      </c>
      <c r="AO80" s="188"/>
      <c r="AP80" s="103"/>
      <c r="AQ80" s="103"/>
      <c r="AR80" s="92">
        <f t="shared" si="117"/>
        <v>0</v>
      </c>
      <c r="AS80" s="93">
        <f t="shared" si="118"/>
        <v>0</v>
      </c>
      <c r="AT80" s="188"/>
      <c r="AU80" s="90"/>
      <c r="AV80" s="90"/>
      <c r="AW80" s="91">
        <f t="shared" si="119"/>
        <v>0</v>
      </c>
      <c r="AX80" s="94">
        <f t="shared" si="120"/>
        <v>0</v>
      </c>
      <c r="AY80" s="188"/>
      <c r="AZ80" s="103"/>
      <c r="BA80" s="103"/>
      <c r="BB80" s="92">
        <f t="shared" si="121"/>
        <v>0</v>
      </c>
      <c r="BC80" s="93">
        <f t="shared" si="122"/>
        <v>0</v>
      </c>
      <c r="BD80" s="188"/>
      <c r="BE80" s="90"/>
      <c r="BF80" s="90"/>
      <c r="BG80" s="91">
        <f t="shared" si="123"/>
        <v>0</v>
      </c>
      <c r="BH80" s="94">
        <f t="shared" si="124"/>
        <v>0</v>
      </c>
      <c r="BI80" s="90"/>
      <c r="BJ80" s="103"/>
      <c r="BK80" s="103"/>
      <c r="BL80" s="92">
        <f t="shared" si="125"/>
        <v>0</v>
      </c>
      <c r="BM80" s="89"/>
      <c r="BN80" s="90"/>
      <c r="BO80" s="94">
        <f t="shared" si="126"/>
        <v>0</v>
      </c>
      <c r="BP80" s="95">
        <f t="shared" si="127"/>
        <v>0</v>
      </c>
      <c r="BQ80" s="96"/>
      <c r="BR80" s="188"/>
      <c r="BS80" s="266">
        <f t="shared" si="128"/>
        <v>0</v>
      </c>
      <c r="BT80" s="299">
        <f t="shared" si="29"/>
        <v>0</v>
      </c>
      <c r="BU80" s="189"/>
      <c r="BV80" s="85">
        <f t="shared" si="130"/>
        <v>0</v>
      </c>
      <c r="CB80" s="357"/>
    </row>
    <row r="81" spans="1:80" s="88" customFormat="1" ht="16.8" thickBot="1" x14ac:dyDescent="0.3">
      <c r="A81" s="1">
        <v>38</v>
      </c>
      <c r="B81" s="1"/>
      <c r="C81" s="272" t="s">
        <v>229</v>
      </c>
      <c r="D81" s="257">
        <v>1555</v>
      </c>
      <c r="E81" s="214"/>
      <c r="F81" s="213"/>
      <c r="G81" s="102"/>
      <c r="H81" s="102"/>
      <c r="I81" s="91">
        <f t="shared" si="104"/>
        <v>0</v>
      </c>
      <c r="J81" s="186"/>
      <c r="K81" s="188"/>
      <c r="L81" s="188"/>
      <c r="M81" s="90"/>
      <c r="N81" s="92">
        <f t="shared" si="105"/>
        <v>0</v>
      </c>
      <c r="O81" s="93">
        <f t="shared" si="106"/>
        <v>0</v>
      </c>
      <c r="P81" s="188">
        <v>376850</v>
      </c>
      <c r="Q81" s="90"/>
      <c r="R81" s="90"/>
      <c r="S81" s="91">
        <f t="shared" si="107"/>
        <v>376850</v>
      </c>
      <c r="T81" s="94">
        <f t="shared" si="108"/>
        <v>0</v>
      </c>
      <c r="U81" s="188"/>
      <c r="V81" s="90"/>
      <c r="W81" s="90"/>
      <c r="X81" s="92">
        <f t="shared" si="109"/>
        <v>0</v>
      </c>
      <c r="Y81" s="93">
        <f t="shared" si="110"/>
        <v>376850</v>
      </c>
      <c r="Z81" s="188">
        <v>-42532</v>
      </c>
      <c r="AA81" s="90"/>
      <c r="AB81" s="90"/>
      <c r="AC81" s="91">
        <f t="shared" si="111"/>
        <v>334318</v>
      </c>
      <c r="AD81" s="94">
        <f t="shared" si="112"/>
        <v>0</v>
      </c>
      <c r="AE81" s="188"/>
      <c r="AF81" s="90"/>
      <c r="AG81" s="90"/>
      <c r="AH81" s="92">
        <f t="shared" si="113"/>
        <v>0</v>
      </c>
      <c r="AI81" s="93">
        <f t="shared" si="114"/>
        <v>334318</v>
      </c>
      <c r="AJ81" s="188">
        <v>-119987</v>
      </c>
      <c r="AK81" s="188"/>
      <c r="AL81" s="188"/>
      <c r="AM81" s="91">
        <f t="shared" si="115"/>
        <v>214331</v>
      </c>
      <c r="AN81" s="94">
        <f t="shared" si="116"/>
        <v>0</v>
      </c>
      <c r="AO81" s="90">
        <v>2369</v>
      </c>
      <c r="AP81" s="90"/>
      <c r="AQ81" s="90"/>
      <c r="AR81" s="92">
        <f t="shared" si="117"/>
        <v>2369</v>
      </c>
      <c r="AS81" s="93">
        <f t="shared" si="118"/>
        <v>214331</v>
      </c>
      <c r="AT81" s="188">
        <v>-185144</v>
      </c>
      <c r="AU81" s="90"/>
      <c r="AV81" s="90"/>
      <c r="AW81" s="91">
        <f t="shared" si="119"/>
        <v>29187</v>
      </c>
      <c r="AX81" s="94">
        <f t="shared" si="120"/>
        <v>2369</v>
      </c>
      <c r="AY81" s="188">
        <v>1903</v>
      </c>
      <c r="AZ81" s="90"/>
      <c r="BA81" s="90"/>
      <c r="BB81" s="92">
        <f t="shared" si="121"/>
        <v>4272</v>
      </c>
      <c r="BC81" s="93">
        <f t="shared" si="122"/>
        <v>29187</v>
      </c>
      <c r="BD81" s="188">
        <v>-78805</v>
      </c>
      <c r="BE81" s="90"/>
      <c r="BF81" s="90"/>
      <c r="BG81" s="91">
        <f t="shared" si="123"/>
        <v>-49618</v>
      </c>
      <c r="BH81" s="94">
        <f t="shared" si="124"/>
        <v>4272</v>
      </c>
      <c r="BI81" s="90">
        <v>-319</v>
      </c>
      <c r="BJ81" s="90"/>
      <c r="BK81" s="90"/>
      <c r="BL81" s="92">
        <f t="shared" si="125"/>
        <v>3953</v>
      </c>
      <c r="BM81" s="89">
        <v>0</v>
      </c>
      <c r="BN81" s="90"/>
      <c r="BO81" s="94">
        <f t="shared" si="126"/>
        <v>-49618</v>
      </c>
      <c r="BP81" s="95">
        <f t="shared" si="127"/>
        <v>3953</v>
      </c>
      <c r="BQ81" s="96">
        <v>0</v>
      </c>
      <c r="BR81" s="188"/>
      <c r="BS81" s="266">
        <f t="shared" si="128"/>
        <v>3953</v>
      </c>
      <c r="BT81" s="299">
        <f t="shared" si="29"/>
        <v>-45665</v>
      </c>
      <c r="BU81" s="189">
        <v>-45665.29000000003</v>
      </c>
      <c r="BV81" s="85">
        <f t="shared" si="130"/>
        <v>-0.29000000002997695</v>
      </c>
      <c r="CB81" s="357"/>
    </row>
    <row r="82" spans="1:80" s="88" customFormat="1" ht="16.8" thickBot="1" x14ac:dyDescent="0.3">
      <c r="A82" s="1">
        <v>39</v>
      </c>
      <c r="B82" s="1"/>
      <c r="C82" s="272" t="s">
        <v>231</v>
      </c>
      <c r="D82" s="257">
        <v>1556</v>
      </c>
      <c r="E82" s="214"/>
      <c r="F82" s="213"/>
      <c r="G82" s="102"/>
      <c r="H82" s="102"/>
      <c r="I82" s="91">
        <f t="shared" si="104"/>
        <v>0</v>
      </c>
      <c r="J82" s="220"/>
      <c r="K82" s="221"/>
      <c r="L82" s="186"/>
      <c r="M82" s="102"/>
      <c r="N82" s="92">
        <f t="shared" si="105"/>
        <v>0</v>
      </c>
      <c r="O82" s="106">
        <f t="shared" si="106"/>
        <v>0</v>
      </c>
      <c r="P82" s="240"/>
      <c r="Q82" s="102"/>
      <c r="R82" s="102"/>
      <c r="S82" s="91">
        <f t="shared" si="107"/>
        <v>0</v>
      </c>
      <c r="T82" s="107">
        <f t="shared" si="108"/>
        <v>0</v>
      </c>
      <c r="U82" s="244"/>
      <c r="V82" s="102"/>
      <c r="W82" s="102"/>
      <c r="X82" s="92">
        <f t="shared" si="109"/>
        <v>0</v>
      </c>
      <c r="Y82" s="106">
        <f t="shared" si="110"/>
        <v>0</v>
      </c>
      <c r="Z82" s="186"/>
      <c r="AA82" s="102"/>
      <c r="AB82" s="102"/>
      <c r="AC82" s="91">
        <f t="shared" si="111"/>
        <v>0</v>
      </c>
      <c r="AD82" s="107">
        <f t="shared" si="112"/>
        <v>0</v>
      </c>
      <c r="AE82" s="186"/>
      <c r="AF82" s="102"/>
      <c r="AG82" s="102"/>
      <c r="AH82" s="92">
        <f t="shared" si="113"/>
        <v>0</v>
      </c>
      <c r="AI82" s="106">
        <f t="shared" si="114"/>
        <v>0</v>
      </c>
      <c r="AJ82" s="186"/>
      <c r="AK82" s="186"/>
      <c r="AL82" s="186"/>
      <c r="AM82" s="91">
        <f t="shared" si="115"/>
        <v>0</v>
      </c>
      <c r="AN82" s="107">
        <f t="shared" si="116"/>
        <v>0</v>
      </c>
      <c r="AO82" s="102"/>
      <c r="AP82" s="102"/>
      <c r="AQ82" s="102"/>
      <c r="AR82" s="92">
        <f t="shared" si="117"/>
        <v>0</v>
      </c>
      <c r="AS82" s="106">
        <f t="shared" si="118"/>
        <v>0</v>
      </c>
      <c r="AT82" s="186"/>
      <c r="AU82" s="102"/>
      <c r="AV82" s="102"/>
      <c r="AW82" s="91">
        <f t="shared" si="119"/>
        <v>0</v>
      </c>
      <c r="AX82" s="107">
        <f t="shared" si="120"/>
        <v>0</v>
      </c>
      <c r="AY82" s="186"/>
      <c r="AZ82" s="102"/>
      <c r="BA82" s="102"/>
      <c r="BB82" s="92">
        <f t="shared" si="121"/>
        <v>0</v>
      </c>
      <c r="BC82" s="106">
        <f t="shared" si="122"/>
        <v>0</v>
      </c>
      <c r="BD82" s="188"/>
      <c r="BE82" s="102"/>
      <c r="BF82" s="102"/>
      <c r="BG82" s="91">
        <f t="shared" si="123"/>
        <v>0</v>
      </c>
      <c r="BH82" s="107">
        <f t="shared" si="124"/>
        <v>0</v>
      </c>
      <c r="BI82" s="102"/>
      <c r="BJ82" s="102"/>
      <c r="BK82" s="102"/>
      <c r="BL82" s="92">
        <f t="shared" si="125"/>
        <v>0</v>
      </c>
      <c r="BM82" s="101"/>
      <c r="BN82" s="102"/>
      <c r="BO82" s="94">
        <f t="shared" si="126"/>
        <v>0</v>
      </c>
      <c r="BP82" s="95">
        <f t="shared" si="127"/>
        <v>0</v>
      </c>
      <c r="BQ82" s="96"/>
      <c r="BR82" s="188"/>
      <c r="BS82" s="266">
        <f t="shared" si="128"/>
        <v>0</v>
      </c>
      <c r="BT82" s="299">
        <f t="shared" si="29"/>
        <v>0</v>
      </c>
      <c r="BU82" s="189"/>
      <c r="BV82" s="85">
        <f t="shared" si="130"/>
        <v>0</v>
      </c>
      <c r="CB82" s="357"/>
    </row>
    <row r="83" spans="1:80" s="88" customFormat="1" ht="16.8" thickBot="1" x14ac:dyDescent="0.3">
      <c r="A83" s="1">
        <v>40</v>
      </c>
      <c r="B83" s="1"/>
      <c r="C83" s="272" t="s">
        <v>332</v>
      </c>
      <c r="D83" s="257">
        <v>1557</v>
      </c>
      <c r="E83" s="260"/>
      <c r="F83" s="100"/>
      <c r="G83" s="100"/>
      <c r="H83" s="100"/>
      <c r="I83" s="91"/>
      <c r="J83" s="261"/>
      <c r="K83" s="100"/>
      <c r="L83" s="100"/>
      <c r="M83" s="100"/>
      <c r="N83" s="92"/>
      <c r="O83" s="93"/>
      <c r="P83" s="100"/>
      <c r="Q83" s="100"/>
      <c r="R83" s="100"/>
      <c r="S83" s="91"/>
      <c r="T83" s="94"/>
      <c r="U83" s="100"/>
      <c r="V83" s="100"/>
      <c r="W83" s="100"/>
      <c r="X83" s="92"/>
      <c r="Y83" s="93"/>
      <c r="Z83" s="100"/>
      <c r="AA83" s="100"/>
      <c r="AB83" s="100"/>
      <c r="AC83" s="91"/>
      <c r="AD83" s="94"/>
      <c r="AE83" s="100"/>
      <c r="AF83" s="100"/>
      <c r="AG83" s="100"/>
      <c r="AH83" s="92"/>
      <c r="AI83" s="93"/>
      <c r="AJ83" s="100"/>
      <c r="AK83" s="100"/>
      <c r="AL83" s="100"/>
      <c r="AM83" s="91"/>
      <c r="AN83" s="94"/>
      <c r="AO83" s="100"/>
      <c r="AP83" s="100"/>
      <c r="AQ83" s="100"/>
      <c r="AR83" s="92"/>
      <c r="AS83" s="93">
        <f t="shared" si="118"/>
        <v>0</v>
      </c>
      <c r="AT83" s="188"/>
      <c r="AU83" s="188"/>
      <c r="AV83" s="188"/>
      <c r="AW83" s="91">
        <f t="shared" si="119"/>
        <v>0</v>
      </c>
      <c r="AX83" s="94">
        <f t="shared" si="120"/>
        <v>0</v>
      </c>
      <c r="AY83" s="188"/>
      <c r="AZ83" s="186"/>
      <c r="BA83" s="186"/>
      <c r="BB83" s="92">
        <f t="shared" si="121"/>
        <v>0</v>
      </c>
      <c r="BC83" s="93">
        <f t="shared" si="122"/>
        <v>0</v>
      </c>
      <c r="BD83" s="188"/>
      <c r="BE83" s="188"/>
      <c r="BF83" s="188"/>
      <c r="BG83" s="91">
        <f t="shared" si="123"/>
        <v>0</v>
      </c>
      <c r="BH83" s="94">
        <f t="shared" si="124"/>
        <v>0</v>
      </c>
      <c r="BI83" s="188"/>
      <c r="BJ83" s="186"/>
      <c r="BK83" s="186"/>
      <c r="BL83" s="92">
        <f t="shared" si="125"/>
        <v>0</v>
      </c>
      <c r="BM83" s="89"/>
      <c r="BN83" s="188"/>
      <c r="BO83" s="94">
        <f t="shared" si="126"/>
        <v>0</v>
      </c>
      <c r="BP83" s="95">
        <f t="shared" si="127"/>
        <v>0</v>
      </c>
      <c r="BQ83" s="96"/>
      <c r="BR83" s="188"/>
      <c r="BS83" s="266">
        <f t="shared" si="128"/>
        <v>0</v>
      </c>
      <c r="BT83" s="299">
        <f t="shared" si="29"/>
        <v>0</v>
      </c>
      <c r="BU83" s="189"/>
      <c r="BV83" s="85">
        <f t="shared" si="130"/>
        <v>0</v>
      </c>
      <c r="CB83" s="357"/>
    </row>
    <row r="84" spans="1:80" s="88" customFormat="1" ht="14.4" thickBot="1" x14ac:dyDescent="0.3">
      <c r="A84" s="1"/>
      <c r="B84" s="1"/>
      <c r="C84" s="272"/>
      <c r="D84" s="257"/>
      <c r="E84" s="111"/>
      <c r="F84" s="91"/>
      <c r="G84" s="91"/>
      <c r="H84" s="91"/>
      <c r="I84" s="91"/>
      <c r="J84" s="91"/>
      <c r="K84" s="91"/>
      <c r="L84" s="91"/>
      <c r="M84" s="91"/>
      <c r="N84" s="91"/>
      <c r="O84" s="98"/>
      <c r="P84" s="91"/>
      <c r="Q84" s="91"/>
      <c r="R84" s="91"/>
      <c r="S84" s="91"/>
      <c r="T84" s="91"/>
      <c r="U84" s="91"/>
      <c r="V84" s="91"/>
      <c r="W84" s="91"/>
      <c r="X84" s="91"/>
      <c r="Y84" s="98"/>
      <c r="Z84" s="91"/>
      <c r="AA84" s="91"/>
      <c r="AB84" s="91"/>
      <c r="AC84" s="91"/>
      <c r="AD84" s="91"/>
      <c r="AE84" s="91"/>
      <c r="AF84" s="91"/>
      <c r="AG84" s="91"/>
      <c r="AH84" s="91"/>
      <c r="AI84" s="98"/>
      <c r="AJ84" s="91"/>
      <c r="AK84" s="91"/>
      <c r="AL84" s="91"/>
      <c r="AM84" s="91"/>
      <c r="AN84" s="91"/>
      <c r="AO84" s="91"/>
      <c r="AP84" s="91"/>
      <c r="AQ84" s="91"/>
      <c r="AR84" s="91"/>
      <c r="AS84" s="98"/>
      <c r="AT84" s="91"/>
      <c r="AU84" s="91"/>
      <c r="AV84" s="91"/>
      <c r="AW84" s="91"/>
      <c r="AX84" s="91"/>
      <c r="AY84" s="91"/>
      <c r="AZ84" s="91"/>
      <c r="BA84" s="91"/>
      <c r="BB84" s="91"/>
      <c r="BC84" s="98"/>
      <c r="BD84" s="91"/>
      <c r="BE84" s="91"/>
      <c r="BF84" s="91"/>
      <c r="BG84" s="91"/>
      <c r="BH84" s="91"/>
      <c r="BI84" s="91"/>
      <c r="BJ84" s="91"/>
      <c r="BK84" s="91"/>
      <c r="BL84" s="91"/>
      <c r="BM84" s="98"/>
      <c r="BN84" s="91"/>
      <c r="BO84" s="91"/>
      <c r="BP84" s="91"/>
      <c r="BQ84" s="98"/>
      <c r="BR84" s="91"/>
      <c r="BS84" s="91"/>
      <c r="BT84" s="68"/>
      <c r="BU84" s="98"/>
      <c r="BV84" s="99"/>
      <c r="CB84" s="357"/>
    </row>
    <row r="85" spans="1:80" s="88" customFormat="1" ht="16.8" thickBot="1" x14ac:dyDescent="0.3">
      <c r="A85" s="1">
        <v>41</v>
      </c>
      <c r="B85" s="1"/>
      <c r="C85" s="283" t="s">
        <v>232</v>
      </c>
      <c r="D85" s="284">
        <v>1575</v>
      </c>
      <c r="E85" s="195"/>
      <c r="F85" s="100"/>
      <c r="G85" s="100"/>
      <c r="H85" s="100"/>
      <c r="I85" s="91"/>
      <c r="J85" s="196"/>
      <c r="K85" s="100"/>
      <c r="L85" s="100"/>
      <c r="M85" s="100"/>
      <c r="N85" s="92"/>
      <c r="O85" s="240"/>
      <c r="P85" s="240"/>
      <c r="Q85" s="186"/>
      <c r="R85" s="186"/>
      <c r="S85" s="91">
        <f>O85+P85-Q85+SUM(R85:R85)</f>
        <v>0</v>
      </c>
      <c r="T85" s="196"/>
      <c r="U85" s="100"/>
      <c r="V85" s="100"/>
      <c r="W85" s="100"/>
      <c r="X85" s="92"/>
      <c r="Y85" s="106">
        <f>S85</f>
        <v>0</v>
      </c>
      <c r="Z85" s="186"/>
      <c r="AA85" s="186"/>
      <c r="AB85" s="186"/>
      <c r="AC85" s="91">
        <f>Y85+Z85-AA85+SUM(AB85:AB85)</f>
        <v>0</v>
      </c>
      <c r="AD85" s="196"/>
      <c r="AE85" s="100"/>
      <c r="AF85" s="100"/>
      <c r="AG85" s="100"/>
      <c r="AH85" s="92"/>
      <c r="AI85" s="93">
        <f t="shared" si="114"/>
        <v>0</v>
      </c>
      <c r="AJ85" s="188"/>
      <c r="AK85" s="188"/>
      <c r="AL85" s="188"/>
      <c r="AM85" s="91">
        <f>AI85+AJ85-AK85+SUM(AL85:AL85)</f>
        <v>0</v>
      </c>
      <c r="AN85" s="196"/>
      <c r="AO85" s="100"/>
      <c r="AP85" s="100"/>
      <c r="AQ85" s="100"/>
      <c r="AR85" s="92"/>
      <c r="AS85" s="197">
        <f>AM85</f>
        <v>0</v>
      </c>
      <c r="AT85" s="188"/>
      <c r="AU85" s="188"/>
      <c r="AV85" s="188"/>
      <c r="AW85" s="91">
        <f>AS85+AT85-AU85+SUM(AV85:AV85)</f>
        <v>0</v>
      </c>
      <c r="AX85" s="196"/>
      <c r="AY85" s="100"/>
      <c r="AZ85" s="100"/>
      <c r="BA85" s="100"/>
      <c r="BB85" s="92"/>
      <c r="BC85" s="197">
        <f>AW85</f>
        <v>0</v>
      </c>
      <c r="BD85" s="188"/>
      <c r="BE85" s="188"/>
      <c r="BF85" s="188"/>
      <c r="BG85" s="91">
        <f>BC85+BD85-BE85+SUM(BF85:BF85)</f>
        <v>0</v>
      </c>
      <c r="BH85" s="196"/>
      <c r="BI85" s="100"/>
      <c r="BJ85" s="100"/>
      <c r="BK85" s="100"/>
      <c r="BL85" s="92"/>
      <c r="BM85" s="89"/>
      <c r="BN85" s="100"/>
      <c r="BO85" s="94">
        <f t="shared" ref="BO85:BO86" si="131">BG85-BM85</f>
        <v>0</v>
      </c>
      <c r="BP85" s="95"/>
      <c r="BQ85" s="100"/>
      <c r="BR85" s="100"/>
      <c r="BS85" s="100"/>
      <c r="BT85" s="299">
        <f>IF(CB85=TRUE, SUM(BO85:BR85), 0)</f>
        <v>0</v>
      </c>
      <c r="BU85" s="108"/>
      <c r="BV85" s="85">
        <f t="shared" ref="BV85:BV86" si="132">BU85-SUM(BG85,BL85)</f>
        <v>0</v>
      </c>
      <c r="CA85" s="69">
        <v>1575</v>
      </c>
      <c r="CB85" s="357" t="b">
        <v>1</v>
      </c>
    </row>
    <row r="86" spans="1:80" s="88" customFormat="1" ht="16.8" thickBot="1" x14ac:dyDescent="0.3">
      <c r="A86" s="1">
        <v>42</v>
      </c>
      <c r="B86" s="1"/>
      <c r="C86" s="283" t="s">
        <v>233</v>
      </c>
      <c r="D86" s="284">
        <v>1576</v>
      </c>
      <c r="E86" s="112"/>
      <c r="F86" s="100"/>
      <c r="G86" s="100"/>
      <c r="H86" s="100"/>
      <c r="I86" s="91"/>
      <c r="J86" s="94"/>
      <c r="K86" s="100"/>
      <c r="L86" s="100"/>
      <c r="M86" s="100"/>
      <c r="N86" s="92"/>
      <c r="O86" s="112"/>
      <c r="P86" s="100"/>
      <c r="Q86" s="100"/>
      <c r="R86" s="100"/>
      <c r="S86" s="91"/>
      <c r="T86" s="94"/>
      <c r="U86" s="100"/>
      <c r="V86" s="100"/>
      <c r="W86" s="100"/>
      <c r="X86" s="92"/>
      <c r="Y86" s="186"/>
      <c r="Z86" s="186"/>
      <c r="AA86" s="186"/>
      <c r="AB86" s="186"/>
      <c r="AC86" s="91">
        <f>Y86+Z86-AA86+SUM(AB86:AB86)</f>
        <v>0</v>
      </c>
      <c r="AD86" s="94"/>
      <c r="AE86" s="100"/>
      <c r="AF86" s="100"/>
      <c r="AG86" s="100"/>
      <c r="AH86" s="92"/>
      <c r="AI86" s="106">
        <f t="shared" si="114"/>
        <v>0</v>
      </c>
      <c r="AJ86" s="186"/>
      <c r="AK86" s="186"/>
      <c r="AL86" s="186"/>
      <c r="AM86" s="91">
        <f>AI86+AJ86-AK86+SUM(AL86:AL86)</f>
        <v>0</v>
      </c>
      <c r="AN86" s="94"/>
      <c r="AO86" s="100"/>
      <c r="AP86" s="100"/>
      <c r="AQ86" s="100"/>
      <c r="AR86" s="92"/>
      <c r="AS86" s="93">
        <f>AM86</f>
        <v>0</v>
      </c>
      <c r="AT86" s="186"/>
      <c r="AU86" s="186"/>
      <c r="AV86" s="186"/>
      <c r="AW86" s="91">
        <f>AS86+AT86-AU86+SUM(AV86:AV86)</f>
        <v>0</v>
      </c>
      <c r="AX86" s="94"/>
      <c r="AY86" s="100"/>
      <c r="AZ86" s="100"/>
      <c r="BA86" s="100"/>
      <c r="BB86" s="92"/>
      <c r="BC86" s="93">
        <f>AW86</f>
        <v>0</v>
      </c>
      <c r="BD86" s="186"/>
      <c r="BE86" s="186"/>
      <c r="BF86" s="186"/>
      <c r="BG86" s="91">
        <f>BC86+BD86-BE86+SUM(BF86:BF86)</f>
        <v>0</v>
      </c>
      <c r="BH86" s="94"/>
      <c r="BI86" s="100"/>
      <c r="BJ86" s="100"/>
      <c r="BK86" s="100"/>
      <c r="BL86" s="92"/>
      <c r="BM86" s="101"/>
      <c r="BN86" s="100"/>
      <c r="BO86" s="94">
        <f t="shared" si="131"/>
        <v>0</v>
      </c>
      <c r="BP86" s="95"/>
      <c r="BQ86" s="100"/>
      <c r="BR86" s="100"/>
      <c r="BS86" s="100"/>
      <c r="BT86" s="299">
        <f>IF(CB86=TRUE, SUM(BO86:BR86), 0)</f>
        <v>0</v>
      </c>
      <c r="BU86" s="108"/>
      <c r="BV86" s="85">
        <f t="shared" si="132"/>
        <v>0</v>
      </c>
      <c r="CA86" s="69">
        <v>1576</v>
      </c>
      <c r="CB86" s="357" t="b">
        <v>1</v>
      </c>
    </row>
    <row r="87" spans="1:80" s="88" customFormat="1" ht="14.4" thickBot="1" x14ac:dyDescent="0.3">
      <c r="A87" s="1"/>
      <c r="B87" s="1"/>
      <c r="C87" s="290"/>
      <c r="D87" s="291"/>
      <c r="E87" s="113"/>
      <c r="F87" s="114"/>
      <c r="G87" s="114"/>
      <c r="H87" s="114"/>
      <c r="I87" s="114"/>
      <c r="J87" s="114"/>
      <c r="K87" s="114"/>
      <c r="L87" s="114"/>
      <c r="M87" s="114"/>
      <c r="N87" s="114"/>
      <c r="O87" s="113"/>
      <c r="P87" s="114"/>
      <c r="Q87" s="114"/>
      <c r="R87" s="114"/>
      <c r="S87" s="114"/>
      <c r="T87" s="114"/>
      <c r="U87" s="114"/>
      <c r="V87" s="114"/>
      <c r="W87" s="114"/>
      <c r="X87" s="114"/>
      <c r="Y87" s="113"/>
      <c r="Z87" s="114"/>
      <c r="AA87" s="114"/>
      <c r="AB87" s="114"/>
      <c r="AC87" s="114"/>
      <c r="AD87" s="114"/>
      <c r="AE87" s="114"/>
      <c r="AF87" s="114"/>
      <c r="AG87" s="114"/>
      <c r="AH87" s="114"/>
      <c r="AI87" s="113"/>
      <c r="AJ87" s="114"/>
      <c r="AK87" s="114"/>
      <c r="AL87" s="114"/>
      <c r="AM87" s="114"/>
      <c r="AN87" s="114"/>
      <c r="AO87" s="114"/>
      <c r="AP87" s="114"/>
      <c r="AQ87" s="114"/>
      <c r="AR87" s="114"/>
      <c r="AS87" s="113"/>
      <c r="AT87" s="114"/>
      <c r="AU87" s="114"/>
      <c r="AV87" s="114"/>
      <c r="AW87" s="114"/>
      <c r="AX87" s="114"/>
      <c r="AY87" s="114"/>
      <c r="AZ87" s="114"/>
      <c r="BA87" s="114"/>
      <c r="BB87" s="114"/>
      <c r="BC87" s="113"/>
      <c r="BD87" s="114"/>
      <c r="BE87" s="114"/>
      <c r="BF87" s="114"/>
      <c r="BG87" s="114"/>
      <c r="BH87" s="114"/>
      <c r="BI87" s="114"/>
      <c r="BJ87" s="114"/>
      <c r="BK87" s="114"/>
      <c r="BL87" s="114"/>
      <c r="BM87" s="113"/>
      <c r="BN87" s="114"/>
      <c r="BO87" s="114"/>
      <c r="BP87" s="114"/>
      <c r="BQ87" s="113"/>
      <c r="BR87" s="114"/>
      <c r="BS87" s="114"/>
      <c r="BT87" s="302"/>
      <c r="BU87" s="114"/>
      <c r="BV87" s="198"/>
      <c r="CB87" s="357"/>
    </row>
    <row r="90" spans="1:80" ht="30.75" customHeight="1" x14ac:dyDescent="0.25">
      <c r="B90" s="2"/>
      <c r="C90" s="455" t="s">
        <v>286</v>
      </c>
      <c r="D90" s="455"/>
      <c r="E90" s="455"/>
      <c r="F90" s="455"/>
    </row>
    <row r="91" spans="1:80" ht="29.25" customHeight="1" x14ac:dyDescent="0.25">
      <c r="A91" s="115"/>
      <c r="B91" s="66">
        <v>1</v>
      </c>
      <c r="C91" s="454" t="s">
        <v>238</v>
      </c>
      <c r="D91" s="454"/>
      <c r="E91" s="454"/>
      <c r="F91" s="454"/>
      <c r="G91" s="454"/>
      <c r="H91" s="454"/>
      <c r="I91" s="116"/>
      <c r="L91" s="68"/>
      <c r="M91" s="68"/>
      <c r="V91" s="68"/>
      <c r="W91" s="68"/>
      <c r="AF91" s="68"/>
      <c r="AG91" s="68"/>
      <c r="AP91" s="68"/>
      <c r="AQ91" s="68"/>
      <c r="AZ91" s="68"/>
      <c r="BA91" s="68"/>
      <c r="BJ91" s="68"/>
      <c r="BK91" s="68"/>
      <c r="BM91" s="68"/>
      <c r="BN91" s="68"/>
      <c r="BO91" s="68"/>
      <c r="BP91" s="68"/>
    </row>
    <row r="92" spans="1:80" ht="16.2" x14ac:dyDescent="0.25">
      <c r="A92" s="115"/>
      <c r="B92" s="66">
        <v>2</v>
      </c>
      <c r="C92" s="179" t="s">
        <v>227</v>
      </c>
      <c r="D92" s="115"/>
      <c r="E92" s="116"/>
      <c r="F92" s="116"/>
      <c r="G92" s="116"/>
      <c r="H92" s="116"/>
      <c r="I92" s="116"/>
      <c r="L92" s="68"/>
      <c r="M92" s="68"/>
      <c r="V92" s="68"/>
      <c r="W92" s="68"/>
      <c r="AF92" s="68"/>
      <c r="AG92" s="68"/>
      <c r="AP92" s="68"/>
      <c r="AQ92" s="68"/>
      <c r="AZ92" s="68"/>
      <c r="BA92" s="68"/>
      <c r="BJ92" s="68"/>
      <c r="BK92" s="68"/>
      <c r="BM92" s="68"/>
      <c r="BN92" s="68"/>
      <c r="BO92" s="68"/>
      <c r="BP92" s="68"/>
    </row>
    <row r="93" spans="1:80" ht="14.25" customHeight="1" x14ac:dyDescent="0.25">
      <c r="A93" s="115"/>
      <c r="B93" s="66">
        <v>3</v>
      </c>
      <c r="C93" s="179" t="s">
        <v>276</v>
      </c>
      <c r="D93" s="180"/>
      <c r="E93" s="180"/>
      <c r="F93" s="116"/>
      <c r="G93" s="116"/>
      <c r="H93" s="116"/>
      <c r="I93" s="116"/>
      <c r="L93" s="68"/>
      <c r="M93" s="68"/>
      <c r="V93" s="68"/>
      <c r="W93" s="68"/>
      <c r="AF93" s="68"/>
      <c r="AG93" s="68"/>
      <c r="AP93" s="68"/>
      <c r="AQ93" s="68"/>
      <c r="AZ93" s="68"/>
      <c r="BA93" s="68"/>
      <c r="BJ93" s="68"/>
      <c r="BK93" s="68"/>
      <c r="BM93" s="68"/>
      <c r="BN93" s="68"/>
      <c r="BO93" s="68"/>
      <c r="BP93" s="68"/>
    </row>
    <row r="94" spans="1:80" ht="33.75" customHeight="1" x14ac:dyDescent="0.25">
      <c r="A94" s="115"/>
      <c r="B94" s="66"/>
      <c r="C94" s="454" t="s">
        <v>287</v>
      </c>
      <c r="D94" s="454"/>
      <c r="E94" s="454"/>
      <c r="F94" s="454"/>
      <c r="G94" s="454"/>
      <c r="H94" s="454"/>
      <c r="I94" s="454"/>
      <c r="L94" s="68"/>
      <c r="M94" s="68"/>
      <c r="V94" s="68"/>
      <c r="W94" s="68"/>
      <c r="AF94" s="68"/>
      <c r="AG94" s="68"/>
      <c r="AP94" s="68"/>
      <c r="AQ94" s="68"/>
      <c r="AZ94" s="68"/>
      <c r="BA94" s="68"/>
      <c r="BJ94" s="68"/>
      <c r="BK94" s="68"/>
      <c r="BM94" s="68"/>
      <c r="BN94" s="68"/>
      <c r="BO94" s="68"/>
      <c r="BP94" s="68"/>
    </row>
    <row r="95" spans="1:80" ht="16.2" x14ac:dyDescent="0.25">
      <c r="A95" s="115"/>
      <c r="B95" s="66">
        <v>4</v>
      </c>
      <c r="C95" s="179" t="s">
        <v>11</v>
      </c>
      <c r="D95" s="115"/>
      <c r="E95" s="116"/>
      <c r="F95" s="116"/>
      <c r="G95" s="116"/>
      <c r="H95" s="116"/>
      <c r="I95" s="116"/>
      <c r="L95" s="68"/>
      <c r="M95" s="68"/>
      <c r="V95" s="68"/>
      <c r="W95" s="68"/>
      <c r="AF95" s="68"/>
      <c r="AG95" s="68"/>
      <c r="AP95" s="68"/>
      <c r="AQ95" s="68"/>
      <c r="AZ95" s="68"/>
      <c r="BA95" s="68"/>
      <c r="BJ95" s="68"/>
      <c r="BK95" s="68"/>
      <c r="BM95" s="68"/>
      <c r="BN95" s="68"/>
      <c r="BO95" s="68"/>
      <c r="BP95" s="68"/>
    </row>
    <row r="96" spans="1:80" ht="30" customHeight="1" x14ac:dyDescent="0.25">
      <c r="A96" s="115"/>
      <c r="B96" s="66">
        <v>5</v>
      </c>
      <c r="C96" s="454" t="s">
        <v>277</v>
      </c>
      <c r="D96" s="454"/>
      <c r="E96" s="454"/>
      <c r="F96" s="454"/>
      <c r="G96" s="454"/>
      <c r="H96" s="454"/>
      <c r="I96" s="454"/>
    </row>
    <row r="97" spans="1:9" ht="40.5" customHeight="1" x14ac:dyDescent="0.25">
      <c r="A97" s="115"/>
      <c r="B97" s="66">
        <v>6</v>
      </c>
      <c r="C97" s="454" t="s">
        <v>278</v>
      </c>
      <c r="D97" s="454"/>
      <c r="E97" s="454"/>
      <c r="F97" s="454"/>
      <c r="G97" s="454"/>
      <c r="H97" s="454"/>
      <c r="I97" s="454"/>
    </row>
    <row r="98" spans="1:9" ht="32.25" customHeight="1" x14ac:dyDescent="0.25">
      <c r="A98" s="115"/>
      <c r="B98" s="66"/>
      <c r="C98" s="454" t="s">
        <v>297</v>
      </c>
      <c r="D98" s="454"/>
      <c r="E98" s="454"/>
      <c r="F98" s="454"/>
      <c r="G98" s="454"/>
      <c r="H98" s="454"/>
      <c r="I98" s="454"/>
    </row>
    <row r="99" spans="1:9" ht="43.5" customHeight="1" x14ac:dyDescent="0.25">
      <c r="A99" s="115"/>
      <c r="B99" s="66">
        <v>7</v>
      </c>
      <c r="C99" s="454" t="s">
        <v>240</v>
      </c>
      <c r="D99" s="454"/>
      <c r="E99" s="454"/>
      <c r="F99" s="454"/>
      <c r="G99" s="454"/>
      <c r="H99" s="454"/>
      <c r="I99" s="454"/>
    </row>
    <row r="100" spans="1:9" ht="32.25" customHeight="1" x14ac:dyDescent="0.25">
      <c r="A100" s="115"/>
      <c r="B100" s="66">
        <v>8</v>
      </c>
      <c r="C100" s="454" t="s">
        <v>298</v>
      </c>
      <c r="D100" s="454"/>
      <c r="E100" s="454"/>
      <c r="F100" s="454"/>
      <c r="G100" s="454"/>
      <c r="H100" s="454"/>
      <c r="I100" s="454"/>
    </row>
    <row r="101" spans="1:9" ht="37.5" customHeight="1" x14ac:dyDescent="0.25">
      <c r="A101" s="115"/>
      <c r="B101" s="66">
        <v>9</v>
      </c>
      <c r="C101" s="454" t="s">
        <v>341</v>
      </c>
      <c r="D101" s="454"/>
      <c r="E101" s="454"/>
      <c r="F101" s="454"/>
      <c r="G101" s="454"/>
      <c r="H101" s="454"/>
      <c r="I101" s="454"/>
    </row>
    <row r="102" spans="1:9" ht="38.25" customHeight="1" x14ac:dyDescent="0.25">
      <c r="B102" s="66">
        <v>10</v>
      </c>
      <c r="C102" s="454" t="s">
        <v>345</v>
      </c>
      <c r="D102" s="454"/>
      <c r="E102" s="454"/>
      <c r="F102" s="454"/>
      <c r="G102" s="454"/>
      <c r="H102" s="454"/>
      <c r="I102" s="454"/>
    </row>
    <row r="103" spans="1:9" ht="37.5" customHeight="1" x14ac:dyDescent="0.25">
      <c r="B103" s="66">
        <v>11</v>
      </c>
      <c r="C103" s="454" t="s">
        <v>339</v>
      </c>
      <c r="D103" s="454"/>
      <c r="E103" s="454"/>
      <c r="F103" s="454"/>
      <c r="G103" s="454"/>
      <c r="H103" s="454"/>
      <c r="I103" s="454"/>
    </row>
    <row r="104" spans="1:9" ht="15" customHeight="1" x14ac:dyDescent="0.25">
      <c r="B104" s="66">
        <v>12</v>
      </c>
      <c r="C104" s="454" t="s">
        <v>342</v>
      </c>
      <c r="D104" s="454"/>
      <c r="E104" s="454"/>
      <c r="F104" s="454"/>
      <c r="G104" s="454"/>
      <c r="H104" s="454"/>
      <c r="I104" s="454"/>
    </row>
  </sheetData>
  <sheetProtection password="F8BD" sheet="1" objects="1" scenarios="1"/>
  <mergeCells count="92">
    <mergeCell ref="C104:I104"/>
    <mergeCell ref="C103:I103"/>
    <mergeCell ref="C101:I101"/>
    <mergeCell ref="C90:F90"/>
    <mergeCell ref="C102:I102"/>
    <mergeCell ref="C91:H91"/>
    <mergeCell ref="C94:I94"/>
    <mergeCell ref="C96:I96"/>
    <mergeCell ref="C99:I99"/>
    <mergeCell ref="C100:I100"/>
    <mergeCell ref="C97:I97"/>
    <mergeCell ref="C98:I98"/>
    <mergeCell ref="AS19:BB19"/>
    <mergeCell ref="AS20:AS22"/>
    <mergeCell ref="AT20:AT22"/>
    <mergeCell ref="AU20:AU22"/>
    <mergeCell ref="AV20:AV22"/>
    <mergeCell ref="AW20:AW22"/>
    <mergeCell ref="AX20:AX22"/>
    <mergeCell ref="AY20:AY22"/>
    <mergeCell ref="AZ20:AZ22"/>
    <mergeCell ref="BA20:BA22"/>
    <mergeCell ref="BB20:BB22"/>
    <mergeCell ref="Y19:AH19"/>
    <mergeCell ref="C20:C22"/>
    <mergeCell ref="D20:D22"/>
    <mergeCell ref="M20:M22"/>
    <mergeCell ref="I20:I22"/>
    <mergeCell ref="L20:L22"/>
    <mergeCell ref="J20:J22"/>
    <mergeCell ref="G20:G22"/>
    <mergeCell ref="H20:H22"/>
    <mergeCell ref="U20:U22"/>
    <mergeCell ref="AE20:AE22"/>
    <mergeCell ref="X20:X22"/>
    <mergeCell ref="V20:V22"/>
    <mergeCell ref="O20:O22"/>
    <mergeCell ref="E19:N19"/>
    <mergeCell ref="E20:E22"/>
    <mergeCell ref="BN20:BN22"/>
    <mergeCell ref="BM19:BP19"/>
    <mergeCell ref="BO20:BO22"/>
    <mergeCell ref="BP20:BP22"/>
    <mergeCell ref="BM20:BM22"/>
    <mergeCell ref="BV20:BV22"/>
    <mergeCell ref="BQ19:BT19"/>
    <mergeCell ref="BT20:BT22"/>
    <mergeCell ref="BR20:BR22"/>
    <mergeCell ref="BQ20:BQ22"/>
    <mergeCell ref="BU20:BU22"/>
    <mergeCell ref="BS20:BS22"/>
    <mergeCell ref="F20:F22"/>
    <mergeCell ref="AI19:AR19"/>
    <mergeCell ref="AI20:AI22"/>
    <mergeCell ref="AJ20:AJ22"/>
    <mergeCell ref="AK20:AK22"/>
    <mergeCell ref="AL20:AL22"/>
    <mergeCell ref="AM20:AM22"/>
    <mergeCell ref="AN20:AN22"/>
    <mergeCell ref="R20:R22"/>
    <mergeCell ref="S20:S22"/>
    <mergeCell ref="T20:T22"/>
    <mergeCell ref="O19:X19"/>
    <mergeCell ref="AF20:AF22"/>
    <mergeCell ref="AG20:AG22"/>
    <mergeCell ref="AR20:AR22"/>
    <mergeCell ref="AO20:AO22"/>
    <mergeCell ref="AP20:AP22"/>
    <mergeCell ref="AQ20:AQ22"/>
    <mergeCell ref="K20:K22"/>
    <mergeCell ref="AD20:AD22"/>
    <mergeCell ref="N20:N22"/>
    <mergeCell ref="P20:P22"/>
    <mergeCell ref="Q20:Q22"/>
    <mergeCell ref="Y20:Y22"/>
    <mergeCell ref="Z20:Z22"/>
    <mergeCell ref="AA20:AA22"/>
    <mergeCell ref="AB20:AB22"/>
    <mergeCell ref="AC20:AC22"/>
    <mergeCell ref="W20:W22"/>
    <mergeCell ref="AH20:AH22"/>
    <mergeCell ref="BC19:BL19"/>
    <mergeCell ref="BC20:BC22"/>
    <mergeCell ref="BD20:BD22"/>
    <mergeCell ref="BE20:BE22"/>
    <mergeCell ref="BF20:BF22"/>
    <mergeCell ref="BG20:BG22"/>
    <mergeCell ref="BH20:BH22"/>
    <mergeCell ref="BI20:BI22"/>
    <mergeCell ref="BJ20:BJ22"/>
    <mergeCell ref="BK20:BK22"/>
    <mergeCell ref="BL20:BL22"/>
  </mergeCells>
  <phoneticPr fontId="17" type="noConversion"/>
  <pageMargins left="0.36" right="0.41" top="0.64" bottom="0.98425196850393704" header="0.32" footer="0.51181102362204722"/>
  <pageSetup scale="42" orientation="landscape" r:id="rId1"/>
  <headerFooter alignWithMargins="0"/>
  <rowBreaks count="1" manualBreakCount="1">
    <brk id="66" max="16383" man="1"/>
  </rowBreaks>
  <colBreaks count="3" manualBreakCount="3">
    <brk id="4" max="1048575" man="1"/>
    <brk id="14" max="1048575" man="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71</xdr:col>
                    <xdr:colOff>106680</xdr:colOff>
                    <xdr:row>26</xdr:row>
                    <xdr:rowOff>30480</xdr:rowOff>
                  </from>
                  <to>
                    <xdr:col>71</xdr:col>
                    <xdr:colOff>2080260</xdr:colOff>
                    <xdr:row>27</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71</xdr:col>
                    <xdr:colOff>106680</xdr:colOff>
                    <xdr:row>27</xdr:row>
                    <xdr:rowOff>7620</xdr:rowOff>
                  </from>
                  <to>
                    <xdr:col>71</xdr:col>
                    <xdr:colOff>2080260</xdr:colOff>
                    <xdr:row>28</xdr:row>
                    <xdr:rowOff>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71</xdr:col>
                    <xdr:colOff>106680</xdr:colOff>
                    <xdr:row>32</xdr:row>
                    <xdr:rowOff>38100</xdr:rowOff>
                  </from>
                  <to>
                    <xdr:col>71</xdr:col>
                    <xdr:colOff>2080260</xdr:colOff>
                    <xdr:row>33</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71</xdr:col>
                    <xdr:colOff>106680</xdr:colOff>
                    <xdr:row>33</xdr:row>
                    <xdr:rowOff>7620</xdr:rowOff>
                  </from>
                  <to>
                    <xdr:col>71</xdr:col>
                    <xdr:colOff>1737360</xdr:colOff>
                    <xdr:row>34</xdr:row>
                    <xdr:rowOff>7620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71</xdr:col>
                    <xdr:colOff>106680</xdr:colOff>
                    <xdr:row>34</xdr:row>
                    <xdr:rowOff>30480</xdr:rowOff>
                  </from>
                  <to>
                    <xdr:col>71</xdr:col>
                    <xdr:colOff>2080260</xdr:colOff>
                    <xdr:row>35</xdr:row>
                    <xdr:rowOff>30480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71</xdr:col>
                    <xdr:colOff>106680</xdr:colOff>
                    <xdr:row>35</xdr:row>
                    <xdr:rowOff>30480</xdr:rowOff>
                  </from>
                  <to>
                    <xdr:col>71</xdr:col>
                    <xdr:colOff>2080260</xdr:colOff>
                    <xdr:row>36</xdr:row>
                    <xdr:rowOff>30480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71</xdr:col>
                    <xdr:colOff>106680</xdr:colOff>
                    <xdr:row>36</xdr:row>
                    <xdr:rowOff>30480</xdr:rowOff>
                  </from>
                  <to>
                    <xdr:col>71</xdr:col>
                    <xdr:colOff>2080260</xdr:colOff>
                    <xdr:row>37</xdr:row>
                    <xdr:rowOff>30480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71</xdr:col>
                    <xdr:colOff>106680</xdr:colOff>
                    <xdr:row>37</xdr:row>
                    <xdr:rowOff>30480</xdr:rowOff>
                  </from>
                  <to>
                    <xdr:col>71</xdr:col>
                    <xdr:colOff>2080260</xdr:colOff>
                    <xdr:row>38</xdr:row>
                    <xdr:rowOff>38100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71</xdr:col>
                    <xdr:colOff>106680</xdr:colOff>
                    <xdr:row>38</xdr:row>
                    <xdr:rowOff>30480</xdr:rowOff>
                  </from>
                  <to>
                    <xdr:col>71</xdr:col>
                    <xdr:colOff>2080260</xdr:colOff>
                    <xdr:row>39</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71</xdr:col>
                    <xdr:colOff>106680</xdr:colOff>
                    <xdr:row>49</xdr:row>
                    <xdr:rowOff>30480</xdr:rowOff>
                  </from>
                  <to>
                    <xdr:col>71</xdr:col>
                    <xdr:colOff>2080260</xdr:colOff>
                    <xdr:row>50</xdr:row>
                    <xdr:rowOff>30480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71</xdr:col>
                    <xdr:colOff>106680</xdr:colOff>
                    <xdr:row>50</xdr:row>
                    <xdr:rowOff>182880</xdr:rowOff>
                  </from>
                  <to>
                    <xdr:col>71</xdr:col>
                    <xdr:colOff>2080260</xdr:colOff>
                    <xdr:row>52</xdr:row>
                    <xdr:rowOff>22860</xdr:rowOff>
                  </to>
                </anchor>
              </controlPr>
            </control>
          </mc:Choice>
        </mc:AlternateContent>
        <mc:AlternateContent xmlns:mc="http://schemas.openxmlformats.org/markup-compatibility/2006">
          <mc:Choice Requires="x14">
            <control shapeId="2073" r:id="rId15" name="Check Box 25">
              <controlPr defaultSize="0" autoFill="0" autoLine="0" autoPict="0">
                <anchor moveWithCells="1">
                  <from>
                    <xdr:col>71</xdr:col>
                    <xdr:colOff>106680</xdr:colOff>
                    <xdr:row>83</xdr:row>
                    <xdr:rowOff>182880</xdr:rowOff>
                  </from>
                  <to>
                    <xdr:col>71</xdr:col>
                    <xdr:colOff>2080260</xdr:colOff>
                    <xdr:row>84</xdr:row>
                    <xdr:rowOff>220980</xdr:rowOff>
                  </to>
                </anchor>
              </controlPr>
            </control>
          </mc:Choice>
        </mc:AlternateContent>
        <mc:AlternateContent xmlns:mc="http://schemas.openxmlformats.org/markup-compatibility/2006">
          <mc:Choice Requires="x14">
            <control shapeId="2074" r:id="rId16" name="Check Box 26">
              <controlPr defaultSize="0" autoFill="0" autoLine="0" autoPict="0">
                <anchor moveWithCells="1">
                  <from>
                    <xdr:col>71</xdr:col>
                    <xdr:colOff>106680</xdr:colOff>
                    <xdr:row>85</xdr:row>
                    <xdr:rowOff>0</xdr:rowOff>
                  </from>
                  <to>
                    <xdr:col>71</xdr:col>
                    <xdr:colOff>2080260</xdr:colOff>
                    <xdr:row>86</xdr:row>
                    <xdr:rowOff>7620</xdr:rowOff>
                  </to>
                </anchor>
              </controlPr>
            </control>
          </mc:Choice>
        </mc:AlternateContent>
        <mc:AlternateContent xmlns:mc="http://schemas.openxmlformats.org/markup-compatibility/2006">
          <mc:Choice Requires="x14">
            <control shapeId="2075" r:id="rId17" name="Check Box 27">
              <controlPr defaultSize="0" autoFill="0" autoLine="0" autoPict="0">
                <anchor moveWithCells="1">
                  <from>
                    <xdr:col>71</xdr:col>
                    <xdr:colOff>106680</xdr:colOff>
                    <xdr:row>56</xdr:row>
                    <xdr:rowOff>182880</xdr:rowOff>
                  </from>
                  <to>
                    <xdr:col>71</xdr:col>
                    <xdr:colOff>2080260</xdr:colOff>
                    <xdr:row>58</xdr:row>
                    <xdr:rowOff>22860</xdr:rowOff>
                  </to>
                </anchor>
              </controlPr>
            </control>
          </mc:Choice>
        </mc:AlternateContent>
        <mc:AlternateContent xmlns:mc="http://schemas.openxmlformats.org/markup-compatibility/2006">
          <mc:Choice Requires="x14">
            <control shapeId="2076" r:id="rId18" name="Check Box 28">
              <controlPr locked="0" defaultSize="0" autoFill="0" autoLine="0" autoPict="0">
                <anchor moveWithCells="1">
                  <from>
                    <xdr:col>71</xdr:col>
                    <xdr:colOff>198120</xdr:colOff>
                    <xdr:row>14</xdr:row>
                    <xdr:rowOff>68580</xdr:rowOff>
                  </from>
                  <to>
                    <xdr:col>71</xdr:col>
                    <xdr:colOff>617220</xdr:colOff>
                    <xdr:row>16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4:F72"/>
  <sheetViews>
    <sheetView showGridLines="0" topLeftCell="D20" workbookViewId="0">
      <selection activeCell="E79" sqref="E79"/>
    </sheetView>
  </sheetViews>
  <sheetFormatPr defaultColWidth="9.109375" defaultRowHeight="13.2" x14ac:dyDescent="0.25"/>
  <cols>
    <col min="1" max="1" width="6" style="1" customWidth="1"/>
    <col min="2" max="2" width="15" style="1" customWidth="1"/>
    <col min="3" max="3" width="86.44140625" style="1" customWidth="1"/>
    <col min="4" max="4" width="9.109375" style="1"/>
    <col min="5" max="5" width="20" style="1" customWidth="1"/>
    <col min="6" max="6" width="102.109375" style="1" customWidth="1"/>
    <col min="7" max="16384" width="9.109375" style="1"/>
  </cols>
  <sheetData>
    <row r="14" spans="1:5" x14ac:dyDescent="0.25">
      <c r="A14" s="129"/>
    </row>
    <row r="15" spans="1:5" x14ac:dyDescent="0.25">
      <c r="A15" s="129"/>
    </row>
    <row r="16" spans="1:5" ht="30" customHeight="1" x14ac:dyDescent="0.25">
      <c r="A16" s="129"/>
      <c r="B16" s="462" t="s">
        <v>340</v>
      </c>
      <c r="C16" s="462"/>
      <c r="D16" s="462"/>
      <c r="E16" s="462"/>
    </row>
    <row r="17" spans="1:6" x14ac:dyDescent="0.25">
      <c r="A17" s="129"/>
    </row>
    <row r="18" spans="1:6" ht="38.25" customHeight="1" thickBot="1" x14ac:dyDescent="0.3">
      <c r="A18" s="129"/>
      <c r="B18"/>
      <c r="C18"/>
      <c r="D18"/>
    </row>
    <row r="19" spans="1:6" ht="29.4" thickBot="1" x14ac:dyDescent="0.6">
      <c r="A19" s="129"/>
      <c r="C19" s="18"/>
      <c r="D19" s="16"/>
      <c r="E19" s="17"/>
      <c r="F19" s="16"/>
    </row>
    <row r="20" spans="1:6" ht="14.25" customHeight="1" x14ac:dyDescent="0.25">
      <c r="A20" s="129"/>
      <c r="C20" s="459" t="s">
        <v>20</v>
      </c>
      <c r="D20" s="457" t="s">
        <v>0</v>
      </c>
      <c r="E20" s="437" t="s">
        <v>248</v>
      </c>
      <c r="F20" s="456" t="s">
        <v>25</v>
      </c>
    </row>
    <row r="21" spans="1:6" ht="24.75" customHeight="1" x14ac:dyDescent="0.25">
      <c r="A21" s="129"/>
      <c r="C21" s="460"/>
      <c r="D21" s="457"/>
      <c r="E21" s="438"/>
      <c r="F21" s="457"/>
    </row>
    <row r="22" spans="1:6" ht="36.75" customHeight="1" thickBot="1" x14ac:dyDescent="0.3">
      <c r="A22" s="129"/>
      <c r="B22" s="14"/>
      <c r="C22" s="461"/>
      <c r="D22" s="458"/>
      <c r="E22" s="439"/>
      <c r="F22" s="458"/>
    </row>
    <row r="23" spans="1:6" ht="33.75" customHeight="1" x14ac:dyDescent="0.25">
      <c r="A23" s="129"/>
      <c r="C23" s="334"/>
      <c r="D23" s="335"/>
      <c r="E23" s="336"/>
      <c r="F23" s="6"/>
    </row>
    <row r="24" spans="1:6" ht="30.75" customHeight="1" x14ac:dyDescent="0.25">
      <c r="A24" s="129">
        <v>1</v>
      </c>
      <c r="C24" s="337" t="str">
        <f>VLOOKUP(A24, '2. 2016 Continuity Schedule'!$A$24:$BV$87,3,FALSE)</f>
        <v>LV Variance Account</v>
      </c>
      <c r="D24" s="338">
        <f>VLOOKUP(A24, '2. 2016 Continuity Schedule'!$A$24:$BV$87,4,FALSE)</f>
        <v>1550</v>
      </c>
      <c r="E24" s="339">
        <f>IF(ISERROR(VLOOKUP($A24, '2. 2016 Continuity Schedule'!$A$20:$BV$89, MATCH('3. Appendix A'!$E$20, '2. 2016 Continuity Schedule'!$A$20:$BV$20,0),FALSE)), 0, VLOOKUP($A24, '2. 2016 Continuity Schedule'!$A$20:$BV$89, MATCH('3. Appendix A'!$E$20, '2. 2016 Continuity Schedule'!$A$20:$BV$20,0),FALSE))</f>
        <v>0.47999999998137355</v>
      </c>
      <c r="F24" s="407" t="s">
        <v>393</v>
      </c>
    </row>
    <row r="25" spans="1:6" ht="30.75" customHeight="1" x14ac:dyDescent="0.25">
      <c r="A25" s="129">
        <v>2</v>
      </c>
      <c r="C25" s="337" t="str">
        <f>VLOOKUP(A25, '2. 2016 Continuity Schedule'!$A$24:$BV$87,3,FALSE)</f>
        <v>Smart Metering Entity Charge Variance Account</v>
      </c>
      <c r="D25" s="338">
        <f>VLOOKUP(A25, '2. 2016 Continuity Schedule'!$A$24:$BV$87,4,FALSE)</f>
        <v>1551</v>
      </c>
      <c r="E25" s="339">
        <f>IF(ISERROR(VLOOKUP($A25, '2. 2016 Continuity Schedule'!$A$20:$BV$89, MATCH('3. Appendix A'!$E$20, '2. 2016 Continuity Schedule'!$A$20:$BV$20,0),FALSE)), 0, VLOOKUP($A25, '2. 2016 Continuity Schedule'!$A$20:$BV$89, MATCH('3. Appendix A'!$E$20, '2. 2016 Continuity Schedule'!$A$20:$BV$20,0),FALSE))</f>
        <v>-0.22000000000116415</v>
      </c>
      <c r="F25" s="407" t="s">
        <v>393</v>
      </c>
    </row>
    <row r="26" spans="1:6" ht="30.75" customHeight="1" x14ac:dyDescent="0.25">
      <c r="A26" s="129">
        <v>3</v>
      </c>
      <c r="C26" s="337" t="str">
        <f>VLOOKUP(A26, '2. 2016 Continuity Schedule'!$A$24:$BV$87,3,FALSE)</f>
        <v>RSVA - Wholesale Market Service Charge10</v>
      </c>
      <c r="D26" s="338">
        <f>VLOOKUP(A26, '2. 2016 Continuity Schedule'!$A$24:$BV$87,4,FALSE)</f>
        <v>1580</v>
      </c>
      <c r="E26" s="339">
        <f>IF(ISERROR(VLOOKUP($A26, '2. 2016 Continuity Schedule'!$A$20:$BV$89, MATCH('3. Appendix A'!$E$20, '2. 2016 Continuity Schedule'!$A$20:$BV$20,0),FALSE)), 0, VLOOKUP($A26, '2. 2016 Continuity Schedule'!$A$20:$BV$89, MATCH('3. Appendix A'!$E$20, '2. 2016 Continuity Schedule'!$A$20:$BV$20,0),FALSE))</f>
        <v>12247.909999999974</v>
      </c>
      <c r="F26" s="407" t="s">
        <v>396</v>
      </c>
    </row>
    <row r="27" spans="1:6" ht="30.75" hidden="1" customHeight="1" x14ac:dyDescent="0.25">
      <c r="A27" s="129">
        <v>3.1</v>
      </c>
      <c r="C27" s="337" t="str">
        <f>VLOOKUP(A27, '2. 2016 Continuity Schedule'!$A$24:$BV$87,3,FALSE)</f>
        <v>Variance WMS – Sub-account CBR Class A10</v>
      </c>
      <c r="D27" s="338">
        <f>VLOOKUP(A27, '2. 2016 Continuity Schedule'!$A$24:$BV$87,4,FALSE)</f>
        <v>1580</v>
      </c>
      <c r="E27" s="339">
        <f>IF(ISERROR(VLOOKUP($A27, '2. 2016 Continuity Schedule'!$A$20:$BV$89, MATCH('3. Appendix A'!$E$20, '2. 2016 Continuity Schedule'!$A$20:$BV$20,0),FALSE)), 0, VLOOKUP($A27, '2. 2016 Continuity Schedule'!$A$20:$BV$89, MATCH('3. Appendix A'!$E$20, '2. 2016 Continuity Schedule'!$A$20:$BV$20,0),FALSE))</f>
        <v>0</v>
      </c>
      <c r="F27" s="181"/>
    </row>
    <row r="28" spans="1:6" ht="30.75" customHeight="1" x14ac:dyDescent="0.25">
      <c r="A28" s="129">
        <v>3.2</v>
      </c>
      <c r="C28" s="337" t="str">
        <f>VLOOKUP(A28, '2. 2016 Continuity Schedule'!$A$24:$BV$87,3,FALSE)</f>
        <v>Variance WMS – Sub-account CBR Class B10</v>
      </c>
      <c r="D28" s="338">
        <f>VLOOKUP(A28, '2. 2016 Continuity Schedule'!$A$24:$BV$87,4,FALSE)</f>
        <v>1580</v>
      </c>
      <c r="E28" s="339">
        <f>IF(ISERROR(VLOOKUP($A28, '2. 2016 Continuity Schedule'!$A$20:$BV$89, MATCH('3. Appendix A'!$E$20, '2. 2016 Continuity Schedule'!$A$20:$BV$20,0),FALSE)), 0, VLOOKUP($A28, '2. 2016 Continuity Schedule'!$A$20:$BV$89, MATCH('3. Appendix A'!$E$20, '2. 2016 Continuity Schedule'!$A$20:$BV$20,0),FALSE))</f>
        <v>-12248</v>
      </c>
      <c r="F28" s="407" t="s">
        <v>396</v>
      </c>
    </row>
    <row r="29" spans="1:6" ht="30.75" customHeight="1" x14ac:dyDescent="0.25">
      <c r="A29" s="129">
        <v>4</v>
      </c>
      <c r="C29" s="337" t="str">
        <f>VLOOKUP(A29, '2. 2016 Continuity Schedule'!$A$24:$BV$87,3,FALSE)</f>
        <v>RSVA - Retail Transmission Network Charge</v>
      </c>
      <c r="D29" s="338">
        <f>VLOOKUP(A29, '2. 2016 Continuity Schedule'!$A$24:$BV$87,4,FALSE)</f>
        <v>1584</v>
      </c>
      <c r="E29" s="339">
        <f>IF(ISERROR(VLOOKUP($A29, '2. 2016 Continuity Schedule'!$A$20:$BV$89, MATCH('3. Appendix A'!$E$20, '2. 2016 Continuity Schedule'!$A$20:$BV$20,0),FALSE)), 0, VLOOKUP($A29, '2. 2016 Continuity Schedule'!$A$20:$BV$89, MATCH('3. Appendix A'!$E$20, '2. 2016 Continuity Schedule'!$A$20:$BV$20,0),FALSE))</f>
        <v>0.76000000000021828</v>
      </c>
      <c r="F29" s="407" t="s">
        <v>393</v>
      </c>
    </row>
    <row r="30" spans="1:6" ht="30.75" customHeight="1" x14ac:dyDescent="0.25">
      <c r="A30" s="129">
        <v>5</v>
      </c>
      <c r="C30" s="337" t="str">
        <f>VLOOKUP(A30, '2. 2016 Continuity Schedule'!$A$24:$BV$87,3,FALSE)</f>
        <v>RSVA - Retail Transmission Connection Charge</v>
      </c>
      <c r="D30" s="338">
        <f>VLOOKUP(A30, '2. 2016 Continuity Schedule'!$A$24:$BV$87,4,FALSE)</f>
        <v>1586</v>
      </c>
      <c r="E30" s="339">
        <f>IF(ISERROR(VLOOKUP($A30, '2. 2016 Continuity Schedule'!$A$20:$BV$89, MATCH('3. Appendix A'!$E$20, '2. 2016 Continuity Schedule'!$A$20:$BV$20,0),FALSE)), 0, VLOOKUP($A30, '2. 2016 Continuity Schedule'!$A$20:$BV$89, MATCH('3. Appendix A'!$E$20, '2. 2016 Continuity Schedule'!$A$20:$BV$20,0),FALSE))</f>
        <v>-0.67000000000189175</v>
      </c>
      <c r="F30" s="407" t="s">
        <v>393</v>
      </c>
    </row>
    <row r="31" spans="1:6" ht="30.75" customHeight="1" x14ac:dyDescent="0.25">
      <c r="A31" s="129">
        <v>6</v>
      </c>
      <c r="C31" s="337" t="str">
        <f>VLOOKUP(A31, '2. 2016 Continuity Schedule'!$A$24:$BV$87,3,FALSE)</f>
        <v>RSVA - Power (excluding Global Adjustment)</v>
      </c>
      <c r="D31" s="338">
        <f>VLOOKUP(A31, '2. 2016 Continuity Schedule'!$A$24:$BV$87,4,FALSE)</f>
        <v>1588</v>
      </c>
      <c r="E31" s="339">
        <f>IF(ISERROR(VLOOKUP($A31, '2. 2016 Continuity Schedule'!$A$20:$BV$89, MATCH('3. Appendix A'!$E$20, '2. 2016 Continuity Schedule'!$A$20:$BV$20,0),FALSE)), 0, VLOOKUP($A31, '2. 2016 Continuity Schedule'!$A$20:$BV$89, MATCH('3. Appendix A'!$E$20, '2. 2016 Continuity Schedule'!$A$20:$BV$20,0),FALSE))</f>
        <v>-148379.25</v>
      </c>
      <c r="F31" s="407" t="s">
        <v>394</v>
      </c>
    </row>
    <row r="32" spans="1:6" ht="30.75" customHeight="1" x14ac:dyDescent="0.25">
      <c r="A32" s="129">
        <v>7</v>
      </c>
      <c r="C32" s="337" t="str">
        <f>VLOOKUP(A32, '2. 2016 Continuity Schedule'!$A$24:$BV$87,3,FALSE)</f>
        <v>RSVA - Global Adjustment</v>
      </c>
      <c r="D32" s="338">
        <f>VLOOKUP(A32, '2. 2016 Continuity Schedule'!$A$24:$BV$87,4,FALSE)</f>
        <v>1589</v>
      </c>
      <c r="E32" s="339">
        <f>IF(ISERROR(VLOOKUP($A32, '2. 2016 Continuity Schedule'!$A$20:$BV$89, MATCH('3. Appendix A'!$E$20, '2. 2016 Continuity Schedule'!$A$20:$BV$20,0),FALSE)), 0, VLOOKUP($A32, '2. 2016 Continuity Schedule'!$A$20:$BV$89, MATCH('3. Appendix A'!$E$20, '2. 2016 Continuity Schedule'!$A$20:$BV$20,0),FALSE))</f>
        <v>0.83000000007450581</v>
      </c>
      <c r="F32" s="407" t="s">
        <v>393</v>
      </c>
    </row>
    <row r="33" spans="1:6" ht="30.75" hidden="1" customHeight="1" x14ac:dyDescent="0.25">
      <c r="A33" s="129">
        <v>8</v>
      </c>
      <c r="C33" s="337" t="str">
        <f>VLOOKUP(A33, '2. 2016 Continuity Schedule'!$A$24:$BV$87,3,FALSE)</f>
        <v>Disposition and Recovery/Refund of Regulatory Balances (2009)8</v>
      </c>
      <c r="D33" s="338">
        <f>VLOOKUP(A33, '2. 2016 Continuity Schedule'!$A$24:$BV$87,4,FALSE)</f>
        <v>1595</v>
      </c>
      <c r="E33" s="339">
        <f>IF(ISERROR(VLOOKUP($A33, '2. 2016 Continuity Schedule'!$A$20:$BV$89, MATCH('3. Appendix A'!$E$20, '2. 2016 Continuity Schedule'!$A$20:$BV$20,0),FALSE)), 0, VLOOKUP($A33, '2. 2016 Continuity Schedule'!$A$20:$BV$89, MATCH('3. Appendix A'!$E$20, '2. 2016 Continuity Schedule'!$A$20:$BV$20,0),FALSE))</f>
        <v>0</v>
      </c>
      <c r="F33" s="181"/>
    </row>
    <row r="34" spans="1:6" ht="30.75" hidden="1" customHeight="1" x14ac:dyDescent="0.25">
      <c r="A34" s="129">
        <v>9</v>
      </c>
      <c r="C34" s="337" t="str">
        <f>VLOOKUP(A34, '2. 2016 Continuity Schedule'!$A$24:$BV$87,3,FALSE)</f>
        <v>Disposition and Recovery/Refund of Regulatory Balances (2010)8</v>
      </c>
      <c r="D34" s="338">
        <f>VLOOKUP(A34, '2. 2016 Continuity Schedule'!$A$24:$BV$87,4,FALSE)</f>
        <v>1595</v>
      </c>
      <c r="E34" s="339">
        <f>IF(ISERROR(VLOOKUP($A34, '2. 2016 Continuity Schedule'!$A$20:$BV$89, MATCH('3. Appendix A'!$E$20, '2. 2016 Continuity Schedule'!$A$20:$BV$20,0),FALSE)), 0, VLOOKUP($A34, '2. 2016 Continuity Schedule'!$A$20:$BV$89, MATCH('3. Appendix A'!$E$20, '2. 2016 Continuity Schedule'!$A$20:$BV$20,0),FALSE))</f>
        <v>0</v>
      </c>
      <c r="F34" s="181"/>
    </row>
    <row r="35" spans="1:6" ht="30.75" hidden="1" customHeight="1" x14ac:dyDescent="0.25">
      <c r="A35" s="129">
        <v>10</v>
      </c>
      <c r="C35" s="337" t="str">
        <f>VLOOKUP(A35, '2. 2016 Continuity Schedule'!$A$24:$BV$87,3,FALSE)</f>
        <v>Disposition and Recovery/Refund of Regulatory Balances (2011)8</v>
      </c>
      <c r="D35" s="338">
        <f>VLOOKUP(A35, '2. 2016 Continuity Schedule'!$A$24:$BV$87,4,FALSE)</f>
        <v>1595</v>
      </c>
      <c r="E35" s="339">
        <f>IF(ISERROR(VLOOKUP($A35, '2. 2016 Continuity Schedule'!$A$20:$BV$89, MATCH('3. Appendix A'!$E$20, '2. 2016 Continuity Schedule'!$A$20:$BV$20,0),FALSE)), 0, VLOOKUP($A35, '2. 2016 Continuity Schedule'!$A$20:$BV$89, MATCH('3. Appendix A'!$E$20, '2. 2016 Continuity Schedule'!$A$20:$BV$20,0),FALSE))</f>
        <v>0</v>
      </c>
      <c r="F35" s="181"/>
    </row>
    <row r="36" spans="1:6" ht="30.75" hidden="1" customHeight="1" x14ac:dyDescent="0.25">
      <c r="A36" s="129">
        <v>11</v>
      </c>
      <c r="C36" s="337" t="str">
        <f>VLOOKUP(A36, '2. 2016 Continuity Schedule'!$A$24:$BV$87,3,FALSE)</f>
        <v>Disposition and Recovery/Refund of Regulatory Balances (2012)8</v>
      </c>
      <c r="D36" s="338">
        <f>VLOOKUP(A36, '2. 2016 Continuity Schedule'!$A$24:$BV$87,4,FALSE)</f>
        <v>1595</v>
      </c>
      <c r="E36" s="339">
        <f>IF(ISERROR(VLOOKUP($A36, '2. 2016 Continuity Schedule'!$A$20:$BV$89, MATCH('3. Appendix A'!$E$20, '2. 2016 Continuity Schedule'!$A$20:$BV$20,0),FALSE)), 0, VLOOKUP($A36, '2. 2016 Continuity Schedule'!$A$20:$BV$89, MATCH('3. Appendix A'!$E$20, '2. 2016 Continuity Schedule'!$A$20:$BV$20,0),FALSE))</f>
        <v>0</v>
      </c>
      <c r="F36" s="181"/>
    </row>
    <row r="37" spans="1:6" ht="30.75" hidden="1" customHeight="1" x14ac:dyDescent="0.25">
      <c r="A37" s="129">
        <v>12</v>
      </c>
      <c r="C37" s="337" t="str">
        <f>VLOOKUP(A37, '2. 2016 Continuity Schedule'!$A$24:$BV$87,3,FALSE)</f>
        <v>Disposition and Recovery/Refund of Regulatory Balances (2013)8</v>
      </c>
      <c r="D37" s="338">
        <f>VLOOKUP(A37, '2. 2016 Continuity Schedule'!$A$24:$BV$87,4,FALSE)</f>
        <v>1595</v>
      </c>
      <c r="E37" s="339">
        <f>IF(ISERROR(VLOOKUP($A37, '2. 2016 Continuity Schedule'!$A$20:$BV$89, MATCH('3. Appendix A'!$E$20, '2. 2016 Continuity Schedule'!$A$20:$BV$20,0),FALSE)), 0, VLOOKUP($A37, '2. 2016 Continuity Schedule'!$A$20:$BV$89, MATCH('3. Appendix A'!$E$20, '2. 2016 Continuity Schedule'!$A$20:$BV$20,0),FALSE))</f>
        <v>0</v>
      </c>
      <c r="F37" s="181"/>
    </row>
    <row r="38" spans="1:6" ht="30.75" hidden="1" customHeight="1" x14ac:dyDescent="0.25">
      <c r="A38" s="129">
        <v>13</v>
      </c>
      <c r="C38" s="337" t="str">
        <f>VLOOKUP(A38, '2. 2016 Continuity Schedule'!$A$24:$BV$87,3,FALSE)</f>
        <v>Disposition and Recovery/Refund of Regulatory Balances (2014)8</v>
      </c>
      <c r="D38" s="338">
        <f>VLOOKUP(A38, '2. 2016 Continuity Schedule'!$A$24:$BV$87,4,FALSE)</f>
        <v>1595</v>
      </c>
      <c r="E38" s="339">
        <f>IF(ISERROR(VLOOKUP($A38, '2. 2016 Continuity Schedule'!$A$20:$BV$89, MATCH('3. Appendix A'!$E$20, '2. 2016 Continuity Schedule'!$A$20:$BV$20,0),FALSE)), 0, VLOOKUP($A38, '2. 2016 Continuity Schedule'!$A$20:$BV$89, MATCH('3. Appendix A'!$E$20, '2. 2016 Continuity Schedule'!$A$20:$BV$20,0),FALSE))</f>
        <v>0</v>
      </c>
      <c r="F38" s="181"/>
    </row>
    <row r="39" spans="1:6" ht="30.75" hidden="1" customHeight="1" x14ac:dyDescent="0.25">
      <c r="A39" s="129">
        <v>14</v>
      </c>
      <c r="C39" s="337" t="str">
        <f>VLOOKUP(A39, '2. 2016 Continuity Schedule'!$A$24:$BV$87,3,FALSE)</f>
        <v>Disposition and Recovery/Refund of Regulatory Balances (2015)8</v>
      </c>
      <c r="D39" s="338">
        <f>VLOOKUP(A39, '2. 2016 Continuity Schedule'!$A$24:$BV$87,4,FALSE)</f>
        <v>1595</v>
      </c>
      <c r="E39" s="339">
        <f>IF(ISERROR(VLOOKUP($A39, '2. 2016 Continuity Schedule'!$A$20:$BV$89, MATCH('3. Appendix A'!$E$20, '2. 2016 Continuity Schedule'!$A$20:$BV$20,0),FALSE)), 0, VLOOKUP($A39, '2. 2016 Continuity Schedule'!$A$20:$BV$89, MATCH('3. Appendix A'!$E$20, '2. 2016 Continuity Schedule'!$A$20:$BV$20,0),FALSE))</f>
        <v>0</v>
      </c>
      <c r="F39" s="181"/>
    </row>
    <row r="40" spans="1:6" ht="30.75" hidden="1" customHeight="1" x14ac:dyDescent="0.25">
      <c r="C40" s="340"/>
      <c r="D40" s="338"/>
      <c r="E40" s="339"/>
      <c r="F40" s="182"/>
    </row>
    <row r="41" spans="1:6" ht="30.75" hidden="1" customHeight="1" thickBot="1" x14ac:dyDescent="0.3">
      <c r="C41" s="334" t="s">
        <v>27</v>
      </c>
      <c r="D41" s="341"/>
      <c r="E41" s="339"/>
      <c r="F41" s="125"/>
    </row>
    <row r="42" spans="1:6" ht="30.75" customHeight="1" x14ac:dyDescent="0.25">
      <c r="A42" s="1">
        <v>15</v>
      </c>
      <c r="C42" s="337" t="str">
        <f>VLOOKUP(A42, '2. 2016 Continuity Schedule'!$A$24:$BV$87,3,FALSE)</f>
        <v>Other Regulatory Assets - Sub-Account - Deferred IFRS Transition Costs</v>
      </c>
      <c r="D42" s="338">
        <f>VLOOKUP(A42, '2. 2016 Continuity Schedule'!$A$24:$BV$87,4,FALSE)</f>
        <v>1508</v>
      </c>
      <c r="E42" s="339">
        <f>IF(ISERROR(VLOOKUP($A42, '2. 2016 Continuity Schedule'!$A$20:$BV$89, MATCH('3. Appendix A'!$E$20, '2. 2016 Continuity Schedule'!$A$20:$BV$20,0),FALSE)), 0, VLOOKUP($A42, '2. 2016 Continuity Schedule'!$A$20:$BV$89, MATCH('3. Appendix A'!$E$20, '2. 2016 Continuity Schedule'!$A$20:$BV$20,0),FALSE))</f>
        <v>2563.4499999999534</v>
      </c>
      <c r="F42" s="407" t="s">
        <v>395</v>
      </c>
    </row>
    <row r="43" spans="1:6" ht="30.75" hidden="1" customHeight="1" x14ac:dyDescent="0.25">
      <c r="A43" s="1">
        <v>16</v>
      </c>
      <c r="C43" s="337" t="str">
        <f>VLOOKUP(A43, '2. 2016 Continuity Schedule'!$A$24:$BV$87,3,FALSE)</f>
        <v>Other Regulatory Assets - Sub-Account - Incremental Capital Charges</v>
      </c>
      <c r="D43" s="338">
        <f>VLOOKUP(A43, '2. 2016 Continuity Schedule'!$A$24:$BV$87,4,FALSE)</f>
        <v>1508</v>
      </c>
      <c r="E43" s="339">
        <f>IF(ISERROR(VLOOKUP($A43, '2. 2016 Continuity Schedule'!$A$20:$BV$89, MATCH('3. Appendix A'!$E$20, '2. 2016 Continuity Schedule'!$A$20:$BV$20,0),FALSE)), 0, VLOOKUP($A43, '2. 2016 Continuity Schedule'!$A$20:$BV$89, MATCH('3. Appendix A'!$E$20, '2. 2016 Continuity Schedule'!$A$20:$BV$20,0),FALSE))</f>
        <v>0</v>
      </c>
      <c r="F43" s="181"/>
    </row>
    <row r="44" spans="1:6" ht="30.75" hidden="1" customHeight="1" x14ac:dyDescent="0.25">
      <c r="A44" s="1">
        <v>17</v>
      </c>
      <c r="C44" s="337" t="str">
        <f>VLOOKUP(A44, '2. 2016 Continuity Schedule'!$A$24:$BV$87,3,FALSE)</f>
        <v>Other Regulatory Assets - Sub-Account - Financial Assistance Payment and Recovery Variance - Ontario Clean Energy Benefit Act3</v>
      </c>
      <c r="D44" s="338">
        <f>VLOOKUP(A44, '2. 2016 Continuity Schedule'!$A$24:$BV$87,4,FALSE)</f>
        <v>1508</v>
      </c>
      <c r="E44" s="339">
        <f>IF(ISERROR(VLOOKUP($A44, '2. 2016 Continuity Schedule'!$A$20:$BV$89, MATCH('3. Appendix A'!$E$20, '2. 2016 Continuity Schedule'!$A$20:$BV$20,0),FALSE)), 0, VLOOKUP($A44, '2. 2016 Continuity Schedule'!$A$20:$BV$89, MATCH('3. Appendix A'!$E$20, '2. 2016 Continuity Schedule'!$A$20:$BV$20,0),FALSE))</f>
        <v>0</v>
      </c>
      <c r="F44" s="181"/>
    </row>
    <row r="45" spans="1:6" ht="30.75" customHeight="1" x14ac:dyDescent="0.25">
      <c r="A45" s="1">
        <v>18</v>
      </c>
      <c r="C45" s="337" t="str">
        <f>VLOOKUP(A45, '2. 2016 Continuity Schedule'!$A$24:$BV$87,3,FALSE)</f>
        <v>Other Regulatory Assets - Sub-Account - Other 4</v>
      </c>
      <c r="D45" s="338">
        <f>VLOOKUP(A45, '2. 2016 Continuity Schedule'!$A$24:$BV$87,4,FALSE)</f>
        <v>1508</v>
      </c>
      <c r="E45" s="339">
        <f>IF(ISERROR(VLOOKUP($A45, '2. 2016 Continuity Schedule'!$A$20:$BV$89, MATCH('3. Appendix A'!$E$20, '2. 2016 Continuity Schedule'!$A$20:$BV$20,0),FALSE)), 0, VLOOKUP($A45, '2. 2016 Continuity Schedule'!$A$20:$BV$89, MATCH('3. Appendix A'!$E$20, '2. 2016 Continuity Schedule'!$A$20:$BV$20,0),FALSE))</f>
        <v>-2565.0700000000002</v>
      </c>
      <c r="F45" s="407" t="s">
        <v>395</v>
      </c>
    </row>
    <row r="46" spans="1:6" ht="30.75" customHeight="1" x14ac:dyDescent="0.25">
      <c r="A46" s="1">
        <v>19</v>
      </c>
      <c r="C46" s="337" t="str">
        <f>VLOOKUP(A46, '2. 2016 Continuity Schedule'!$A$24:$BV$87,3,FALSE)</f>
        <v>Retail Cost Variance Account - Retail</v>
      </c>
      <c r="D46" s="338">
        <f>VLOOKUP(A46, '2. 2016 Continuity Schedule'!$A$24:$BV$87,4,FALSE)</f>
        <v>1518</v>
      </c>
      <c r="E46" s="339">
        <f>IF(ISERROR(VLOOKUP($A46, '2. 2016 Continuity Schedule'!$A$20:$BV$89, MATCH('3. Appendix A'!$E$20, '2. 2016 Continuity Schedule'!$A$20:$BV$20,0),FALSE)), 0, VLOOKUP($A46, '2. 2016 Continuity Schedule'!$A$20:$BV$89, MATCH('3. Appendix A'!$E$20, '2. 2016 Continuity Schedule'!$A$20:$BV$20,0),FALSE))</f>
        <v>0.34999999999854481</v>
      </c>
      <c r="F46" s="407" t="s">
        <v>393</v>
      </c>
    </row>
    <row r="47" spans="1:6" ht="30.75" hidden="1" customHeight="1" x14ac:dyDescent="0.25">
      <c r="A47" s="1">
        <v>20</v>
      </c>
      <c r="C47" s="337" t="str">
        <f>VLOOKUP(A47, '2. 2016 Continuity Schedule'!$A$24:$BV$87,3,FALSE)</f>
        <v>Misc. Deferred Debits</v>
      </c>
      <c r="D47" s="338">
        <f>VLOOKUP(A47, '2. 2016 Continuity Schedule'!$A$24:$BV$87,4,FALSE)</f>
        <v>1525</v>
      </c>
      <c r="E47" s="339">
        <f>IF(ISERROR(VLOOKUP($A47, '2. 2016 Continuity Schedule'!$A$20:$BV$89, MATCH('3. Appendix A'!$E$20, '2. 2016 Continuity Schedule'!$A$20:$BV$20,0),FALSE)), 0, VLOOKUP($A47, '2. 2016 Continuity Schedule'!$A$20:$BV$89, MATCH('3. Appendix A'!$E$20, '2. 2016 Continuity Schedule'!$A$20:$BV$20,0),FALSE))</f>
        <v>0</v>
      </c>
      <c r="F47" s="181"/>
    </row>
    <row r="48" spans="1:6" ht="30.75" customHeight="1" x14ac:dyDescent="0.25">
      <c r="A48" s="1">
        <v>21</v>
      </c>
      <c r="C48" s="337" t="str">
        <f>VLOOKUP(A48, '2. 2016 Continuity Schedule'!$A$24:$BV$87,3,FALSE)</f>
        <v>Retail Cost Variance Account - STR</v>
      </c>
      <c r="D48" s="338">
        <f>VLOOKUP(A48, '2. 2016 Continuity Schedule'!$A$24:$BV$87,4,FALSE)</f>
        <v>1548</v>
      </c>
      <c r="E48" s="339">
        <f>IF(ISERROR(VLOOKUP($A48, '2. 2016 Continuity Schedule'!$A$20:$BV$89, MATCH('3. Appendix A'!$E$20, '2. 2016 Continuity Schedule'!$A$20:$BV$20,0),FALSE)), 0, VLOOKUP($A48, '2. 2016 Continuity Schedule'!$A$20:$BV$89, MATCH('3. Appendix A'!$E$20, '2. 2016 Continuity Schedule'!$A$20:$BV$20,0),FALSE))</f>
        <v>0.25000000000363798</v>
      </c>
      <c r="F48" s="407" t="s">
        <v>393</v>
      </c>
    </row>
    <row r="49" spans="1:6" ht="30.75" hidden="1" customHeight="1" x14ac:dyDescent="0.25">
      <c r="A49" s="1">
        <v>22</v>
      </c>
      <c r="C49" s="337" t="str">
        <f>VLOOKUP(A49, '2. 2016 Continuity Schedule'!$A$24:$BV$87,3,FALSE)</f>
        <v>Board-Approved CDM Variance Account</v>
      </c>
      <c r="D49" s="338">
        <f>VLOOKUP(A49, '2. 2016 Continuity Schedule'!$A$24:$BV$87,4,FALSE)</f>
        <v>1567</v>
      </c>
      <c r="E49" s="339">
        <f>IF(ISERROR(VLOOKUP($A49, '2. 2016 Continuity Schedule'!$A$20:$BV$89, MATCH('3. Appendix A'!$E$20, '2. 2016 Continuity Schedule'!$A$20:$BV$20,0),FALSE)), 0, VLOOKUP($A49, '2. 2016 Continuity Schedule'!$A$20:$BV$89, MATCH('3. Appendix A'!$E$20, '2. 2016 Continuity Schedule'!$A$20:$BV$20,0),FALSE))</f>
        <v>0</v>
      </c>
      <c r="F49" s="407" t="s">
        <v>393</v>
      </c>
    </row>
    <row r="50" spans="1:6" ht="30.75" hidden="1" customHeight="1" x14ac:dyDescent="0.25">
      <c r="A50" s="1">
        <v>23</v>
      </c>
      <c r="C50" s="337" t="str">
        <f>VLOOKUP(A50, '2. 2016 Continuity Schedule'!$A$24:$BV$87,3,FALSE)</f>
        <v>Extra-Ordinary Event Costs</v>
      </c>
      <c r="D50" s="338">
        <f>VLOOKUP(A50, '2. 2016 Continuity Schedule'!$A$24:$BV$87,4,FALSE)</f>
        <v>1572</v>
      </c>
      <c r="E50" s="339">
        <f>IF(ISERROR(VLOOKUP($A50, '2. 2016 Continuity Schedule'!$A$20:$BV$89, MATCH('3. Appendix A'!$E$20, '2. 2016 Continuity Schedule'!$A$20:$BV$20,0),FALSE)), 0, VLOOKUP($A50, '2. 2016 Continuity Schedule'!$A$20:$BV$89, MATCH('3. Appendix A'!$E$20, '2. 2016 Continuity Schedule'!$A$20:$BV$20,0),FALSE))</f>
        <v>0</v>
      </c>
      <c r="F50" s="407" t="s">
        <v>393</v>
      </c>
    </row>
    <row r="51" spans="1:6" ht="30.75" hidden="1" customHeight="1" x14ac:dyDescent="0.25">
      <c r="A51" s="1">
        <v>24</v>
      </c>
      <c r="C51" s="337" t="str">
        <f>VLOOKUP(A51, '2. 2016 Continuity Schedule'!$A$24:$BV$87,3,FALSE)</f>
        <v>Deferred Rate Impact Amounts</v>
      </c>
      <c r="D51" s="338">
        <f>VLOOKUP(A51, '2. 2016 Continuity Schedule'!$A$24:$BV$87,4,FALSE)</f>
        <v>1574</v>
      </c>
      <c r="E51" s="339">
        <f>IF(ISERROR(VLOOKUP($A51, '2. 2016 Continuity Schedule'!$A$20:$BV$89, MATCH('3. Appendix A'!$E$20, '2. 2016 Continuity Schedule'!$A$20:$BV$20,0),FALSE)), 0, VLOOKUP($A51, '2. 2016 Continuity Schedule'!$A$20:$BV$89, MATCH('3. Appendix A'!$E$20, '2. 2016 Continuity Schedule'!$A$20:$BV$20,0),FALSE))</f>
        <v>0</v>
      </c>
      <c r="F51" s="407" t="s">
        <v>393</v>
      </c>
    </row>
    <row r="52" spans="1:6" ht="30.75" customHeight="1" x14ac:dyDescent="0.25">
      <c r="A52" s="1">
        <v>25</v>
      </c>
      <c r="C52" s="337" t="str">
        <f>VLOOKUP(A52, '2. 2016 Continuity Schedule'!$A$24:$BV$87,3,FALSE)</f>
        <v>RSVA - One-time</v>
      </c>
      <c r="D52" s="338">
        <f>VLOOKUP(A52, '2. 2016 Continuity Schedule'!$A$24:$BV$87,4,FALSE)</f>
        <v>1582</v>
      </c>
      <c r="E52" s="339">
        <f>IF(ISERROR(VLOOKUP($A52, '2. 2016 Continuity Schedule'!$A$20:$BV$89, MATCH('3. Appendix A'!$E$20, '2. 2016 Continuity Schedule'!$A$20:$BV$20,0),FALSE)), 0, VLOOKUP($A52, '2. 2016 Continuity Schedule'!$A$20:$BV$89, MATCH('3. Appendix A'!$E$20, '2. 2016 Continuity Schedule'!$A$20:$BV$20,0),FALSE))</f>
        <v>0.44000000000596629</v>
      </c>
      <c r="F52" s="407" t="s">
        <v>393</v>
      </c>
    </row>
    <row r="53" spans="1:6" ht="30.75" hidden="1" customHeight="1" x14ac:dyDescent="0.25">
      <c r="A53" s="1">
        <v>26</v>
      </c>
      <c r="C53" s="337" t="str">
        <f>VLOOKUP(A53, '2. 2016 Continuity Schedule'!$A$24:$BV$87,3,FALSE)</f>
        <v>Other Deferred Credits</v>
      </c>
      <c r="D53" s="338">
        <f>VLOOKUP(A53, '2. 2016 Continuity Schedule'!$A$24:$BV$87,4,FALSE)</f>
        <v>2425</v>
      </c>
      <c r="E53" s="339">
        <f>IF(ISERROR(VLOOKUP($A53, '2. 2016 Continuity Schedule'!$A$20:$BV$89, MATCH('3. Appendix A'!$E$20, '2. 2016 Continuity Schedule'!$A$20:$BV$20,0),FALSE)), 0, VLOOKUP($A53, '2. 2016 Continuity Schedule'!$A$20:$BV$89, MATCH('3. Appendix A'!$E$20, '2. 2016 Continuity Schedule'!$A$20:$BV$20,0),FALSE))</f>
        <v>0</v>
      </c>
      <c r="F53" s="407" t="s">
        <v>393</v>
      </c>
    </row>
    <row r="54" spans="1:6" ht="30.75" hidden="1" customHeight="1" x14ac:dyDescent="0.25">
      <c r="A54" s="1">
        <v>27</v>
      </c>
      <c r="C54" s="337" t="str">
        <f>VLOOKUP(A54, '2. 2016 Continuity Schedule'!$A$24:$BV$87,3,FALSE)</f>
        <v>PILs and Tax Variance for 2006 and Subsequent Years                                                                          (excludes sub-account and contra account below)</v>
      </c>
      <c r="D54" s="338">
        <f>VLOOKUP(A54, '2. 2016 Continuity Schedule'!$A$24:$BV$87,4,FALSE)</f>
        <v>1592</v>
      </c>
      <c r="E54" s="339">
        <f>IF(ISERROR(VLOOKUP($A54, '2. 2016 Continuity Schedule'!$A$20:$BV$89, MATCH('3. Appendix A'!$E$20, '2. 2016 Continuity Schedule'!$A$20:$BV$20,0),FALSE)), 0, VLOOKUP($A54, '2. 2016 Continuity Schedule'!$A$20:$BV$89, MATCH('3. Appendix A'!$E$20, '2. 2016 Continuity Schedule'!$A$20:$BV$20,0),FALSE))</f>
        <v>0</v>
      </c>
      <c r="F54" s="407" t="s">
        <v>393</v>
      </c>
    </row>
    <row r="55" spans="1:6" ht="30.75" customHeight="1" x14ac:dyDescent="0.25">
      <c r="A55" s="1">
        <v>28</v>
      </c>
      <c r="C55" s="337" t="str">
        <f>VLOOKUP(A55, '2. 2016 Continuity Schedule'!$A$24:$BV$87,3,FALSE)</f>
        <v>PILs and Tax Variance for 2006 and Subsequent Years - Sub-Account HST/OVAT Input Tax Credits (ITCs)</v>
      </c>
      <c r="D55" s="338">
        <f>VLOOKUP(A55, '2. 2016 Continuity Schedule'!$A$24:$BV$87,4,FALSE)</f>
        <v>1592</v>
      </c>
      <c r="E55" s="339">
        <f>IF(ISERROR(VLOOKUP($A55, '2. 2016 Continuity Schedule'!$A$20:$BV$89, MATCH('3. Appendix A'!$E$20, '2. 2016 Continuity Schedule'!$A$20:$BV$20,0),FALSE)), 0, VLOOKUP($A55, '2. 2016 Continuity Schedule'!$A$20:$BV$89, MATCH('3. Appendix A'!$E$20, '2. 2016 Continuity Schedule'!$A$20:$BV$20,0),FALSE))</f>
        <v>0.23000000000001819</v>
      </c>
      <c r="F55" s="407" t="s">
        <v>393</v>
      </c>
    </row>
    <row r="56" spans="1:6" ht="30.75" customHeight="1" x14ac:dyDescent="0.25">
      <c r="A56" s="1">
        <v>29</v>
      </c>
      <c r="C56" s="337" t="str">
        <f>VLOOKUP(A56, '2. 2016 Continuity Schedule'!$A$24:$BV$87,3,FALSE)</f>
        <v>LRAM Variance Account12</v>
      </c>
      <c r="D56" s="338">
        <f>VLOOKUP(A56, '2. 2016 Continuity Schedule'!$A$24:$BV$87,4,FALSE)</f>
        <v>1568</v>
      </c>
      <c r="E56" s="339">
        <f>IF(ISERROR(VLOOKUP($A56, '2. 2016 Continuity Schedule'!$A$20:$BV$89, MATCH('3. Appendix A'!$E$20, '2. 2016 Continuity Schedule'!$A$20:$BV$20,0),FALSE)), 0, VLOOKUP($A56, '2. 2016 Continuity Schedule'!$A$20:$BV$89, MATCH('3. Appendix A'!$E$20, '2. 2016 Continuity Schedule'!$A$20:$BV$20,0),FALSE))</f>
        <v>0.53999999999723514</v>
      </c>
      <c r="F56" s="407" t="s">
        <v>393</v>
      </c>
    </row>
    <row r="57" spans="1:6" ht="30.75" hidden="1" customHeight="1" x14ac:dyDescent="0.25">
      <c r="A57" s="1">
        <v>30</v>
      </c>
      <c r="C57" s="337" t="str">
        <f>VLOOKUP(A57, '2. 2016 Continuity Schedule'!$A$24:$BV$87,3,FALSE)</f>
        <v>Renewable Generation Connection Capital Deferral Account9</v>
      </c>
      <c r="D57" s="338">
        <f>VLOOKUP(A57, '2. 2016 Continuity Schedule'!$A$24:$BV$87,4,FALSE)</f>
        <v>1531</v>
      </c>
      <c r="E57" s="339">
        <f>IF(ISERROR(VLOOKUP($A57, '2. 2016 Continuity Schedule'!$A$20:$BV$89, MATCH('3. Appendix A'!$E$20, '2. 2016 Continuity Schedule'!$A$20:$BV$20,0),FALSE)), 0, VLOOKUP($A57, '2. 2016 Continuity Schedule'!$A$20:$BV$89, MATCH('3. Appendix A'!$E$20, '2. 2016 Continuity Schedule'!$A$20:$BV$20,0),FALSE))</f>
        <v>0</v>
      </c>
      <c r="F57" s="407" t="s">
        <v>393</v>
      </c>
    </row>
    <row r="58" spans="1:6" ht="30.75" hidden="1" customHeight="1" x14ac:dyDescent="0.25">
      <c r="A58" s="1">
        <v>31</v>
      </c>
      <c r="C58" s="337" t="str">
        <f>VLOOKUP(A58, '2. 2016 Continuity Schedule'!$A$24:$BV$87,3,FALSE)</f>
        <v>Renewable Generation Connection OM&amp;A Deferral Account9</v>
      </c>
      <c r="D58" s="338">
        <f>VLOOKUP(A58, '2. 2016 Continuity Schedule'!$A$24:$BV$87,4,FALSE)</f>
        <v>1532</v>
      </c>
      <c r="E58" s="339">
        <f>IF(ISERROR(VLOOKUP($A58, '2. 2016 Continuity Schedule'!$A$20:$BV$89, MATCH('3. Appendix A'!$E$20, '2. 2016 Continuity Schedule'!$A$20:$BV$20,0),FALSE)), 0, VLOOKUP($A58, '2. 2016 Continuity Schedule'!$A$20:$BV$89, MATCH('3. Appendix A'!$E$20, '2. 2016 Continuity Schedule'!$A$20:$BV$20,0),FALSE))</f>
        <v>0</v>
      </c>
      <c r="F58" s="407" t="s">
        <v>393</v>
      </c>
    </row>
    <row r="59" spans="1:6" ht="30.75" hidden="1" customHeight="1" x14ac:dyDescent="0.25">
      <c r="A59" s="1">
        <v>32</v>
      </c>
      <c r="C59" s="337" t="str">
        <f>VLOOKUP(A59, '2. 2016 Continuity Schedule'!$A$24:$BV$87,3,FALSE)</f>
        <v xml:space="preserve">Renewable Generation Connection Funding Adder Deferral Account </v>
      </c>
      <c r="D59" s="338">
        <f>VLOOKUP(A59, '2. 2016 Continuity Schedule'!$A$24:$BV$87,4,FALSE)</f>
        <v>1533</v>
      </c>
      <c r="E59" s="339">
        <f>IF(ISERROR(VLOOKUP($A59, '2. 2016 Continuity Schedule'!$A$20:$BV$89, MATCH('3. Appendix A'!$E$20, '2. 2016 Continuity Schedule'!$A$20:$BV$20,0),FALSE)), 0, VLOOKUP($A59, '2. 2016 Continuity Schedule'!$A$20:$BV$89, MATCH('3. Appendix A'!$E$20, '2. 2016 Continuity Schedule'!$A$20:$BV$20,0),FALSE))</f>
        <v>0</v>
      </c>
      <c r="F59" s="407" t="s">
        <v>393</v>
      </c>
    </row>
    <row r="60" spans="1:6" ht="30.75" hidden="1" customHeight="1" x14ac:dyDescent="0.25">
      <c r="A60" s="1">
        <v>33</v>
      </c>
      <c r="C60" s="337" t="str">
        <f>VLOOKUP(A60, '2. 2016 Continuity Schedule'!$A$24:$BV$87,3,FALSE)</f>
        <v>Smart Grid Capital Deferral Account</v>
      </c>
      <c r="D60" s="338">
        <f>VLOOKUP(A60, '2. 2016 Continuity Schedule'!$A$24:$BV$87,4,FALSE)</f>
        <v>1534</v>
      </c>
      <c r="E60" s="339">
        <f>IF(ISERROR(VLOOKUP($A60, '2. 2016 Continuity Schedule'!$A$20:$BV$89, MATCH('3. Appendix A'!$E$20, '2. 2016 Continuity Schedule'!$A$20:$BV$20,0),FALSE)), 0, VLOOKUP($A60, '2. 2016 Continuity Schedule'!$A$20:$BV$89, MATCH('3. Appendix A'!$E$20, '2. 2016 Continuity Schedule'!$A$20:$BV$20,0),FALSE))</f>
        <v>0</v>
      </c>
      <c r="F60" s="407" t="s">
        <v>393</v>
      </c>
    </row>
    <row r="61" spans="1:6" ht="30.75" hidden="1" customHeight="1" x14ac:dyDescent="0.25">
      <c r="A61" s="1">
        <v>34</v>
      </c>
      <c r="C61" s="337" t="str">
        <f>VLOOKUP(A61, '2. 2016 Continuity Schedule'!$A$24:$BV$87,3,FALSE)</f>
        <v>Smart Grid OM&amp;A Deferral Account</v>
      </c>
      <c r="D61" s="338">
        <f>VLOOKUP(A61, '2. 2016 Continuity Schedule'!$A$24:$BV$87,4,FALSE)</f>
        <v>1535</v>
      </c>
      <c r="E61" s="339">
        <f>IF(ISERROR(VLOOKUP($A61, '2. 2016 Continuity Schedule'!$A$20:$BV$89, MATCH('3. Appendix A'!$E$20, '2. 2016 Continuity Schedule'!$A$20:$BV$20,0),FALSE)), 0, VLOOKUP($A61, '2. 2016 Continuity Schedule'!$A$20:$BV$89, MATCH('3. Appendix A'!$E$20, '2. 2016 Continuity Schedule'!$A$20:$BV$20,0),FALSE))</f>
        <v>0</v>
      </c>
      <c r="F61" s="407" t="s">
        <v>393</v>
      </c>
    </row>
    <row r="62" spans="1:6" ht="30.75" hidden="1" customHeight="1" x14ac:dyDescent="0.25">
      <c r="A62" s="1">
        <v>35</v>
      </c>
      <c r="C62" s="337" t="str">
        <f>VLOOKUP(A62, '2. 2016 Continuity Schedule'!$A$24:$BV$87,3,FALSE)</f>
        <v>Smart Grid Funding Adder Deferral Account</v>
      </c>
      <c r="D62" s="338">
        <f>VLOOKUP(A62, '2. 2016 Continuity Schedule'!$A$24:$BV$87,4,FALSE)</f>
        <v>1536</v>
      </c>
      <c r="E62" s="339">
        <f>IF(ISERROR(VLOOKUP($A62, '2. 2016 Continuity Schedule'!$A$20:$BV$89, MATCH('3. Appendix A'!$E$20, '2. 2016 Continuity Schedule'!$A$20:$BV$20,0),FALSE)), 0, VLOOKUP($A62, '2. 2016 Continuity Schedule'!$A$20:$BV$89, MATCH('3. Appendix A'!$E$20, '2. 2016 Continuity Schedule'!$A$20:$BV$20,0),FALSE))</f>
        <v>0</v>
      </c>
      <c r="F62" s="407" t="s">
        <v>393</v>
      </c>
    </row>
    <row r="63" spans="1:6" ht="30.75" hidden="1" customHeight="1" x14ac:dyDescent="0.25">
      <c r="A63" s="1">
        <v>36</v>
      </c>
      <c r="B63" s="6"/>
      <c r="C63" s="337" t="str">
        <f>VLOOKUP(A63, '2. 2016 Continuity Schedule'!$A$24:$BV$87,3,FALSE)</f>
        <v>Smart Meter Capital and Recovery Offset Variance - Sub-Account - Capital5</v>
      </c>
      <c r="D63" s="338">
        <f>VLOOKUP(A63, '2. 2016 Continuity Schedule'!$A$24:$BV$87,4,FALSE)</f>
        <v>1555</v>
      </c>
      <c r="E63" s="339">
        <f>IF(ISERROR(VLOOKUP($A63, '2. 2016 Continuity Schedule'!$A$20:$BV$89, MATCH('3. Appendix A'!$E$20, '2. 2016 Continuity Schedule'!$A$20:$BV$20,0),FALSE)), 0, VLOOKUP($A63, '2. 2016 Continuity Schedule'!$A$20:$BV$89, MATCH('3. Appendix A'!$E$20, '2. 2016 Continuity Schedule'!$A$20:$BV$20,0),FALSE))</f>
        <v>0</v>
      </c>
      <c r="F63" s="407" t="s">
        <v>393</v>
      </c>
    </row>
    <row r="64" spans="1:6" ht="30.75" hidden="1" customHeight="1" x14ac:dyDescent="0.25">
      <c r="A64" s="1">
        <v>37</v>
      </c>
      <c r="B64" s="6"/>
      <c r="C64" s="337" t="str">
        <f>VLOOKUP(A64, '2. 2016 Continuity Schedule'!$A$24:$BV$87,3,FALSE)</f>
        <v>Smart Meter Capital and Recovery Offset Variance - Sub-Account - Recoveries5</v>
      </c>
      <c r="D64" s="338">
        <f>VLOOKUP(A64, '2. 2016 Continuity Schedule'!$A$24:$BV$87,4,FALSE)</f>
        <v>1555</v>
      </c>
      <c r="E64" s="339">
        <f>IF(ISERROR(VLOOKUP($A64, '2. 2016 Continuity Schedule'!$A$20:$BV$89, MATCH('3. Appendix A'!$E$20, '2. 2016 Continuity Schedule'!$A$20:$BV$20,0),FALSE)), 0, VLOOKUP($A64, '2. 2016 Continuity Schedule'!$A$20:$BV$89, MATCH('3. Appendix A'!$E$20, '2. 2016 Continuity Schedule'!$A$20:$BV$20,0),FALSE))</f>
        <v>0</v>
      </c>
      <c r="F64" s="407" t="s">
        <v>393</v>
      </c>
    </row>
    <row r="65" spans="1:6" ht="30.75" customHeight="1" x14ac:dyDescent="0.25">
      <c r="A65" s="1">
        <v>38</v>
      </c>
      <c r="B65" s="6"/>
      <c r="C65" s="337" t="str">
        <f>VLOOKUP(A65, '2. 2016 Continuity Schedule'!$A$24:$BV$87,3,FALSE)</f>
        <v>Smart Meter Capital and Recovery Offset Variance - Sub-Account - Stranded Meter Costs5</v>
      </c>
      <c r="D65" s="338">
        <f>VLOOKUP(A65, '2. 2016 Continuity Schedule'!$A$24:$BV$87,4,FALSE)</f>
        <v>1555</v>
      </c>
      <c r="E65" s="339">
        <f>IF(ISERROR(VLOOKUP($A65, '2. 2016 Continuity Schedule'!$A$20:$BV$89, MATCH('3. Appendix A'!$E$20, '2. 2016 Continuity Schedule'!$A$20:$BV$20,0),FALSE)), 0, VLOOKUP($A65, '2. 2016 Continuity Schedule'!$A$20:$BV$89, MATCH('3. Appendix A'!$E$20, '2. 2016 Continuity Schedule'!$A$20:$BV$20,0),FALSE))</f>
        <v>-0.29000000002997695</v>
      </c>
      <c r="F65" s="407" t="s">
        <v>393</v>
      </c>
    </row>
    <row r="66" spans="1:6" ht="30.75" hidden="1" customHeight="1" x14ac:dyDescent="0.25">
      <c r="A66" s="1">
        <v>39</v>
      </c>
      <c r="B66" s="6"/>
      <c r="C66" s="337" t="str">
        <f>VLOOKUP(A66, '2. 2016 Continuity Schedule'!$A$24:$BV$87,3,FALSE)</f>
        <v>Smart Meter OM&amp;A Variance5</v>
      </c>
      <c r="D66" s="338">
        <f>VLOOKUP(A66, '2. 2016 Continuity Schedule'!$A$24:$BV$87,4,FALSE)</f>
        <v>1556</v>
      </c>
      <c r="E66" s="339">
        <f>IF(ISERROR(VLOOKUP($A66, '2. 2016 Continuity Schedule'!$A$20:$BV$89, MATCH('3. Appendix A'!$E$20, '2. 2016 Continuity Schedule'!$A$20:$BV$20,0),FALSE)), 0, VLOOKUP($A66, '2. 2016 Continuity Schedule'!$A$20:$BV$89, MATCH('3. Appendix A'!$E$20, '2. 2016 Continuity Schedule'!$A$20:$BV$20,0),FALSE))</f>
        <v>0</v>
      </c>
      <c r="F66" s="181"/>
    </row>
    <row r="67" spans="1:6" ht="30.75" hidden="1" customHeight="1" x14ac:dyDescent="0.25">
      <c r="A67" s="1">
        <v>40</v>
      </c>
      <c r="B67" s="6"/>
      <c r="C67" s="337" t="str">
        <f>VLOOKUP(A67, '2. 2016 Continuity Schedule'!$A$24:$BV$87,3,FALSE)</f>
        <v>Meter Cost Deferral Account (MIST Meters)11</v>
      </c>
      <c r="D67" s="338">
        <f>VLOOKUP(A67, '2. 2016 Continuity Schedule'!$A$24:$BV$87,4,FALSE)</f>
        <v>1557</v>
      </c>
      <c r="E67" s="339">
        <f>IF(ISERROR(VLOOKUP($A67, '2. 2016 Continuity Schedule'!$A$20:$BV$89, MATCH('3. Appendix A'!$E$20, '2. 2016 Continuity Schedule'!$A$20:$BV$20,0),FALSE)), 0, VLOOKUP($A67, '2. 2016 Continuity Schedule'!$A$20:$BV$89, MATCH('3. Appendix A'!$E$20, '2. 2016 Continuity Schedule'!$A$20:$BV$20,0),FALSE))</f>
        <v>0</v>
      </c>
      <c r="F67" s="181"/>
    </row>
    <row r="68" spans="1:6" ht="30.75" hidden="1" customHeight="1" x14ac:dyDescent="0.25">
      <c r="A68" s="1">
        <v>41</v>
      </c>
      <c r="B68" s="6"/>
      <c r="C68" s="342" t="str">
        <f>VLOOKUP(A68, '2. 2016 Continuity Schedule'!$A$24:$BV$87,3,FALSE)</f>
        <v>IFRS-CGAAP Transition PP&amp;E Amounts Balance + Return Component6</v>
      </c>
      <c r="D68" s="343">
        <f>VLOOKUP(A68, '2. 2016 Continuity Schedule'!$A$24:$BV$87,4,FALSE)</f>
        <v>1575</v>
      </c>
      <c r="E68" s="339">
        <f>IF(ISERROR(VLOOKUP($A68, '2. 2016 Continuity Schedule'!$A$20:$BV$89, MATCH('3. Appendix A'!$E$20, '2. 2016 Continuity Schedule'!$A$20:$BV$20,0),FALSE)), 0, VLOOKUP($A68, '2. 2016 Continuity Schedule'!$A$20:$BV$89, MATCH('3. Appendix A'!$E$20, '2. 2016 Continuity Schedule'!$A$20:$BV$20,0),FALSE))</f>
        <v>0</v>
      </c>
      <c r="F68" s="322"/>
    </row>
    <row r="69" spans="1:6" ht="30.75" hidden="1" customHeight="1" thickBot="1" x14ac:dyDescent="0.3">
      <c r="A69" s="1">
        <v>42</v>
      </c>
      <c r="C69" s="344" t="str">
        <f>VLOOKUP(A69, '2. 2016 Continuity Schedule'!$A$24:$BV$87,3,FALSE)</f>
        <v>Accounting Changes Under CGAAP Balance + Return Component6</v>
      </c>
      <c r="D69" s="345">
        <f>VLOOKUP(A69, '2. 2016 Continuity Schedule'!$A$24:$BV$87,4,FALSE)</f>
        <v>1576</v>
      </c>
      <c r="E69" s="346">
        <f>IF(ISERROR(VLOOKUP($A69, '2. 2016 Continuity Schedule'!$A$20:$BV$89, MATCH('3. Appendix A'!$E$20, '2. 2016 Continuity Schedule'!$A$20:$BV$20,0),FALSE)), 0, VLOOKUP($A69, '2. 2016 Continuity Schedule'!$A$20:$BV$89, MATCH('3. Appendix A'!$E$20, '2. 2016 Continuity Schedule'!$A$20:$BV$20,0),FALSE))</f>
        <v>0</v>
      </c>
      <c r="F69" s="321"/>
    </row>
    <row r="70" spans="1:6" hidden="1" x14ac:dyDescent="0.25"/>
    <row r="71" spans="1:6" hidden="1" x14ac:dyDescent="0.25"/>
    <row r="72" spans="1:6" hidden="1" x14ac:dyDescent="0.25"/>
  </sheetData>
  <sheetProtection password="F8BD" sheet="1" objects="1" scenarios="1"/>
  <mergeCells count="5">
    <mergeCell ref="E20:E22"/>
    <mergeCell ref="F20:F22"/>
    <mergeCell ref="C20:C22"/>
    <mergeCell ref="D20:D22"/>
    <mergeCell ref="B16:E16"/>
  </mergeCells>
  <phoneticPr fontId="17" type="noConversion"/>
  <conditionalFormatting sqref="F24:F40 F42:F69">
    <cfRule type="expression" dxfId="14"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EU51"/>
  <sheetViews>
    <sheetView showGridLines="0" topLeftCell="A13" zoomScaleNormal="100" workbookViewId="0">
      <selection activeCell="E25" sqref="E25"/>
    </sheetView>
  </sheetViews>
  <sheetFormatPr defaultColWidth="9.109375" defaultRowHeight="13.2" x14ac:dyDescent="0.25"/>
  <cols>
    <col min="1" max="1" width="9.109375" style="1"/>
    <col min="2" max="2" width="54" style="1" bestFit="1" customWidth="1"/>
    <col min="3" max="3" width="6.5546875" style="1" customWidth="1"/>
    <col min="4" max="4" width="14.88671875" style="1" customWidth="1"/>
    <col min="5" max="6" width="17.109375" style="1" customWidth="1"/>
    <col min="7" max="7" width="14" style="1" bestFit="1" customWidth="1"/>
    <col min="8" max="8" width="12.6640625" style="1" bestFit="1" customWidth="1"/>
    <col min="9" max="9" width="16" style="1" bestFit="1" customWidth="1"/>
    <col min="10" max="11" width="18.44140625" style="1" bestFit="1" customWidth="1"/>
    <col min="12" max="12" width="17" style="1" customWidth="1"/>
    <col min="13" max="13" width="18.109375" style="1" bestFit="1" customWidth="1"/>
    <col min="14" max="14" width="17" style="1" hidden="1" customWidth="1"/>
    <col min="15" max="15" width="16.6640625" style="1" customWidth="1"/>
    <col min="16" max="16" width="17" style="1" hidden="1" customWidth="1"/>
    <col min="17" max="17" width="21.33203125" style="1" hidden="1" customWidth="1"/>
    <col min="18" max="18" width="21.88671875" style="1" hidden="1" customWidth="1"/>
    <col min="19" max="19" width="26.6640625" style="1" customWidth="1"/>
    <col min="20" max="20" width="20.88671875" style="1" hidden="1" customWidth="1"/>
    <col min="21" max="27" width="21.33203125" style="1" customWidth="1"/>
    <col min="28" max="29" width="17.44140625" style="1" customWidth="1"/>
    <col min="30" max="16384" width="9.109375" style="1"/>
  </cols>
  <sheetData>
    <row r="1" spans="2:16" x14ac:dyDescent="0.25">
      <c r="J1" s="356"/>
      <c r="K1" s="356"/>
      <c r="L1" s="356"/>
    </row>
    <row r="2" spans="2:16" x14ac:dyDescent="0.25">
      <c r="B2" s="356" t="b">
        <v>0</v>
      </c>
      <c r="J2" s="356"/>
      <c r="K2" s="356"/>
      <c r="L2" s="356"/>
    </row>
    <row r="3" spans="2:16" x14ac:dyDescent="0.25">
      <c r="J3" s="356"/>
      <c r="K3" s="356"/>
      <c r="L3" s="356"/>
    </row>
    <row r="4" spans="2:16" x14ac:dyDescent="0.25">
      <c r="J4" s="356"/>
      <c r="K4" s="356"/>
      <c r="L4" s="356"/>
    </row>
    <row r="5" spans="2:16" x14ac:dyDescent="0.25">
      <c r="J5" s="356"/>
      <c r="K5" s="356"/>
      <c r="L5" s="356"/>
    </row>
    <row r="6" spans="2:16" x14ac:dyDescent="0.25">
      <c r="J6" s="356"/>
      <c r="K6" s="356"/>
      <c r="L6" s="356"/>
    </row>
    <row r="7" spans="2:16" x14ac:dyDescent="0.25">
      <c r="J7" s="356"/>
      <c r="K7" s="356"/>
      <c r="L7" s="356"/>
    </row>
    <row r="8" spans="2:16" x14ac:dyDescent="0.25">
      <c r="J8" s="356"/>
      <c r="K8" s="356"/>
      <c r="L8" s="356"/>
    </row>
    <row r="9" spans="2:16" x14ac:dyDescent="0.25">
      <c r="J9" s="356"/>
      <c r="K9" s="356"/>
      <c r="L9" s="356"/>
    </row>
    <row r="10" spans="2:16" x14ac:dyDescent="0.25">
      <c r="J10" s="356"/>
      <c r="K10" s="356"/>
      <c r="L10" s="356"/>
    </row>
    <row r="11" spans="2:16" x14ac:dyDescent="0.25">
      <c r="J11" s="356"/>
      <c r="K11" s="356"/>
      <c r="L11" s="356"/>
    </row>
    <row r="12" spans="2:16" x14ac:dyDescent="0.25">
      <c r="J12" s="356"/>
      <c r="K12" s="356"/>
      <c r="L12" s="356"/>
    </row>
    <row r="13" spans="2:16" ht="3" customHeight="1" x14ac:dyDescent="0.25">
      <c r="J13" s="356"/>
      <c r="K13" s="356"/>
      <c r="L13" s="356"/>
    </row>
    <row r="14" spans="2:16" ht="3" customHeight="1" x14ac:dyDescent="0.25">
      <c r="J14" s="356"/>
      <c r="K14" s="356"/>
      <c r="L14" s="356"/>
    </row>
    <row r="15" spans="2:16" ht="3" customHeight="1" x14ac:dyDescent="0.25"/>
    <row r="16" spans="2:16" ht="12.75" customHeight="1" x14ac:dyDescent="0.25">
      <c r="B16" s="454" t="s">
        <v>237</v>
      </c>
      <c r="C16" s="454"/>
      <c r="D16" s="454"/>
      <c r="E16" s="454"/>
      <c r="F16" s="454"/>
      <c r="G16" s="454"/>
      <c r="H16" s="454"/>
      <c r="I16" s="454"/>
      <c r="J16" s="133"/>
      <c r="K16" s="133"/>
      <c r="L16" s="133"/>
      <c r="M16" s="133"/>
      <c r="N16" s="133"/>
      <c r="O16" s="133"/>
      <c r="P16" s="133"/>
    </row>
    <row r="17" spans="1:16375" x14ac:dyDescent="0.25">
      <c r="B17" s="454"/>
      <c r="C17" s="454"/>
      <c r="D17" s="454"/>
      <c r="E17" s="454"/>
      <c r="F17" s="454"/>
      <c r="G17" s="454"/>
      <c r="H17" s="454"/>
      <c r="I17" s="454"/>
      <c r="J17" s="133"/>
      <c r="K17" s="133"/>
      <c r="L17" s="133"/>
      <c r="M17" s="133"/>
      <c r="N17" s="133"/>
      <c r="O17" s="133"/>
      <c r="P17" s="133"/>
    </row>
    <row r="18" spans="1:16375" x14ac:dyDescent="0.25">
      <c r="B18" s="134"/>
      <c r="C18" s="134"/>
      <c r="D18" s="134"/>
      <c r="E18" s="473" t="s">
        <v>350</v>
      </c>
      <c r="F18" s="473"/>
      <c r="G18" s="473" t="s">
        <v>352</v>
      </c>
      <c r="H18" s="473"/>
      <c r="I18" s="134"/>
      <c r="J18" s="473" t="s">
        <v>377</v>
      </c>
      <c r="K18" s="473"/>
      <c r="L18" s="477" t="s">
        <v>378</v>
      </c>
      <c r="M18" s="478"/>
      <c r="N18" s="134"/>
      <c r="O18" s="473" t="s">
        <v>379</v>
      </c>
      <c r="P18" s="473"/>
      <c r="Q18" s="473"/>
      <c r="R18" s="134"/>
      <c r="S18" s="41" t="s">
        <v>380</v>
      </c>
    </row>
    <row r="19" spans="1:16375" ht="12.75" customHeight="1" x14ac:dyDescent="0.25">
      <c r="B19" s="467" t="s">
        <v>210</v>
      </c>
      <c r="C19" s="466" t="s">
        <v>62</v>
      </c>
      <c r="D19" s="465" t="s">
        <v>71</v>
      </c>
      <c r="E19" s="464" t="s">
        <v>208</v>
      </c>
      <c r="F19" s="464" t="s">
        <v>209</v>
      </c>
      <c r="G19" s="464" t="s">
        <v>323</v>
      </c>
      <c r="H19" s="464" t="s">
        <v>324</v>
      </c>
      <c r="I19" s="464" t="s">
        <v>300</v>
      </c>
      <c r="J19" s="464" t="s">
        <v>325</v>
      </c>
      <c r="K19" s="464" t="s">
        <v>326</v>
      </c>
      <c r="L19" s="464" t="s">
        <v>211</v>
      </c>
      <c r="M19" s="464" t="s">
        <v>327</v>
      </c>
      <c r="N19" s="472" t="s">
        <v>310</v>
      </c>
      <c r="O19" s="464" t="s">
        <v>372</v>
      </c>
      <c r="P19" s="470" t="s">
        <v>346</v>
      </c>
      <c r="Q19" s="469" t="s">
        <v>370</v>
      </c>
      <c r="R19" s="469" t="s">
        <v>371</v>
      </c>
      <c r="S19" s="464" t="s">
        <v>376</v>
      </c>
      <c r="T19" s="464" t="s">
        <v>328</v>
      </c>
      <c r="U19" s="469" t="s">
        <v>301</v>
      </c>
      <c r="V19" s="469" t="s">
        <v>302</v>
      </c>
      <c r="W19" s="469" t="s">
        <v>303</v>
      </c>
      <c r="X19" s="469" t="s">
        <v>304</v>
      </c>
      <c r="Y19" s="469" t="s">
        <v>305</v>
      </c>
      <c r="Z19" s="469" t="s">
        <v>306</v>
      </c>
      <c r="AA19" s="469" t="s">
        <v>316</v>
      </c>
      <c r="AB19" s="476" t="s">
        <v>337</v>
      </c>
      <c r="AC19" s="474" t="s">
        <v>307</v>
      </c>
    </row>
    <row r="20" spans="1:16375" ht="75.75" customHeight="1" x14ac:dyDescent="0.25">
      <c r="B20" s="468"/>
      <c r="C20" s="466"/>
      <c r="D20" s="465"/>
      <c r="E20" s="465"/>
      <c r="F20" s="465"/>
      <c r="G20" s="464"/>
      <c r="H20" s="464"/>
      <c r="I20" s="464"/>
      <c r="J20" s="464"/>
      <c r="K20" s="464"/>
      <c r="L20" s="464"/>
      <c r="M20" s="464"/>
      <c r="N20" s="472"/>
      <c r="O20" s="464"/>
      <c r="P20" s="471"/>
      <c r="Q20" s="469"/>
      <c r="R20" s="469"/>
      <c r="S20" s="464"/>
      <c r="T20" s="464"/>
      <c r="U20" s="469"/>
      <c r="V20" s="469"/>
      <c r="W20" s="469"/>
      <c r="X20" s="469"/>
      <c r="Y20" s="469"/>
      <c r="Z20" s="469"/>
      <c r="AA20" s="469"/>
      <c r="AB20" s="476"/>
      <c r="AC20" s="475"/>
    </row>
    <row r="21" spans="1:16375" x14ac:dyDescent="0.25">
      <c r="B21" s="190" t="s">
        <v>387</v>
      </c>
      <c r="C21" s="191" t="s">
        <v>189</v>
      </c>
      <c r="D21" s="250">
        <f>[8]Summary!$L$14</f>
        <v>15554.75</v>
      </c>
      <c r="E21" s="251">
        <f>[8]Summary!$L$15</f>
        <v>144001990.04708877</v>
      </c>
      <c r="F21" s="252"/>
      <c r="G21" s="253">
        <f>E21*0.06</f>
        <v>8640119.4028253257</v>
      </c>
      <c r="H21" s="137">
        <f>IF(ISERROR(F21/E21*G21), 0, F21/E21*G21)</f>
        <v>0</v>
      </c>
      <c r="I21" s="254"/>
      <c r="J21" s="250"/>
      <c r="K21" s="250"/>
      <c r="L21" s="138">
        <f>E21-J21</f>
        <v>144001990.04708877</v>
      </c>
      <c r="M21" s="138">
        <f>F21-K21</f>
        <v>0</v>
      </c>
      <c r="N21" s="303"/>
      <c r="O21" s="193"/>
      <c r="P21" s="250"/>
      <c r="Q21" s="75"/>
      <c r="R21" s="194"/>
      <c r="S21" s="138">
        <f>IF(OR(G21=0, ISBLANK(G21)), 0, G21-J21-O21-Q21)</f>
        <v>8640119.4028253257</v>
      </c>
      <c r="T21" s="138">
        <f>IF(OR(H21=0, ISBLANK(H21)), 0, H21-K21-P21-R21)</f>
        <v>0</v>
      </c>
      <c r="U21" s="194">
        <v>0.67769999999999997</v>
      </c>
      <c r="V21" s="194">
        <v>0.67769999999999997</v>
      </c>
      <c r="W21" s="194">
        <v>0.67769999999999997</v>
      </c>
      <c r="X21" s="194">
        <v>0.67769999999999997</v>
      </c>
      <c r="Y21" s="194">
        <v>0.625</v>
      </c>
      <c r="Z21" s="194">
        <v>0.625</v>
      </c>
      <c r="AA21" s="194">
        <v>0.625</v>
      </c>
      <c r="AB21" s="255"/>
      <c r="AC21" s="255">
        <f>D21</f>
        <v>15554.75</v>
      </c>
    </row>
    <row r="22" spans="1:16375" x14ac:dyDescent="0.25">
      <c r="B22" s="190" t="s">
        <v>388</v>
      </c>
      <c r="C22" s="191" t="s">
        <v>189</v>
      </c>
      <c r="D22" s="250">
        <f>[8]Summary!$L$18</f>
        <v>1034.4166666666667</v>
      </c>
      <c r="E22" s="251">
        <f>[8]Summary!$L$19</f>
        <v>31418007.178141017</v>
      </c>
      <c r="F22" s="252"/>
      <c r="G22" s="253">
        <f>E22*0.17</f>
        <v>5341061.220283973</v>
      </c>
      <c r="H22" s="137">
        <f t="shared" ref="H22:H40" si="0">IF(ISERROR(F22/E22*G22), 0, F22/E22*G22)</f>
        <v>0</v>
      </c>
      <c r="I22" s="254"/>
      <c r="J22" s="250"/>
      <c r="K22" s="250"/>
      <c r="L22" s="138">
        <f t="shared" ref="L22:L40" si="1">E22-J22</f>
        <v>31418007.178141017</v>
      </c>
      <c r="M22" s="138">
        <f t="shared" ref="M22:M40" si="2">F22-K22</f>
        <v>0</v>
      </c>
      <c r="N22" s="303"/>
      <c r="O22" s="193"/>
      <c r="P22" s="250"/>
      <c r="Q22" s="75"/>
      <c r="R22" s="194"/>
      <c r="S22" s="138">
        <f t="shared" ref="S22:S40" si="3">IF(OR(G22=0, ISBLANK(G22)), 0, G22-J22-O22-Q22)</f>
        <v>5341061.220283973</v>
      </c>
      <c r="T22" s="138">
        <f t="shared" ref="T22:T40" si="4">IF(OR(H22=0, ISBLANK(H22)), 0, H22-K22-P22-R22)</f>
        <v>0</v>
      </c>
      <c r="U22" s="194">
        <v>0.13669999999999999</v>
      </c>
      <c r="V22" s="194">
        <v>0.13669999999999999</v>
      </c>
      <c r="W22" s="194">
        <v>0.13669999999999999</v>
      </c>
      <c r="X22" s="194">
        <v>0.13669999999999999</v>
      </c>
      <c r="Y22" s="194">
        <v>0.13500000000000001</v>
      </c>
      <c r="Z22" s="194">
        <v>0.13500000000000001</v>
      </c>
      <c r="AA22" s="194">
        <v>0.13500000000000001</v>
      </c>
      <c r="AB22" s="255"/>
      <c r="AC22" s="255">
        <f>D22</f>
        <v>1034.4166666666667</v>
      </c>
    </row>
    <row r="23" spans="1:16375" x14ac:dyDescent="0.25">
      <c r="B23" s="190" t="s">
        <v>389</v>
      </c>
      <c r="C23" s="191" t="s">
        <v>299</v>
      </c>
      <c r="D23" s="250">
        <f>[8]Summary!$L$22</f>
        <v>87.5</v>
      </c>
      <c r="E23" s="251">
        <f>[8]Summary!$L$23</f>
        <v>63122597.065548651</v>
      </c>
      <c r="F23" s="252">
        <f>[8]Summary!$L$24</f>
        <v>174966.34292758067</v>
      </c>
      <c r="G23" s="253">
        <f>E23*0.96</f>
        <v>60597693.1829267</v>
      </c>
      <c r="H23" s="137">
        <f t="shared" si="0"/>
        <v>167967.68921047743</v>
      </c>
      <c r="I23" s="254"/>
      <c r="J23" s="192"/>
      <c r="K23" s="192"/>
      <c r="L23" s="138">
        <f t="shared" si="1"/>
        <v>63122597.065548651</v>
      </c>
      <c r="M23" s="138">
        <f t="shared" si="2"/>
        <v>174966.34292758067</v>
      </c>
      <c r="N23" s="303"/>
      <c r="O23" s="193"/>
      <c r="P23" s="250"/>
      <c r="Q23" s="75"/>
      <c r="R23" s="194"/>
      <c r="S23" s="138">
        <f t="shared" si="3"/>
        <v>60597693.1829267</v>
      </c>
      <c r="T23" s="138">
        <f t="shared" si="4"/>
        <v>167967.68921047743</v>
      </c>
      <c r="U23" s="194">
        <v>0.1754</v>
      </c>
      <c r="V23" s="194">
        <v>0.1754</v>
      </c>
      <c r="W23" s="194">
        <v>0.1754</v>
      </c>
      <c r="X23" s="194">
        <v>0.1754</v>
      </c>
      <c r="Y23" s="194">
        <v>0.23400000000000001</v>
      </c>
      <c r="Z23" s="194">
        <v>0.23400000000000001</v>
      </c>
      <c r="AA23" s="194">
        <v>0.23400000000000001</v>
      </c>
      <c r="AB23" s="255"/>
      <c r="AC23" s="255"/>
    </row>
    <row r="24" spans="1:16375" x14ac:dyDescent="0.25">
      <c r="B24" s="190" t="s">
        <v>390</v>
      </c>
      <c r="C24" s="191" t="s">
        <v>299</v>
      </c>
      <c r="D24" s="250">
        <f>[8]Summary!$L$27</f>
        <v>161</v>
      </c>
      <c r="E24" s="251">
        <f>[8]Summary!$L$28</f>
        <v>103051.65856497742</v>
      </c>
      <c r="F24" s="252">
        <f>[8]Summary!$L$29</f>
        <v>286.28122226821648</v>
      </c>
      <c r="G24" s="253">
        <f>E24*0.16</f>
        <v>16488.265370396388</v>
      </c>
      <c r="H24" s="137">
        <f t="shared" si="0"/>
        <v>45.804995562914641</v>
      </c>
      <c r="I24" s="254"/>
      <c r="J24" s="192"/>
      <c r="K24" s="192"/>
      <c r="L24" s="138">
        <f t="shared" si="1"/>
        <v>103051.65856497742</v>
      </c>
      <c r="M24" s="138">
        <f t="shared" si="2"/>
        <v>286.28122226821648</v>
      </c>
      <c r="N24" s="303"/>
      <c r="O24" s="193"/>
      <c r="P24" s="250"/>
      <c r="Q24" s="75"/>
      <c r="R24" s="194"/>
      <c r="S24" s="138">
        <f t="shared" si="3"/>
        <v>16488.265370396388</v>
      </c>
      <c r="T24" s="138">
        <f t="shared" si="4"/>
        <v>45.804995562914641</v>
      </c>
      <c r="U24" s="194">
        <v>2.3999999999999998E-3</v>
      </c>
      <c r="V24" s="194">
        <v>2.3999999999999998E-3</v>
      </c>
      <c r="W24" s="194">
        <v>2.3999999999999998E-3</v>
      </c>
      <c r="X24" s="194">
        <v>2.3999999999999998E-3</v>
      </c>
      <c r="Y24" s="194">
        <v>0</v>
      </c>
      <c r="Z24" s="194">
        <v>0</v>
      </c>
      <c r="AA24" s="194">
        <v>0</v>
      </c>
      <c r="AB24" s="255"/>
      <c r="AC24" s="255"/>
    </row>
    <row r="25" spans="1:16375" x14ac:dyDescent="0.25">
      <c r="B25" s="190" t="s">
        <v>391</v>
      </c>
      <c r="C25" s="191" t="s">
        <v>299</v>
      </c>
      <c r="D25" s="250">
        <f>[8]Summary!$L$32</f>
        <v>2994.8333333333335</v>
      </c>
      <c r="E25" s="251">
        <f>[8]Summary!$L$33</f>
        <v>561223.48942778981</v>
      </c>
      <c r="F25" s="252">
        <f>[8]Summary!$L$34</f>
        <v>1598.6472960042561</v>
      </c>
      <c r="G25" s="253">
        <v>561223</v>
      </c>
      <c r="H25" s="137">
        <f t="shared" si="0"/>
        <v>1598.6459018672901</v>
      </c>
      <c r="I25" s="254"/>
      <c r="J25" s="250"/>
      <c r="K25" s="250"/>
      <c r="L25" s="138">
        <f t="shared" si="1"/>
        <v>561223.48942778981</v>
      </c>
      <c r="M25" s="138">
        <f t="shared" si="2"/>
        <v>1598.6472960042561</v>
      </c>
      <c r="N25" s="303">
        <v>0</v>
      </c>
      <c r="O25" s="193"/>
      <c r="P25" s="250"/>
      <c r="Q25" s="75"/>
      <c r="R25" s="194"/>
      <c r="S25" s="138">
        <f t="shared" si="3"/>
        <v>561223</v>
      </c>
      <c r="T25" s="138">
        <f t="shared" si="4"/>
        <v>1598.6459018672901</v>
      </c>
      <c r="U25" s="194">
        <v>5.0000000000000001E-4</v>
      </c>
      <c r="V25" s="194">
        <v>5.0000000000000001E-4</v>
      </c>
      <c r="W25" s="194">
        <v>5.0000000000000001E-4</v>
      </c>
      <c r="X25" s="194">
        <v>5.0000000000000001E-4</v>
      </c>
      <c r="Y25" s="194">
        <v>3.0000000000000001E-3</v>
      </c>
      <c r="Z25" s="194">
        <v>3.0000000000000001E-3</v>
      </c>
      <c r="AA25" s="194">
        <v>3.0000000000000001E-3</v>
      </c>
      <c r="AB25" s="255"/>
      <c r="AC25" s="255"/>
    </row>
    <row r="26" spans="1:16375" s="139" customFormat="1" x14ac:dyDescent="0.25">
      <c r="A26" s="1"/>
      <c r="B26" s="190" t="s">
        <v>392</v>
      </c>
      <c r="C26" s="191" t="s">
        <v>189</v>
      </c>
      <c r="D26" s="250">
        <f>[8]Summary!$L$37</f>
        <v>73.5</v>
      </c>
      <c r="E26" s="251">
        <f>[8]Summary!$L$38</f>
        <v>461015.01227876113</v>
      </c>
      <c r="F26" s="252"/>
      <c r="G26" s="253">
        <f>E26*0.06</f>
        <v>27660.900736725667</v>
      </c>
      <c r="H26" s="137">
        <f t="shared" si="0"/>
        <v>0</v>
      </c>
      <c r="I26" s="254"/>
      <c r="J26" s="192"/>
      <c r="K26" s="192"/>
      <c r="L26" s="138">
        <f t="shared" si="1"/>
        <v>461015.01227876113</v>
      </c>
      <c r="M26" s="138">
        <f t="shared" si="2"/>
        <v>0</v>
      </c>
      <c r="N26" s="303">
        <v>0</v>
      </c>
      <c r="O26" s="193"/>
      <c r="P26" s="250"/>
      <c r="Q26" s="75"/>
      <c r="R26" s="194"/>
      <c r="S26" s="138">
        <f t="shared" si="3"/>
        <v>27660.900736725667</v>
      </c>
      <c r="T26" s="138">
        <f t="shared" si="4"/>
        <v>0</v>
      </c>
      <c r="U26" s="194">
        <v>7.1999999999999998E-3</v>
      </c>
      <c r="V26" s="194">
        <v>7.1999999999999998E-3</v>
      </c>
      <c r="W26" s="194">
        <v>7.1999999999999998E-3</v>
      </c>
      <c r="X26" s="194">
        <v>7.1999999999999998E-3</v>
      </c>
      <c r="Y26" s="194"/>
      <c r="Z26" s="76"/>
      <c r="AA26" s="76"/>
      <c r="AB26" s="255"/>
      <c r="AC26" s="255"/>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35"/>
      <c r="XEU26" s="136"/>
    </row>
    <row r="27" spans="1:16375" x14ac:dyDescent="0.25">
      <c r="B27" s="190"/>
      <c r="C27" s="191"/>
      <c r="D27" s="250"/>
      <c r="E27" s="251"/>
      <c r="F27" s="252"/>
      <c r="G27" s="253"/>
      <c r="H27" s="137">
        <f t="shared" si="0"/>
        <v>0</v>
      </c>
      <c r="I27" s="254"/>
      <c r="J27" s="250"/>
      <c r="K27" s="250"/>
      <c r="L27" s="138">
        <f t="shared" si="1"/>
        <v>0</v>
      </c>
      <c r="M27" s="138">
        <f t="shared" si="2"/>
        <v>0</v>
      </c>
      <c r="N27" s="303"/>
      <c r="O27" s="250"/>
      <c r="P27" s="250"/>
      <c r="Q27" s="75"/>
      <c r="R27" s="348"/>
      <c r="S27" s="138">
        <f t="shared" si="3"/>
        <v>0</v>
      </c>
      <c r="T27" s="138">
        <f t="shared" si="4"/>
        <v>0</v>
      </c>
      <c r="U27" s="348"/>
      <c r="V27" s="348"/>
      <c r="W27" s="150"/>
      <c r="X27" s="150"/>
      <c r="Y27" s="76"/>
      <c r="Z27" s="76"/>
      <c r="AA27" s="76"/>
      <c r="AB27" s="255"/>
      <c r="AC27" s="255"/>
    </row>
    <row r="28" spans="1:16375" x14ac:dyDescent="0.25">
      <c r="B28" s="190"/>
      <c r="C28" s="191"/>
      <c r="D28" s="250"/>
      <c r="E28" s="251"/>
      <c r="F28" s="252"/>
      <c r="G28" s="253"/>
      <c r="H28" s="137">
        <f t="shared" si="0"/>
        <v>0</v>
      </c>
      <c r="I28" s="254"/>
      <c r="J28" s="250"/>
      <c r="K28" s="250"/>
      <c r="L28" s="138">
        <f t="shared" si="1"/>
        <v>0</v>
      </c>
      <c r="M28" s="138">
        <f t="shared" si="2"/>
        <v>0</v>
      </c>
      <c r="N28" s="303"/>
      <c r="O28" s="250"/>
      <c r="P28" s="250"/>
      <c r="Q28" s="75"/>
      <c r="R28" s="348"/>
      <c r="S28" s="138">
        <f t="shared" si="3"/>
        <v>0</v>
      </c>
      <c r="T28" s="138">
        <f t="shared" si="4"/>
        <v>0</v>
      </c>
      <c r="U28" s="348"/>
      <c r="V28" s="348"/>
      <c r="W28" s="150"/>
      <c r="X28" s="150"/>
      <c r="Y28" s="76"/>
      <c r="Z28" s="76"/>
      <c r="AA28" s="76"/>
      <c r="AB28" s="255"/>
      <c r="AC28" s="255"/>
    </row>
    <row r="29" spans="1:16375" x14ac:dyDescent="0.25">
      <c r="B29" s="190"/>
      <c r="C29" s="191"/>
      <c r="D29" s="250"/>
      <c r="E29" s="251"/>
      <c r="F29" s="252"/>
      <c r="G29" s="253"/>
      <c r="H29" s="137">
        <f t="shared" si="0"/>
        <v>0</v>
      </c>
      <c r="I29" s="254"/>
      <c r="J29" s="250"/>
      <c r="K29" s="250"/>
      <c r="L29" s="138">
        <f t="shared" si="1"/>
        <v>0</v>
      </c>
      <c r="M29" s="138">
        <f t="shared" si="2"/>
        <v>0</v>
      </c>
      <c r="N29" s="304"/>
      <c r="O29" s="75"/>
      <c r="P29" s="75"/>
      <c r="Q29" s="75"/>
      <c r="R29" s="150"/>
      <c r="S29" s="138">
        <f t="shared" si="3"/>
        <v>0</v>
      </c>
      <c r="T29" s="138">
        <f t="shared" si="4"/>
        <v>0</v>
      </c>
      <c r="U29" s="76"/>
      <c r="V29" s="150"/>
      <c r="W29" s="150"/>
      <c r="X29" s="150"/>
      <c r="Y29" s="76"/>
      <c r="Z29" s="76"/>
      <c r="AA29" s="76"/>
      <c r="AB29" s="255"/>
      <c r="AC29" s="255"/>
    </row>
    <row r="30" spans="1:16375" s="139" customFormat="1" x14ac:dyDescent="0.25">
      <c r="A30" s="1"/>
      <c r="B30" s="190"/>
      <c r="C30" s="191"/>
      <c r="D30" s="250"/>
      <c r="E30" s="251"/>
      <c r="F30" s="252"/>
      <c r="G30" s="253"/>
      <c r="H30" s="137">
        <f t="shared" si="0"/>
        <v>0</v>
      </c>
      <c r="I30" s="254"/>
      <c r="J30" s="75"/>
      <c r="K30" s="75"/>
      <c r="L30" s="138">
        <f t="shared" si="1"/>
        <v>0</v>
      </c>
      <c r="M30" s="138">
        <f t="shared" si="2"/>
        <v>0</v>
      </c>
      <c r="N30" s="304"/>
      <c r="O30" s="75"/>
      <c r="P30" s="75"/>
      <c r="Q30" s="75"/>
      <c r="R30" s="150"/>
      <c r="S30" s="138">
        <f t="shared" si="3"/>
        <v>0</v>
      </c>
      <c r="T30" s="138">
        <f t="shared" si="4"/>
        <v>0</v>
      </c>
      <c r="U30" s="76"/>
      <c r="V30" s="150"/>
      <c r="W30" s="150"/>
      <c r="X30" s="150"/>
      <c r="Y30" s="76"/>
      <c r="Z30" s="76"/>
      <c r="AA30" s="76"/>
      <c r="AB30" s="255"/>
      <c r="AC30" s="255"/>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35"/>
      <c r="XEU30" s="136"/>
    </row>
    <row r="31" spans="1:16375" x14ac:dyDescent="0.25">
      <c r="B31" s="190"/>
      <c r="C31" s="191"/>
      <c r="D31" s="250"/>
      <c r="E31" s="251"/>
      <c r="F31" s="252"/>
      <c r="G31" s="253"/>
      <c r="H31" s="137">
        <f t="shared" si="0"/>
        <v>0</v>
      </c>
      <c r="I31" s="254"/>
      <c r="J31" s="75"/>
      <c r="K31" s="75"/>
      <c r="L31" s="138">
        <f t="shared" si="1"/>
        <v>0</v>
      </c>
      <c r="M31" s="138">
        <f t="shared" si="2"/>
        <v>0</v>
      </c>
      <c r="N31" s="304"/>
      <c r="O31" s="75"/>
      <c r="P31" s="75"/>
      <c r="Q31" s="75"/>
      <c r="R31" s="76"/>
      <c r="S31" s="138">
        <f t="shared" si="3"/>
        <v>0</v>
      </c>
      <c r="T31" s="138">
        <f t="shared" si="4"/>
        <v>0</v>
      </c>
      <c r="U31" s="76"/>
      <c r="V31" s="76"/>
      <c r="W31" s="76"/>
      <c r="X31" s="76"/>
      <c r="Y31" s="76"/>
      <c r="Z31" s="76"/>
      <c r="AA31" s="76"/>
      <c r="AB31" s="255"/>
      <c r="AC31" s="255"/>
    </row>
    <row r="32" spans="1:16375" x14ac:dyDescent="0.25">
      <c r="B32" s="190"/>
      <c r="C32" s="74"/>
      <c r="D32" s="250"/>
      <c r="E32" s="250"/>
      <c r="F32" s="250"/>
      <c r="G32" s="250"/>
      <c r="H32" s="137">
        <f t="shared" si="0"/>
        <v>0</v>
      </c>
      <c r="I32" s="75"/>
      <c r="J32" s="75"/>
      <c r="K32" s="75"/>
      <c r="L32" s="138">
        <f t="shared" si="1"/>
        <v>0</v>
      </c>
      <c r="M32" s="138">
        <f t="shared" si="2"/>
        <v>0</v>
      </c>
      <c r="N32" s="304"/>
      <c r="O32" s="75"/>
      <c r="P32" s="75"/>
      <c r="Q32" s="75"/>
      <c r="R32" s="76"/>
      <c r="S32" s="138">
        <f t="shared" si="3"/>
        <v>0</v>
      </c>
      <c r="T32" s="138">
        <f t="shared" si="4"/>
        <v>0</v>
      </c>
      <c r="U32" s="76"/>
      <c r="V32" s="76"/>
      <c r="W32" s="76"/>
      <c r="X32" s="76"/>
      <c r="Y32" s="76"/>
      <c r="Z32" s="76"/>
      <c r="AA32" s="76"/>
      <c r="AB32" s="255"/>
      <c r="AC32" s="255"/>
    </row>
    <row r="33" spans="1:29" x14ac:dyDescent="0.25">
      <c r="B33" s="130"/>
      <c r="C33" s="74"/>
      <c r="D33" s="75"/>
      <c r="E33" s="75"/>
      <c r="F33" s="75"/>
      <c r="G33" s="75"/>
      <c r="H33" s="137">
        <f t="shared" si="0"/>
        <v>0</v>
      </c>
      <c r="I33" s="75"/>
      <c r="J33" s="75"/>
      <c r="K33" s="75"/>
      <c r="L33" s="138">
        <f t="shared" si="1"/>
        <v>0</v>
      </c>
      <c r="M33" s="138">
        <f t="shared" si="2"/>
        <v>0</v>
      </c>
      <c r="N33" s="304"/>
      <c r="O33" s="75"/>
      <c r="P33" s="75"/>
      <c r="Q33" s="75"/>
      <c r="R33" s="76"/>
      <c r="S33" s="138">
        <f t="shared" si="3"/>
        <v>0</v>
      </c>
      <c r="T33" s="138">
        <f t="shared" si="4"/>
        <v>0</v>
      </c>
      <c r="U33" s="76"/>
      <c r="V33" s="76"/>
      <c r="W33" s="76"/>
      <c r="X33" s="76"/>
      <c r="Y33" s="76"/>
      <c r="Z33" s="76"/>
      <c r="AA33" s="76"/>
      <c r="AB33" s="255"/>
      <c r="AC33" s="255"/>
    </row>
    <row r="34" spans="1:29" x14ac:dyDescent="0.25">
      <c r="B34" s="130"/>
      <c r="C34" s="74"/>
      <c r="D34" s="75"/>
      <c r="E34" s="75"/>
      <c r="F34" s="75"/>
      <c r="G34" s="75"/>
      <c r="H34" s="137">
        <f t="shared" si="0"/>
        <v>0</v>
      </c>
      <c r="I34" s="75"/>
      <c r="J34" s="75"/>
      <c r="K34" s="75"/>
      <c r="L34" s="138">
        <f t="shared" si="1"/>
        <v>0</v>
      </c>
      <c r="M34" s="138">
        <f t="shared" si="2"/>
        <v>0</v>
      </c>
      <c r="N34" s="304"/>
      <c r="O34" s="75"/>
      <c r="P34" s="75"/>
      <c r="Q34" s="75"/>
      <c r="R34" s="76"/>
      <c r="S34" s="138">
        <f t="shared" si="3"/>
        <v>0</v>
      </c>
      <c r="T34" s="138">
        <f t="shared" si="4"/>
        <v>0</v>
      </c>
      <c r="U34" s="76"/>
      <c r="V34" s="76"/>
      <c r="W34" s="76"/>
      <c r="X34" s="76"/>
      <c r="Y34" s="76"/>
      <c r="Z34" s="76"/>
      <c r="AA34" s="76"/>
      <c r="AB34" s="255"/>
      <c r="AC34" s="255"/>
    </row>
    <row r="35" spans="1:29" x14ac:dyDescent="0.25">
      <c r="B35" s="130"/>
      <c r="C35" s="74"/>
      <c r="D35" s="75"/>
      <c r="E35" s="75"/>
      <c r="F35" s="75"/>
      <c r="G35" s="75"/>
      <c r="H35" s="137">
        <f t="shared" si="0"/>
        <v>0</v>
      </c>
      <c r="I35" s="75"/>
      <c r="J35" s="75"/>
      <c r="K35" s="75"/>
      <c r="L35" s="138">
        <f t="shared" si="1"/>
        <v>0</v>
      </c>
      <c r="M35" s="138">
        <f t="shared" si="2"/>
        <v>0</v>
      </c>
      <c r="N35" s="304"/>
      <c r="O35" s="75"/>
      <c r="P35" s="75"/>
      <c r="Q35" s="75"/>
      <c r="R35" s="76"/>
      <c r="S35" s="138">
        <f t="shared" si="3"/>
        <v>0</v>
      </c>
      <c r="T35" s="138">
        <f t="shared" si="4"/>
        <v>0</v>
      </c>
      <c r="U35" s="76"/>
      <c r="V35" s="76"/>
      <c r="W35" s="76"/>
      <c r="X35" s="76"/>
      <c r="Y35" s="76"/>
      <c r="Z35" s="76"/>
      <c r="AA35" s="76"/>
      <c r="AB35" s="255"/>
      <c r="AC35" s="255"/>
    </row>
    <row r="36" spans="1:29" x14ac:dyDescent="0.25">
      <c r="B36" s="130"/>
      <c r="C36" s="74"/>
      <c r="D36" s="75"/>
      <c r="E36" s="75"/>
      <c r="F36" s="75"/>
      <c r="G36" s="75"/>
      <c r="H36" s="137">
        <f t="shared" si="0"/>
        <v>0</v>
      </c>
      <c r="I36" s="75"/>
      <c r="J36" s="75"/>
      <c r="K36" s="75"/>
      <c r="L36" s="138">
        <f t="shared" si="1"/>
        <v>0</v>
      </c>
      <c r="M36" s="138">
        <f t="shared" si="2"/>
        <v>0</v>
      </c>
      <c r="N36" s="304"/>
      <c r="O36" s="75"/>
      <c r="P36" s="75"/>
      <c r="Q36" s="75"/>
      <c r="R36" s="76"/>
      <c r="S36" s="138">
        <f t="shared" si="3"/>
        <v>0</v>
      </c>
      <c r="T36" s="138">
        <f t="shared" si="4"/>
        <v>0</v>
      </c>
      <c r="U36" s="76"/>
      <c r="V36" s="76"/>
      <c r="W36" s="76"/>
      <c r="X36" s="76"/>
      <c r="Y36" s="76"/>
      <c r="Z36" s="76"/>
      <c r="AA36" s="76"/>
      <c r="AB36" s="255"/>
      <c r="AC36" s="255"/>
    </row>
    <row r="37" spans="1:29" x14ac:dyDescent="0.25">
      <c r="B37" s="130"/>
      <c r="C37" s="74"/>
      <c r="D37" s="75"/>
      <c r="E37" s="75"/>
      <c r="F37" s="75"/>
      <c r="G37" s="75"/>
      <c r="H37" s="137">
        <f t="shared" si="0"/>
        <v>0</v>
      </c>
      <c r="I37" s="75"/>
      <c r="J37" s="75"/>
      <c r="K37" s="75"/>
      <c r="L37" s="138">
        <f t="shared" si="1"/>
        <v>0</v>
      </c>
      <c r="M37" s="138">
        <f t="shared" si="2"/>
        <v>0</v>
      </c>
      <c r="N37" s="304"/>
      <c r="O37" s="75"/>
      <c r="P37" s="75"/>
      <c r="Q37" s="75"/>
      <c r="R37" s="76"/>
      <c r="S37" s="138">
        <f t="shared" si="3"/>
        <v>0</v>
      </c>
      <c r="T37" s="138">
        <f t="shared" si="4"/>
        <v>0</v>
      </c>
      <c r="U37" s="76"/>
      <c r="V37" s="76"/>
      <c r="W37" s="76"/>
      <c r="X37" s="76"/>
      <c r="Y37" s="76"/>
      <c r="Z37" s="76"/>
      <c r="AA37" s="76"/>
      <c r="AB37" s="255"/>
      <c r="AC37" s="255"/>
    </row>
    <row r="38" spans="1:29" x14ac:dyDescent="0.25">
      <c r="B38" s="130"/>
      <c r="C38" s="74"/>
      <c r="D38" s="75"/>
      <c r="E38" s="75"/>
      <c r="F38" s="75"/>
      <c r="G38" s="75"/>
      <c r="H38" s="137">
        <f t="shared" si="0"/>
        <v>0</v>
      </c>
      <c r="I38" s="75"/>
      <c r="J38" s="75"/>
      <c r="K38" s="75"/>
      <c r="L38" s="138">
        <f t="shared" si="1"/>
        <v>0</v>
      </c>
      <c r="M38" s="138">
        <f t="shared" si="2"/>
        <v>0</v>
      </c>
      <c r="N38" s="304"/>
      <c r="O38" s="75"/>
      <c r="P38" s="75"/>
      <c r="Q38" s="75"/>
      <c r="R38" s="76"/>
      <c r="S38" s="138">
        <f t="shared" si="3"/>
        <v>0</v>
      </c>
      <c r="T38" s="138">
        <f t="shared" si="4"/>
        <v>0</v>
      </c>
      <c r="U38" s="76"/>
      <c r="V38" s="76"/>
      <c r="W38" s="76"/>
      <c r="X38" s="76"/>
      <c r="Y38" s="76"/>
      <c r="Z38" s="76"/>
      <c r="AA38" s="76"/>
      <c r="AB38" s="255"/>
      <c r="AC38" s="255"/>
    </row>
    <row r="39" spans="1:29" x14ac:dyDescent="0.25">
      <c r="B39" s="130"/>
      <c r="C39" s="74"/>
      <c r="D39" s="75"/>
      <c r="E39" s="75"/>
      <c r="F39" s="75"/>
      <c r="G39" s="75"/>
      <c r="H39" s="137">
        <f t="shared" si="0"/>
        <v>0</v>
      </c>
      <c r="I39" s="75"/>
      <c r="J39" s="75"/>
      <c r="K39" s="75"/>
      <c r="L39" s="138">
        <f t="shared" si="1"/>
        <v>0</v>
      </c>
      <c r="M39" s="138">
        <f t="shared" si="2"/>
        <v>0</v>
      </c>
      <c r="N39" s="304"/>
      <c r="O39" s="75"/>
      <c r="P39" s="75"/>
      <c r="Q39" s="75"/>
      <c r="R39" s="76"/>
      <c r="S39" s="138">
        <f t="shared" si="3"/>
        <v>0</v>
      </c>
      <c r="T39" s="138">
        <f t="shared" si="4"/>
        <v>0</v>
      </c>
      <c r="U39" s="76"/>
      <c r="V39" s="76"/>
      <c r="W39" s="76"/>
      <c r="X39" s="76"/>
      <c r="Y39" s="76"/>
      <c r="Z39" s="76"/>
      <c r="AA39" s="76"/>
      <c r="AB39" s="255"/>
      <c r="AC39" s="255"/>
    </row>
    <row r="40" spans="1:29" x14ac:dyDescent="0.25">
      <c r="B40" s="130"/>
      <c r="C40" s="74"/>
      <c r="D40" s="75"/>
      <c r="E40" s="75"/>
      <c r="F40" s="75"/>
      <c r="G40" s="75"/>
      <c r="H40" s="137">
        <f t="shared" si="0"/>
        <v>0</v>
      </c>
      <c r="I40" s="75"/>
      <c r="J40" s="75"/>
      <c r="K40" s="75"/>
      <c r="L40" s="138">
        <f t="shared" si="1"/>
        <v>0</v>
      </c>
      <c r="M40" s="138">
        <f t="shared" si="2"/>
        <v>0</v>
      </c>
      <c r="N40" s="304"/>
      <c r="O40" s="75"/>
      <c r="P40" s="75"/>
      <c r="Q40" s="75"/>
      <c r="R40" s="76"/>
      <c r="S40" s="138">
        <f t="shared" si="3"/>
        <v>0</v>
      </c>
      <c r="T40" s="138">
        <f t="shared" si="4"/>
        <v>0</v>
      </c>
      <c r="U40" s="76"/>
      <c r="V40" s="76"/>
      <c r="W40" s="76"/>
      <c r="X40" s="76"/>
      <c r="Y40" s="76"/>
      <c r="Z40" s="76"/>
      <c r="AA40" s="76"/>
      <c r="AB40" s="255"/>
      <c r="AC40" s="255"/>
    </row>
    <row r="41" spans="1:29" x14ac:dyDescent="0.25">
      <c r="B41" s="140" t="s">
        <v>63</v>
      </c>
      <c r="C41" s="141"/>
      <c r="D41" s="142">
        <f t="shared" ref="D41:J41" si="5">SUM(D21:D40)</f>
        <v>19906</v>
      </c>
      <c r="E41" s="142">
        <f t="shared" si="5"/>
        <v>239667884.45104998</v>
      </c>
      <c r="F41" s="142">
        <f t="shared" si="5"/>
        <v>176851.27144585314</v>
      </c>
      <c r="G41" s="142">
        <f t="shared" si="5"/>
        <v>75184245.972143114</v>
      </c>
      <c r="H41" s="142">
        <f t="shared" si="5"/>
        <v>169612.14010790762</v>
      </c>
      <c r="I41" s="143">
        <f t="shared" si="5"/>
        <v>0</v>
      </c>
      <c r="J41" s="144">
        <f t="shared" si="5"/>
        <v>0</v>
      </c>
      <c r="K41" s="144">
        <f t="shared" ref="K41:P41" si="6">SUM(K21:K40)</f>
        <v>0</v>
      </c>
      <c r="L41" s="144">
        <f t="shared" si="6"/>
        <v>239667884.45104998</v>
      </c>
      <c r="M41" s="144">
        <f t="shared" si="6"/>
        <v>176851.27144585314</v>
      </c>
      <c r="N41" s="305">
        <f t="shared" si="6"/>
        <v>0</v>
      </c>
      <c r="O41" s="144">
        <f t="shared" si="6"/>
        <v>0</v>
      </c>
      <c r="P41" s="144">
        <f t="shared" si="6"/>
        <v>0</v>
      </c>
      <c r="Q41" s="145"/>
      <c r="R41" s="145"/>
      <c r="S41" s="144">
        <f t="shared" ref="S41:T41" si="7">SUM(S21:S40)</f>
        <v>75184245.972143114</v>
      </c>
      <c r="T41" s="144">
        <f t="shared" si="7"/>
        <v>169612.14010790762</v>
      </c>
      <c r="U41" s="145">
        <f>SUM(U21:U40)</f>
        <v>0.9998999999999999</v>
      </c>
      <c r="V41" s="145">
        <f>SUM(V21:V40)</f>
        <v>0.9998999999999999</v>
      </c>
      <c r="W41" s="145">
        <f>SUM(W21:W40)</f>
        <v>0.9998999999999999</v>
      </c>
      <c r="X41" s="145">
        <f>SUM(X21:X40)</f>
        <v>0.9998999999999999</v>
      </c>
      <c r="Y41" s="145">
        <f>SUM(Y21:Y40)</f>
        <v>0.997</v>
      </c>
      <c r="Z41" s="145"/>
      <c r="AA41" s="145">
        <f>SUM(AA21:AA40)</f>
        <v>0.997</v>
      </c>
      <c r="AB41" s="143">
        <f>SUM(AB21:AB40)</f>
        <v>0</v>
      </c>
    </row>
    <row r="42" spans="1:29" x14ac:dyDescent="0.25">
      <c r="B42" s="146"/>
      <c r="W42" s="147"/>
      <c r="Y42" s="147"/>
      <c r="Z42" s="147"/>
      <c r="AA42" s="147" t="s">
        <v>64</v>
      </c>
      <c r="AB42" s="148">
        <f>'2. 2016 Continuity Schedule'!CE68</f>
        <v>0</v>
      </c>
    </row>
    <row r="43" spans="1:29" x14ac:dyDescent="0.25">
      <c r="B43" s="146"/>
      <c r="W43" s="147"/>
      <c r="Y43" s="147"/>
      <c r="Z43" s="147"/>
      <c r="AA43" s="147" t="s">
        <v>65</v>
      </c>
      <c r="AB43" s="149">
        <f>AB41-AB42</f>
        <v>0</v>
      </c>
    </row>
    <row r="44" spans="1:29" x14ac:dyDescent="0.25">
      <c r="B44" s="1" t="s">
        <v>373</v>
      </c>
      <c r="H44" s="158"/>
    </row>
    <row r="45" spans="1:29" x14ac:dyDescent="0.25">
      <c r="A45" s="463"/>
      <c r="B45" s="463"/>
      <c r="C45" s="463"/>
      <c r="D45" s="463"/>
      <c r="E45" s="463"/>
      <c r="F45" s="463"/>
      <c r="G45" s="463"/>
      <c r="H45" s="463"/>
    </row>
    <row r="46" spans="1:29" ht="21" customHeight="1" x14ac:dyDescent="0.25">
      <c r="A46" s="463"/>
      <c r="B46" s="463"/>
      <c r="C46" s="463"/>
      <c r="D46" s="463"/>
      <c r="E46" s="463"/>
      <c r="F46" s="463"/>
      <c r="G46" s="463"/>
      <c r="H46" s="463"/>
    </row>
    <row r="47" spans="1:29" ht="16.2" x14ac:dyDescent="0.25">
      <c r="A47" s="463" t="s">
        <v>308</v>
      </c>
      <c r="B47" s="463"/>
      <c r="C47" s="463"/>
      <c r="D47" s="463"/>
      <c r="E47" s="463"/>
      <c r="F47" s="463"/>
      <c r="G47" s="463"/>
      <c r="H47" s="463"/>
    </row>
    <row r="49" spans="1:1" ht="16.2" x14ac:dyDescent="0.3">
      <c r="A49" s="297" t="s">
        <v>309</v>
      </c>
    </row>
    <row r="51" spans="1:1" ht="16.2" x14ac:dyDescent="0.3">
      <c r="A51" s="297" t="s">
        <v>338</v>
      </c>
    </row>
  </sheetData>
  <sheetProtection formatColumns="0"/>
  <mergeCells count="36">
    <mergeCell ref="L18:M18"/>
    <mergeCell ref="O18:Q18"/>
    <mergeCell ref="T19:T20"/>
    <mergeCell ref="U19:U20"/>
    <mergeCell ref="V19:V20"/>
    <mergeCell ref="W19:W20"/>
    <mergeCell ref="AC19:AC20"/>
    <mergeCell ref="X19:X20"/>
    <mergeCell ref="Y19:Y20"/>
    <mergeCell ref="Z19:Z20"/>
    <mergeCell ref="AA19:AA20"/>
    <mergeCell ref="AB19:AB20"/>
    <mergeCell ref="B16:I17"/>
    <mergeCell ref="D19:D20"/>
    <mergeCell ref="I19:I20"/>
    <mergeCell ref="O19:O20"/>
    <mergeCell ref="S19:S20"/>
    <mergeCell ref="Q19:Q20"/>
    <mergeCell ref="R19:R20"/>
    <mergeCell ref="P19:P20"/>
    <mergeCell ref="J19:J20"/>
    <mergeCell ref="K19:K20"/>
    <mergeCell ref="L19:L20"/>
    <mergeCell ref="M19:M20"/>
    <mergeCell ref="N19:N20"/>
    <mergeCell ref="E18:F18"/>
    <mergeCell ref="G18:H18"/>
    <mergeCell ref="J18:K18"/>
    <mergeCell ref="A45:H46"/>
    <mergeCell ref="A47:H47"/>
    <mergeCell ref="F19:F20"/>
    <mergeCell ref="E19:E20"/>
    <mergeCell ref="C19:C20"/>
    <mergeCell ref="B19:B20"/>
    <mergeCell ref="G19:G20"/>
    <mergeCell ref="H19:H20"/>
  </mergeCells>
  <dataValidations disablePrompts="1" count="1">
    <dataValidation type="list" allowBlank="1" showInputMessage="1" showErrorMessage="1" sqref="C21:C40">
      <formula1>"kWh, kW"</formula1>
    </dataValidation>
  </dataValidations>
  <pageMargins left="0.7" right="0.7" top="0.75" bottom="0.75" header="0.3" footer="0.3"/>
  <pageSetup paperSize="17"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macro="[0]!CheckBox1_Click" altText="Wording Will be Provided">
                <anchor moveWithCells="1">
                  <from>
                    <xdr:col>12</xdr:col>
                    <xdr:colOff>845820</xdr:colOff>
                    <xdr:row>3</xdr:row>
                    <xdr:rowOff>45720</xdr:rowOff>
                  </from>
                  <to>
                    <xdr:col>18</xdr:col>
                    <xdr:colOff>419100</xdr:colOff>
                    <xdr:row>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61"/>
  <sheetViews>
    <sheetView showGridLines="0" tabSelected="1" topLeftCell="C2" zoomScale="120" zoomScaleNormal="120" workbookViewId="0">
      <selection activeCell="D11" sqref="D11"/>
    </sheetView>
  </sheetViews>
  <sheetFormatPr defaultColWidth="9.109375" defaultRowHeight="13.2" x14ac:dyDescent="0.25"/>
  <cols>
    <col min="1" max="1" width="5.6640625" style="146" hidden="1" customWidth="1"/>
    <col min="2" max="2" width="64" style="146" customWidth="1"/>
    <col min="3" max="3" width="9.109375" style="146"/>
    <col min="4" max="4" width="14.5546875" style="146" customWidth="1"/>
    <col min="5" max="5" width="14.6640625" style="146" customWidth="1"/>
    <col min="6" max="25" width="24.109375" style="146" customWidth="1"/>
    <col min="26" max="26" width="9.109375" style="146"/>
    <col min="27" max="28" width="0" style="146" hidden="1" customWidth="1"/>
    <col min="29" max="16384" width="9.109375" style="146"/>
  </cols>
  <sheetData>
    <row r="1" spans="1:27" ht="143.25" customHeight="1" x14ac:dyDescent="0.25">
      <c r="AA1" s="146">
        <v>21</v>
      </c>
    </row>
    <row r="2" spans="1:27" x14ac:dyDescent="0.25">
      <c r="AA2" s="146">
        <v>22</v>
      </c>
    </row>
    <row r="4" spans="1:27" ht="39" customHeight="1" x14ac:dyDescent="0.25">
      <c r="A4" s="146">
        <v>1</v>
      </c>
      <c r="D4" s="166" t="s">
        <v>75</v>
      </c>
      <c r="E4" s="167" t="s">
        <v>69</v>
      </c>
      <c r="F4" s="166" t="str">
        <f>IF(LEN(TRIM('4. Billing Determinants'!$B21))=0, "", UPPER('4. Billing Determinants'!$B21))</f>
        <v>RESIDENTIAL</v>
      </c>
      <c r="G4" s="166" t="str">
        <f>IF(LEN(TRIM('4. Billing Determinants'!$B22))=0, "", '4. Billing Determinants'!$B22)</f>
        <v>GENERAL SERVICE &lt; 50 KW</v>
      </c>
      <c r="H4" s="166" t="str">
        <f>IF(LEN(TRIM('4. Billing Determinants'!$B23))=0, "", '4. Billing Determinants'!$B23)</f>
        <v>GENERAL SERVICE &gt; 50 KW TO 4,999 KW</v>
      </c>
      <c r="I4" s="166" t="str">
        <f>IF(LEN(TRIM('4. Billing Determinants'!$B24))=0, "", '4. Billing Determinants'!$B24)</f>
        <v>SENTINEL LIGHTING</v>
      </c>
      <c r="J4" s="166" t="str">
        <f>IF(LEN(TRIM('4. Billing Determinants'!$B25))=0, "", '4. Billing Determinants'!$B25)</f>
        <v>STREET LIGHTING</v>
      </c>
      <c r="K4" s="166" t="str">
        <f>IF(LEN(TRIM('4. Billing Determinants'!$B26))=0, "", '4. Billing Determinants'!$B26)</f>
        <v>UNMETERED SCATTERED LOAD</v>
      </c>
      <c r="L4" s="166" t="str">
        <f>IF(LEN(TRIM('4. Billing Determinants'!$B27))=0, "", '4. Billing Determinants'!$B27)</f>
        <v/>
      </c>
      <c r="M4" s="166" t="str">
        <f>IF(LEN(TRIM('4. Billing Determinants'!$B28))=0, "", '4. Billing Determinants'!$B28)</f>
        <v/>
      </c>
      <c r="N4" s="166" t="str">
        <f>IF(LEN(TRIM('4. Billing Determinants'!$B29))=0, "", '4. Billing Determinants'!$B29)</f>
        <v/>
      </c>
      <c r="O4" s="166" t="str">
        <f>IF(LEN(TRIM('4. Billing Determinants'!$B30))=0, "", '4. Billing Determinants'!$B30)</f>
        <v/>
      </c>
      <c r="P4" s="166" t="str">
        <f>IF(LEN(TRIM('4. Billing Determinants'!$B31))=0, "", '4. Billing Determinants'!$B31)</f>
        <v/>
      </c>
      <c r="Q4" s="166" t="str">
        <f>IF(LEN(TRIM('4. Billing Determinants'!$B32))=0, "", '4. Billing Determinants'!$B32)</f>
        <v/>
      </c>
      <c r="R4" s="166" t="str">
        <f>IF(LEN(TRIM('4. Billing Determinants'!$B33))=0, "", '4. Billing Determinants'!$B33)</f>
        <v/>
      </c>
      <c r="S4" s="166" t="str">
        <f>IF(LEN(TRIM('4. Billing Determinants'!$B34))=0, "", '4. Billing Determinants'!$B34)</f>
        <v/>
      </c>
      <c r="T4" s="166" t="str">
        <f>IF(LEN(TRIM('4. Billing Determinants'!$B35))=0, "", '4. Billing Determinants'!$B35)</f>
        <v/>
      </c>
      <c r="U4" s="166" t="str">
        <f>IF(LEN(TRIM('4. Billing Determinants'!$B36))=0, "", '4. Billing Determinants'!$B36)</f>
        <v/>
      </c>
      <c r="V4" s="166" t="str">
        <f>IF(LEN(TRIM('4. Billing Determinants'!$B37))=0, "", '4. Billing Determinants'!$B37)</f>
        <v/>
      </c>
      <c r="W4" s="166" t="str">
        <f>IF(LEN(TRIM('4. Billing Determinants'!$B38))=0, "", '4. Billing Determinants'!$B38)</f>
        <v/>
      </c>
      <c r="X4" s="166" t="str">
        <f>IF(LEN(TRIM('4. Billing Determinants'!$B39))=0, "", '4. Billing Determinants'!$B39)</f>
        <v/>
      </c>
      <c r="Y4" s="166" t="str">
        <f>IF(LEN(TRIM('4. Billing Determinants'!$B40))=0, "", '4. Billing Determinants'!$B40)</f>
        <v/>
      </c>
    </row>
    <row r="5" spans="1:27" x14ac:dyDescent="0.25">
      <c r="A5" s="146">
        <v>2</v>
      </c>
      <c r="B5" s="40" t="s">
        <v>28</v>
      </c>
      <c r="C5" s="306">
        <v>1550</v>
      </c>
      <c r="D5" s="42">
        <f>'2. 2016 Continuity Schedule'!BT24</f>
        <v>307729.28000000003</v>
      </c>
      <c r="E5" s="74" t="s">
        <v>189</v>
      </c>
      <c r="F5" s="42">
        <f>IFERROR(IF(F$4="",0,IF($E5="kWh",VLOOKUP(F$4,'4. Billing Determinants'!$B$19:$R$41,4,0)/'4. Billing Determinants'!$E$41*$D5,IF($E5="kW",VLOOKUP(F$4,'4. Billing Determinants'!$B$19:$R$41,5,0)/'4. Billing Determinants'!$F$41*$D5,IF($E5="Non-RPP kWh",VLOOKUP(F$4,'4. Billing Determinants'!$B$19:$R$41,6,0)/'4. Billing Determinants'!$G$41*$D5,IF($E5="Distribution Rev.",VLOOKUP(F$4,'4. Billing Determinants'!$B$19:$R$41,8,0)/'4. Billing Determinants'!$I$41*$D5, VLOOKUP(F$4,'4. Billing Determinants'!$B$19:$R$41,3,0)/'4. Billing Determinants'!$D$41*$D5))))),0)</f>
        <v>184895.98144222138</v>
      </c>
      <c r="G5" s="42">
        <f>IFERROR(IF(G$4="",0,IF($E5="kWh",VLOOKUP(G$4,'4. Billing Determinants'!$B$19:$R$41,4,0)/'4. Billing Determinants'!$E$41*$D5,IF($E5="kW",VLOOKUP(G$4,'4. Billing Determinants'!$B$19:$R$41,5,0)/'4. Billing Determinants'!$F$41*$D5,IF($E5="Non-RPP kWh",VLOOKUP(G$4,'4. Billing Determinants'!$B$19:$R$41,6,0)/'4. Billing Determinants'!$G$41*$D5,IF($E5="Distribution Rev.",VLOOKUP(G$4,'4. Billing Determinants'!$B$19:$R$41,8,0)/'4. Billing Determinants'!$I$41*$D5, VLOOKUP(G$4,'4. Billing Determinants'!$B$19:$R$41,3,0)/'4. Billing Determinants'!$D$41*$D5))))),0)</f>
        <v>40340.159675998715</v>
      </c>
      <c r="H5" s="42">
        <f>IFERROR(IF(H$4="",0,IF($E5="kWh",VLOOKUP(H$4,'4. Billing Determinants'!$B$19:$R$41,4,0)/'4. Billing Determinants'!$E$41*$D5,IF($E5="kW",VLOOKUP(H$4,'4. Billing Determinants'!$B$19:$R$41,5,0)/'4. Billing Determinants'!$F$41*$D5,IF($E5="Non-RPP kWh",VLOOKUP(H$4,'4. Billing Determinants'!$B$19:$R$41,6,0)/'4. Billing Determinants'!$G$41*$D5,IF($E5="Distribution Rev.",VLOOKUP(H$4,'4. Billing Determinants'!$B$19:$R$41,8,0)/'4. Billing Determinants'!$I$41*$D5, VLOOKUP(H$4,'4. Billing Determinants'!$B$19:$R$41,3,0)/'4. Billing Determinants'!$D$41*$D5))))),0)</f>
        <v>81048.286428541978</v>
      </c>
      <c r="I5" s="42">
        <f>IFERROR(IF(I$4="",0,IF($E5="kWh",VLOOKUP(I$4,'4. Billing Determinants'!$B$19:$R$41,4,0)/'4. Billing Determinants'!$E$41*$D5,IF($E5="kW",VLOOKUP(I$4,'4. Billing Determinants'!$B$19:$R$41,5,0)/'4. Billing Determinants'!$F$41*$D5,IF($E5="Non-RPP kWh",VLOOKUP(I$4,'4. Billing Determinants'!$B$19:$R$41,6,0)/'4. Billing Determinants'!$G$41*$D5,IF($E5="Distribution Rev.",VLOOKUP(I$4,'4. Billing Determinants'!$B$19:$R$41,8,0)/'4. Billing Determinants'!$I$41*$D5, VLOOKUP(I$4,'4. Billing Determinants'!$B$19:$R$41,3,0)/'4. Billing Determinants'!$D$41*$D5))))),0)</f>
        <v>132.31648773318744</v>
      </c>
      <c r="J5" s="42">
        <f>IFERROR(IF(J$4="",0,IF($E5="kWh",VLOOKUP(J$4,'4. Billing Determinants'!$B$19:$R$41,4,0)/'4. Billing Determinants'!$E$41*$D5,IF($E5="kW",VLOOKUP(J$4,'4. Billing Determinants'!$B$19:$R$41,5,0)/'4. Billing Determinants'!$F$41*$D5,IF($E5="Non-RPP kWh",VLOOKUP(J$4,'4. Billing Determinants'!$B$19:$R$41,6,0)/'4. Billing Determinants'!$G$41*$D5,IF($E5="Distribution Rev.",VLOOKUP(J$4,'4. Billing Determinants'!$B$19:$R$41,8,0)/'4. Billing Determinants'!$I$41*$D5, VLOOKUP(J$4,'4. Billing Determinants'!$B$19:$R$41,3,0)/'4. Billing Determinants'!$D$41*$D5))))),0)</f>
        <v>720.60092955831476</v>
      </c>
      <c r="K5" s="42">
        <f>IFERROR(IF(K$4="",0,IF($E5="kWh",VLOOKUP(K$4,'4. Billing Determinants'!$B$19:$R$41,4,0)/'4. Billing Determinants'!$E$41*$D5,IF($E5="kW",VLOOKUP(K$4,'4. Billing Determinants'!$B$19:$R$41,5,0)/'4. Billing Determinants'!$F$41*$D5,IF($E5="Non-RPP kWh",VLOOKUP(K$4,'4. Billing Determinants'!$B$19:$R$41,6,0)/'4. Billing Determinants'!$G$41*$D5,IF($E5="Distribution Rev.",VLOOKUP(K$4,'4. Billing Determinants'!$B$19:$R$41,8,0)/'4. Billing Determinants'!$I$41*$D5, VLOOKUP(K$4,'4. Billing Determinants'!$B$19:$R$41,3,0)/'4. Billing Determinants'!$D$41*$D5))))),0)</f>
        <v>591.93503594641845</v>
      </c>
      <c r="L5" s="42">
        <f>IFERROR(IF(L$4="",0,IF($E5="kWh",VLOOKUP(L$4,'4. Billing Determinants'!$B$19:$R$41,4,0)/'4. Billing Determinants'!$E$41*$D5,IF($E5="kW",VLOOKUP(L$4,'4. Billing Determinants'!$B$19:$R$41,5,0)/'4. Billing Determinants'!$F$41*$D5,IF($E5="Non-RPP kWh",VLOOKUP(L$4,'4. Billing Determinants'!$B$19:$R$41,6,0)/'4. Billing Determinants'!$G$41*$D5,IF($E5="Distribution Rev.",VLOOKUP(L$4,'4. Billing Determinants'!$B$19:$R$41,8,0)/'4. Billing Determinants'!$I$41*$D5, VLOOKUP(L$4,'4. Billing Determinants'!$B$19:$R$41,3,0)/'4. Billing Determinants'!$D$41*$D5))))),0)</f>
        <v>0</v>
      </c>
      <c r="M5" s="42">
        <f>IFERROR(IF(M$4="",0,IF($E5="kWh",VLOOKUP(M$4,'4. Billing Determinants'!$B$19:$R$41,4,0)/'4. Billing Determinants'!$E$41*$D5,IF($E5="kW",VLOOKUP(M$4,'4. Billing Determinants'!$B$19:$R$41,5,0)/'4. Billing Determinants'!$F$41*$D5,IF($E5="Non-RPP kWh",VLOOKUP(M$4,'4. Billing Determinants'!$B$19:$R$41,6,0)/'4. Billing Determinants'!$G$41*$D5,IF($E5="Distribution Rev.",VLOOKUP(M$4,'4. Billing Determinants'!$B$19:$R$41,8,0)/'4. Billing Determinants'!$I$41*$D5, VLOOKUP(M$4,'4. Billing Determinants'!$B$19:$R$41,3,0)/'4. Billing Determinants'!$D$41*$D5))))),0)</f>
        <v>0</v>
      </c>
      <c r="N5" s="42">
        <f>IFERROR(IF(N$4="",0,IF($E5="kWh",VLOOKUP(N$4,'4. Billing Determinants'!$B$19:$R$41,4,0)/'4. Billing Determinants'!$E$41*$D5,IF($E5="kW",VLOOKUP(N$4,'4. Billing Determinants'!$B$19:$R$41,5,0)/'4. Billing Determinants'!$F$41*$D5,IF($E5="Non-RPP kWh",VLOOKUP(N$4,'4. Billing Determinants'!$B$19:$R$41,6,0)/'4. Billing Determinants'!$G$41*$D5,IF($E5="Distribution Rev.",VLOOKUP(N$4,'4. Billing Determinants'!$B$19:$R$41,8,0)/'4. Billing Determinants'!$I$41*$D5, VLOOKUP(N$4,'4. Billing Determinants'!$B$19:$R$41,3,0)/'4. Billing Determinants'!$D$41*$D5))))),0)</f>
        <v>0</v>
      </c>
      <c r="O5" s="42">
        <f>IFERROR(IF(O$4="",0,IF($E5="kWh",VLOOKUP(O$4,'4. Billing Determinants'!$B$19:$R$41,4,0)/'4. Billing Determinants'!$E$41*$D5,IF($E5="kW",VLOOKUP(O$4,'4. Billing Determinants'!$B$19:$R$41,5,0)/'4. Billing Determinants'!$F$41*$D5,IF($E5="Non-RPP kWh",VLOOKUP(O$4,'4. Billing Determinants'!$B$19:$R$41,6,0)/'4. Billing Determinants'!$G$41*$D5,IF($E5="Distribution Rev.",VLOOKUP(O$4,'4. Billing Determinants'!$B$19:$R$41,8,0)/'4. Billing Determinants'!$I$41*$D5, VLOOKUP(O$4,'4. Billing Determinants'!$B$19:$R$41,3,0)/'4. Billing Determinants'!$D$41*$D5))))),0)</f>
        <v>0</v>
      </c>
      <c r="P5" s="42">
        <f>IFERROR(IF(P$4="",0,IF($E5="kWh",VLOOKUP(P$4,'4. Billing Determinants'!$B$19:$R$41,4,0)/'4. Billing Determinants'!$E$41*$D5,IF($E5="kW",VLOOKUP(P$4,'4. Billing Determinants'!$B$19:$R$41,5,0)/'4. Billing Determinants'!$F$41*$D5,IF($E5="Non-RPP kWh",VLOOKUP(P$4,'4. Billing Determinants'!$B$19:$R$41,6,0)/'4. Billing Determinants'!$G$41*$D5,IF($E5="Distribution Rev.",VLOOKUP(P$4,'4. Billing Determinants'!$B$19:$R$41,8,0)/'4. Billing Determinants'!$I$41*$D5, VLOOKUP(P$4,'4. Billing Determinants'!$B$19:$R$41,3,0)/'4. Billing Determinants'!$D$41*$D5))))),0)</f>
        <v>0</v>
      </c>
      <c r="Q5" s="42">
        <f>IFERROR(IF(Q$4="",0,IF($E5="kWh",VLOOKUP(Q$4,'4. Billing Determinants'!$B$19:$R$41,4,0)/'4. Billing Determinants'!$E$41*$D5,IF($E5="kW",VLOOKUP(Q$4,'4. Billing Determinants'!$B$19:$R$41,5,0)/'4. Billing Determinants'!$F$41*$D5,IF($E5="Non-RPP kWh",VLOOKUP(Q$4,'4. Billing Determinants'!$B$19:$R$41,6,0)/'4. Billing Determinants'!$G$41*$D5,IF($E5="Distribution Rev.",VLOOKUP(Q$4,'4. Billing Determinants'!$B$19:$R$41,8,0)/'4. Billing Determinants'!$I$41*$D5, VLOOKUP(Q$4,'4. Billing Determinants'!$B$19:$R$41,3,0)/'4. Billing Determinants'!$D$41*$D5))))),0)</f>
        <v>0</v>
      </c>
      <c r="R5" s="42">
        <f>IFERROR(IF(R$4="",0,IF($E5="kWh",VLOOKUP(R$4,'4. Billing Determinants'!$B$19:$R$41,4,0)/'4. Billing Determinants'!$E$41*$D5,IF($E5="kW",VLOOKUP(R$4,'4. Billing Determinants'!$B$19:$R$41,5,0)/'4. Billing Determinants'!$F$41*$D5,IF($E5="Non-RPP kWh",VLOOKUP(R$4,'4. Billing Determinants'!$B$19:$R$41,6,0)/'4. Billing Determinants'!$G$41*$D5,IF($E5="Distribution Rev.",VLOOKUP(R$4,'4. Billing Determinants'!$B$19:$R$41,8,0)/'4. Billing Determinants'!$I$41*$D5, VLOOKUP(R$4,'4. Billing Determinants'!$B$19:$R$41,3,0)/'4. Billing Determinants'!$D$41*$D5))))),0)</f>
        <v>0</v>
      </c>
      <c r="S5" s="42">
        <f>IFERROR(IF(S$4="",0,IF($E5="kWh",VLOOKUP(S$4,'4. Billing Determinants'!$B$19:$R$41,4,0)/'4. Billing Determinants'!$E$41*$D5,IF($E5="kW",VLOOKUP(S$4,'4. Billing Determinants'!$B$19:$R$41,5,0)/'4. Billing Determinants'!$F$41*$D5,IF($E5="Non-RPP kWh",VLOOKUP(S$4,'4. Billing Determinants'!$B$19:$R$41,6,0)/'4. Billing Determinants'!$G$41*$D5,IF($E5="Distribution Rev.",VLOOKUP(S$4,'4. Billing Determinants'!$B$19:$R$41,8,0)/'4. Billing Determinants'!$I$41*$D5, VLOOKUP(S$4,'4. Billing Determinants'!$B$19:$R$41,3,0)/'4. Billing Determinants'!$D$41*$D5))))),0)</f>
        <v>0</v>
      </c>
      <c r="T5" s="42">
        <f>IFERROR(IF(T$4="",0,IF($E5="kWh",VLOOKUP(T$4,'4. Billing Determinants'!$B$19:$R$41,4,0)/'4. Billing Determinants'!$E$41*$D5,IF($E5="kW",VLOOKUP(T$4,'4. Billing Determinants'!$B$19:$R$41,5,0)/'4. Billing Determinants'!$F$41*$D5,IF($E5="Non-RPP kWh",VLOOKUP(T$4,'4. Billing Determinants'!$B$19:$R$41,6,0)/'4. Billing Determinants'!$G$41*$D5,IF($E5="Distribution Rev.",VLOOKUP(T$4,'4. Billing Determinants'!$B$19:$R$41,8,0)/'4. Billing Determinants'!$I$41*$D5, VLOOKUP(T$4,'4. Billing Determinants'!$B$19:$R$41,3,0)/'4. Billing Determinants'!$D$41*$D5))))),0)</f>
        <v>0</v>
      </c>
      <c r="U5" s="42">
        <f>IFERROR(IF(U$4="",0,IF($E5="kWh",VLOOKUP(U$4,'4. Billing Determinants'!$B$19:$R$41,4,0)/'4. Billing Determinants'!$E$41*$D5,IF($E5="kW",VLOOKUP(U$4,'4. Billing Determinants'!$B$19:$R$41,5,0)/'4. Billing Determinants'!$F$41*$D5,IF($E5="Non-RPP kWh",VLOOKUP(U$4,'4. Billing Determinants'!$B$19:$R$41,6,0)/'4. Billing Determinants'!$G$41*$D5,IF($E5="Distribution Rev.",VLOOKUP(U$4,'4. Billing Determinants'!$B$19:$R$41,8,0)/'4. Billing Determinants'!$I$41*$D5, VLOOKUP(U$4,'4. Billing Determinants'!$B$19:$R$41,3,0)/'4. Billing Determinants'!$D$41*$D5))))),0)</f>
        <v>0</v>
      </c>
      <c r="V5" s="42">
        <f>IFERROR(IF(V$4="",0,IF($E5="kWh",VLOOKUP(V$4,'4. Billing Determinants'!$B$19:$R$41,4,0)/'4. Billing Determinants'!$E$41*$D5,IF($E5="kW",VLOOKUP(V$4,'4. Billing Determinants'!$B$19:$R$41,5,0)/'4. Billing Determinants'!$F$41*$D5,IF($E5="Non-RPP kWh",VLOOKUP(V$4,'4. Billing Determinants'!$B$19:$R$41,6,0)/'4. Billing Determinants'!$G$41*$D5,IF($E5="Distribution Rev.",VLOOKUP(V$4,'4. Billing Determinants'!$B$19:$R$41,8,0)/'4. Billing Determinants'!$I$41*$D5, VLOOKUP(V$4,'4. Billing Determinants'!$B$19:$R$41,3,0)/'4. Billing Determinants'!$D$41*$D5))))),0)</f>
        <v>0</v>
      </c>
      <c r="W5" s="42">
        <f>IFERROR(IF(W$4="",0,IF($E5="kWh",VLOOKUP(W$4,'4. Billing Determinants'!$B$19:$R$41,4,0)/'4. Billing Determinants'!$E$41*$D5,IF($E5="kW",VLOOKUP(W$4,'4. Billing Determinants'!$B$19:$R$41,5,0)/'4. Billing Determinants'!$F$41*$D5,IF($E5="Non-RPP kWh",VLOOKUP(W$4,'4. Billing Determinants'!$B$19:$R$41,6,0)/'4. Billing Determinants'!$G$41*$D5,IF($E5="Distribution Rev.",VLOOKUP(W$4,'4. Billing Determinants'!$B$19:$R$41,8,0)/'4. Billing Determinants'!$I$41*$D5, VLOOKUP(W$4,'4. Billing Determinants'!$B$19:$R$41,3,0)/'4. Billing Determinants'!$D$41*$D5))))),0)</f>
        <v>0</v>
      </c>
      <c r="X5" s="42">
        <f>IFERROR(IF(X$4="",0,IF($E5="kWh",VLOOKUP(X$4,'4. Billing Determinants'!$B$19:$R$41,4,0)/'4. Billing Determinants'!$E$41*$D5,IF($E5="kW",VLOOKUP(X$4,'4. Billing Determinants'!$B$19:$R$41,5,0)/'4. Billing Determinants'!$F$41*$D5,IF($E5="Non-RPP kWh",VLOOKUP(X$4,'4. Billing Determinants'!$B$19:$R$41,6,0)/'4. Billing Determinants'!$G$41*$D5,IF($E5="Distribution Rev.",VLOOKUP(X$4,'4. Billing Determinants'!$B$19:$R$41,8,0)/'4. Billing Determinants'!$I$41*$D5, VLOOKUP(X$4,'4. Billing Determinants'!$B$19:$R$41,3,0)/'4. Billing Determinants'!$D$41*$D5))))),0)</f>
        <v>0</v>
      </c>
      <c r="Y5" s="42">
        <f>IFERROR(IF(Y$4="",0,IF($E5="kWh",VLOOKUP(Y$4,'4. Billing Determinants'!$B$19:$R$41,4,0)/'4. Billing Determinants'!$E$41*$D5,IF($E5="kW",VLOOKUP(Y$4,'4. Billing Determinants'!$B$19:$R$41,5,0)/'4. Billing Determinants'!$F$41*$D5,IF($E5="Non-RPP kWh",VLOOKUP(Y$4,'4. Billing Determinants'!$B$19:$R$41,6,0)/'4. Billing Determinants'!$G$41*$D5,IF($E5="Distribution Rev.",VLOOKUP(Y$4,'4. Billing Determinants'!$B$19:$R$41,8,0)/'4. Billing Determinants'!$I$41*$D5, VLOOKUP(Y$4,'4. Billing Determinants'!$B$19:$R$41,3,0)/'4. Billing Determinants'!$D$41*$D5))))),0)</f>
        <v>0</v>
      </c>
    </row>
    <row r="6" spans="1:27" x14ac:dyDescent="0.25">
      <c r="A6" s="146">
        <v>3</v>
      </c>
      <c r="B6" s="43" t="s">
        <v>175</v>
      </c>
      <c r="C6" s="306">
        <v>1551</v>
      </c>
      <c r="D6" s="42">
        <f>'2. 2016 Continuity Schedule'!BT25</f>
        <v>-5532.027</v>
      </c>
      <c r="E6" s="351" t="s">
        <v>71</v>
      </c>
      <c r="F6" s="131"/>
      <c r="G6" s="131"/>
      <c r="H6" s="131"/>
      <c r="I6" s="42"/>
      <c r="J6" s="42"/>
      <c r="K6" s="42"/>
      <c r="L6" s="42"/>
      <c r="M6" s="42"/>
      <c r="N6" s="42"/>
      <c r="O6" s="42"/>
      <c r="P6" s="42"/>
      <c r="Q6" s="42"/>
      <c r="R6" s="42"/>
      <c r="S6" s="42"/>
      <c r="T6" s="42"/>
      <c r="U6" s="42"/>
      <c r="V6" s="42"/>
      <c r="W6" s="42"/>
      <c r="X6" s="42"/>
      <c r="Y6" s="42"/>
    </row>
    <row r="7" spans="1:27" x14ac:dyDescent="0.25">
      <c r="A7" s="327">
        <v>4</v>
      </c>
      <c r="B7" s="43" t="s">
        <v>1</v>
      </c>
      <c r="C7" s="306">
        <v>1580</v>
      </c>
      <c r="D7" s="42">
        <f>IF('2. 2016 Continuity Schedule'!CA11,'2. 2016 Continuity Schedule'!BT26,'2. 2016 Continuity Schedule'!BT26+'2. 2016 Continuity Schedule'!BT28)</f>
        <v>-535257.35</v>
      </c>
      <c r="E7" s="74" t="s">
        <v>189</v>
      </c>
      <c r="F7" s="42">
        <f>IFERROR(IF(F$4="",0,IF($E7="kWh",VLOOKUP(F$4,'4. Billing Determinants'!$B$19:$R$41,11,0)/'4. Billing Determinants'!$L$41*$D7,IF($E7="kW",VLOOKUP(F$4,'4. Billing Determinants'!$B$19:$R$41,12,0)/'4. Billing Determinants'!$M$41*$D7,))),0)</f>
        <v>-321603.88849709905</v>
      </c>
      <c r="G7" s="42">
        <f>IFERROR(IF(G$4="",0,IF($E7="kWh",VLOOKUP(G$4,'4. Billing Determinants'!$B$19:$R$41,11,0)/'4. Billing Determinants'!$L$41*$D7,IF($E7="kW",VLOOKUP(G$4,'4. Billing Determinants'!$B$19:$R$41,12,0)/'4. Billing Determinants'!$M$41*$D7,))),0)</f>
        <v>-70166.761403893484</v>
      </c>
      <c r="H7" s="42">
        <f>IFERROR(IF(H$4="",0,IF($E7="kWh",VLOOKUP(H$4,'4. Billing Determinants'!$B$19:$R$41,11,0)/'4. Billing Determinants'!$L$41*$D7,IF($E7="kW",VLOOKUP(H$4,'4. Billing Determinants'!$B$19:$R$41,12,0)/'4. Billing Determinants'!$M$41*$D7,))),0)</f>
        <v>-140973.55641875332</v>
      </c>
      <c r="I7" s="42">
        <f>IFERROR(IF(I$4="",0,IF($E7="kWh",VLOOKUP(I$4,'4. Billing Determinants'!$B$19:$R$41,11,0)/'4. Billing Determinants'!$L$41*$D7,IF($E7="kW",VLOOKUP(I$4,'4. Billing Determinants'!$B$19:$R$41,12,0)/'4. Billing Determinants'!$M$41*$D7,))),0)</f>
        <v>-230.14830628198072</v>
      </c>
      <c r="J7" s="42">
        <f>IFERROR(IF(J$4="",0,IF($E7="kWh",VLOOKUP(J$4,'4. Billing Determinants'!$B$19:$R$41,11,0)/'4. Billing Determinants'!$L$41*$D7,IF($E7="kW",VLOOKUP(J$4,'4. Billing Determinants'!$B$19:$R$41,12,0)/'4. Billing Determinants'!$M$41*$D7,))),0)</f>
        <v>-1253.3969597008129</v>
      </c>
      <c r="K7" s="42">
        <f>IFERROR(IF(K$4="",0,IF($E7="kWh",VLOOKUP(K$4,'4. Billing Determinants'!$B$19:$R$41,11,0)/'4. Billing Determinants'!$L$41*$D7,IF($E7="kW",VLOOKUP(K$4,'4. Billing Determinants'!$B$19:$R$41,12,0)/'4. Billing Determinants'!$M$41*$D7,))),0)</f>
        <v>-1029.5984142712537</v>
      </c>
      <c r="L7" s="42">
        <f>IFERROR(IF(L$4="",0,IF($E7="kWh",VLOOKUP(L$4,'4. Billing Determinants'!$B$19:$R$41,11,0)/'4. Billing Determinants'!$L$41*$D7,IF($E7="kW",VLOOKUP(L$4,'4. Billing Determinants'!$B$19:$R$41,12,0)/'4. Billing Determinants'!$M$41*$D7,))),0)</f>
        <v>0</v>
      </c>
      <c r="M7" s="42">
        <f>IFERROR(IF(M$4="",0,IF($E7="kWh",VLOOKUP(M$4,'4. Billing Determinants'!$B$19:$R$41,11,0)/'4. Billing Determinants'!$L$41*$D7,IF($E7="kW",VLOOKUP(M$4,'4. Billing Determinants'!$B$19:$R$41,12,0)/'4. Billing Determinants'!$M$41*$D7,))),0)</f>
        <v>0</v>
      </c>
      <c r="N7" s="42">
        <f>IFERROR(IF(N$4="",0,IF($E7="kWh",VLOOKUP(N$4,'4. Billing Determinants'!$B$19:$R$41,11,0)/'4. Billing Determinants'!$L$41*$D7,IF($E7="kW",VLOOKUP(N$4,'4. Billing Determinants'!$B$19:$R$41,12,0)/'4. Billing Determinants'!$M$41*$D7,))),0)</f>
        <v>0</v>
      </c>
      <c r="O7" s="42">
        <f>IFERROR(IF(O$4="",0,IF($E7="kWh",VLOOKUP(O$4,'4. Billing Determinants'!$B$19:$R$41,11,0)/'4. Billing Determinants'!$L$41*$D7,IF($E7="kW",VLOOKUP(O$4,'4. Billing Determinants'!$B$19:$R$41,12,0)/'4. Billing Determinants'!$M$41*$D7,))),0)</f>
        <v>0</v>
      </c>
      <c r="P7" s="42">
        <f>IFERROR(IF(P$4="",0,IF($E7="kWh",VLOOKUP(P$4,'4. Billing Determinants'!$B$19:$R$41,11,0)/'4. Billing Determinants'!$L$41*$D7,IF($E7="kW",VLOOKUP(P$4,'4. Billing Determinants'!$B$19:$R$41,12,0)/'4. Billing Determinants'!$M$41*$D7,))),0)</f>
        <v>0</v>
      </c>
      <c r="Q7" s="42">
        <f>IFERROR(IF(Q$4="",0,IF($E7="kWh",VLOOKUP(Q$4,'4. Billing Determinants'!$B$19:$R$41,11,0)/'4. Billing Determinants'!$L$41*$D7,IF($E7="kW",VLOOKUP(Q$4,'4. Billing Determinants'!$B$19:$R$41,12,0)/'4. Billing Determinants'!$M$41*$D7,))),0)</f>
        <v>0</v>
      </c>
      <c r="R7" s="42">
        <f>IFERROR(IF(R$4="",0,IF($E7="kWh",VLOOKUP(R$4,'4. Billing Determinants'!$B$19:$R$41,11,0)/'4. Billing Determinants'!$L$41*$D7,IF($E7="kW",VLOOKUP(R$4,'4. Billing Determinants'!$B$19:$R$41,12,0)/'4. Billing Determinants'!$M$41*$D7,))),0)</f>
        <v>0</v>
      </c>
      <c r="S7" s="42">
        <f>IFERROR(IF(S$4="",0,IF($E7="kWh",VLOOKUP(S$4,'4. Billing Determinants'!$B$19:$R$41,11,0)/'4. Billing Determinants'!$L$41*$D7,IF($E7="kW",VLOOKUP(S$4,'4. Billing Determinants'!$B$19:$R$41,12,0)/'4. Billing Determinants'!$M$41*$D7,))),0)</f>
        <v>0</v>
      </c>
      <c r="T7" s="42">
        <f>IFERROR(IF(T$4="",0,IF($E7="kWh",VLOOKUP(T$4,'4. Billing Determinants'!$B$19:$R$41,11,0)/'4. Billing Determinants'!$L$41*$D7,IF($E7="kW",VLOOKUP(T$4,'4. Billing Determinants'!$B$19:$R$41,12,0)/'4. Billing Determinants'!$M$41*$D7,))),0)</f>
        <v>0</v>
      </c>
      <c r="U7" s="42">
        <f>IFERROR(IF(U$4="",0,IF($E7="kWh",VLOOKUP(U$4,'4. Billing Determinants'!$B$19:$R$41,11,0)/'4. Billing Determinants'!$L$41*$D7,IF($E7="kW",VLOOKUP(U$4,'4. Billing Determinants'!$B$19:$R$41,12,0)/'4. Billing Determinants'!$M$41*$D7,))),0)</f>
        <v>0</v>
      </c>
      <c r="V7" s="42">
        <f>IFERROR(IF(V$4="",0,IF($E7="kWh",VLOOKUP(V$4,'4. Billing Determinants'!$B$19:$R$41,11,0)/'4. Billing Determinants'!$L$41*$D7,IF($E7="kW",VLOOKUP(V$4,'4. Billing Determinants'!$B$19:$R$41,12,0)/'4. Billing Determinants'!$M$41*$D7,))),0)</f>
        <v>0</v>
      </c>
      <c r="W7" s="42">
        <f>IFERROR(IF(W$4="",0,IF($E7="kWh",VLOOKUP(W$4,'4. Billing Determinants'!$B$19:$R$41,11,0)/'4. Billing Determinants'!$L$41*$D7,IF($E7="kW",VLOOKUP(W$4,'4. Billing Determinants'!$B$19:$R$41,12,0)/'4. Billing Determinants'!$M$41*$D7,))),0)</f>
        <v>0</v>
      </c>
      <c r="X7" s="42">
        <f>IFERROR(IF(X$4="",0,IF($E7="kWh",VLOOKUP(X$4,'4. Billing Determinants'!$B$19:$R$41,11,0)/'4. Billing Determinants'!$L$41*$D7,IF($E7="kW",VLOOKUP(X$4,'4. Billing Determinants'!$B$19:$R$41,12,0)/'4. Billing Determinants'!$M$41*$D7,))),0)</f>
        <v>0</v>
      </c>
      <c r="Y7" s="42">
        <f>IFERROR(IF(Y$4="",0,IF($E7="kWh",VLOOKUP(Y$4,'4. Billing Determinants'!$B$19:$R$41,11,0)/'4. Billing Determinants'!$L$41*$D7,IF($E7="kW",VLOOKUP(Y$4,'4. Billing Determinants'!$B$19:$R$41,12,0)/'4. Billing Determinants'!$M$41*$D7,))),0)</f>
        <v>0</v>
      </c>
    </row>
    <row r="8" spans="1:27" x14ac:dyDescent="0.25">
      <c r="A8" s="146">
        <v>5</v>
      </c>
      <c r="B8" s="43" t="s">
        <v>2</v>
      </c>
      <c r="C8" s="306">
        <v>1584</v>
      </c>
      <c r="D8" s="42">
        <f>'2. 2016 Continuity Schedule'!BT29</f>
        <v>94571.910999999993</v>
      </c>
      <c r="E8" s="74" t="s">
        <v>189</v>
      </c>
      <c r="F8" s="42">
        <f>IFERROR(IF(F$4="",0,IF($E8="kWh",VLOOKUP(F$4,'4. Billing Determinants'!$B$19:$R$41,4,0)/'4. Billing Determinants'!$E$41*$D8,IF($E8="kW",VLOOKUP(F$4,'4. Billing Determinants'!$B$19:$R$41,5,0)/'4. Billing Determinants'!$F$41*$D8,IF($E8="Non-RPP kWh",VLOOKUP(F$4,'4. Billing Determinants'!$B$19:$R$41,6,0)/'4. Billing Determinants'!$G$41*$D8,IF($E8="Distribution Rev.",VLOOKUP(F$4,'4. Billing Determinants'!$B$19:$R$41,8,0)/'4. Billing Determinants'!$I$41*$D8, VLOOKUP(F$4,'4. Billing Determinants'!$B$19:$R$41,3,0)/'4. Billing Determinants'!$D$41*$D8))))),0)</f>
        <v>56822.562679805473</v>
      </c>
      <c r="G8" s="42">
        <f>IFERROR(IF(G$4="",0,IF($E8="kWh",VLOOKUP(G$4,'4. Billing Determinants'!$B$19:$R$41,4,0)/'4. Billing Determinants'!$E$41*$D8,IF($E8="kW",VLOOKUP(G$4,'4. Billing Determinants'!$B$19:$R$41,5,0)/'4. Billing Determinants'!$F$41*$D8,IF($E8="Non-RPP kWh",VLOOKUP(G$4,'4. Billing Determinants'!$B$19:$R$41,6,0)/'4. Billing Determinants'!$G$41*$D8,IF($E8="Distribution Rev.",VLOOKUP(G$4,'4. Billing Determinants'!$B$19:$R$41,8,0)/'4. Billing Determinants'!$I$41*$D8, VLOOKUP(G$4,'4. Billing Determinants'!$B$19:$R$41,3,0)/'4. Billing Determinants'!$D$41*$D8))))),0)</f>
        <v>12397.40979670293</v>
      </c>
      <c r="H8" s="42">
        <f>IFERROR(IF(H$4="",0,IF($E8="kWh",VLOOKUP(H$4,'4. Billing Determinants'!$B$19:$R$41,4,0)/'4. Billing Determinants'!$E$41*$D8,IF($E8="kW",VLOOKUP(H$4,'4. Billing Determinants'!$B$19:$R$41,5,0)/'4. Billing Determinants'!$F$41*$D8,IF($E8="Non-RPP kWh",VLOOKUP(H$4,'4. Billing Determinants'!$B$19:$R$41,6,0)/'4. Billing Determinants'!$G$41*$D8,IF($E8="Distribution Rev.",VLOOKUP(H$4,'4. Billing Determinants'!$B$19:$R$41,8,0)/'4. Billing Determinants'!$I$41*$D8, VLOOKUP(H$4,'4. Billing Determinants'!$B$19:$R$41,3,0)/'4. Billing Determinants'!$D$41*$D8))))),0)</f>
        <v>24907.903891441783</v>
      </c>
      <c r="I8" s="42">
        <f>IFERROR(IF(I$4="",0,IF($E8="kWh",VLOOKUP(I$4,'4. Billing Determinants'!$B$19:$R$41,4,0)/'4. Billing Determinants'!$E$41*$D8,IF($E8="kW",VLOOKUP(I$4,'4. Billing Determinants'!$B$19:$R$41,5,0)/'4. Billing Determinants'!$F$41*$D8,IF($E8="Non-RPP kWh",VLOOKUP(I$4,'4. Billing Determinants'!$B$19:$R$41,6,0)/'4. Billing Determinants'!$G$41*$D8,IF($E8="Distribution Rev.",VLOOKUP(I$4,'4. Billing Determinants'!$B$19:$R$41,8,0)/'4. Billing Determinants'!$I$41*$D8, VLOOKUP(I$4,'4. Billing Determinants'!$B$19:$R$41,3,0)/'4. Billing Determinants'!$D$41*$D8))))),0)</f>
        <v>40.663738925771348</v>
      </c>
      <c r="J8" s="42">
        <f>IFERROR(IF(J$4="",0,IF($E8="kWh",VLOOKUP(J$4,'4. Billing Determinants'!$B$19:$R$41,4,0)/'4. Billing Determinants'!$E$41*$D8,IF($E8="kW",VLOOKUP(J$4,'4. Billing Determinants'!$B$19:$R$41,5,0)/'4. Billing Determinants'!$F$41*$D8,IF($E8="Non-RPP kWh",VLOOKUP(J$4,'4. Billing Determinants'!$B$19:$R$41,6,0)/'4. Billing Determinants'!$G$41*$D8,IF($E8="Distribution Rev.",VLOOKUP(J$4,'4. Billing Determinants'!$B$19:$R$41,8,0)/'4. Billing Determinants'!$I$41*$D8, VLOOKUP(J$4,'4. Billing Determinants'!$B$19:$R$41,3,0)/'4. Billing Determinants'!$D$41*$D8))))),0)</f>
        <v>221.45636247777983</v>
      </c>
      <c r="K8" s="42">
        <f>IFERROR(IF(K$4="",0,IF($E8="kWh",VLOOKUP(K$4,'4. Billing Determinants'!$B$19:$R$41,4,0)/'4. Billing Determinants'!$E$41*$D8,IF($E8="kW",VLOOKUP(K$4,'4. Billing Determinants'!$B$19:$R$41,5,0)/'4. Billing Determinants'!$F$41*$D8,IF($E8="Non-RPP kWh",VLOOKUP(K$4,'4. Billing Determinants'!$B$19:$R$41,6,0)/'4. Billing Determinants'!$G$41*$D8,IF($E8="Distribution Rev.",VLOOKUP(K$4,'4. Billing Determinants'!$B$19:$R$41,8,0)/'4. Billing Determinants'!$I$41*$D8, VLOOKUP(K$4,'4. Billing Determinants'!$B$19:$R$41,3,0)/'4. Billing Determinants'!$D$41*$D8))))),0)</f>
        <v>181.91453064624358</v>
      </c>
      <c r="L8" s="42">
        <f>IFERROR(IF(L$4="",0,IF($E8="kWh",VLOOKUP(L$4,'4. Billing Determinants'!$B$19:$R$41,4,0)/'4. Billing Determinants'!$E$41*$D8,IF($E8="kW",VLOOKUP(L$4,'4. Billing Determinants'!$B$19:$R$41,5,0)/'4. Billing Determinants'!$F$41*$D8,IF($E8="Non-RPP kWh",VLOOKUP(L$4,'4. Billing Determinants'!$B$19:$R$41,6,0)/'4. Billing Determinants'!$G$41*$D8,IF($E8="Distribution Rev.",VLOOKUP(L$4,'4. Billing Determinants'!$B$19:$R$41,8,0)/'4. Billing Determinants'!$I$41*$D8, VLOOKUP(L$4,'4. Billing Determinants'!$B$19:$R$41,3,0)/'4. Billing Determinants'!$D$41*$D8))))),0)</f>
        <v>0</v>
      </c>
      <c r="M8" s="42">
        <f>IFERROR(IF(M$4="",0,IF($E8="kWh",VLOOKUP(M$4,'4. Billing Determinants'!$B$19:$R$41,4,0)/'4. Billing Determinants'!$E$41*$D8,IF($E8="kW",VLOOKUP(M$4,'4. Billing Determinants'!$B$19:$R$41,5,0)/'4. Billing Determinants'!$F$41*$D8,IF($E8="Non-RPP kWh",VLOOKUP(M$4,'4. Billing Determinants'!$B$19:$R$41,6,0)/'4. Billing Determinants'!$G$41*$D8,IF($E8="Distribution Rev.",VLOOKUP(M$4,'4. Billing Determinants'!$B$19:$R$41,8,0)/'4. Billing Determinants'!$I$41*$D8, VLOOKUP(M$4,'4. Billing Determinants'!$B$19:$R$41,3,0)/'4. Billing Determinants'!$D$41*$D8))))),0)</f>
        <v>0</v>
      </c>
      <c r="N8" s="42">
        <f>IFERROR(IF(N$4="",0,IF($E8="kWh",VLOOKUP(N$4,'4. Billing Determinants'!$B$19:$R$41,4,0)/'4. Billing Determinants'!$E$41*$D8,IF($E8="kW",VLOOKUP(N$4,'4. Billing Determinants'!$B$19:$R$41,5,0)/'4. Billing Determinants'!$F$41*$D8,IF($E8="Non-RPP kWh",VLOOKUP(N$4,'4. Billing Determinants'!$B$19:$R$41,6,0)/'4. Billing Determinants'!$G$41*$D8,IF($E8="Distribution Rev.",VLOOKUP(N$4,'4. Billing Determinants'!$B$19:$R$41,8,0)/'4. Billing Determinants'!$I$41*$D8, VLOOKUP(N$4,'4. Billing Determinants'!$B$19:$R$41,3,0)/'4. Billing Determinants'!$D$41*$D8))))),0)</f>
        <v>0</v>
      </c>
      <c r="O8" s="42">
        <f>IFERROR(IF(O$4="",0,IF($E8="kWh",VLOOKUP(O$4,'4. Billing Determinants'!$B$19:$R$41,4,0)/'4. Billing Determinants'!$E$41*$D8,IF($E8="kW",VLOOKUP(O$4,'4. Billing Determinants'!$B$19:$R$41,5,0)/'4. Billing Determinants'!$F$41*$D8,IF($E8="Non-RPP kWh",VLOOKUP(O$4,'4. Billing Determinants'!$B$19:$R$41,6,0)/'4. Billing Determinants'!$G$41*$D8,IF($E8="Distribution Rev.",VLOOKUP(O$4,'4. Billing Determinants'!$B$19:$R$41,8,0)/'4. Billing Determinants'!$I$41*$D8, VLOOKUP(O$4,'4. Billing Determinants'!$B$19:$R$41,3,0)/'4. Billing Determinants'!$D$41*$D8))))),0)</f>
        <v>0</v>
      </c>
      <c r="P8" s="42">
        <f>IFERROR(IF(P$4="",0,IF($E8="kWh",VLOOKUP(P$4,'4. Billing Determinants'!$B$19:$R$41,4,0)/'4. Billing Determinants'!$E$41*$D8,IF($E8="kW",VLOOKUP(P$4,'4. Billing Determinants'!$B$19:$R$41,5,0)/'4. Billing Determinants'!$F$41*$D8,IF($E8="Non-RPP kWh",VLOOKUP(P$4,'4. Billing Determinants'!$B$19:$R$41,6,0)/'4. Billing Determinants'!$G$41*$D8,IF($E8="Distribution Rev.",VLOOKUP(P$4,'4. Billing Determinants'!$B$19:$R$41,8,0)/'4. Billing Determinants'!$I$41*$D8, VLOOKUP(P$4,'4. Billing Determinants'!$B$19:$R$41,3,0)/'4. Billing Determinants'!$D$41*$D8))))),0)</f>
        <v>0</v>
      </c>
      <c r="Q8" s="42">
        <f>IFERROR(IF(Q$4="",0,IF($E8="kWh",VLOOKUP(Q$4,'4. Billing Determinants'!$B$19:$R$41,4,0)/'4. Billing Determinants'!$E$41*$D8,IF($E8="kW",VLOOKUP(Q$4,'4. Billing Determinants'!$B$19:$R$41,5,0)/'4. Billing Determinants'!$F$41*$D8,IF($E8="Non-RPP kWh",VLOOKUP(Q$4,'4. Billing Determinants'!$B$19:$R$41,6,0)/'4. Billing Determinants'!$G$41*$D8,IF($E8="Distribution Rev.",VLOOKUP(Q$4,'4. Billing Determinants'!$B$19:$R$41,8,0)/'4. Billing Determinants'!$I$41*$D8, VLOOKUP(Q$4,'4. Billing Determinants'!$B$19:$R$41,3,0)/'4. Billing Determinants'!$D$41*$D8))))),0)</f>
        <v>0</v>
      </c>
      <c r="R8" s="42">
        <f>IFERROR(IF(R$4="",0,IF($E8="kWh",VLOOKUP(R$4,'4. Billing Determinants'!$B$19:$R$41,4,0)/'4. Billing Determinants'!$E$41*$D8,IF($E8="kW",VLOOKUP(R$4,'4. Billing Determinants'!$B$19:$R$41,5,0)/'4. Billing Determinants'!$F$41*$D8,IF($E8="Non-RPP kWh",VLOOKUP(R$4,'4. Billing Determinants'!$B$19:$R$41,6,0)/'4. Billing Determinants'!$G$41*$D8,IF($E8="Distribution Rev.",VLOOKUP(R$4,'4. Billing Determinants'!$B$19:$R$41,8,0)/'4. Billing Determinants'!$I$41*$D8, VLOOKUP(R$4,'4. Billing Determinants'!$B$19:$R$41,3,0)/'4. Billing Determinants'!$D$41*$D8))))),0)</f>
        <v>0</v>
      </c>
      <c r="S8" s="42">
        <f>IFERROR(IF(S$4="",0,IF($E8="kWh",VLOOKUP(S$4,'4. Billing Determinants'!$B$19:$R$41,4,0)/'4. Billing Determinants'!$E$41*$D8,IF($E8="kW",VLOOKUP(S$4,'4. Billing Determinants'!$B$19:$R$41,5,0)/'4. Billing Determinants'!$F$41*$D8,IF($E8="Non-RPP kWh",VLOOKUP(S$4,'4. Billing Determinants'!$B$19:$R$41,6,0)/'4. Billing Determinants'!$G$41*$D8,IF($E8="Distribution Rev.",VLOOKUP(S$4,'4. Billing Determinants'!$B$19:$R$41,8,0)/'4. Billing Determinants'!$I$41*$D8, VLOOKUP(S$4,'4. Billing Determinants'!$B$19:$R$41,3,0)/'4. Billing Determinants'!$D$41*$D8))))),0)</f>
        <v>0</v>
      </c>
      <c r="T8" s="42">
        <f>IFERROR(IF(T$4="",0,IF($E8="kWh",VLOOKUP(T$4,'4. Billing Determinants'!$B$19:$R$41,4,0)/'4. Billing Determinants'!$E$41*$D8,IF($E8="kW",VLOOKUP(T$4,'4. Billing Determinants'!$B$19:$R$41,5,0)/'4. Billing Determinants'!$F$41*$D8,IF($E8="Non-RPP kWh",VLOOKUP(T$4,'4. Billing Determinants'!$B$19:$R$41,6,0)/'4. Billing Determinants'!$G$41*$D8,IF($E8="Distribution Rev.",VLOOKUP(T$4,'4. Billing Determinants'!$B$19:$R$41,8,0)/'4. Billing Determinants'!$I$41*$D8, VLOOKUP(T$4,'4. Billing Determinants'!$B$19:$R$41,3,0)/'4. Billing Determinants'!$D$41*$D8))))),0)</f>
        <v>0</v>
      </c>
      <c r="U8" s="42">
        <f>IFERROR(IF(U$4="",0,IF($E8="kWh",VLOOKUP(U$4,'4. Billing Determinants'!$B$19:$R$41,4,0)/'4. Billing Determinants'!$E$41*$D8,IF($E8="kW",VLOOKUP(U$4,'4. Billing Determinants'!$B$19:$R$41,5,0)/'4. Billing Determinants'!$F$41*$D8,IF($E8="Non-RPP kWh",VLOOKUP(U$4,'4. Billing Determinants'!$B$19:$R$41,6,0)/'4. Billing Determinants'!$G$41*$D8,IF($E8="Distribution Rev.",VLOOKUP(U$4,'4. Billing Determinants'!$B$19:$R$41,8,0)/'4. Billing Determinants'!$I$41*$D8, VLOOKUP(U$4,'4. Billing Determinants'!$B$19:$R$41,3,0)/'4. Billing Determinants'!$D$41*$D8))))),0)</f>
        <v>0</v>
      </c>
      <c r="V8" s="42">
        <f>IFERROR(IF(V$4="",0,IF($E8="kWh",VLOOKUP(V$4,'4. Billing Determinants'!$B$19:$R$41,4,0)/'4. Billing Determinants'!$E$41*$D8,IF($E8="kW",VLOOKUP(V$4,'4. Billing Determinants'!$B$19:$R$41,5,0)/'4. Billing Determinants'!$F$41*$D8,IF($E8="Non-RPP kWh",VLOOKUP(V$4,'4. Billing Determinants'!$B$19:$R$41,6,0)/'4. Billing Determinants'!$G$41*$D8,IF($E8="Distribution Rev.",VLOOKUP(V$4,'4. Billing Determinants'!$B$19:$R$41,8,0)/'4. Billing Determinants'!$I$41*$D8, VLOOKUP(V$4,'4. Billing Determinants'!$B$19:$R$41,3,0)/'4. Billing Determinants'!$D$41*$D8))))),0)</f>
        <v>0</v>
      </c>
      <c r="W8" s="42">
        <f>IFERROR(IF(W$4="",0,IF($E8="kWh",VLOOKUP(W$4,'4. Billing Determinants'!$B$19:$R$41,4,0)/'4. Billing Determinants'!$E$41*$D8,IF($E8="kW",VLOOKUP(W$4,'4. Billing Determinants'!$B$19:$R$41,5,0)/'4. Billing Determinants'!$F$41*$D8,IF($E8="Non-RPP kWh",VLOOKUP(W$4,'4. Billing Determinants'!$B$19:$R$41,6,0)/'4. Billing Determinants'!$G$41*$D8,IF($E8="Distribution Rev.",VLOOKUP(W$4,'4. Billing Determinants'!$B$19:$R$41,8,0)/'4. Billing Determinants'!$I$41*$D8, VLOOKUP(W$4,'4. Billing Determinants'!$B$19:$R$41,3,0)/'4. Billing Determinants'!$D$41*$D8))))),0)</f>
        <v>0</v>
      </c>
      <c r="X8" s="42">
        <f>IFERROR(IF(X$4="",0,IF($E8="kWh",VLOOKUP(X$4,'4. Billing Determinants'!$B$19:$R$41,4,0)/'4. Billing Determinants'!$E$41*$D8,IF($E8="kW",VLOOKUP(X$4,'4. Billing Determinants'!$B$19:$R$41,5,0)/'4. Billing Determinants'!$F$41*$D8,IF($E8="Non-RPP kWh",VLOOKUP(X$4,'4. Billing Determinants'!$B$19:$R$41,6,0)/'4. Billing Determinants'!$G$41*$D8,IF($E8="Distribution Rev.",VLOOKUP(X$4,'4. Billing Determinants'!$B$19:$R$41,8,0)/'4. Billing Determinants'!$I$41*$D8, VLOOKUP(X$4,'4. Billing Determinants'!$B$19:$R$41,3,0)/'4. Billing Determinants'!$D$41*$D8))))),0)</f>
        <v>0</v>
      </c>
      <c r="Y8" s="42">
        <f>IFERROR(IF(Y$4="",0,IF($E8="kWh",VLOOKUP(Y$4,'4. Billing Determinants'!$B$19:$R$41,4,0)/'4. Billing Determinants'!$E$41*$D8,IF($E8="kW",VLOOKUP(Y$4,'4. Billing Determinants'!$B$19:$R$41,5,0)/'4. Billing Determinants'!$F$41*$D8,IF($E8="Non-RPP kWh",VLOOKUP(Y$4,'4. Billing Determinants'!$B$19:$R$41,6,0)/'4. Billing Determinants'!$G$41*$D8,IF($E8="Distribution Rev.",VLOOKUP(Y$4,'4. Billing Determinants'!$B$19:$R$41,8,0)/'4. Billing Determinants'!$I$41*$D8, VLOOKUP(Y$4,'4. Billing Determinants'!$B$19:$R$41,3,0)/'4. Billing Determinants'!$D$41*$D8))))),0)</f>
        <v>0</v>
      </c>
    </row>
    <row r="9" spans="1:27" x14ac:dyDescent="0.25">
      <c r="A9" s="146">
        <v>6</v>
      </c>
      <c r="B9" s="43" t="s">
        <v>3</v>
      </c>
      <c r="C9" s="306">
        <v>1586</v>
      </c>
      <c r="D9" s="42">
        <f>'2. 2016 Continuity Schedule'!BT30</f>
        <v>188124.432</v>
      </c>
      <c r="E9" s="74" t="s">
        <v>189</v>
      </c>
      <c r="F9" s="42">
        <f>IFERROR(IF(F$4="",0,IF($E9="kWh",VLOOKUP(F$4,'4. Billing Determinants'!$B$19:$R$41,4,0)/'4. Billing Determinants'!$E$41*$D9,IF($E9="kW",VLOOKUP(F$4,'4. Billing Determinants'!$B$19:$R$41,5,0)/'4. Billing Determinants'!$F$41*$D9,IF($E9="Non-RPP kWh",VLOOKUP(F$4,'4. Billing Determinants'!$B$19:$R$41,6,0)/'4. Billing Determinants'!$G$41*$D9,IF($E9="Distribution Rev.",VLOOKUP(F$4,'4. Billing Determinants'!$B$19:$R$41,8,0)/'4. Billing Determinants'!$I$41*$D9, VLOOKUP(F$4,'4. Billing Determinants'!$B$19:$R$41,3,0)/'4. Billing Determinants'!$D$41*$D9))))),0)</f>
        <v>113032.63533421466</v>
      </c>
      <c r="G9" s="42">
        <f>IFERROR(IF(G$4="",0,IF($E9="kWh",VLOOKUP(G$4,'4. Billing Determinants'!$B$19:$R$41,4,0)/'4. Billing Determinants'!$E$41*$D9,IF($E9="kW",VLOOKUP(G$4,'4. Billing Determinants'!$B$19:$R$41,5,0)/'4. Billing Determinants'!$F$41*$D9,IF($E9="Non-RPP kWh",VLOOKUP(G$4,'4. Billing Determinants'!$B$19:$R$41,6,0)/'4. Billing Determinants'!$G$41*$D9,IF($E9="Distribution Rev.",VLOOKUP(G$4,'4. Billing Determinants'!$B$19:$R$41,8,0)/'4. Billing Determinants'!$I$41*$D9, VLOOKUP(G$4,'4. Billing Determinants'!$B$19:$R$41,3,0)/'4. Billing Determinants'!$D$41*$D9))))),0)</f>
        <v>24661.187995619275</v>
      </c>
      <c r="H9" s="42">
        <f>IFERROR(IF(H$4="",0,IF($E9="kWh",VLOOKUP(H$4,'4. Billing Determinants'!$B$19:$R$41,4,0)/'4. Billing Determinants'!$E$41*$D9,IF($E9="kW",VLOOKUP(H$4,'4. Billing Determinants'!$B$19:$R$41,5,0)/'4. Billing Determinants'!$F$41*$D9,IF($E9="Non-RPP kWh",VLOOKUP(H$4,'4. Billing Determinants'!$B$19:$R$41,6,0)/'4. Billing Determinants'!$G$41*$D9,IF($E9="Distribution Rev.",VLOOKUP(H$4,'4. Billing Determinants'!$B$19:$R$41,8,0)/'4. Billing Determinants'!$I$41*$D9, VLOOKUP(H$4,'4. Billing Determinants'!$B$19:$R$41,3,0)/'4. Billing Determinants'!$D$41*$D9))))),0)</f>
        <v>49547.325652413594</v>
      </c>
      <c r="I9" s="42">
        <f>IFERROR(IF(I$4="",0,IF($E9="kWh",VLOOKUP(I$4,'4. Billing Determinants'!$B$19:$R$41,4,0)/'4. Billing Determinants'!$E$41*$D9,IF($E9="kW",VLOOKUP(I$4,'4. Billing Determinants'!$B$19:$R$41,5,0)/'4. Billing Determinants'!$F$41*$D9,IF($E9="Non-RPP kWh",VLOOKUP(I$4,'4. Billing Determinants'!$B$19:$R$41,6,0)/'4. Billing Determinants'!$G$41*$D9,IF($E9="Distribution Rev.",VLOOKUP(I$4,'4. Billing Determinants'!$B$19:$R$41,8,0)/'4. Billing Determinants'!$I$41*$D9, VLOOKUP(I$4,'4. Billing Determinants'!$B$19:$R$41,3,0)/'4. Billing Determinants'!$D$41*$D9))))),0)</f>
        <v>80.889163679974985</v>
      </c>
      <c r="J9" s="42">
        <f>IFERROR(IF(J$4="",0,IF($E9="kWh",VLOOKUP(J$4,'4. Billing Determinants'!$B$19:$R$41,4,0)/'4. Billing Determinants'!$E$41*$D9,IF($E9="kW",VLOOKUP(J$4,'4. Billing Determinants'!$B$19:$R$41,5,0)/'4. Billing Determinants'!$F$41*$D9,IF($E9="Non-RPP kWh",VLOOKUP(J$4,'4. Billing Determinants'!$B$19:$R$41,6,0)/'4. Billing Determinants'!$G$41*$D9,IF($E9="Distribution Rev.",VLOOKUP(J$4,'4. Billing Determinants'!$B$19:$R$41,8,0)/'4. Billing Determinants'!$I$41*$D9, VLOOKUP(J$4,'4. Billing Determinants'!$B$19:$R$41,3,0)/'4. Billing Determinants'!$D$41*$D9))))),0)</f>
        <v>440.52564829654807</v>
      </c>
      <c r="K9" s="42">
        <f>IFERROR(IF(K$4="",0,IF($E9="kWh",VLOOKUP(K$4,'4. Billing Determinants'!$B$19:$R$41,4,0)/'4. Billing Determinants'!$E$41*$D9,IF($E9="kW",VLOOKUP(K$4,'4. Billing Determinants'!$B$19:$R$41,5,0)/'4. Billing Determinants'!$F$41*$D9,IF($E9="Non-RPP kWh",VLOOKUP(K$4,'4. Billing Determinants'!$B$19:$R$41,6,0)/'4. Billing Determinants'!$G$41*$D9,IF($E9="Distribution Rev.",VLOOKUP(K$4,'4. Billing Determinants'!$B$19:$R$41,8,0)/'4. Billing Determinants'!$I$41*$D9, VLOOKUP(K$4,'4. Billing Determinants'!$B$19:$R$41,3,0)/'4. Billing Determinants'!$D$41*$D9))))),0)</f>
        <v>361.86820577593244</v>
      </c>
      <c r="L9" s="42">
        <f>IFERROR(IF(L$4="",0,IF($E9="kWh",VLOOKUP(L$4,'4. Billing Determinants'!$B$19:$R$41,4,0)/'4. Billing Determinants'!$E$41*$D9,IF($E9="kW",VLOOKUP(L$4,'4. Billing Determinants'!$B$19:$R$41,5,0)/'4. Billing Determinants'!$F$41*$D9,IF($E9="Non-RPP kWh",VLOOKUP(L$4,'4. Billing Determinants'!$B$19:$R$41,6,0)/'4. Billing Determinants'!$G$41*$D9,IF($E9="Distribution Rev.",VLOOKUP(L$4,'4. Billing Determinants'!$B$19:$R$41,8,0)/'4. Billing Determinants'!$I$41*$D9, VLOOKUP(L$4,'4. Billing Determinants'!$B$19:$R$41,3,0)/'4. Billing Determinants'!$D$41*$D9))))),0)</f>
        <v>0</v>
      </c>
      <c r="M9" s="42">
        <f>IFERROR(IF(M$4="",0,IF($E9="kWh",VLOOKUP(M$4,'4. Billing Determinants'!$B$19:$R$41,4,0)/'4. Billing Determinants'!$E$41*$D9,IF($E9="kW",VLOOKUP(M$4,'4. Billing Determinants'!$B$19:$R$41,5,0)/'4. Billing Determinants'!$F$41*$D9,IF($E9="Non-RPP kWh",VLOOKUP(M$4,'4. Billing Determinants'!$B$19:$R$41,6,0)/'4. Billing Determinants'!$G$41*$D9,IF($E9="Distribution Rev.",VLOOKUP(M$4,'4. Billing Determinants'!$B$19:$R$41,8,0)/'4. Billing Determinants'!$I$41*$D9, VLOOKUP(M$4,'4. Billing Determinants'!$B$19:$R$41,3,0)/'4. Billing Determinants'!$D$41*$D9))))),0)</f>
        <v>0</v>
      </c>
      <c r="N9" s="42">
        <f>IFERROR(IF(N$4="",0,IF($E9="kWh",VLOOKUP(N$4,'4. Billing Determinants'!$B$19:$R$41,4,0)/'4. Billing Determinants'!$E$41*$D9,IF($E9="kW",VLOOKUP(N$4,'4. Billing Determinants'!$B$19:$R$41,5,0)/'4. Billing Determinants'!$F$41*$D9,IF($E9="Non-RPP kWh",VLOOKUP(N$4,'4. Billing Determinants'!$B$19:$R$41,6,0)/'4. Billing Determinants'!$G$41*$D9,IF($E9="Distribution Rev.",VLOOKUP(N$4,'4. Billing Determinants'!$B$19:$R$41,8,0)/'4. Billing Determinants'!$I$41*$D9, VLOOKUP(N$4,'4. Billing Determinants'!$B$19:$R$41,3,0)/'4. Billing Determinants'!$D$41*$D9))))),0)</f>
        <v>0</v>
      </c>
      <c r="O9" s="42">
        <f>IFERROR(IF(O$4="",0,IF($E9="kWh",VLOOKUP(O$4,'4. Billing Determinants'!$B$19:$R$41,4,0)/'4. Billing Determinants'!$E$41*$D9,IF($E9="kW",VLOOKUP(O$4,'4. Billing Determinants'!$B$19:$R$41,5,0)/'4. Billing Determinants'!$F$41*$D9,IF($E9="Non-RPP kWh",VLOOKUP(O$4,'4. Billing Determinants'!$B$19:$R$41,6,0)/'4. Billing Determinants'!$G$41*$D9,IF($E9="Distribution Rev.",VLOOKUP(O$4,'4. Billing Determinants'!$B$19:$R$41,8,0)/'4. Billing Determinants'!$I$41*$D9, VLOOKUP(O$4,'4. Billing Determinants'!$B$19:$R$41,3,0)/'4. Billing Determinants'!$D$41*$D9))))),0)</f>
        <v>0</v>
      </c>
      <c r="P9" s="42">
        <f>IFERROR(IF(P$4="",0,IF($E9="kWh",VLOOKUP(P$4,'4. Billing Determinants'!$B$19:$R$41,4,0)/'4. Billing Determinants'!$E$41*$D9,IF($E9="kW",VLOOKUP(P$4,'4. Billing Determinants'!$B$19:$R$41,5,0)/'4. Billing Determinants'!$F$41*$D9,IF($E9="Non-RPP kWh",VLOOKUP(P$4,'4. Billing Determinants'!$B$19:$R$41,6,0)/'4. Billing Determinants'!$G$41*$D9,IF($E9="Distribution Rev.",VLOOKUP(P$4,'4. Billing Determinants'!$B$19:$R$41,8,0)/'4. Billing Determinants'!$I$41*$D9, VLOOKUP(P$4,'4. Billing Determinants'!$B$19:$R$41,3,0)/'4. Billing Determinants'!$D$41*$D9))))),0)</f>
        <v>0</v>
      </c>
      <c r="Q9" s="42">
        <f>IFERROR(IF(Q$4="",0,IF($E9="kWh",VLOOKUP(Q$4,'4. Billing Determinants'!$B$19:$R$41,4,0)/'4. Billing Determinants'!$E$41*$D9,IF($E9="kW",VLOOKUP(Q$4,'4. Billing Determinants'!$B$19:$R$41,5,0)/'4. Billing Determinants'!$F$41*$D9,IF($E9="Non-RPP kWh",VLOOKUP(Q$4,'4. Billing Determinants'!$B$19:$R$41,6,0)/'4. Billing Determinants'!$G$41*$D9,IF($E9="Distribution Rev.",VLOOKUP(Q$4,'4. Billing Determinants'!$B$19:$R$41,8,0)/'4. Billing Determinants'!$I$41*$D9, VLOOKUP(Q$4,'4. Billing Determinants'!$B$19:$R$41,3,0)/'4. Billing Determinants'!$D$41*$D9))))),0)</f>
        <v>0</v>
      </c>
      <c r="R9" s="42">
        <f>IFERROR(IF(R$4="",0,IF($E9="kWh",VLOOKUP(R$4,'4. Billing Determinants'!$B$19:$R$41,4,0)/'4. Billing Determinants'!$E$41*$D9,IF($E9="kW",VLOOKUP(R$4,'4. Billing Determinants'!$B$19:$R$41,5,0)/'4. Billing Determinants'!$F$41*$D9,IF($E9="Non-RPP kWh",VLOOKUP(R$4,'4. Billing Determinants'!$B$19:$R$41,6,0)/'4. Billing Determinants'!$G$41*$D9,IF($E9="Distribution Rev.",VLOOKUP(R$4,'4. Billing Determinants'!$B$19:$R$41,8,0)/'4. Billing Determinants'!$I$41*$D9, VLOOKUP(R$4,'4. Billing Determinants'!$B$19:$R$41,3,0)/'4. Billing Determinants'!$D$41*$D9))))),0)</f>
        <v>0</v>
      </c>
      <c r="S9" s="42">
        <f>IFERROR(IF(S$4="",0,IF($E9="kWh",VLOOKUP(S$4,'4. Billing Determinants'!$B$19:$R$41,4,0)/'4. Billing Determinants'!$E$41*$D9,IF($E9="kW",VLOOKUP(S$4,'4. Billing Determinants'!$B$19:$R$41,5,0)/'4. Billing Determinants'!$F$41*$D9,IF($E9="Non-RPP kWh",VLOOKUP(S$4,'4. Billing Determinants'!$B$19:$R$41,6,0)/'4. Billing Determinants'!$G$41*$D9,IF($E9="Distribution Rev.",VLOOKUP(S$4,'4. Billing Determinants'!$B$19:$R$41,8,0)/'4. Billing Determinants'!$I$41*$D9, VLOOKUP(S$4,'4. Billing Determinants'!$B$19:$R$41,3,0)/'4. Billing Determinants'!$D$41*$D9))))),0)</f>
        <v>0</v>
      </c>
      <c r="T9" s="42">
        <f>IFERROR(IF(T$4="",0,IF($E9="kWh",VLOOKUP(T$4,'4. Billing Determinants'!$B$19:$R$41,4,0)/'4. Billing Determinants'!$E$41*$D9,IF($E9="kW",VLOOKUP(T$4,'4. Billing Determinants'!$B$19:$R$41,5,0)/'4. Billing Determinants'!$F$41*$D9,IF($E9="Non-RPP kWh",VLOOKUP(T$4,'4. Billing Determinants'!$B$19:$R$41,6,0)/'4. Billing Determinants'!$G$41*$D9,IF($E9="Distribution Rev.",VLOOKUP(T$4,'4. Billing Determinants'!$B$19:$R$41,8,0)/'4. Billing Determinants'!$I$41*$D9, VLOOKUP(T$4,'4. Billing Determinants'!$B$19:$R$41,3,0)/'4. Billing Determinants'!$D$41*$D9))))),0)</f>
        <v>0</v>
      </c>
      <c r="U9" s="42">
        <f>IFERROR(IF(U$4="",0,IF($E9="kWh",VLOOKUP(U$4,'4. Billing Determinants'!$B$19:$R$41,4,0)/'4. Billing Determinants'!$E$41*$D9,IF($E9="kW",VLOOKUP(U$4,'4. Billing Determinants'!$B$19:$R$41,5,0)/'4. Billing Determinants'!$F$41*$D9,IF($E9="Non-RPP kWh",VLOOKUP(U$4,'4. Billing Determinants'!$B$19:$R$41,6,0)/'4. Billing Determinants'!$G$41*$D9,IF($E9="Distribution Rev.",VLOOKUP(U$4,'4. Billing Determinants'!$B$19:$R$41,8,0)/'4. Billing Determinants'!$I$41*$D9, VLOOKUP(U$4,'4. Billing Determinants'!$B$19:$R$41,3,0)/'4. Billing Determinants'!$D$41*$D9))))),0)</f>
        <v>0</v>
      </c>
      <c r="V9" s="42">
        <f>IFERROR(IF(V$4="",0,IF($E9="kWh",VLOOKUP(V$4,'4. Billing Determinants'!$B$19:$R$41,4,0)/'4. Billing Determinants'!$E$41*$D9,IF($E9="kW",VLOOKUP(V$4,'4. Billing Determinants'!$B$19:$R$41,5,0)/'4. Billing Determinants'!$F$41*$D9,IF($E9="Non-RPP kWh",VLOOKUP(V$4,'4. Billing Determinants'!$B$19:$R$41,6,0)/'4. Billing Determinants'!$G$41*$D9,IF($E9="Distribution Rev.",VLOOKUP(V$4,'4. Billing Determinants'!$B$19:$R$41,8,0)/'4. Billing Determinants'!$I$41*$D9, VLOOKUP(V$4,'4. Billing Determinants'!$B$19:$R$41,3,0)/'4. Billing Determinants'!$D$41*$D9))))),0)</f>
        <v>0</v>
      </c>
      <c r="W9" s="42">
        <f>IFERROR(IF(W$4="",0,IF($E9="kWh",VLOOKUP(W$4,'4. Billing Determinants'!$B$19:$R$41,4,0)/'4. Billing Determinants'!$E$41*$D9,IF($E9="kW",VLOOKUP(W$4,'4. Billing Determinants'!$B$19:$R$41,5,0)/'4. Billing Determinants'!$F$41*$D9,IF($E9="Non-RPP kWh",VLOOKUP(W$4,'4. Billing Determinants'!$B$19:$R$41,6,0)/'4. Billing Determinants'!$G$41*$D9,IF($E9="Distribution Rev.",VLOOKUP(W$4,'4. Billing Determinants'!$B$19:$R$41,8,0)/'4. Billing Determinants'!$I$41*$D9, VLOOKUP(W$4,'4. Billing Determinants'!$B$19:$R$41,3,0)/'4. Billing Determinants'!$D$41*$D9))))),0)</f>
        <v>0</v>
      </c>
      <c r="X9" s="42">
        <f>IFERROR(IF(X$4="",0,IF($E9="kWh",VLOOKUP(X$4,'4. Billing Determinants'!$B$19:$R$41,4,0)/'4. Billing Determinants'!$E$41*$D9,IF($E9="kW",VLOOKUP(X$4,'4. Billing Determinants'!$B$19:$R$41,5,0)/'4. Billing Determinants'!$F$41*$D9,IF($E9="Non-RPP kWh",VLOOKUP(X$4,'4. Billing Determinants'!$B$19:$R$41,6,0)/'4. Billing Determinants'!$G$41*$D9,IF($E9="Distribution Rev.",VLOOKUP(X$4,'4. Billing Determinants'!$B$19:$R$41,8,0)/'4. Billing Determinants'!$I$41*$D9, VLOOKUP(X$4,'4. Billing Determinants'!$B$19:$R$41,3,0)/'4. Billing Determinants'!$D$41*$D9))))),0)</f>
        <v>0</v>
      </c>
      <c r="Y9" s="42">
        <f>IFERROR(IF(Y$4="",0,IF($E9="kWh",VLOOKUP(Y$4,'4. Billing Determinants'!$B$19:$R$41,4,0)/'4. Billing Determinants'!$E$41*$D9,IF($E9="kW",VLOOKUP(Y$4,'4. Billing Determinants'!$B$19:$R$41,5,0)/'4. Billing Determinants'!$F$41*$D9,IF($E9="Non-RPP kWh",VLOOKUP(Y$4,'4. Billing Determinants'!$B$19:$R$41,6,0)/'4. Billing Determinants'!$G$41*$D9,IF($E9="Distribution Rev.",VLOOKUP(Y$4,'4. Billing Determinants'!$B$19:$R$41,8,0)/'4. Billing Determinants'!$I$41*$D9, VLOOKUP(Y$4,'4. Billing Determinants'!$B$19:$R$41,3,0)/'4. Billing Determinants'!$D$41*$D9))))),0)</f>
        <v>0</v>
      </c>
    </row>
    <row r="10" spans="1:27" x14ac:dyDescent="0.25">
      <c r="A10" s="146">
        <v>7</v>
      </c>
      <c r="B10" s="43" t="s">
        <v>48</v>
      </c>
      <c r="C10" s="306">
        <v>1588</v>
      </c>
      <c r="D10" s="42">
        <v>0</v>
      </c>
      <c r="E10" s="74" t="s">
        <v>189</v>
      </c>
      <c r="F10" s="42">
        <f>IFERROR(IF(F$4="",0,IF($E10="kWh",VLOOKUP(F$4,'4. Billing Determinants'!$B$19:$R$41,11,0)/'4. Billing Determinants'!$L$41*$D10,IF($E10="kW",VLOOKUP(F$4,'4. Billing Determinants'!$B$19:$R$41,12,0)/'4. Billing Determinants'!$M$41*$D10,))),0)</f>
        <v>0</v>
      </c>
      <c r="G10" s="42">
        <f>IFERROR(IF(G$4="",0,IF($E10="kWh",VLOOKUP(G$4,'4. Billing Determinants'!$B$19:$R$41,11,0)/'4. Billing Determinants'!$L$41*$D10,IF($E10="kW",VLOOKUP(G$4,'4. Billing Determinants'!$B$19:$R$41,12,0)/'4. Billing Determinants'!$M$41*$D10,))),0)</f>
        <v>0</v>
      </c>
      <c r="H10" s="42">
        <f>IFERROR(IF(H$4="",0,IF($E10="kWh",VLOOKUP(H$4,'4. Billing Determinants'!$B$19:$R$41,11,0)/'4. Billing Determinants'!$L$41*$D10,IF($E10="kW",VLOOKUP(H$4,'4. Billing Determinants'!$B$19:$R$41,12,0)/'4. Billing Determinants'!$M$41*$D10,))),0)</f>
        <v>0</v>
      </c>
      <c r="I10" s="42">
        <f>IFERROR(IF(I$4="",0,IF($E10="kWh",VLOOKUP(I$4,'4. Billing Determinants'!$B$19:$R$41,11,0)/'4. Billing Determinants'!$L$41*$D10,IF($E10="kW",VLOOKUP(I$4,'4. Billing Determinants'!$B$19:$R$41,12,0)/'4. Billing Determinants'!$M$41*$D10,))),0)</f>
        <v>0</v>
      </c>
      <c r="J10" s="42">
        <f>IFERROR(IF(J$4="",0,IF($E10="kWh",VLOOKUP(J$4,'4. Billing Determinants'!$B$19:$R$41,11,0)/'4. Billing Determinants'!$L$41*$D10,IF($E10="kW",VLOOKUP(J$4,'4. Billing Determinants'!$B$19:$R$41,12,0)/'4. Billing Determinants'!$M$41*$D10,))),0)</f>
        <v>0</v>
      </c>
      <c r="K10" s="42">
        <f>IFERROR(IF(K$4="",0,IF($E10="kWh",VLOOKUP(K$4,'4. Billing Determinants'!$B$19:$R$41,11,0)/'4. Billing Determinants'!$L$41*$D10,IF($E10="kW",VLOOKUP(K$4,'4. Billing Determinants'!$B$19:$R$41,12,0)/'4. Billing Determinants'!$M$41*$D10,))),0)</f>
        <v>0</v>
      </c>
      <c r="L10" s="42">
        <f>IFERROR(IF(L$4="",0,IF($E10="kWh",VLOOKUP(L$4,'4. Billing Determinants'!$B$19:$R$41,11,0)/'4. Billing Determinants'!$L$41*$D10,IF($E10="kW",VLOOKUP(L$4,'4. Billing Determinants'!$B$19:$R$41,12,0)/'4. Billing Determinants'!$M$41*$D10,))),0)</f>
        <v>0</v>
      </c>
      <c r="M10" s="42">
        <f>IFERROR(IF(M$4="",0,IF($E10="kWh",VLOOKUP(M$4,'4. Billing Determinants'!$B$19:$R$41,11,0)/'4. Billing Determinants'!$L$41*$D10,IF($E10="kW",VLOOKUP(M$4,'4. Billing Determinants'!$B$19:$R$41,12,0)/'4. Billing Determinants'!$M$41*$D10,))),0)</f>
        <v>0</v>
      </c>
      <c r="N10" s="42">
        <f>IFERROR(IF(N$4="",0,IF($E10="kWh",VLOOKUP(N$4,'4. Billing Determinants'!$B$19:$R$41,11,0)/'4. Billing Determinants'!$L$41*$D10,IF($E10="kW",VLOOKUP(N$4,'4. Billing Determinants'!$B$19:$R$41,12,0)/'4. Billing Determinants'!$M$41*$D10,))),0)</f>
        <v>0</v>
      </c>
      <c r="O10" s="42">
        <f>IFERROR(IF(O$4="",0,IF($E10="kWh",VLOOKUP(O$4,'4. Billing Determinants'!$B$19:$R$41,11,0)/'4. Billing Determinants'!$L$41*$D10,IF($E10="kW",VLOOKUP(O$4,'4. Billing Determinants'!$B$19:$R$41,12,0)/'4. Billing Determinants'!$M$41*$D10,))),0)</f>
        <v>0</v>
      </c>
      <c r="P10" s="42">
        <f>IFERROR(IF(P$4="",0,IF($E10="kWh",VLOOKUP(P$4,'4. Billing Determinants'!$B$19:$R$41,11,0)/'4. Billing Determinants'!$L$41*$D10,IF($E10="kW",VLOOKUP(P$4,'4. Billing Determinants'!$B$19:$R$41,12,0)/'4. Billing Determinants'!$M$41*$D10,))),0)</f>
        <v>0</v>
      </c>
      <c r="Q10" s="42">
        <f>IFERROR(IF(Q$4="",0,IF($E10="kWh",VLOOKUP(Q$4,'4. Billing Determinants'!$B$19:$R$41,11,0)/'4. Billing Determinants'!$L$41*$D10,IF($E10="kW",VLOOKUP(Q$4,'4. Billing Determinants'!$B$19:$R$41,12,0)/'4. Billing Determinants'!$M$41*$D10,))),0)</f>
        <v>0</v>
      </c>
      <c r="R10" s="42">
        <f>IFERROR(IF(R$4="",0,IF($E10="kWh",VLOOKUP(R$4,'4. Billing Determinants'!$B$19:$R$41,11,0)/'4. Billing Determinants'!$L$41*$D10,IF($E10="kW",VLOOKUP(R$4,'4. Billing Determinants'!$B$19:$R$41,12,0)/'4. Billing Determinants'!$M$41*$D10,))),0)</f>
        <v>0</v>
      </c>
      <c r="S10" s="42">
        <f>IFERROR(IF(S$4="",0,IF($E10="kWh",VLOOKUP(S$4,'4. Billing Determinants'!$B$19:$R$41,11,0)/'4. Billing Determinants'!$L$41*$D10,IF($E10="kW",VLOOKUP(S$4,'4. Billing Determinants'!$B$19:$R$41,12,0)/'4. Billing Determinants'!$M$41*$D10,))),0)</f>
        <v>0</v>
      </c>
      <c r="T10" s="42">
        <f>IFERROR(IF(T$4="",0,IF($E10="kWh",VLOOKUP(T$4,'4. Billing Determinants'!$B$19:$R$41,11,0)/'4. Billing Determinants'!$L$41*$D10,IF($E10="kW",VLOOKUP(T$4,'4. Billing Determinants'!$B$19:$R$41,12,0)/'4. Billing Determinants'!$M$41*$D10,))),0)</f>
        <v>0</v>
      </c>
      <c r="U10" s="42">
        <f>IFERROR(IF(U$4="",0,IF($E10="kWh",VLOOKUP(U$4,'4. Billing Determinants'!$B$19:$R$41,11,0)/'4. Billing Determinants'!$L$41*$D10,IF($E10="kW",VLOOKUP(U$4,'4. Billing Determinants'!$B$19:$R$41,12,0)/'4. Billing Determinants'!$M$41*$D10,))),0)</f>
        <v>0</v>
      </c>
      <c r="V10" s="42">
        <f>IFERROR(IF(V$4="",0,IF($E10="kWh",VLOOKUP(V$4,'4. Billing Determinants'!$B$19:$R$41,11,0)/'4. Billing Determinants'!$L$41*$D10,IF($E10="kW",VLOOKUP(V$4,'4. Billing Determinants'!$B$19:$R$41,12,0)/'4. Billing Determinants'!$M$41*$D10,))),0)</f>
        <v>0</v>
      </c>
      <c r="W10" s="42">
        <f>IFERROR(IF(W$4="",0,IF($E10="kWh",VLOOKUP(W$4,'4. Billing Determinants'!$B$19:$R$41,11,0)/'4. Billing Determinants'!$L$41*$D10,IF($E10="kW",VLOOKUP(W$4,'4. Billing Determinants'!$B$19:$R$41,12,0)/'4. Billing Determinants'!$M$41*$D10,))),0)</f>
        <v>0</v>
      </c>
      <c r="X10" s="42">
        <f>IFERROR(IF(X$4="",0,IF($E10="kWh",VLOOKUP(X$4,'4. Billing Determinants'!$B$19:$R$41,11,0)/'4. Billing Determinants'!$L$41*$D10,IF($E10="kW",VLOOKUP(X$4,'4. Billing Determinants'!$B$19:$R$41,12,0)/'4. Billing Determinants'!$M$41*$D10,))),0)</f>
        <v>0</v>
      </c>
      <c r="Y10" s="42">
        <f>IFERROR(IF(Y$4="",0,IF($E10="kWh",VLOOKUP(Y$4,'4. Billing Determinants'!$B$19:$R$41,11,0)/'4. Billing Determinants'!$L$41*$D10,IF($E10="kW",VLOOKUP(Y$4,'4. Billing Determinants'!$B$19:$R$41,12,0)/'4. Billing Determinants'!$M$41*$D10,))),0)</f>
        <v>0</v>
      </c>
    </row>
    <row r="11" spans="1:27" x14ac:dyDescent="0.25">
      <c r="A11" s="327">
        <v>8</v>
      </c>
      <c r="B11" s="40" t="s">
        <v>81</v>
      </c>
      <c r="C11" s="306">
        <v>1589</v>
      </c>
      <c r="D11" s="199">
        <v>0</v>
      </c>
      <c r="E11" s="353" t="s">
        <v>223</v>
      </c>
      <c r="F11" s="199">
        <f>IFERROR(IF(F$4="",0,IF($E11="kWh",VLOOKUP(F$4,'4. Billing Determinants'!$B$19:$R$41,4,0)/'4. Billing Determinants'!$E$41*$D11,IF($E11="kW",VLOOKUP(F$4,'4. Billing Determinants'!$B$19:$R$41,5,0)/'4. Billing Determinants'!$F$41*$D11,IF($E11="Non-RPP kWh",VLOOKUP(F$4,'4. Billing Determinants'!$B$19:$T$41,18,0)/'4. Billing Determinants'!$S$41*$D11,IF($E11="Distribution Rev.",VLOOKUP(F$4,'4. Billing Determinants'!$B$19:$R$41,8,0)/'4. Billing Determinants'!$I$41*$D11, VLOOKUP(F$4,'4. Billing Determinants'!$B$19:$R$41,3,0)/'4. Billing Determinants'!$D$41*$D11))))),0)</f>
        <v>0</v>
      </c>
      <c r="G11" s="199">
        <f>IFERROR(IF(G$4="",0,IF($E11="kWh",VLOOKUP(G$4,'4. Billing Determinants'!$B$19:$R$41,4,0)/'4. Billing Determinants'!$E$41*$D11,IF($E11="kW",VLOOKUP(G$4,'4. Billing Determinants'!$B$19:$R$41,5,0)/'4. Billing Determinants'!$F$41*$D11,IF($E11="Non-RPP kWh",VLOOKUP(G$4,'4. Billing Determinants'!$B$19:$T$41,18,0)/'4. Billing Determinants'!$S$41*$D11,IF($E11="Distribution Rev.",VLOOKUP(G$4,'4. Billing Determinants'!$B$19:$R$41,8,0)/'4. Billing Determinants'!$I$41*$D11, VLOOKUP(G$4,'4. Billing Determinants'!$B$19:$R$41,3,0)/'4. Billing Determinants'!$D$41*$D11))))),0)</f>
        <v>0</v>
      </c>
      <c r="H11" s="199">
        <f>IFERROR(IF(H$4="",0,IF($E11="kWh",VLOOKUP(H$4,'4. Billing Determinants'!$B$19:$R$41,4,0)/'4. Billing Determinants'!$E$41*$D11,IF($E11="kW",VLOOKUP(H$4,'4. Billing Determinants'!$B$19:$R$41,5,0)/'4. Billing Determinants'!$F$41*$D11,IF($E11="Non-RPP kWh",VLOOKUP(H$4,'4. Billing Determinants'!$B$19:$T$41,18,0)/'4. Billing Determinants'!$S$41*$D11,IF($E11="Distribution Rev.",VLOOKUP(H$4,'4. Billing Determinants'!$B$19:$R$41,8,0)/'4. Billing Determinants'!$I$41*$D11, VLOOKUP(H$4,'4. Billing Determinants'!$B$19:$R$41,3,0)/'4. Billing Determinants'!$D$41*$D11))))),0)</f>
        <v>0</v>
      </c>
      <c r="I11" s="199">
        <f>IFERROR(IF(I$4="",0,IF($E11="kWh",VLOOKUP(I$4,'4. Billing Determinants'!$B$19:$R$41,4,0)/'4. Billing Determinants'!$E$41*$D11,IF($E11="kW",VLOOKUP(I$4,'4. Billing Determinants'!$B$19:$R$41,5,0)/'4. Billing Determinants'!$F$41*$D11,IF($E11="Non-RPP kWh",VLOOKUP(I$4,'4. Billing Determinants'!$B$19:$T$41,18,0)/'4. Billing Determinants'!$S$41*$D11,IF($E11="Distribution Rev.",VLOOKUP(I$4,'4. Billing Determinants'!$B$19:$R$41,8,0)/'4. Billing Determinants'!$I$41*$D11, VLOOKUP(I$4,'4. Billing Determinants'!$B$19:$R$41,3,0)/'4. Billing Determinants'!$D$41*$D11))))),0)</f>
        <v>0</v>
      </c>
      <c r="J11" s="199">
        <f>IFERROR(IF(J$4="",0,IF($E11="kWh",VLOOKUP(J$4,'4. Billing Determinants'!$B$19:$R$41,4,0)/'4. Billing Determinants'!$E$41*$D11,IF($E11="kW",VLOOKUP(J$4,'4. Billing Determinants'!$B$19:$R$41,5,0)/'4. Billing Determinants'!$F$41*$D11,IF($E11="Non-RPP kWh",VLOOKUP(J$4,'4. Billing Determinants'!$B$19:$T$41,18,0)/'4. Billing Determinants'!$S$41*$D11,IF($E11="Distribution Rev.",VLOOKUP(J$4,'4. Billing Determinants'!$B$19:$R$41,8,0)/'4. Billing Determinants'!$I$41*$D11, VLOOKUP(J$4,'4. Billing Determinants'!$B$19:$R$41,3,0)/'4. Billing Determinants'!$D$41*$D11))))),0)</f>
        <v>0</v>
      </c>
      <c r="K11" s="199">
        <f>IFERROR(IF(K$4="",0,IF($E11="kWh",VLOOKUP(K$4,'4. Billing Determinants'!$B$19:$R$41,4,0)/'4. Billing Determinants'!$E$41*$D11,IF($E11="kW",VLOOKUP(K$4,'4. Billing Determinants'!$B$19:$R$41,5,0)/'4. Billing Determinants'!$F$41*$D11,IF($E11="Non-RPP kWh",VLOOKUP(K$4,'4. Billing Determinants'!$B$19:$T$41,18,0)/'4. Billing Determinants'!$S$41*$D11,IF($E11="Distribution Rev.",VLOOKUP(K$4,'4. Billing Determinants'!$B$19:$R$41,8,0)/'4. Billing Determinants'!$I$41*$D11, VLOOKUP(K$4,'4. Billing Determinants'!$B$19:$R$41,3,0)/'4. Billing Determinants'!$D$41*$D11))))),0)</f>
        <v>0</v>
      </c>
      <c r="L11" s="199">
        <f>IFERROR(IF(L$4="",0,IF($E11="kWh",VLOOKUP(L$4,'4. Billing Determinants'!$B$19:$R$41,4,0)/'4. Billing Determinants'!$E$41*$D11,IF($E11="kW",VLOOKUP(L$4,'4. Billing Determinants'!$B$19:$R$41,5,0)/'4. Billing Determinants'!$F$41*$D11,IF($E11="Non-RPP kWh",VLOOKUP(L$4,'4. Billing Determinants'!$B$19:$T$41,18,0)/'4. Billing Determinants'!$S$41*$D11,IF($E11="Distribution Rev.",VLOOKUP(L$4,'4. Billing Determinants'!$B$19:$R$41,8,0)/'4. Billing Determinants'!$I$41*$D11, VLOOKUP(L$4,'4. Billing Determinants'!$B$19:$R$41,3,0)/'4. Billing Determinants'!$D$41*$D11))))),0)</f>
        <v>0</v>
      </c>
      <c r="M11" s="199">
        <f>IFERROR(IF(M$4="",0,IF($E11="kWh",VLOOKUP(M$4,'4. Billing Determinants'!$B$19:$R$41,4,0)/'4. Billing Determinants'!$E$41*$D11,IF($E11="kW",VLOOKUP(M$4,'4. Billing Determinants'!$B$19:$R$41,5,0)/'4. Billing Determinants'!$F$41*$D11,IF($E11="Non-RPP kWh",VLOOKUP(M$4,'4. Billing Determinants'!$B$19:$T$41,18,0)/'4. Billing Determinants'!$S$41*$D11,IF($E11="Distribution Rev.",VLOOKUP(M$4,'4. Billing Determinants'!$B$19:$R$41,8,0)/'4. Billing Determinants'!$I$41*$D11, VLOOKUP(M$4,'4. Billing Determinants'!$B$19:$R$41,3,0)/'4. Billing Determinants'!$D$41*$D11))))),0)</f>
        <v>0</v>
      </c>
      <c r="N11" s="199">
        <f>IFERROR(IF(N$4="",0,IF($E11="kWh",VLOOKUP(N$4,'4. Billing Determinants'!$B$19:$R$41,4,0)/'4. Billing Determinants'!$E$41*$D11,IF($E11="kW",VLOOKUP(N$4,'4. Billing Determinants'!$B$19:$R$41,5,0)/'4. Billing Determinants'!$F$41*$D11,IF($E11="Non-RPP kWh",VLOOKUP(N$4,'4. Billing Determinants'!$B$19:$T$41,18,0)/'4. Billing Determinants'!$S$41*$D11,IF($E11="Distribution Rev.",VLOOKUP(N$4,'4. Billing Determinants'!$B$19:$R$41,8,0)/'4. Billing Determinants'!$I$41*$D11, VLOOKUP(N$4,'4. Billing Determinants'!$B$19:$R$41,3,0)/'4. Billing Determinants'!$D$41*$D11))))),0)</f>
        <v>0</v>
      </c>
      <c r="O11" s="199">
        <f>IFERROR(IF(O$4="",0,IF($E11="kWh",VLOOKUP(O$4,'4. Billing Determinants'!$B$19:$R$41,4,0)/'4. Billing Determinants'!$E$41*$D11,IF($E11="kW",VLOOKUP(O$4,'4. Billing Determinants'!$B$19:$R$41,5,0)/'4. Billing Determinants'!$F$41*$D11,IF($E11="Non-RPP kWh",VLOOKUP(O$4,'4. Billing Determinants'!$B$19:$T$41,18,0)/'4. Billing Determinants'!$S$41*$D11,IF($E11="Distribution Rev.",VLOOKUP(O$4,'4. Billing Determinants'!$B$19:$R$41,8,0)/'4. Billing Determinants'!$I$41*$D11, VLOOKUP(O$4,'4. Billing Determinants'!$B$19:$R$41,3,0)/'4. Billing Determinants'!$D$41*$D11))))),0)</f>
        <v>0</v>
      </c>
      <c r="P11" s="199">
        <f>IFERROR(IF(P$4="",0,IF($E11="kWh",VLOOKUP(P$4,'4. Billing Determinants'!$B$19:$R$41,4,0)/'4. Billing Determinants'!$E$41*$D11,IF($E11="kW",VLOOKUP(P$4,'4. Billing Determinants'!$B$19:$R$41,5,0)/'4. Billing Determinants'!$F$41*$D11,IF($E11="Non-RPP kWh",VLOOKUP(P$4,'4. Billing Determinants'!$B$19:$T$41,18,0)/'4. Billing Determinants'!$S$41*$D11,IF($E11="Distribution Rev.",VLOOKUP(P$4,'4. Billing Determinants'!$B$19:$R$41,8,0)/'4. Billing Determinants'!$I$41*$D11, VLOOKUP(P$4,'4. Billing Determinants'!$B$19:$R$41,3,0)/'4. Billing Determinants'!$D$41*$D11))))),0)</f>
        <v>0</v>
      </c>
      <c r="Q11" s="199">
        <f>IFERROR(IF(Q$4="",0,IF($E11="kWh",VLOOKUP(Q$4,'4. Billing Determinants'!$B$19:$R$41,4,0)/'4. Billing Determinants'!$E$41*$D11,IF($E11="kW",VLOOKUP(Q$4,'4. Billing Determinants'!$B$19:$R$41,5,0)/'4. Billing Determinants'!$F$41*$D11,IF($E11="Non-RPP kWh",VLOOKUP(Q$4,'4. Billing Determinants'!$B$19:$T$41,18,0)/'4. Billing Determinants'!$S$41*$D11,IF($E11="Distribution Rev.",VLOOKUP(Q$4,'4. Billing Determinants'!$B$19:$R$41,8,0)/'4. Billing Determinants'!$I$41*$D11, VLOOKUP(Q$4,'4. Billing Determinants'!$B$19:$R$41,3,0)/'4. Billing Determinants'!$D$41*$D11))))),0)</f>
        <v>0</v>
      </c>
      <c r="R11" s="199">
        <f>IFERROR(IF(R$4="",0,IF($E11="kWh",VLOOKUP(R$4,'4. Billing Determinants'!$B$19:$R$41,4,0)/'4. Billing Determinants'!$E$41*$D11,IF($E11="kW",VLOOKUP(R$4,'4. Billing Determinants'!$B$19:$R$41,5,0)/'4. Billing Determinants'!$F$41*$D11,IF($E11="Non-RPP kWh",VLOOKUP(R$4,'4. Billing Determinants'!$B$19:$T$41,18,0)/'4. Billing Determinants'!$S$41*$D11,IF($E11="Distribution Rev.",VLOOKUP(R$4,'4. Billing Determinants'!$B$19:$R$41,8,0)/'4. Billing Determinants'!$I$41*$D11, VLOOKUP(R$4,'4. Billing Determinants'!$B$19:$R$41,3,0)/'4. Billing Determinants'!$D$41*$D11))))),0)</f>
        <v>0</v>
      </c>
      <c r="S11" s="199">
        <f>IFERROR(IF(S$4="",0,IF($E11="kWh",VLOOKUP(S$4,'4. Billing Determinants'!$B$19:$R$41,4,0)/'4. Billing Determinants'!$E$41*$D11,IF($E11="kW",VLOOKUP(S$4,'4. Billing Determinants'!$B$19:$R$41,5,0)/'4. Billing Determinants'!$F$41*$D11,IF($E11="Non-RPP kWh",VLOOKUP(S$4,'4. Billing Determinants'!$B$19:$T$41,18,0)/'4. Billing Determinants'!$S$41*$D11,IF($E11="Distribution Rev.",VLOOKUP(S$4,'4. Billing Determinants'!$B$19:$R$41,8,0)/'4. Billing Determinants'!$I$41*$D11, VLOOKUP(S$4,'4. Billing Determinants'!$B$19:$R$41,3,0)/'4. Billing Determinants'!$D$41*$D11))))),0)</f>
        <v>0</v>
      </c>
      <c r="T11" s="199">
        <f>IFERROR(IF(T$4="",0,IF($E11="kWh",VLOOKUP(T$4,'4. Billing Determinants'!$B$19:$R$41,4,0)/'4. Billing Determinants'!$E$41*$D11,IF($E11="kW",VLOOKUP(T$4,'4. Billing Determinants'!$B$19:$R$41,5,0)/'4. Billing Determinants'!$F$41*$D11,IF($E11="Non-RPP kWh",VLOOKUP(T$4,'4. Billing Determinants'!$B$19:$T$41,18,0)/'4. Billing Determinants'!$S$41*$D11,IF($E11="Distribution Rev.",VLOOKUP(T$4,'4. Billing Determinants'!$B$19:$R$41,8,0)/'4. Billing Determinants'!$I$41*$D11, VLOOKUP(T$4,'4. Billing Determinants'!$B$19:$R$41,3,0)/'4. Billing Determinants'!$D$41*$D11))))),0)</f>
        <v>0</v>
      </c>
      <c r="U11" s="199">
        <f>IFERROR(IF(U$4="",0,IF($E11="kWh",VLOOKUP(U$4,'4. Billing Determinants'!$B$19:$R$41,4,0)/'4. Billing Determinants'!$E$41*$D11,IF($E11="kW",VLOOKUP(U$4,'4. Billing Determinants'!$B$19:$R$41,5,0)/'4. Billing Determinants'!$F$41*$D11,IF($E11="Non-RPP kWh",VLOOKUP(U$4,'4. Billing Determinants'!$B$19:$T$41,18,0)/'4. Billing Determinants'!$S$41*$D11,IF($E11="Distribution Rev.",VLOOKUP(U$4,'4. Billing Determinants'!$B$19:$R$41,8,0)/'4. Billing Determinants'!$I$41*$D11, VLOOKUP(U$4,'4. Billing Determinants'!$B$19:$R$41,3,0)/'4. Billing Determinants'!$D$41*$D11))))),0)</f>
        <v>0</v>
      </c>
      <c r="V11" s="199">
        <f>IFERROR(IF(V$4="",0,IF($E11="kWh",VLOOKUP(V$4,'4. Billing Determinants'!$B$19:$R$41,4,0)/'4. Billing Determinants'!$E$41*$D11,IF($E11="kW",VLOOKUP(V$4,'4. Billing Determinants'!$B$19:$R$41,5,0)/'4. Billing Determinants'!$F$41*$D11,IF($E11="Non-RPP kWh",VLOOKUP(V$4,'4. Billing Determinants'!$B$19:$T$41,18,0)/'4. Billing Determinants'!$S$41*$D11,IF($E11="Distribution Rev.",VLOOKUP(V$4,'4. Billing Determinants'!$B$19:$R$41,8,0)/'4. Billing Determinants'!$I$41*$D11, VLOOKUP(V$4,'4. Billing Determinants'!$B$19:$R$41,3,0)/'4. Billing Determinants'!$D$41*$D11))))),0)</f>
        <v>0</v>
      </c>
      <c r="W11" s="199">
        <f>IFERROR(IF(W$4="",0,IF($E11="kWh",VLOOKUP(W$4,'4. Billing Determinants'!$B$19:$R$41,4,0)/'4. Billing Determinants'!$E$41*$D11,IF($E11="kW",VLOOKUP(W$4,'4. Billing Determinants'!$B$19:$R$41,5,0)/'4. Billing Determinants'!$F$41*$D11,IF($E11="Non-RPP kWh",VLOOKUP(W$4,'4. Billing Determinants'!$B$19:$T$41,18,0)/'4. Billing Determinants'!$S$41*$D11,IF($E11="Distribution Rev.",VLOOKUP(W$4,'4. Billing Determinants'!$B$19:$R$41,8,0)/'4. Billing Determinants'!$I$41*$D11, VLOOKUP(W$4,'4. Billing Determinants'!$B$19:$R$41,3,0)/'4. Billing Determinants'!$D$41*$D11))))),0)</f>
        <v>0</v>
      </c>
      <c r="X11" s="199">
        <f>IFERROR(IF(X$4="",0,IF($E11="kWh",VLOOKUP(X$4,'4. Billing Determinants'!$B$19:$R$41,4,0)/'4. Billing Determinants'!$E$41*$D11,IF($E11="kW",VLOOKUP(X$4,'4. Billing Determinants'!$B$19:$R$41,5,0)/'4. Billing Determinants'!$F$41*$D11,IF($E11="Non-RPP kWh",VLOOKUP(X$4,'4. Billing Determinants'!$B$19:$T$41,18,0)/'4. Billing Determinants'!$S$41*$D11,IF($E11="Distribution Rev.",VLOOKUP(X$4,'4. Billing Determinants'!$B$19:$R$41,8,0)/'4. Billing Determinants'!$I$41*$D11, VLOOKUP(X$4,'4. Billing Determinants'!$B$19:$R$41,3,0)/'4. Billing Determinants'!$D$41*$D11))))),0)</f>
        <v>0</v>
      </c>
      <c r="Y11" s="199">
        <f>IFERROR(IF(Y$4="",0,IF($E11="kWh",VLOOKUP(Y$4,'4. Billing Determinants'!$B$19:$R$41,4,0)/'4. Billing Determinants'!$E$41*$D11,IF($E11="kW",VLOOKUP(Y$4,'4. Billing Determinants'!$B$19:$R$41,5,0)/'4. Billing Determinants'!$F$41*$D11,IF($E11="Non-RPP kWh",VLOOKUP(Y$4,'4. Billing Determinants'!$B$19:$T$41,18,0)/'4. Billing Determinants'!$S$41*$D11,IF($E11="Distribution Rev.",VLOOKUP(Y$4,'4. Billing Determinants'!$B$19:$R$41,8,0)/'4. Billing Determinants'!$I$41*$D11, VLOOKUP(Y$4,'4. Billing Determinants'!$B$19:$R$41,3,0)/'4. Billing Determinants'!$D$41*$D11))))),0)</f>
        <v>0</v>
      </c>
    </row>
    <row r="12" spans="1:27" x14ac:dyDescent="0.25">
      <c r="A12" s="146">
        <v>9</v>
      </c>
      <c r="B12" s="44" t="s">
        <v>66</v>
      </c>
      <c r="C12" s="306">
        <v>1595</v>
      </c>
      <c r="D12" s="42">
        <f>'2. 2016 Continuity Schedule'!BT33</f>
        <v>-352.06299999999999</v>
      </c>
      <c r="E12" s="74" t="s">
        <v>212</v>
      </c>
      <c r="F12" s="42">
        <f>IFERROR(IF(F$4="",0,IF($E12="kWh",VLOOKUP(F$4,'4. Billing Determinants'!$B$19:$R$41,4,0)/'4. Billing Determinants'!$E$41*$D12,IF($E12="kW",VLOOKUP(F$4,'4. Billing Determinants'!$B$19:$R$41,5,0)/'4. Billing Determinants'!$F$41*$D12,IF($E12="Non-RPP kWh",VLOOKUP(F$4,'4. Billing Determinants'!$B$19:$R$41,6,0)/'4. Billing Determinants'!$G$41*$D12, VLOOKUP(F$4,'4. Billing Determinants'!$B$19:$AA$41,20,0)*$D12)))),0)</f>
        <v>-238.59309509999997</v>
      </c>
      <c r="G12" s="42">
        <f>IFERROR(IF(G$4="",0,IF($E12="kWh",VLOOKUP(G$4,'4. Billing Determinants'!$B$19:$R$41,4,0)/'4. Billing Determinants'!$E$41*$D12,IF($E12="kW",VLOOKUP(G$4,'4. Billing Determinants'!$B$19:$R$41,5,0)/'4. Billing Determinants'!$F$41*$D12,IF($E12="Non-RPP kWh",VLOOKUP(G$4,'4. Billing Determinants'!$B$19:$R$41,6,0)/'4. Billing Determinants'!$G$41*$D12, VLOOKUP(G$4,'4. Billing Determinants'!$B$19:$AA$41,20,0)*$D12)))),0)</f>
        <v>-48.127012099999995</v>
      </c>
      <c r="H12" s="42">
        <f>IFERROR(IF(H$4="",0,IF($E12="kWh",VLOOKUP(H$4,'4. Billing Determinants'!$B$19:$R$41,4,0)/'4. Billing Determinants'!$E$41*$D12,IF($E12="kW",VLOOKUP(H$4,'4. Billing Determinants'!$B$19:$R$41,5,0)/'4. Billing Determinants'!$F$41*$D12,IF($E12="Non-RPP kWh",VLOOKUP(H$4,'4. Billing Determinants'!$B$19:$R$41,6,0)/'4. Billing Determinants'!$G$41*$D12, VLOOKUP(H$4,'4. Billing Determinants'!$B$19:$AA$41,20,0)*$D12)))),0)</f>
        <v>-61.7518502</v>
      </c>
      <c r="I12" s="42">
        <f>IFERROR(IF(I$4="",0,IF($E12="kWh",VLOOKUP(I$4,'4. Billing Determinants'!$B$19:$R$41,4,0)/'4. Billing Determinants'!$E$41*$D12,IF($E12="kW",VLOOKUP(I$4,'4. Billing Determinants'!$B$19:$R$41,5,0)/'4. Billing Determinants'!$F$41*$D12,IF($E12="Non-RPP kWh",VLOOKUP(I$4,'4. Billing Determinants'!$B$19:$R$41,6,0)/'4. Billing Determinants'!$G$41*$D12, VLOOKUP(I$4,'4. Billing Determinants'!$B$19:$AA$41,20,0)*$D12)))),0)</f>
        <v>-0.8449511999999999</v>
      </c>
      <c r="J12" s="42">
        <f>IFERROR(IF(J$4="",0,IF($E12="kWh",VLOOKUP(J$4,'4. Billing Determinants'!$B$19:$R$41,4,0)/'4. Billing Determinants'!$E$41*$D12,IF($E12="kW",VLOOKUP(J$4,'4. Billing Determinants'!$B$19:$R$41,5,0)/'4. Billing Determinants'!$F$41*$D12,IF($E12="Non-RPP kWh",VLOOKUP(J$4,'4. Billing Determinants'!$B$19:$R$41,6,0)/'4. Billing Determinants'!$G$41*$D12, VLOOKUP(J$4,'4. Billing Determinants'!$B$19:$AA$41,20,0)*$D12)))),0)</f>
        <v>-0.17603150000000001</v>
      </c>
      <c r="K12" s="42">
        <f>IFERROR(IF(K$4="",0,IF($E12="kWh",VLOOKUP(K$4,'4. Billing Determinants'!$B$19:$R$41,4,0)/'4. Billing Determinants'!$E$41*$D12,IF($E12="kW",VLOOKUP(K$4,'4. Billing Determinants'!$B$19:$R$41,5,0)/'4. Billing Determinants'!$F$41*$D12,IF($E12="Non-RPP kWh",VLOOKUP(K$4,'4. Billing Determinants'!$B$19:$R$41,6,0)/'4. Billing Determinants'!$G$41*$D12, VLOOKUP(K$4,'4. Billing Determinants'!$B$19:$AA$41,20,0)*$D12)))),0)</f>
        <v>-2.5348535999999999</v>
      </c>
      <c r="L12" s="42">
        <f>IFERROR(IF(L$4="",0,IF($E12="kWh",VLOOKUP(L$4,'4. Billing Determinants'!$B$19:$R$41,4,0)/'4. Billing Determinants'!$E$41*$D12,IF($E12="kW",VLOOKUP(L$4,'4. Billing Determinants'!$B$19:$R$41,5,0)/'4. Billing Determinants'!$F$41*$D12,IF($E12="Non-RPP kWh",VLOOKUP(L$4,'4. Billing Determinants'!$B$19:$R$41,6,0)/'4. Billing Determinants'!$G$41*$D12, VLOOKUP(L$4,'4. Billing Determinants'!$B$19:$AA$41,20,0)*$D12)))),0)</f>
        <v>0</v>
      </c>
      <c r="M12" s="42">
        <f>IFERROR(IF(M$4="",0,IF($E12="kWh",VLOOKUP(M$4,'4. Billing Determinants'!$B$19:$R$41,4,0)/'4. Billing Determinants'!$E$41*$D12,IF($E12="kW",VLOOKUP(M$4,'4. Billing Determinants'!$B$19:$R$41,5,0)/'4. Billing Determinants'!$F$41*$D12,IF($E12="Non-RPP kWh",VLOOKUP(M$4,'4. Billing Determinants'!$B$19:$R$41,6,0)/'4. Billing Determinants'!$G$41*$D12, VLOOKUP(M$4,'4. Billing Determinants'!$B$19:$AA$41,20,0)*$D12)))),0)</f>
        <v>0</v>
      </c>
      <c r="N12" s="42">
        <f>IFERROR(IF(N$4="",0,IF($E12="kWh",VLOOKUP(N$4,'4. Billing Determinants'!$B$19:$R$41,4,0)/'4. Billing Determinants'!$E$41*$D12,IF($E12="kW",VLOOKUP(N$4,'4. Billing Determinants'!$B$19:$R$41,5,0)/'4. Billing Determinants'!$F$41*$D12,IF($E12="Non-RPP kWh",VLOOKUP(N$4,'4. Billing Determinants'!$B$19:$R$41,6,0)/'4. Billing Determinants'!$G$41*$D12, VLOOKUP(N$4,'4. Billing Determinants'!$B$19:$AA$41,20,0)*$D12)))),0)</f>
        <v>0</v>
      </c>
      <c r="O12" s="42">
        <f>IFERROR(IF(O$4="",0,IF($E12="kWh",VLOOKUP(O$4,'4. Billing Determinants'!$B$19:$R$41,4,0)/'4. Billing Determinants'!$E$41*$D12,IF($E12="kW",VLOOKUP(O$4,'4. Billing Determinants'!$B$19:$R$41,5,0)/'4. Billing Determinants'!$F$41*$D12,IF($E12="Non-RPP kWh",VLOOKUP(O$4,'4. Billing Determinants'!$B$19:$R$41,6,0)/'4. Billing Determinants'!$G$41*$D12, VLOOKUP(O$4,'4. Billing Determinants'!$B$19:$AA$41,20,0)*$D12)))),0)</f>
        <v>0</v>
      </c>
      <c r="P12" s="42">
        <f>IFERROR(IF(P$4="",0,IF($E12="kWh",VLOOKUP(P$4,'4. Billing Determinants'!$B$19:$R$41,4,0)/'4. Billing Determinants'!$E$41*$D12,IF($E12="kW",VLOOKUP(P$4,'4. Billing Determinants'!$B$19:$R$41,5,0)/'4. Billing Determinants'!$F$41*$D12,IF($E12="Non-RPP kWh",VLOOKUP(P$4,'4. Billing Determinants'!$B$19:$R$41,6,0)/'4. Billing Determinants'!$G$41*$D12, VLOOKUP(P$4,'4. Billing Determinants'!$B$19:$AA$41,20,0)*$D12)))),0)</f>
        <v>0</v>
      </c>
      <c r="Q12" s="42">
        <f>IFERROR(IF(Q$4="",0,IF($E12="kWh",VLOOKUP(Q$4,'4. Billing Determinants'!$B$19:$R$41,4,0)/'4. Billing Determinants'!$E$41*$D12,IF($E12="kW",VLOOKUP(Q$4,'4. Billing Determinants'!$B$19:$R$41,5,0)/'4. Billing Determinants'!$F$41*$D12,IF($E12="Non-RPP kWh",VLOOKUP(Q$4,'4. Billing Determinants'!$B$19:$R$41,6,0)/'4. Billing Determinants'!$G$41*$D12, VLOOKUP(Q$4,'4. Billing Determinants'!$B$19:$AA$41,20,0)*$D12)))),0)</f>
        <v>0</v>
      </c>
      <c r="R12" s="42">
        <f>IFERROR(IF(R$4="",0,IF($E12="kWh",VLOOKUP(R$4,'4. Billing Determinants'!$B$19:$R$41,4,0)/'4. Billing Determinants'!$E$41*$D12,IF($E12="kW",VLOOKUP(R$4,'4. Billing Determinants'!$B$19:$R$41,5,0)/'4. Billing Determinants'!$F$41*$D12,IF($E12="Non-RPP kWh",VLOOKUP(R$4,'4. Billing Determinants'!$B$19:$R$41,6,0)/'4. Billing Determinants'!$G$41*$D12, VLOOKUP(R$4,'4. Billing Determinants'!$B$19:$AA$41,20,0)*$D12)))),0)</f>
        <v>0</v>
      </c>
      <c r="S12" s="42">
        <f>IFERROR(IF(S$4="",0,IF($E12="kWh",VLOOKUP(S$4,'4. Billing Determinants'!$B$19:$R$41,4,0)/'4. Billing Determinants'!$E$41*$D12,IF($E12="kW",VLOOKUP(S$4,'4. Billing Determinants'!$B$19:$R$41,5,0)/'4. Billing Determinants'!$F$41*$D12,IF($E12="Non-RPP kWh",VLOOKUP(S$4,'4. Billing Determinants'!$B$19:$R$41,6,0)/'4. Billing Determinants'!$G$41*$D12, VLOOKUP(S$4,'4. Billing Determinants'!$B$19:$AA$41,20,0)*$D12)))),0)</f>
        <v>0</v>
      </c>
      <c r="T12" s="42">
        <f>IFERROR(IF(T$4="",0,IF($E12="kWh",VLOOKUP(T$4,'4. Billing Determinants'!$B$19:$R$41,4,0)/'4. Billing Determinants'!$E$41*$D12,IF($E12="kW",VLOOKUP(T$4,'4. Billing Determinants'!$B$19:$R$41,5,0)/'4. Billing Determinants'!$F$41*$D12,IF($E12="Non-RPP kWh",VLOOKUP(T$4,'4. Billing Determinants'!$B$19:$R$41,6,0)/'4. Billing Determinants'!$G$41*$D12, VLOOKUP(T$4,'4. Billing Determinants'!$B$19:$AA$41,20,0)*$D12)))),0)</f>
        <v>0</v>
      </c>
      <c r="U12" s="42">
        <f>IFERROR(IF(U$4="",0,IF($E12="kWh",VLOOKUP(U$4,'4. Billing Determinants'!$B$19:$R$41,4,0)/'4. Billing Determinants'!$E$41*$D12,IF($E12="kW",VLOOKUP(U$4,'4. Billing Determinants'!$B$19:$R$41,5,0)/'4. Billing Determinants'!$F$41*$D12,IF($E12="Non-RPP kWh",VLOOKUP(U$4,'4. Billing Determinants'!$B$19:$R$41,6,0)/'4. Billing Determinants'!$G$41*$D12, VLOOKUP(U$4,'4. Billing Determinants'!$B$19:$AA$41,20,0)*$D12)))),0)</f>
        <v>0</v>
      </c>
      <c r="V12" s="42">
        <f>IFERROR(IF(V$4="",0,IF($E12="kWh",VLOOKUP(V$4,'4. Billing Determinants'!$B$19:$R$41,4,0)/'4. Billing Determinants'!$E$41*$D12,IF($E12="kW",VLOOKUP(V$4,'4. Billing Determinants'!$B$19:$R$41,5,0)/'4. Billing Determinants'!$F$41*$D12,IF($E12="Non-RPP kWh",VLOOKUP(V$4,'4. Billing Determinants'!$B$19:$R$41,6,0)/'4. Billing Determinants'!$G$41*$D12, VLOOKUP(V$4,'4. Billing Determinants'!$B$19:$AA$41,20,0)*$D12)))),0)</f>
        <v>0</v>
      </c>
      <c r="W12" s="42">
        <f>IFERROR(IF(W$4="",0,IF($E12="kWh",VLOOKUP(W$4,'4. Billing Determinants'!$B$19:$R$41,4,0)/'4. Billing Determinants'!$E$41*$D12,IF($E12="kW",VLOOKUP(W$4,'4. Billing Determinants'!$B$19:$R$41,5,0)/'4. Billing Determinants'!$F$41*$D12,IF($E12="Non-RPP kWh",VLOOKUP(W$4,'4. Billing Determinants'!$B$19:$R$41,6,0)/'4. Billing Determinants'!$G$41*$D12, VLOOKUP(W$4,'4. Billing Determinants'!$B$19:$AA$41,20,0)*$D12)))),0)</f>
        <v>0</v>
      </c>
      <c r="X12" s="42">
        <f>IFERROR(IF(X$4="",0,IF($E12="kWh",VLOOKUP(X$4,'4. Billing Determinants'!$B$19:$R$41,4,0)/'4. Billing Determinants'!$E$41*$D12,IF($E12="kW",VLOOKUP(X$4,'4. Billing Determinants'!$B$19:$R$41,5,0)/'4. Billing Determinants'!$F$41*$D12,IF($E12="Non-RPP kWh",VLOOKUP(X$4,'4. Billing Determinants'!$B$19:$R$41,6,0)/'4. Billing Determinants'!$G$41*$D12, VLOOKUP(X$4,'4. Billing Determinants'!$B$19:$AA$41,20,0)*$D12)))),0)</f>
        <v>0</v>
      </c>
      <c r="Y12" s="42">
        <f>IFERROR(IF(Y$4="",0,IF($E12="kWh",VLOOKUP(Y$4,'4. Billing Determinants'!$B$19:$R$41,4,0)/'4. Billing Determinants'!$E$41*$D12,IF($E12="kW",VLOOKUP(Y$4,'4. Billing Determinants'!$B$19:$R$41,5,0)/'4. Billing Determinants'!$F$41*$D12,IF($E12="Non-RPP kWh",VLOOKUP(Y$4,'4. Billing Determinants'!$B$19:$R$41,6,0)/'4. Billing Determinants'!$G$41*$D12, VLOOKUP(Y$4,'4. Billing Determinants'!$B$19:$AA$41,20,0)*$D12)))),0)</f>
        <v>0</v>
      </c>
    </row>
    <row r="13" spans="1:27" x14ac:dyDescent="0.25">
      <c r="A13" s="146">
        <v>10</v>
      </c>
      <c r="B13" s="44" t="s">
        <v>67</v>
      </c>
      <c r="C13" s="306">
        <v>1595</v>
      </c>
      <c r="D13" s="42">
        <f>'2. 2016 Continuity Schedule'!BT34</f>
        <v>0</v>
      </c>
      <c r="E13" s="74" t="s">
        <v>212</v>
      </c>
      <c r="F13" s="347">
        <f>IFERROR(IF(F$4="",0,IF($E13="kWh",VLOOKUP(F$4,'4. Billing Determinants'!$B$19:$R$41,4,0)/'4. Billing Determinants'!$E$41*$D13,IF($E13="kW",VLOOKUP(F$4,'4. Billing Determinants'!$B$19:$R$41,5,0)/'4. Billing Determinants'!$F$41*$D13,IF($E13="Non-RPP kWh",VLOOKUP(F$4,'4. Billing Determinants'!$B$19:$R$41,6,0)/'4. Billing Determinants'!$G$41*$D13,VLOOKUP(F$4,'4. Billing Determinants'!$B$19:$AA$41,21,0)*$D13)))),0)</f>
        <v>0</v>
      </c>
      <c r="G13" s="347">
        <f>IFERROR(IF(G$4="",0,IF($E13="kWh",VLOOKUP(G$4,'4. Billing Determinants'!$B$19:$R$41,4,0)/'4. Billing Determinants'!$E$41*$D13,IF($E13="kW",VLOOKUP(G$4,'4. Billing Determinants'!$B$19:$R$41,5,0)/'4. Billing Determinants'!$F$41*$D13,IF($E13="Non-RPP kWh",VLOOKUP(G$4,'4. Billing Determinants'!$B$19:$R$41,6,0)/'4. Billing Determinants'!$G$41*$D13,VLOOKUP(G$4,'4. Billing Determinants'!$B$19:$AA$41,21,0)*$D13)))),0)</f>
        <v>0</v>
      </c>
      <c r="H13" s="347">
        <f>IFERROR(IF(H$4="",0,IF($E13="kWh",VLOOKUP(H$4,'4. Billing Determinants'!$B$19:$R$41,4,0)/'4. Billing Determinants'!$E$41*$D13,IF($E13="kW",VLOOKUP(H$4,'4. Billing Determinants'!$B$19:$R$41,5,0)/'4. Billing Determinants'!$F$41*$D13,IF($E13="Non-RPP kWh",VLOOKUP(H$4,'4. Billing Determinants'!$B$19:$R$41,6,0)/'4. Billing Determinants'!$G$41*$D13,VLOOKUP(H$4,'4. Billing Determinants'!$B$19:$AA$41,21,0)*$D13)))),0)</f>
        <v>0</v>
      </c>
      <c r="I13" s="347">
        <f>IFERROR(IF(I$4="",0,IF($E13="kWh",VLOOKUP(I$4,'4. Billing Determinants'!$B$19:$R$41,4,0)/'4. Billing Determinants'!$E$41*$D13,IF($E13="kW",VLOOKUP(I$4,'4. Billing Determinants'!$B$19:$R$41,5,0)/'4. Billing Determinants'!$F$41*$D13,IF($E13="Non-RPP kWh",VLOOKUP(I$4,'4. Billing Determinants'!$B$19:$R$41,6,0)/'4. Billing Determinants'!$G$41*$D13,VLOOKUP(I$4,'4. Billing Determinants'!$B$19:$AA$41,21,0)*$D13)))),0)</f>
        <v>0</v>
      </c>
      <c r="J13" s="347">
        <f>IFERROR(IF(J$4="",0,IF($E13="kWh",VLOOKUP(J$4,'4. Billing Determinants'!$B$19:$R$41,4,0)/'4. Billing Determinants'!$E$41*$D13,IF($E13="kW",VLOOKUP(J$4,'4. Billing Determinants'!$B$19:$R$41,5,0)/'4. Billing Determinants'!$F$41*$D13,IF($E13="Non-RPP kWh",VLOOKUP(J$4,'4. Billing Determinants'!$B$19:$R$41,6,0)/'4. Billing Determinants'!$G$41*$D13,VLOOKUP(J$4,'4. Billing Determinants'!$B$19:$AA$41,21,0)*$D13)))),0)</f>
        <v>0</v>
      </c>
      <c r="K13" s="347">
        <f>IFERROR(IF(K$4="",0,IF($E13="kWh",VLOOKUP(K$4,'4. Billing Determinants'!$B$19:$R$41,4,0)/'4. Billing Determinants'!$E$41*$D13,IF($E13="kW",VLOOKUP(K$4,'4. Billing Determinants'!$B$19:$R$41,5,0)/'4. Billing Determinants'!$F$41*$D13,IF($E13="Non-RPP kWh",VLOOKUP(K$4,'4. Billing Determinants'!$B$19:$R$41,6,0)/'4. Billing Determinants'!$G$41*$D13,VLOOKUP(K$4,'4. Billing Determinants'!$B$19:$AA$41,21,0)*$D13)))),0)</f>
        <v>0</v>
      </c>
      <c r="L13" s="347">
        <f>IFERROR(IF(L$4="",0,IF($E13="kWh",VLOOKUP(L$4,'4. Billing Determinants'!$B$19:$R$41,4,0)/'4. Billing Determinants'!$E$41*$D13,IF($E13="kW",VLOOKUP(L$4,'4. Billing Determinants'!$B$19:$R$41,5,0)/'4. Billing Determinants'!$F$41*$D13,IF($E13="Non-RPP kWh",VLOOKUP(L$4,'4. Billing Determinants'!$B$19:$R$41,6,0)/'4. Billing Determinants'!$G$41*$D13,VLOOKUP(L$4,'4. Billing Determinants'!$B$19:$AA$41,21,0)*$D13)))),0)</f>
        <v>0</v>
      </c>
      <c r="M13" s="347">
        <f>IFERROR(IF(M$4="",0,IF($E13="kWh",VLOOKUP(M$4,'4. Billing Determinants'!$B$19:$R$41,4,0)/'4. Billing Determinants'!$E$41*$D13,IF($E13="kW",VLOOKUP(M$4,'4. Billing Determinants'!$B$19:$R$41,5,0)/'4. Billing Determinants'!$F$41*$D13,IF($E13="Non-RPP kWh",VLOOKUP(M$4,'4. Billing Determinants'!$B$19:$R$41,6,0)/'4. Billing Determinants'!$G$41*$D13,VLOOKUP(M$4,'4. Billing Determinants'!$B$19:$AA$41,21,0)*$D13)))),0)</f>
        <v>0</v>
      </c>
      <c r="N13" s="347">
        <f>IFERROR(IF(N$4="",0,IF($E13="kWh",VLOOKUP(N$4,'4. Billing Determinants'!$B$19:$R$41,4,0)/'4. Billing Determinants'!$E$41*$D13,IF($E13="kW",VLOOKUP(N$4,'4. Billing Determinants'!$B$19:$R$41,5,0)/'4. Billing Determinants'!$F$41*$D13,IF($E13="Non-RPP kWh",VLOOKUP(N$4,'4. Billing Determinants'!$B$19:$R$41,6,0)/'4. Billing Determinants'!$G$41*$D13,VLOOKUP(N$4,'4. Billing Determinants'!$B$19:$AA$41,21,0)*$D13)))),0)</f>
        <v>0</v>
      </c>
      <c r="O13" s="347">
        <f>IFERROR(IF(O$4="",0,IF($E13="kWh",VLOOKUP(O$4,'4. Billing Determinants'!$B$19:$R$41,4,0)/'4. Billing Determinants'!$E$41*$D13,IF($E13="kW",VLOOKUP(O$4,'4. Billing Determinants'!$B$19:$R$41,5,0)/'4. Billing Determinants'!$F$41*$D13,IF($E13="Non-RPP kWh",VLOOKUP(O$4,'4. Billing Determinants'!$B$19:$R$41,6,0)/'4. Billing Determinants'!$G$41*$D13,VLOOKUP(O$4,'4. Billing Determinants'!$B$19:$AA$41,21,0)*$D13)))),0)</f>
        <v>0</v>
      </c>
      <c r="P13" s="347">
        <f>IFERROR(IF(P$4="",0,IF($E13="kWh",VLOOKUP(P$4,'4. Billing Determinants'!$B$19:$R$41,4,0)/'4. Billing Determinants'!$E$41*$D13,IF($E13="kW",VLOOKUP(P$4,'4. Billing Determinants'!$B$19:$R$41,5,0)/'4. Billing Determinants'!$F$41*$D13,IF($E13="Non-RPP kWh",VLOOKUP(P$4,'4. Billing Determinants'!$B$19:$R$41,6,0)/'4. Billing Determinants'!$G$41*$D13,VLOOKUP(P$4,'4. Billing Determinants'!$B$19:$AA$41,21,0)*$D13)))),0)</f>
        <v>0</v>
      </c>
      <c r="Q13" s="347">
        <f>IFERROR(IF(Q$4="",0,IF($E13="kWh",VLOOKUP(Q$4,'4. Billing Determinants'!$B$19:$R$41,4,0)/'4. Billing Determinants'!$E$41*$D13,IF($E13="kW",VLOOKUP(Q$4,'4. Billing Determinants'!$B$19:$R$41,5,0)/'4. Billing Determinants'!$F$41*$D13,IF($E13="Non-RPP kWh",VLOOKUP(Q$4,'4. Billing Determinants'!$B$19:$R$41,6,0)/'4. Billing Determinants'!$G$41*$D13,VLOOKUP(Q$4,'4. Billing Determinants'!$B$19:$AA$41,21,0)*$D13)))),0)</f>
        <v>0</v>
      </c>
      <c r="R13" s="347">
        <f>IFERROR(IF(R$4="",0,IF($E13="kWh",VLOOKUP(R$4,'4. Billing Determinants'!$B$19:$R$41,4,0)/'4. Billing Determinants'!$E$41*$D13,IF($E13="kW",VLOOKUP(R$4,'4. Billing Determinants'!$B$19:$R$41,5,0)/'4. Billing Determinants'!$F$41*$D13,IF($E13="Non-RPP kWh",VLOOKUP(R$4,'4. Billing Determinants'!$B$19:$R$41,6,0)/'4. Billing Determinants'!$G$41*$D13,VLOOKUP(R$4,'4. Billing Determinants'!$B$19:$AA$41,21,0)*$D13)))),0)</f>
        <v>0</v>
      </c>
      <c r="S13" s="347">
        <f>IFERROR(IF(S$4="",0,IF($E13="kWh",VLOOKUP(S$4,'4. Billing Determinants'!$B$19:$R$41,4,0)/'4. Billing Determinants'!$E$41*$D13,IF($E13="kW",VLOOKUP(S$4,'4. Billing Determinants'!$B$19:$R$41,5,0)/'4. Billing Determinants'!$F$41*$D13,IF($E13="Non-RPP kWh",VLOOKUP(S$4,'4. Billing Determinants'!$B$19:$R$41,6,0)/'4. Billing Determinants'!$G$41*$D13,VLOOKUP(S$4,'4. Billing Determinants'!$B$19:$AA$41,21,0)*$D13)))),0)</f>
        <v>0</v>
      </c>
      <c r="T13" s="347">
        <f>IFERROR(IF(T$4="",0,IF($E13="kWh",VLOOKUP(T$4,'4. Billing Determinants'!$B$19:$R$41,4,0)/'4. Billing Determinants'!$E$41*$D13,IF($E13="kW",VLOOKUP(T$4,'4. Billing Determinants'!$B$19:$R$41,5,0)/'4. Billing Determinants'!$F$41*$D13,IF($E13="Non-RPP kWh",VLOOKUP(T$4,'4. Billing Determinants'!$B$19:$R$41,6,0)/'4. Billing Determinants'!$G$41*$D13,VLOOKUP(T$4,'4. Billing Determinants'!$B$19:$AA$41,21,0)*$D13)))),0)</f>
        <v>0</v>
      </c>
      <c r="U13" s="347">
        <f>IFERROR(IF(U$4="",0,IF($E13="kWh",VLOOKUP(U$4,'4. Billing Determinants'!$B$19:$R$41,4,0)/'4. Billing Determinants'!$E$41*$D13,IF($E13="kW",VLOOKUP(U$4,'4. Billing Determinants'!$B$19:$R$41,5,0)/'4. Billing Determinants'!$F$41*$D13,IF($E13="Non-RPP kWh",VLOOKUP(U$4,'4. Billing Determinants'!$B$19:$R$41,6,0)/'4. Billing Determinants'!$G$41*$D13,VLOOKUP(U$4,'4. Billing Determinants'!$B$19:$AA$41,21,0)*$D13)))),0)</f>
        <v>0</v>
      </c>
      <c r="V13" s="347">
        <f>IFERROR(IF(V$4="",0,IF($E13="kWh",VLOOKUP(V$4,'4. Billing Determinants'!$B$19:$R$41,4,0)/'4. Billing Determinants'!$E$41*$D13,IF($E13="kW",VLOOKUP(V$4,'4. Billing Determinants'!$B$19:$R$41,5,0)/'4. Billing Determinants'!$F$41*$D13,IF($E13="Non-RPP kWh",VLOOKUP(V$4,'4. Billing Determinants'!$B$19:$R$41,6,0)/'4. Billing Determinants'!$G$41*$D13,VLOOKUP(V$4,'4. Billing Determinants'!$B$19:$AA$41,21,0)*$D13)))),0)</f>
        <v>0</v>
      </c>
      <c r="W13" s="347">
        <f>IFERROR(IF(W$4="",0,IF($E13="kWh",VLOOKUP(W$4,'4. Billing Determinants'!$B$19:$R$41,4,0)/'4. Billing Determinants'!$E$41*$D13,IF($E13="kW",VLOOKUP(W$4,'4. Billing Determinants'!$B$19:$R$41,5,0)/'4. Billing Determinants'!$F$41*$D13,IF($E13="Non-RPP kWh",VLOOKUP(W$4,'4. Billing Determinants'!$B$19:$R$41,6,0)/'4. Billing Determinants'!$G$41*$D13,VLOOKUP(W$4,'4. Billing Determinants'!$B$19:$AA$41,21,0)*$D13)))),0)</f>
        <v>0</v>
      </c>
      <c r="X13" s="347">
        <f>IFERROR(IF(X$4="",0,IF($E13="kWh",VLOOKUP(X$4,'4. Billing Determinants'!$B$19:$R$41,4,0)/'4. Billing Determinants'!$E$41*$D13,IF($E13="kW",VLOOKUP(X$4,'4. Billing Determinants'!$B$19:$R$41,5,0)/'4. Billing Determinants'!$F$41*$D13,IF($E13="Non-RPP kWh",VLOOKUP(X$4,'4. Billing Determinants'!$B$19:$R$41,6,0)/'4. Billing Determinants'!$G$41*$D13,VLOOKUP(X$4,'4. Billing Determinants'!$B$19:$AA$41,21,0)*$D13)))),0)</f>
        <v>0</v>
      </c>
      <c r="Y13" s="347">
        <f>IFERROR(IF(Y$4="",0,IF($E13="kWh",VLOOKUP(Y$4,'4. Billing Determinants'!$B$19:$R$41,4,0)/'4. Billing Determinants'!$E$41*$D13,IF($E13="kW",VLOOKUP(Y$4,'4. Billing Determinants'!$B$19:$R$41,5,0)/'4. Billing Determinants'!$F$41*$D13,IF($E13="Non-RPP kWh",VLOOKUP(Y$4,'4. Billing Determinants'!$B$19:$R$41,6,0)/'4. Billing Determinants'!$G$41*$D13,VLOOKUP(Y$4,'4. Billing Determinants'!$B$19:$AA$41,21,0)*$D13)))),0)</f>
        <v>0</v>
      </c>
    </row>
    <row r="14" spans="1:27" x14ac:dyDescent="0.25">
      <c r="A14" s="146">
        <v>11</v>
      </c>
      <c r="B14" s="44" t="s">
        <v>164</v>
      </c>
      <c r="C14" s="306">
        <v>1595</v>
      </c>
      <c r="D14" s="42">
        <f>'2. 2016 Continuity Schedule'!BT35</f>
        <v>0</v>
      </c>
      <c r="E14" s="74" t="s">
        <v>212</v>
      </c>
      <c r="F14" s="347">
        <f>IFERROR(IF(F$4="",0,IF($E14="kWh",VLOOKUP(F$4,'4. Billing Determinants'!$B$19:$R$41,4,0)/'4. Billing Determinants'!$E$41*$D14,IF($E14="kW",VLOOKUP(F$4,'4. Billing Determinants'!$B$19:$R$41,5,0)/'4. Billing Determinants'!$F$41*$D14,IF($E14="Non-RPP kWh",VLOOKUP(F$4,'4. Billing Determinants'!$B$19:$R$41,6,0)/'4. Billing Determinants'!$G$41*$D14, VLOOKUP(F$4,'4. Billing Determinants'!$B$19:$AA$41,22,0)*$D14)))),0)</f>
        <v>0</v>
      </c>
      <c r="G14" s="347">
        <f>IFERROR(IF(G$4="",0,IF($E14="kWh",VLOOKUP(G$4,'4. Billing Determinants'!$B$19:$R$41,4,0)/'4. Billing Determinants'!$E$41*$D14,IF($E14="kW",VLOOKUP(G$4,'4. Billing Determinants'!$B$19:$R$41,5,0)/'4. Billing Determinants'!$F$41*$D14,IF($E14="Non-RPP kWh",VLOOKUP(G$4,'4. Billing Determinants'!$B$19:$R$41,6,0)/'4. Billing Determinants'!$G$41*$D14, VLOOKUP(G$4,'4. Billing Determinants'!$B$19:$AA$41,22,0)*$D14)))),0)</f>
        <v>0</v>
      </c>
      <c r="H14" s="347">
        <f>IFERROR(IF(H$4="",0,IF($E14="kWh",VLOOKUP(H$4,'4. Billing Determinants'!$B$19:$R$41,4,0)/'4. Billing Determinants'!$E$41*$D14,IF($E14="kW",VLOOKUP(H$4,'4. Billing Determinants'!$B$19:$R$41,5,0)/'4. Billing Determinants'!$F$41*$D14,IF($E14="Non-RPP kWh",VLOOKUP(H$4,'4. Billing Determinants'!$B$19:$R$41,6,0)/'4. Billing Determinants'!$G$41*$D14, VLOOKUP(H$4,'4. Billing Determinants'!$B$19:$AA$41,22,0)*$D14)))),0)</f>
        <v>0</v>
      </c>
      <c r="I14" s="347">
        <f>IFERROR(IF(I$4="",0,IF($E14="kWh",VLOOKUP(I$4,'4. Billing Determinants'!$B$19:$R$41,4,0)/'4. Billing Determinants'!$E$41*$D14,IF($E14="kW",VLOOKUP(I$4,'4. Billing Determinants'!$B$19:$R$41,5,0)/'4. Billing Determinants'!$F$41*$D14,IF($E14="Non-RPP kWh",VLOOKUP(I$4,'4. Billing Determinants'!$B$19:$R$41,6,0)/'4. Billing Determinants'!$G$41*$D14, VLOOKUP(I$4,'4. Billing Determinants'!$B$19:$AA$41,22,0)*$D14)))),0)</f>
        <v>0</v>
      </c>
      <c r="J14" s="347">
        <f>IFERROR(IF(J$4="",0,IF($E14="kWh",VLOOKUP(J$4,'4. Billing Determinants'!$B$19:$R$41,4,0)/'4. Billing Determinants'!$E$41*$D14,IF($E14="kW",VLOOKUP(J$4,'4. Billing Determinants'!$B$19:$R$41,5,0)/'4. Billing Determinants'!$F$41*$D14,IF($E14="Non-RPP kWh",VLOOKUP(J$4,'4. Billing Determinants'!$B$19:$R$41,6,0)/'4. Billing Determinants'!$G$41*$D14, VLOOKUP(J$4,'4. Billing Determinants'!$B$19:$AA$41,22,0)*$D14)))),0)</f>
        <v>0</v>
      </c>
      <c r="K14" s="347">
        <f>IFERROR(IF(K$4="",0,IF($E14="kWh",VLOOKUP(K$4,'4. Billing Determinants'!$B$19:$R$41,4,0)/'4. Billing Determinants'!$E$41*$D14,IF($E14="kW",VLOOKUP(K$4,'4. Billing Determinants'!$B$19:$R$41,5,0)/'4. Billing Determinants'!$F$41*$D14,IF($E14="Non-RPP kWh",VLOOKUP(K$4,'4. Billing Determinants'!$B$19:$R$41,6,0)/'4. Billing Determinants'!$G$41*$D14, VLOOKUP(K$4,'4. Billing Determinants'!$B$19:$AA$41,22,0)*$D14)))),0)</f>
        <v>0</v>
      </c>
      <c r="L14" s="347">
        <f>IFERROR(IF(L$4="",0,IF($E14="kWh",VLOOKUP(L$4,'4. Billing Determinants'!$B$19:$R$41,4,0)/'4. Billing Determinants'!$E$41*$D14,IF($E14="kW",VLOOKUP(L$4,'4. Billing Determinants'!$B$19:$R$41,5,0)/'4. Billing Determinants'!$F$41*$D14,IF($E14="Non-RPP kWh",VLOOKUP(L$4,'4. Billing Determinants'!$B$19:$R$41,6,0)/'4. Billing Determinants'!$G$41*$D14, VLOOKUP(L$4,'4. Billing Determinants'!$B$19:$AA$41,22,0)*$D14)))),0)</f>
        <v>0</v>
      </c>
      <c r="M14" s="347">
        <f>IFERROR(IF(M$4="",0,IF($E14="kWh",VLOOKUP(M$4,'4. Billing Determinants'!$B$19:$R$41,4,0)/'4. Billing Determinants'!$E$41*$D14,IF($E14="kW",VLOOKUP(M$4,'4. Billing Determinants'!$B$19:$R$41,5,0)/'4. Billing Determinants'!$F$41*$D14,IF($E14="Non-RPP kWh",VLOOKUP(M$4,'4. Billing Determinants'!$B$19:$R$41,6,0)/'4. Billing Determinants'!$G$41*$D14, VLOOKUP(M$4,'4. Billing Determinants'!$B$19:$AA$41,22,0)*$D14)))),0)</f>
        <v>0</v>
      </c>
      <c r="N14" s="347">
        <f>IFERROR(IF(N$4="",0,IF($E14="kWh",VLOOKUP(N$4,'4. Billing Determinants'!$B$19:$R$41,4,0)/'4. Billing Determinants'!$E$41*$D14,IF($E14="kW",VLOOKUP(N$4,'4. Billing Determinants'!$B$19:$R$41,5,0)/'4. Billing Determinants'!$F$41*$D14,IF($E14="Non-RPP kWh",VLOOKUP(N$4,'4. Billing Determinants'!$B$19:$R$41,6,0)/'4. Billing Determinants'!$G$41*$D14, VLOOKUP(N$4,'4. Billing Determinants'!$B$19:$AA$41,22,0)*$D14)))),0)</f>
        <v>0</v>
      </c>
      <c r="O14" s="347">
        <f>IFERROR(IF(O$4="",0,IF($E14="kWh",VLOOKUP(O$4,'4. Billing Determinants'!$B$19:$R$41,4,0)/'4. Billing Determinants'!$E$41*$D14,IF($E14="kW",VLOOKUP(O$4,'4. Billing Determinants'!$B$19:$R$41,5,0)/'4. Billing Determinants'!$F$41*$D14,IF($E14="Non-RPP kWh",VLOOKUP(O$4,'4. Billing Determinants'!$B$19:$R$41,6,0)/'4. Billing Determinants'!$G$41*$D14, VLOOKUP(O$4,'4. Billing Determinants'!$B$19:$AA$41,22,0)*$D14)))),0)</f>
        <v>0</v>
      </c>
      <c r="P14" s="347">
        <f>IFERROR(IF(P$4="",0,IF($E14="kWh",VLOOKUP(P$4,'4. Billing Determinants'!$B$19:$R$41,4,0)/'4. Billing Determinants'!$E$41*$D14,IF($E14="kW",VLOOKUP(P$4,'4. Billing Determinants'!$B$19:$R$41,5,0)/'4. Billing Determinants'!$F$41*$D14,IF($E14="Non-RPP kWh",VLOOKUP(P$4,'4. Billing Determinants'!$B$19:$R$41,6,0)/'4. Billing Determinants'!$G$41*$D14, VLOOKUP(P$4,'4. Billing Determinants'!$B$19:$AA$41,22,0)*$D14)))),0)</f>
        <v>0</v>
      </c>
      <c r="Q14" s="347">
        <f>IFERROR(IF(Q$4="",0,IF($E14="kWh",VLOOKUP(Q$4,'4. Billing Determinants'!$B$19:$R$41,4,0)/'4. Billing Determinants'!$E$41*$D14,IF($E14="kW",VLOOKUP(Q$4,'4. Billing Determinants'!$B$19:$R$41,5,0)/'4. Billing Determinants'!$F$41*$D14,IF($E14="Non-RPP kWh",VLOOKUP(Q$4,'4. Billing Determinants'!$B$19:$R$41,6,0)/'4. Billing Determinants'!$G$41*$D14, VLOOKUP(Q$4,'4. Billing Determinants'!$B$19:$AA$41,22,0)*$D14)))),0)</f>
        <v>0</v>
      </c>
      <c r="R14" s="347">
        <f>IFERROR(IF(R$4="",0,IF($E14="kWh",VLOOKUP(R$4,'4. Billing Determinants'!$B$19:$R$41,4,0)/'4. Billing Determinants'!$E$41*$D14,IF($E14="kW",VLOOKUP(R$4,'4. Billing Determinants'!$B$19:$R$41,5,0)/'4. Billing Determinants'!$F$41*$D14,IF($E14="Non-RPP kWh",VLOOKUP(R$4,'4. Billing Determinants'!$B$19:$R$41,6,0)/'4. Billing Determinants'!$G$41*$D14, VLOOKUP(R$4,'4. Billing Determinants'!$B$19:$AA$41,22,0)*$D14)))),0)</f>
        <v>0</v>
      </c>
      <c r="S14" s="347">
        <f>IFERROR(IF(S$4="",0,IF($E14="kWh",VLOOKUP(S$4,'4. Billing Determinants'!$B$19:$R$41,4,0)/'4. Billing Determinants'!$E$41*$D14,IF($E14="kW",VLOOKUP(S$4,'4. Billing Determinants'!$B$19:$R$41,5,0)/'4. Billing Determinants'!$F$41*$D14,IF($E14="Non-RPP kWh",VLOOKUP(S$4,'4. Billing Determinants'!$B$19:$R$41,6,0)/'4. Billing Determinants'!$G$41*$D14, VLOOKUP(S$4,'4. Billing Determinants'!$B$19:$AA$41,22,0)*$D14)))),0)</f>
        <v>0</v>
      </c>
      <c r="T14" s="347">
        <f>IFERROR(IF(T$4="",0,IF($E14="kWh",VLOOKUP(T$4,'4. Billing Determinants'!$B$19:$R$41,4,0)/'4. Billing Determinants'!$E$41*$D14,IF($E14="kW",VLOOKUP(T$4,'4. Billing Determinants'!$B$19:$R$41,5,0)/'4. Billing Determinants'!$F$41*$D14,IF($E14="Non-RPP kWh",VLOOKUP(T$4,'4. Billing Determinants'!$B$19:$R$41,6,0)/'4. Billing Determinants'!$G$41*$D14, VLOOKUP(T$4,'4. Billing Determinants'!$B$19:$AA$41,22,0)*$D14)))),0)</f>
        <v>0</v>
      </c>
      <c r="U14" s="347">
        <f>IFERROR(IF(U$4="",0,IF($E14="kWh",VLOOKUP(U$4,'4. Billing Determinants'!$B$19:$R$41,4,0)/'4. Billing Determinants'!$E$41*$D14,IF($E14="kW",VLOOKUP(U$4,'4. Billing Determinants'!$B$19:$R$41,5,0)/'4. Billing Determinants'!$F$41*$D14,IF($E14="Non-RPP kWh",VLOOKUP(U$4,'4. Billing Determinants'!$B$19:$R$41,6,0)/'4. Billing Determinants'!$G$41*$D14, VLOOKUP(U$4,'4. Billing Determinants'!$B$19:$AA$41,22,0)*$D14)))),0)</f>
        <v>0</v>
      </c>
      <c r="V14" s="347">
        <f>IFERROR(IF(V$4="",0,IF($E14="kWh",VLOOKUP(V$4,'4. Billing Determinants'!$B$19:$R$41,4,0)/'4. Billing Determinants'!$E$41*$D14,IF($E14="kW",VLOOKUP(V$4,'4. Billing Determinants'!$B$19:$R$41,5,0)/'4. Billing Determinants'!$F$41*$D14,IF($E14="Non-RPP kWh",VLOOKUP(V$4,'4. Billing Determinants'!$B$19:$R$41,6,0)/'4. Billing Determinants'!$G$41*$D14, VLOOKUP(V$4,'4. Billing Determinants'!$B$19:$AA$41,22,0)*$D14)))),0)</f>
        <v>0</v>
      </c>
      <c r="W14" s="347">
        <f>IFERROR(IF(W$4="",0,IF($E14="kWh",VLOOKUP(W$4,'4. Billing Determinants'!$B$19:$R$41,4,0)/'4. Billing Determinants'!$E$41*$D14,IF($E14="kW",VLOOKUP(W$4,'4. Billing Determinants'!$B$19:$R$41,5,0)/'4. Billing Determinants'!$F$41*$D14,IF($E14="Non-RPP kWh",VLOOKUP(W$4,'4. Billing Determinants'!$B$19:$R$41,6,0)/'4. Billing Determinants'!$G$41*$D14, VLOOKUP(W$4,'4. Billing Determinants'!$B$19:$AA$41,22,0)*$D14)))),0)</f>
        <v>0</v>
      </c>
      <c r="X14" s="347">
        <f>IFERROR(IF(X$4="",0,IF($E14="kWh",VLOOKUP(X$4,'4. Billing Determinants'!$B$19:$R$41,4,0)/'4. Billing Determinants'!$E$41*$D14,IF($E14="kW",VLOOKUP(X$4,'4. Billing Determinants'!$B$19:$R$41,5,0)/'4. Billing Determinants'!$F$41*$D14,IF($E14="Non-RPP kWh",VLOOKUP(X$4,'4. Billing Determinants'!$B$19:$R$41,6,0)/'4. Billing Determinants'!$G$41*$D14, VLOOKUP(X$4,'4. Billing Determinants'!$B$19:$AA$41,22,0)*$D14)))),0)</f>
        <v>0</v>
      </c>
      <c r="Y14" s="347">
        <f>IFERROR(IF(Y$4="",0,IF($E14="kWh",VLOOKUP(Y$4,'4. Billing Determinants'!$B$19:$R$41,4,0)/'4. Billing Determinants'!$E$41*$D14,IF($E14="kW",VLOOKUP(Y$4,'4. Billing Determinants'!$B$19:$R$41,5,0)/'4. Billing Determinants'!$F$41*$D14,IF($E14="Non-RPP kWh",VLOOKUP(Y$4,'4. Billing Determinants'!$B$19:$R$41,6,0)/'4. Billing Determinants'!$G$41*$D14, VLOOKUP(Y$4,'4. Billing Determinants'!$B$19:$AA$41,22,0)*$D14)))),0)</f>
        <v>0</v>
      </c>
    </row>
    <row r="15" spans="1:27" x14ac:dyDescent="0.25">
      <c r="A15" s="327">
        <v>12</v>
      </c>
      <c r="B15" s="44" t="s">
        <v>188</v>
      </c>
      <c r="C15" s="306">
        <v>1595</v>
      </c>
      <c r="D15" s="42">
        <f>'2. 2016 Continuity Schedule'!BT36</f>
        <v>6710.7650000000003</v>
      </c>
      <c r="E15" s="74" t="s">
        <v>212</v>
      </c>
      <c r="F15" s="347">
        <f>IFERROR(IF(F$4="",0,IF($E15="kWh",VLOOKUP(F$4,'4. Billing Determinants'!$B$19:$R$41,4,0)/'4. Billing Determinants'!$E$41*$D15,IF($E15="kW",VLOOKUP(F$4,'4. Billing Determinants'!$B$19:$R$41,5,0)/'4. Billing Determinants'!$F$41*$D15,IF($E15="Non-RPP kWh",VLOOKUP(F$4,'4. Billing Determinants'!$B$19:$R$41,6,0)/'4. Billing Determinants'!$G$41*$D15, VLOOKUP(F$4,'4. Billing Determinants'!$B$19:$AA$41,23,0)*$D15)))),0)</f>
        <v>4547.8854405000002</v>
      </c>
      <c r="G15" s="347">
        <f>IFERROR(IF(G$4="",0,IF($E15="kWh",VLOOKUP(G$4,'4. Billing Determinants'!$B$19:$R$41,4,0)/'4. Billing Determinants'!$E$41*$D15,IF($E15="kW",VLOOKUP(G$4,'4. Billing Determinants'!$B$19:$R$41,5,0)/'4. Billing Determinants'!$F$41*$D15,IF($E15="Non-RPP kWh",VLOOKUP(G$4,'4. Billing Determinants'!$B$19:$R$41,6,0)/'4. Billing Determinants'!$G$41*$D15, VLOOKUP(G$4,'4. Billing Determinants'!$B$19:$AA$41,23,0)*$D15)))),0)</f>
        <v>917.36157549999996</v>
      </c>
      <c r="H15" s="347">
        <f>IFERROR(IF(H$4="",0,IF($E15="kWh",VLOOKUP(H$4,'4. Billing Determinants'!$B$19:$R$41,4,0)/'4. Billing Determinants'!$E$41*$D15,IF($E15="kW",VLOOKUP(H$4,'4. Billing Determinants'!$B$19:$R$41,5,0)/'4. Billing Determinants'!$F$41*$D15,IF($E15="Non-RPP kWh",VLOOKUP(H$4,'4. Billing Determinants'!$B$19:$R$41,6,0)/'4. Billing Determinants'!$G$41*$D15, VLOOKUP(H$4,'4. Billing Determinants'!$B$19:$AA$41,23,0)*$D15)))),0)</f>
        <v>1177.0681810000001</v>
      </c>
      <c r="I15" s="347">
        <f>IFERROR(IF(I$4="",0,IF($E15="kWh",VLOOKUP(I$4,'4. Billing Determinants'!$B$19:$R$41,4,0)/'4. Billing Determinants'!$E$41*$D15,IF($E15="kW",VLOOKUP(I$4,'4. Billing Determinants'!$B$19:$R$41,5,0)/'4. Billing Determinants'!$F$41*$D15,IF($E15="Non-RPP kWh",VLOOKUP(I$4,'4. Billing Determinants'!$B$19:$R$41,6,0)/'4. Billing Determinants'!$G$41*$D15, VLOOKUP(I$4,'4. Billing Determinants'!$B$19:$AA$41,23,0)*$D15)))),0)</f>
        <v>16.105836</v>
      </c>
      <c r="J15" s="347">
        <f>IFERROR(IF(J$4="",0,IF($E15="kWh",VLOOKUP(J$4,'4. Billing Determinants'!$B$19:$R$41,4,0)/'4. Billing Determinants'!$E$41*$D15,IF($E15="kW",VLOOKUP(J$4,'4. Billing Determinants'!$B$19:$R$41,5,0)/'4. Billing Determinants'!$F$41*$D15,IF($E15="Non-RPP kWh",VLOOKUP(J$4,'4. Billing Determinants'!$B$19:$R$41,6,0)/'4. Billing Determinants'!$G$41*$D15, VLOOKUP(J$4,'4. Billing Determinants'!$B$19:$AA$41,23,0)*$D15)))),0)</f>
        <v>3.3553825000000002</v>
      </c>
      <c r="K15" s="347">
        <f>IFERROR(IF(K$4="",0,IF($E15="kWh",VLOOKUP(K$4,'4. Billing Determinants'!$B$19:$R$41,4,0)/'4. Billing Determinants'!$E$41*$D15,IF($E15="kW",VLOOKUP(K$4,'4. Billing Determinants'!$B$19:$R$41,5,0)/'4. Billing Determinants'!$F$41*$D15,IF($E15="Non-RPP kWh",VLOOKUP(K$4,'4. Billing Determinants'!$B$19:$R$41,6,0)/'4. Billing Determinants'!$G$41*$D15, VLOOKUP(K$4,'4. Billing Determinants'!$B$19:$AA$41,23,0)*$D15)))),0)</f>
        <v>48.317508000000004</v>
      </c>
      <c r="L15" s="347">
        <f>IFERROR(IF(L$4="",0,IF($E15="kWh",VLOOKUP(L$4,'4. Billing Determinants'!$B$19:$R$41,4,0)/'4. Billing Determinants'!$E$41*$D15,IF($E15="kW",VLOOKUP(L$4,'4. Billing Determinants'!$B$19:$R$41,5,0)/'4. Billing Determinants'!$F$41*$D15,IF($E15="Non-RPP kWh",VLOOKUP(L$4,'4. Billing Determinants'!$B$19:$R$41,6,0)/'4. Billing Determinants'!$G$41*$D15, VLOOKUP(L$4,'4. Billing Determinants'!$B$19:$AA$41,23,0)*$D15)))),0)</f>
        <v>0</v>
      </c>
      <c r="M15" s="347">
        <f>IFERROR(IF(M$4="",0,IF($E15="kWh",VLOOKUP(M$4,'4. Billing Determinants'!$B$19:$R$41,4,0)/'4. Billing Determinants'!$E$41*$D15,IF($E15="kW",VLOOKUP(M$4,'4. Billing Determinants'!$B$19:$R$41,5,0)/'4. Billing Determinants'!$F$41*$D15,IF($E15="Non-RPP kWh",VLOOKUP(M$4,'4. Billing Determinants'!$B$19:$R$41,6,0)/'4. Billing Determinants'!$G$41*$D15, VLOOKUP(M$4,'4. Billing Determinants'!$B$19:$AA$41,23,0)*$D15)))),0)</f>
        <v>0</v>
      </c>
      <c r="N15" s="347">
        <f>IFERROR(IF(N$4="",0,IF($E15="kWh",VLOOKUP(N$4,'4. Billing Determinants'!$B$19:$R$41,4,0)/'4. Billing Determinants'!$E$41*$D15,IF($E15="kW",VLOOKUP(N$4,'4. Billing Determinants'!$B$19:$R$41,5,0)/'4. Billing Determinants'!$F$41*$D15,IF($E15="Non-RPP kWh",VLOOKUP(N$4,'4. Billing Determinants'!$B$19:$R$41,6,0)/'4. Billing Determinants'!$G$41*$D15, VLOOKUP(N$4,'4. Billing Determinants'!$B$19:$AA$41,23,0)*$D15)))),0)</f>
        <v>0</v>
      </c>
      <c r="O15" s="347">
        <f>IFERROR(IF(O$4="",0,IF($E15="kWh",VLOOKUP(O$4,'4. Billing Determinants'!$B$19:$R$41,4,0)/'4. Billing Determinants'!$E$41*$D15,IF($E15="kW",VLOOKUP(O$4,'4. Billing Determinants'!$B$19:$R$41,5,0)/'4. Billing Determinants'!$F$41*$D15,IF($E15="Non-RPP kWh",VLOOKUP(O$4,'4. Billing Determinants'!$B$19:$R$41,6,0)/'4. Billing Determinants'!$G$41*$D15, VLOOKUP(O$4,'4. Billing Determinants'!$B$19:$AA$41,23,0)*$D15)))),0)</f>
        <v>0</v>
      </c>
      <c r="P15" s="347">
        <f>IFERROR(IF(P$4="",0,IF($E15="kWh",VLOOKUP(P$4,'4. Billing Determinants'!$B$19:$R$41,4,0)/'4. Billing Determinants'!$E$41*$D15,IF($E15="kW",VLOOKUP(P$4,'4. Billing Determinants'!$B$19:$R$41,5,0)/'4. Billing Determinants'!$F$41*$D15,IF($E15="Non-RPP kWh",VLOOKUP(P$4,'4. Billing Determinants'!$B$19:$R$41,6,0)/'4. Billing Determinants'!$G$41*$D15, VLOOKUP(P$4,'4. Billing Determinants'!$B$19:$AA$41,23,0)*$D15)))),0)</f>
        <v>0</v>
      </c>
      <c r="Q15" s="347">
        <f>IFERROR(IF(Q$4="",0,IF($E15="kWh",VLOOKUP(Q$4,'4. Billing Determinants'!$B$19:$R$41,4,0)/'4. Billing Determinants'!$E$41*$D15,IF($E15="kW",VLOOKUP(Q$4,'4. Billing Determinants'!$B$19:$R$41,5,0)/'4. Billing Determinants'!$F$41*$D15,IF($E15="Non-RPP kWh",VLOOKUP(Q$4,'4. Billing Determinants'!$B$19:$R$41,6,0)/'4. Billing Determinants'!$G$41*$D15, VLOOKUP(Q$4,'4. Billing Determinants'!$B$19:$AA$41,23,0)*$D15)))),0)</f>
        <v>0</v>
      </c>
      <c r="R15" s="347">
        <f>IFERROR(IF(R$4="",0,IF($E15="kWh",VLOOKUP(R$4,'4. Billing Determinants'!$B$19:$R$41,4,0)/'4. Billing Determinants'!$E$41*$D15,IF($E15="kW",VLOOKUP(R$4,'4. Billing Determinants'!$B$19:$R$41,5,0)/'4. Billing Determinants'!$F$41*$D15,IF($E15="Non-RPP kWh",VLOOKUP(R$4,'4. Billing Determinants'!$B$19:$R$41,6,0)/'4. Billing Determinants'!$G$41*$D15, VLOOKUP(R$4,'4. Billing Determinants'!$B$19:$AA$41,23,0)*$D15)))),0)</f>
        <v>0</v>
      </c>
      <c r="S15" s="347">
        <f>IFERROR(IF(S$4="",0,IF($E15="kWh",VLOOKUP(S$4,'4. Billing Determinants'!$B$19:$R$41,4,0)/'4. Billing Determinants'!$E$41*$D15,IF($E15="kW",VLOOKUP(S$4,'4. Billing Determinants'!$B$19:$R$41,5,0)/'4. Billing Determinants'!$F$41*$D15,IF($E15="Non-RPP kWh",VLOOKUP(S$4,'4. Billing Determinants'!$B$19:$R$41,6,0)/'4. Billing Determinants'!$G$41*$D15, VLOOKUP(S$4,'4. Billing Determinants'!$B$19:$AA$41,23,0)*$D15)))),0)</f>
        <v>0</v>
      </c>
      <c r="T15" s="347">
        <f>IFERROR(IF(T$4="",0,IF($E15="kWh",VLOOKUP(T$4,'4. Billing Determinants'!$B$19:$R$41,4,0)/'4. Billing Determinants'!$E$41*$D15,IF($E15="kW",VLOOKUP(T$4,'4. Billing Determinants'!$B$19:$R$41,5,0)/'4. Billing Determinants'!$F$41*$D15,IF($E15="Non-RPP kWh",VLOOKUP(T$4,'4. Billing Determinants'!$B$19:$R$41,6,0)/'4. Billing Determinants'!$G$41*$D15, VLOOKUP(T$4,'4. Billing Determinants'!$B$19:$AA$41,23,0)*$D15)))),0)</f>
        <v>0</v>
      </c>
      <c r="U15" s="347">
        <f>IFERROR(IF(U$4="",0,IF($E15="kWh",VLOOKUP(U$4,'4. Billing Determinants'!$B$19:$R$41,4,0)/'4. Billing Determinants'!$E$41*$D15,IF($E15="kW",VLOOKUP(U$4,'4. Billing Determinants'!$B$19:$R$41,5,0)/'4. Billing Determinants'!$F$41*$D15,IF($E15="Non-RPP kWh",VLOOKUP(U$4,'4. Billing Determinants'!$B$19:$R$41,6,0)/'4. Billing Determinants'!$G$41*$D15, VLOOKUP(U$4,'4. Billing Determinants'!$B$19:$AA$41,23,0)*$D15)))),0)</f>
        <v>0</v>
      </c>
      <c r="V15" s="347">
        <f>IFERROR(IF(V$4="",0,IF($E15="kWh",VLOOKUP(V$4,'4. Billing Determinants'!$B$19:$R$41,4,0)/'4. Billing Determinants'!$E$41*$D15,IF($E15="kW",VLOOKUP(V$4,'4. Billing Determinants'!$B$19:$R$41,5,0)/'4. Billing Determinants'!$F$41*$D15,IF($E15="Non-RPP kWh",VLOOKUP(V$4,'4. Billing Determinants'!$B$19:$R$41,6,0)/'4. Billing Determinants'!$G$41*$D15, VLOOKUP(V$4,'4. Billing Determinants'!$B$19:$AA$41,23,0)*$D15)))),0)</f>
        <v>0</v>
      </c>
      <c r="W15" s="347">
        <f>IFERROR(IF(W$4="",0,IF($E15="kWh",VLOOKUP(W$4,'4. Billing Determinants'!$B$19:$R$41,4,0)/'4. Billing Determinants'!$E$41*$D15,IF($E15="kW",VLOOKUP(W$4,'4. Billing Determinants'!$B$19:$R$41,5,0)/'4. Billing Determinants'!$F$41*$D15,IF($E15="Non-RPP kWh",VLOOKUP(W$4,'4. Billing Determinants'!$B$19:$R$41,6,0)/'4. Billing Determinants'!$G$41*$D15, VLOOKUP(W$4,'4. Billing Determinants'!$B$19:$AA$41,23,0)*$D15)))),0)</f>
        <v>0</v>
      </c>
      <c r="X15" s="347">
        <f>IFERROR(IF(X$4="",0,IF($E15="kWh",VLOOKUP(X$4,'4. Billing Determinants'!$B$19:$R$41,4,0)/'4. Billing Determinants'!$E$41*$D15,IF($E15="kW",VLOOKUP(X$4,'4. Billing Determinants'!$B$19:$R$41,5,0)/'4. Billing Determinants'!$F$41*$D15,IF($E15="Non-RPP kWh",VLOOKUP(X$4,'4. Billing Determinants'!$B$19:$R$41,6,0)/'4. Billing Determinants'!$G$41*$D15, VLOOKUP(X$4,'4. Billing Determinants'!$B$19:$AA$41,23,0)*$D15)))),0)</f>
        <v>0</v>
      </c>
      <c r="Y15" s="347">
        <f>IFERROR(IF(Y$4="",0,IF($E15="kWh",VLOOKUP(Y$4,'4. Billing Determinants'!$B$19:$R$41,4,0)/'4. Billing Determinants'!$E$41*$D15,IF($E15="kW",VLOOKUP(Y$4,'4. Billing Determinants'!$B$19:$R$41,5,0)/'4. Billing Determinants'!$F$41*$D15,IF($E15="Non-RPP kWh",VLOOKUP(Y$4,'4. Billing Determinants'!$B$19:$R$41,6,0)/'4. Billing Determinants'!$G$41*$D15, VLOOKUP(Y$4,'4. Billing Determinants'!$B$19:$AA$41,23,0)*$D15)))),0)</f>
        <v>0</v>
      </c>
    </row>
    <row r="16" spans="1:27" x14ac:dyDescent="0.25">
      <c r="A16" s="146">
        <v>13</v>
      </c>
      <c r="B16" s="44" t="s">
        <v>201</v>
      </c>
      <c r="C16" s="41">
        <v>1595</v>
      </c>
      <c r="D16" s="42">
        <f>'2. 2016 Continuity Schedule'!BT37</f>
        <v>104.28700000000001</v>
      </c>
      <c r="E16" s="74" t="s">
        <v>212</v>
      </c>
      <c r="F16" s="347">
        <f>IFERROR(IF(F$4="",0,IF($E16="kWh",VLOOKUP(F$4,'4. Billing Determinants'!$B$19:$R$41,4,0)/'4. Billing Determinants'!$E$41*$D16,IF($E16="kW",VLOOKUP(F$4,'4. Billing Determinants'!$B$19:$R$41,5,0)/'4. Billing Determinants'!$F$41*$D16,IF($E16="Non-RPP kWh",VLOOKUP(F$4,'4. Billing Determinants'!$B$19:$R$41,6,0)/'4. Billing Determinants'!$G$41*$D16, VLOOKUP(F$4,'4. Billing Determinants'!$B$19:$AA$41,24,0)*$D16)))),0)</f>
        <v>65.179375000000007</v>
      </c>
      <c r="G16" s="347">
        <f>IFERROR(IF(G$4="",0,IF($E16="kWh",VLOOKUP(G$4,'4. Billing Determinants'!$B$19:$R$41,4,0)/'4. Billing Determinants'!$E$41*$D16,IF($E16="kW",VLOOKUP(G$4,'4. Billing Determinants'!$B$19:$R$41,5,0)/'4. Billing Determinants'!$F$41*$D16,IF($E16="Non-RPP kWh",VLOOKUP(G$4,'4. Billing Determinants'!$B$19:$R$41,6,0)/'4. Billing Determinants'!$G$41*$D16, VLOOKUP(G$4,'4. Billing Determinants'!$B$19:$AA$41,24,0)*$D16)))),0)</f>
        <v>14.078745000000001</v>
      </c>
      <c r="H16" s="347">
        <f>IFERROR(IF(H$4="",0,IF($E16="kWh",VLOOKUP(H$4,'4. Billing Determinants'!$B$19:$R$41,4,0)/'4. Billing Determinants'!$E$41*$D16,IF($E16="kW",VLOOKUP(H$4,'4. Billing Determinants'!$B$19:$R$41,5,0)/'4. Billing Determinants'!$F$41*$D16,IF($E16="Non-RPP kWh",VLOOKUP(H$4,'4. Billing Determinants'!$B$19:$R$41,6,0)/'4. Billing Determinants'!$G$41*$D16, VLOOKUP(H$4,'4. Billing Determinants'!$B$19:$AA$41,24,0)*$D16)))),0)</f>
        <v>24.403158000000001</v>
      </c>
      <c r="I16" s="347">
        <f>IFERROR(IF(I$4="",0,IF($E16="kWh",VLOOKUP(I$4,'4. Billing Determinants'!$B$19:$R$41,4,0)/'4. Billing Determinants'!$E$41*$D16,IF($E16="kW",VLOOKUP(I$4,'4. Billing Determinants'!$B$19:$R$41,5,0)/'4. Billing Determinants'!$F$41*$D16,IF($E16="Non-RPP kWh",VLOOKUP(I$4,'4. Billing Determinants'!$B$19:$R$41,6,0)/'4. Billing Determinants'!$G$41*$D16, VLOOKUP(I$4,'4. Billing Determinants'!$B$19:$AA$41,24,0)*$D16)))),0)</f>
        <v>0</v>
      </c>
      <c r="J16" s="347">
        <f>IFERROR(IF(J$4="",0,IF($E16="kWh",VLOOKUP(J$4,'4. Billing Determinants'!$B$19:$R$41,4,0)/'4. Billing Determinants'!$E$41*$D16,IF($E16="kW",VLOOKUP(J$4,'4. Billing Determinants'!$B$19:$R$41,5,0)/'4. Billing Determinants'!$F$41*$D16,IF($E16="Non-RPP kWh",VLOOKUP(J$4,'4. Billing Determinants'!$B$19:$R$41,6,0)/'4. Billing Determinants'!$G$41*$D16, VLOOKUP(J$4,'4. Billing Determinants'!$B$19:$AA$41,24,0)*$D16)))),0)</f>
        <v>0.312861</v>
      </c>
      <c r="K16" s="347">
        <f>IFERROR(IF(K$4="",0,IF($E16="kWh",VLOOKUP(K$4,'4. Billing Determinants'!$B$19:$R$41,4,0)/'4. Billing Determinants'!$E$41*$D16,IF($E16="kW",VLOOKUP(K$4,'4. Billing Determinants'!$B$19:$R$41,5,0)/'4. Billing Determinants'!$F$41*$D16,IF($E16="Non-RPP kWh",VLOOKUP(K$4,'4. Billing Determinants'!$B$19:$R$41,6,0)/'4. Billing Determinants'!$G$41*$D16, VLOOKUP(K$4,'4. Billing Determinants'!$B$19:$AA$41,24,0)*$D16)))),0)</f>
        <v>0</v>
      </c>
      <c r="L16" s="347">
        <f>IFERROR(IF(L$4="",0,IF($E16="kWh",VLOOKUP(L$4,'4. Billing Determinants'!$B$19:$R$41,4,0)/'4. Billing Determinants'!$E$41*$D16,IF($E16="kW",VLOOKUP(L$4,'4. Billing Determinants'!$B$19:$R$41,5,0)/'4. Billing Determinants'!$F$41*$D16,IF($E16="Non-RPP kWh",VLOOKUP(L$4,'4. Billing Determinants'!$B$19:$R$41,6,0)/'4. Billing Determinants'!$G$41*$D16, VLOOKUP(L$4,'4. Billing Determinants'!$B$19:$AA$41,24,0)*$D16)))),0)</f>
        <v>0</v>
      </c>
      <c r="M16" s="347">
        <f>IFERROR(IF(M$4="",0,IF($E16="kWh",VLOOKUP(M$4,'4. Billing Determinants'!$B$19:$R$41,4,0)/'4. Billing Determinants'!$E$41*$D16,IF($E16="kW",VLOOKUP(M$4,'4. Billing Determinants'!$B$19:$R$41,5,0)/'4. Billing Determinants'!$F$41*$D16,IF($E16="Non-RPP kWh",VLOOKUP(M$4,'4. Billing Determinants'!$B$19:$R$41,6,0)/'4. Billing Determinants'!$G$41*$D16, VLOOKUP(M$4,'4. Billing Determinants'!$B$19:$AA$41,24,0)*$D16)))),0)</f>
        <v>0</v>
      </c>
      <c r="N16" s="347">
        <f>IFERROR(IF(N$4="",0,IF($E16="kWh",VLOOKUP(N$4,'4. Billing Determinants'!$B$19:$R$41,4,0)/'4. Billing Determinants'!$E$41*$D16,IF($E16="kW",VLOOKUP(N$4,'4. Billing Determinants'!$B$19:$R$41,5,0)/'4. Billing Determinants'!$F$41*$D16,IF($E16="Non-RPP kWh",VLOOKUP(N$4,'4. Billing Determinants'!$B$19:$R$41,6,0)/'4. Billing Determinants'!$G$41*$D16, VLOOKUP(N$4,'4. Billing Determinants'!$B$19:$AA$41,24,0)*$D16)))),0)</f>
        <v>0</v>
      </c>
      <c r="O16" s="347">
        <f>IFERROR(IF(O$4="",0,IF($E16="kWh",VLOOKUP(O$4,'4. Billing Determinants'!$B$19:$R$41,4,0)/'4. Billing Determinants'!$E$41*$D16,IF($E16="kW",VLOOKUP(O$4,'4. Billing Determinants'!$B$19:$R$41,5,0)/'4. Billing Determinants'!$F$41*$D16,IF($E16="Non-RPP kWh",VLOOKUP(O$4,'4. Billing Determinants'!$B$19:$R$41,6,0)/'4. Billing Determinants'!$G$41*$D16, VLOOKUP(O$4,'4. Billing Determinants'!$B$19:$AA$41,24,0)*$D16)))),0)</f>
        <v>0</v>
      </c>
      <c r="P16" s="347">
        <f>IFERROR(IF(P$4="",0,IF($E16="kWh",VLOOKUP(P$4,'4. Billing Determinants'!$B$19:$R$41,4,0)/'4. Billing Determinants'!$E$41*$D16,IF($E16="kW",VLOOKUP(P$4,'4. Billing Determinants'!$B$19:$R$41,5,0)/'4. Billing Determinants'!$F$41*$D16,IF($E16="Non-RPP kWh",VLOOKUP(P$4,'4. Billing Determinants'!$B$19:$R$41,6,0)/'4. Billing Determinants'!$G$41*$D16, VLOOKUP(P$4,'4. Billing Determinants'!$B$19:$AA$41,24,0)*$D16)))),0)</f>
        <v>0</v>
      </c>
      <c r="Q16" s="347">
        <f>IFERROR(IF(Q$4="",0,IF($E16="kWh",VLOOKUP(Q$4,'4. Billing Determinants'!$B$19:$R$41,4,0)/'4. Billing Determinants'!$E$41*$D16,IF($E16="kW",VLOOKUP(Q$4,'4. Billing Determinants'!$B$19:$R$41,5,0)/'4. Billing Determinants'!$F$41*$D16,IF($E16="Non-RPP kWh",VLOOKUP(Q$4,'4. Billing Determinants'!$B$19:$R$41,6,0)/'4. Billing Determinants'!$G$41*$D16, VLOOKUP(Q$4,'4. Billing Determinants'!$B$19:$AA$41,24,0)*$D16)))),0)</f>
        <v>0</v>
      </c>
      <c r="R16" s="347">
        <f>IFERROR(IF(R$4="",0,IF($E16="kWh",VLOOKUP(R$4,'4. Billing Determinants'!$B$19:$R$41,4,0)/'4. Billing Determinants'!$E$41*$D16,IF($E16="kW",VLOOKUP(R$4,'4. Billing Determinants'!$B$19:$R$41,5,0)/'4. Billing Determinants'!$F$41*$D16,IF($E16="Non-RPP kWh",VLOOKUP(R$4,'4. Billing Determinants'!$B$19:$R$41,6,0)/'4. Billing Determinants'!$G$41*$D16, VLOOKUP(R$4,'4. Billing Determinants'!$B$19:$AA$41,24,0)*$D16)))),0)</f>
        <v>0</v>
      </c>
      <c r="S16" s="347">
        <f>IFERROR(IF(S$4="",0,IF($E16="kWh",VLOOKUP(S$4,'4. Billing Determinants'!$B$19:$R$41,4,0)/'4. Billing Determinants'!$E$41*$D16,IF($E16="kW",VLOOKUP(S$4,'4. Billing Determinants'!$B$19:$R$41,5,0)/'4. Billing Determinants'!$F$41*$D16,IF($E16="Non-RPP kWh",VLOOKUP(S$4,'4. Billing Determinants'!$B$19:$R$41,6,0)/'4. Billing Determinants'!$G$41*$D16, VLOOKUP(S$4,'4. Billing Determinants'!$B$19:$AA$41,24,0)*$D16)))),0)</f>
        <v>0</v>
      </c>
      <c r="T16" s="347">
        <f>IFERROR(IF(T$4="",0,IF($E16="kWh",VLOOKUP(T$4,'4. Billing Determinants'!$B$19:$R$41,4,0)/'4. Billing Determinants'!$E$41*$D16,IF($E16="kW",VLOOKUP(T$4,'4. Billing Determinants'!$B$19:$R$41,5,0)/'4. Billing Determinants'!$F$41*$D16,IF($E16="Non-RPP kWh",VLOOKUP(T$4,'4. Billing Determinants'!$B$19:$R$41,6,0)/'4. Billing Determinants'!$G$41*$D16, VLOOKUP(T$4,'4. Billing Determinants'!$B$19:$AA$41,24,0)*$D16)))),0)</f>
        <v>0</v>
      </c>
      <c r="U16" s="347">
        <f>IFERROR(IF(U$4="",0,IF($E16="kWh",VLOOKUP(U$4,'4. Billing Determinants'!$B$19:$R$41,4,0)/'4. Billing Determinants'!$E$41*$D16,IF($E16="kW",VLOOKUP(U$4,'4. Billing Determinants'!$B$19:$R$41,5,0)/'4. Billing Determinants'!$F$41*$D16,IF($E16="Non-RPP kWh",VLOOKUP(U$4,'4. Billing Determinants'!$B$19:$R$41,6,0)/'4. Billing Determinants'!$G$41*$D16, VLOOKUP(U$4,'4. Billing Determinants'!$B$19:$AA$41,24,0)*$D16)))),0)</f>
        <v>0</v>
      </c>
      <c r="V16" s="347">
        <f>IFERROR(IF(V$4="",0,IF($E16="kWh",VLOOKUP(V$4,'4. Billing Determinants'!$B$19:$R$41,4,0)/'4. Billing Determinants'!$E$41*$D16,IF($E16="kW",VLOOKUP(V$4,'4. Billing Determinants'!$B$19:$R$41,5,0)/'4. Billing Determinants'!$F$41*$D16,IF($E16="Non-RPP kWh",VLOOKUP(V$4,'4. Billing Determinants'!$B$19:$R$41,6,0)/'4. Billing Determinants'!$G$41*$D16, VLOOKUP(V$4,'4. Billing Determinants'!$B$19:$AA$41,24,0)*$D16)))),0)</f>
        <v>0</v>
      </c>
      <c r="W16" s="347">
        <f>IFERROR(IF(W$4="",0,IF($E16="kWh",VLOOKUP(W$4,'4. Billing Determinants'!$B$19:$R$41,4,0)/'4. Billing Determinants'!$E$41*$D16,IF($E16="kW",VLOOKUP(W$4,'4. Billing Determinants'!$B$19:$R$41,5,0)/'4. Billing Determinants'!$F$41*$D16,IF($E16="Non-RPP kWh",VLOOKUP(W$4,'4. Billing Determinants'!$B$19:$R$41,6,0)/'4. Billing Determinants'!$G$41*$D16, VLOOKUP(W$4,'4. Billing Determinants'!$B$19:$AA$41,24,0)*$D16)))),0)</f>
        <v>0</v>
      </c>
      <c r="X16" s="347">
        <f>IFERROR(IF(X$4="",0,IF($E16="kWh",VLOOKUP(X$4,'4. Billing Determinants'!$B$19:$R$41,4,0)/'4. Billing Determinants'!$E$41*$D16,IF($E16="kW",VLOOKUP(X$4,'4. Billing Determinants'!$B$19:$R$41,5,0)/'4. Billing Determinants'!$F$41*$D16,IF($E16="Non-RPP kWh",VLOOKUP(X$4,'4. Billing Determinants'!$B$19:$R$41,6,0)/'4. Billing Determinants'!$G$41*$D16, VLOOKUP(X$4,'4. Billing Determinants'!$B$19:$AA$41,24,0)*$D16)))),0)</f>
        <v>0</v>
      </c>
      <c r="Y16" s="347">
        <f>IFERROR(IF(Y$4="",0,IF($E16="kWh",VLOOKUP(Y$4,'4. Billing Determinants'!$B$19:$R$41,4,0)/'4. Billing Determinants'!$E$41*$D16,IF($E16="kW",VLOOKUP(Y$4,'4. Billing Determinants'!$B$19:$R$41,5,0)/'4. Billing Determinants'!$F$41*$D16,IF($E16="Non-RPP kWh",VLOOKUP(Y$4,'4. Billing Determinants'!$B$19:$R$41,6,0)/'4. Billing Determinants'!$G$41*$D16, VLOOKUP(Y$4,'4. Billing Determinants'!$B$19:$AA$41,24,0)*$D16)))),0)</f>
        <v>0</v>
      </c>
    </row>
    <row r="17" spans="1:25" x14ac:dyDescent="0.25">
      <c r="A17" s="146">
        <v>14</v>
      </c>
      <c r="B17" s="44" t="s">
        <v>202</v>
      </c>
      <c r="C17" s="41">
        <v>1595</v>
      </c>
      <c r="D17" s="42">
        <f>'2. 2016 Continuity Schedule'!BT38</f>
        <v>-13803.471</v>
      </c>
      <c r="E17" s="74" t="s">
        <v>212</v>
      </c>
      <c r="F17" s="347">
        <f>IFERROR(IF(F$4="",0,IF($E17="kWh",VLOOKUP(F$4,'4. Billing Determinants'!$B$19:$R$41,4,0)/'4. Billing Determinants'!$E$41*$D17,IF($E17="kW",VLOOKUP(F$4,'4. Billing Determinants'!$B$19:$R$41,5,0)/'4. Billing Determinants'!$F$41*$D17,IF($E17="Non-RPP kWh",VLOOKUP(F$4,'4. Billing Determinants'!$B$19:$R$41,6,0)/'4. Billing Determinants'!$G$41*$D17, VLOOKUP(F$4,'4. Billing Determinants'!$B$19:$AA$41,25,0)*$D17)))),0)</f>
        <v>-8627.1693749999995</v>
      </c>
      <c r="G17" s="347">
        <f>IFERROR(IF(G$4="",0,IF($E17="kWh",VLOOKUP(G$4,'4. Billing Determinants'!$B$19:$R$41,4,0)/'4. Billing Determinants'!$E$41*$D17,IF($E17="kW",VLOOKUP(G$4,'4. Billing Determinants'!$B$19:$R$41,5,0)/'4. Billing Determinants'!$F$41*$D17,IF($E17="Non-RPP kWh",VLOOKUP(G$4,'4. Billing Determinants'!$B$19:$R$41,6,0)/'4. Billing Determinants'!$G$41*$D17, VLOOKUP(G$4,'4. Billing Determinants'!$B$19:$AA$41,25,0)*$D17)))),0)</f>
        <v>-1863.4685850000001</v>
      </c>
      <c r="H17" s="347">
        <f>IFERROR(IF(H$4="",0,IF($E17="kWh",VLOOKUP(H$4,'4. Billing Determinants'!$B$19:$R$41,4,0)/'4. Billing Determinants'!$E$41*$D17,IF($E17="kW",VLOOKUP(H$4,'4. Billing Determinants'!$B$19:$R$41,5,0)/'4. Billing Determinants'!$F$41*$D17,IF($E17="Non-RPP kWh",VLOOKUP(H$4,'4. Billing Determinants'!$B$19:$R$41,6,0)/'4. Billing Determinants'!$G$41*$D17, VLOOKUP(H$4,'4. Billing Determinants'!$B$19:$AA$41,25,0)*$D17)))),0)</f>
        <v>-3230.0122139999999</v>
      </c>
      <c r="I17" s="347">
        <f>IFERROR(IF(I$4="",0,IF($E17="kWh",VLOOKUP(I$4,'4. Billing Determinants'!$B$19:$R$41,4,0)/'4. Billing Determinants'!$E$41*$D17,IF($E17="kW",VLOOKUP(I$4,'4. Billing Determinants'!$B$19:$R$41,5,0)/'4. Billing Determinants'!$F$41*$D17,IF($E17="Non-RPP kWh",VLOOKUP(I$4,'4. Billing Determinants'!$B$19:$R$41,6,0)/'4. Billing Determinants'!$G$41*$D17, VLOOKUP(I$4,'4. Billing Determinants'!$B$19:$AA$41,25,0)*$D17)))),0)</f>
        <v>0</v>
      </c>
      <c r="J17" s="347">
        <f>IFERROR(IF(J$4="",0,IF($E17="kWh",VLOOKUP(J$4,'4. Billing Determinants'!$B$19:$R$41,4,0)/'4. Billing Determinants'!$E$41*$D17,IF($E17="kW",VLOOKUP(J$4,'4. Billing Determinants'!$B$19:$R$41,5,0)/'4. Billing Determinants'!$F$41*$D17,IF($E17="Non-RPP kWh",VLOOKUP(J$4,'4. Billing Determinants'!$B$19:$R$41,6,0)/'4. Billing Determinants'!$G$41*$D17, VLOOKUP(J$4,'4. Billing Determinants'!$B$19:$AA$41,25,0)*$D17)))),0)</f>
        <v>-41.410412999999998</v>
      </c>
      <c r="K17" s="347">
        <f>IFERROR(IF(K$4="",0,IF($E17="kWh",VLOOKUP(K$4,'4. Billing Determinants'!$B$19:$R$41,4,0)/'4. Billing Determinants'!$E$41*$D17,IF($E17="kW",VLOOKUP(K$4,'4. Billing Determinants'!$B$19:$R$41,5,0)/'4. Billing Determinants'!$F$41*$D17,IF($E17="Non-RPP kWh",VLOOKUP(K$4,'4. Billing Determinants'!$B$19:$R$41,6,0)/'4. Billing Determinants'!$G$41*$D17, VLOOKUP(K$4,'4. Billing Determinants'!$B$19:$AA$41,25,0)*$D17)))),0)</f>
        <v>0</v>
      </c>
      <c r="L17" s="347">
        <f>IFERROR(IF(L$4="",0,IF($E17="kWh",VLOOKUP(L$4,'4. Billing Determinants'!$B$19:$R$41,4,0)/'4. Billing Determinants'!$E$41*$D17,IF($E17="kW",VLOOKUP(L$4,'4. Billing Determinants'!$B$19:$R$41,5,0)/'4. Billing Determinants'!$F$41*$D17,IF($E17="Non-RPP kWh",VLOOKUP(L$4,'4. Billing Determinants'!$B$19:$R$41,6,0)/'4. Billing Determinants'!$G$41*$D17, VLOOKUP(L$4,'4. Billing Determinants'!$B$19:$AA$41,25,0)*$D17)))),0)</f>
        <v>0</v>
      </c>
      <c r="M17" s="347">
        <f>IFERROR(IF(M$4="",0,IF($E17="kWh",VLOOKUP(M$4,'4. Billing Determinants'!$B$19:$R$41,4,0)/'4. Billing Determinants'!$E$41*$D17,IF($E17="kW",VLOOKUP(M$4,'4. Billing Determinants'!$B$19:$R$41,5,0)/'4. Billing Determinants'!$F$41*$D17,IF($E17="Non-RPP kWh",VLOOKUP(M$4,'4. Billing Determinants'!$B$19:$R$41,6,0)/'4. Billing Determinants'!$G$41*$D17, VLOOKUP(M$4,'4. Billing Determinants'!$B$19:$AA$41,25,0)*$D17)))),0)</f>
        <v>0</v>
      </c>
      <c r="N17" s="347">
        <f>IFERROR(IF(N$4="",0,IF($E17="kWh",VLOOKUP(N$4,'4. Billing Determinants'!$B$19:$R$41,4,0)/'4. Billing Determinants'!$E$41*$D17,IF($E17="kW",VLOOKUP(N$4,'4. Billing Determinants'!$B$19:$R$41,5,0)/'4. Billing Determinants'!$F$41*$D17,IF($E17="Non-RPP kWh",VLOOKUP(N$4,'4. Billing Determinants'!$B$19:$R$41,6,0)/'4. Billing Determinants'!$G$41*$D17, VLOOKUP(N$4,'4. Billing Determinants'!$B$19:$AA$41,25,0)*$D17)))),0)</f>
        <v>0</v>
      </c>
      <c r="O17" s="347">
        <f>IFERROR(IF(O$4="",0,IF($E17="kWh",VLOOKUP(O$4,'4. Billing Determinants'!$B$19:$R$41,4,0)/'4. Billing Determinants'!$E$41*$D17,IF($E17="kW",VLOOKUP(O$4,'4. Billing Determinants'!$B$19:$R$41,5,0)/'4. Billing Determinants'!$F$41*$D17,IF($E17="Non-RPP kWh",VLOOKUP(O$4,'4. Billing Determinants'!$B$19:$R$41,6,0)/'4. Billing Determinants'!$G$41*$D17, VLOOKUP(O$4,'4. Billing Determinants'!$B$19:$AA$41,25,0)*$D17)))),0)</f>
        <v>0</v>
      </c>
      <c r="P17" s="347">
        <f>IFERROR(IF(P$4="",0,IF($E17="kWh",VLOOKUP(P$4,'4. Billing Determinants'!$B$19:$R$41,4,0)/'4. Billing Determinants'!$E$41*$D17,IF($E17="kW",VLOOKUP(P$4,'4. Billing Determinants'!$B$19:$R$41,5,0)/'4. Billing Determinants'!$F$41*$D17,IF($E17="Non-RPP kWh",VLOOKUP(P$4,'4. Billing Determinants'!$B$19:$R$41,6,0)/'4. Billing Determinants'!$G$41*$D17, VLOOKUP(P$4,'4. Billing Determinants'!$B$19:$AA$41,25,0)*$D17)))),0)</f>
        <v>0</v>
      </c>
      <c r="Q17" s="347">
        <f>IFERROR(IF(Q$4="",0,IF($E17="kWh",VLOOKUP(Q$4,'4. Billing Determinants'!$B$19:$R$41,4,0)/'4. Billing Determinants'!$E$41*$D17,IF($E17="kW",VLOOKUP(Q$4,'4. Billing Determinants'!$B$19:$R$41,5,0)/'4. Billing Determinants'!$F$41*$D17,IF($E17="Non-RPP kWh",VLOOKUP(Q$4,'4. Billing Determinants'!$B$19:$R$41,6,0)/'4. Billing Determinants'!$G$41*$D17, VLOOKUP(Q$4,'4. Billing Determinants'!$B$19:$AA$41,25,0)*$D17)))),0)</f>
        <v>0</v>
      </c>
      <c r="R17" s="347">
        <f>IFERROR(IF(R$4="",0,IF($E17="kWh",VLOOKUP(R$4,'4. Billing Determinants'!$B$19:$R$41,4,0)/'4. Billing Determinants'!$E$41*$D17,IF($E17="kW",VLOOKUP(R$4,'4. Billing Determinants'!$B$19:$R$41,5,0)/'4. Billing Determinants'!$F$41*$D17,IF($E17="Non-RPP kWh",VLOOKUP(R$4,'4. Billing Determinants'!$B$19:$R$41,6,0)/'4. Billing Determinants'!$G$41*$D17, VLOOKUP(R$4,'4. Billing Determinants'!$B$19:$AA$41,25,0)*$D17)))),0)</f>
        <v>0</v>
      </c>
      <c r="S17" s="347">
        <f>IFERROR(IF(S$4="",0,IF($E17="kWh",VLOOKUP(S$4,'4. Billing Determinants'!$B$19:$R$41,4,0)/'4. Billing Determinants'!$E$41*$D17,IF($E17="kW",VLOOKUP(S$4,'4. Billing Determinants'!$B$19:$R$41,5,0)/'4. Billing Determinants'!$F$41*$D17,IF($E17="Non-RPP kWh",VLOOKUP(S$4,'4. Billing Determinants'!$B$19:$R$41,6,0)/'4. Billing Determinants'!$G$41*$D17, VLOOKUP(S$4,'4. Billing Determinants'!$B$19:$AA$41,25,0)*$D17)))),0)</f>
        <v>0</v>
      </c>
      <c r="T17" s="347">
        <f>IFERROR(IF(T$4="",0,IF($E17="kWh",VLOOKUP(T$4,'4. Billing Determinants'!$B$19:$R$41,4,0)/'4. Billing Determinants'!$E$41*$D17,IF($E17="kW",VLOOKUP(T$4,'4. Billing Determinants'!$B$19:$R$41,5,0)/'4. Billing Determinants'!$F$41*$D17,IF($E17="Non-RPP kWh",VLOOKUP(T$4,'4. Billing Determinants'!$B$19:$R$41,6,0)/'4. Billing Determinants'!$G$41*$D17, VLOOKUP(T$4,'4. Billing Determinants'!$B$19:$AA$41,25,0)*$D17)))),0)</f>
        <v>0</v>
      </c>
      <c r="U17" s="347">
        <f>IFERROR(IF(U$4="",0,IF($E17="kWh",VLOOKUP(U$4,'4. Billing Determinants'!$B$19:$R$41,4,0)/'4. Billing Determinants'!$E$41*$D17,IF($E17="kW",VLOOKUP(U$4,'4. Billing Determinants'!$B$19:$R$41,5,0)/'4. Billing Determinants'!$F$41*$D17,IF($E17="Non-RPP kWh",VLOOKUP(U$4,'4. Billing Determinants'!$B$19:$R$41,6,0)/'4. Billing Determinants'!$G$41*$D17, VLOOKUP(U$4,'4. Billing Determinants'!$B$19:$AA$41,25,0)*$D17)))),0)</f>
        <v>0</v>
      </c>
      <c r="V17" s="347">
        <f>IFERROR(IF(V$4="",0,IF($E17="kWh",VLOOKUP(V$4,'4. Billing Determinants'!$B$19:$R$41,4,0)/'4. Billing Determinants'!$E$41*$D17,IF($E17="kW",VLOOKUP(V$4,'4. Billing Determinants'!$B$19:$R$41,5,0)/'4. Billing Determinants'!$F$41*$D17,IF($E17="Non-RPP kWh",VLOOKUP(V$4,'4. Billing Determinants'!$B$19:$R$41,6,0)/'4. Billing Determinants'!$G$41*$D17, VLOOKUP(V$4,'4. Billing Determinants'!$B$19:$AA$41,25,0)*$D17)))),0)</f>
        <v>0</v>
      </c>
      <c r="W17" s="347">
        <f>IFERROR(IF(W$4="",0,IF($E17="kWh",VLOOKUP(W$4,'4. Billing Determinants'!$B$19:$R$41,4,0)/'4. Billing Determinants'!$E$41*$D17,IF($E17="kW",VLOOKUP(W$4,'4. Billing Determinants'!$B$19:$R$41,5,0)/'4. Billing Determinants'!$F$41*$D17,IF($E17="Non-RPP kWh",VLOOKUP(W$4,'4. Billing Determinants'!$B$19:$R$41,6,0)/'4. Billing Determinants'!$G$41*$D17, VLOOKUP(W$4,'4. Billing Determinants'!$B$19:$AA$41,25,0)*$D17)))),0)</f>
        <v>0</v>
      </c>
      <c r="X17" s="347">
        <f>IFERROR(IF(X$4="",0,IF($E17="kWh",VLOOKUP(X$4,'4. Billing Determinants'!$B$19:$R$41,4,0)/'4. Billing Determinants'!$E$41*$D17,IF($E17="kW",VLOOKUP(X$4,'4. Billing Determinants'!$B$19:$R$41,5,0)/'4. Billing Determinants'!$F$41*$D17,IF($E17="Non-RPP kWh",VLOOKUP(X$4,'4. Billing Determinants'!$B$19:$R$41,6,0)/'4. Billing Determinants'!$G$41*$D17, VLOOKUP(X$4,'4. Billing Determinants'!$B$19:$AA$41,25,0)*$D17)))),0)</f>
        <v>0</v>
      </c>
      <c r="Y17" s="347">
        <f>IFERROR(IF(Y$4="",0,IF($E17="kWh",VLOOKUP(Y$4,'4. Billing Determinants'!$B$19:$R$41,4,0)/'4. Billing Determinants'!$E$41*$D17,IF($E17="kW",VLOOKUP(Y$4,'4. Billing Determinants'!$B$19:$R$41,5,0)/'4. Billing Determinants'!$F$41*$D17,IF($E17="Non-RPP kWh",VLOOKUP(Y$4,'4. Billing Determinants'!$B$19:$R$41,6,0)/'4. Billing Determinants'!$G$41*$D17, VLOOKUP(Y$4,'4. Billing Determinants'!$B$19:$AA$41,25,0)*$D17)))),0)</f>
        <v>0</v>
      </c>
    </row>
    <row r="18" spans="1:25" x14ac:dyDescent="0.25">
      <c r="A18" s="146">
        <v>15</v>
      </c>
      <c r="B18" s="44" t="s">
        <v>330</v>
      </c>
      <c r="C18" s="41">
        <v>1595</v>
      </c>
      <c r="D18" s="42">
        <f>'2. 2016 Continuity Schedule'!BT39</f>
        <v>203730.40700000001</v>
      </c>
      <c r="E18" s="74" t="s">
        <v>212</v>
      </c>
      <c r="F18" s="347">
        <f>IFERROR(IF(F$4="",0,IF($E18="kWh",VLOOKUP(F$4,'4. Billing Determinants'!$B$19:$R$41,4,0)/'4. Billing Determinants'!$E$41*$D18,IF($E18="kW",VLOOKUP(F$4,'4. Billing Determinants'!$B$19:$R$41,5,0)/'4. Billing Determinants'!$F$41*$D18,IF($E18="Non-RPP kWh",VLOOKUP(F$4,'4. Billing Determinants'!$B$19:$R$41,6,0)/'4. Billing Determinants'!$G$41*$D18, VLOOKUP(F$4,'4. Billing Determinants'!$B$19:$AA$41,26,0)*$D18)))),0)</f>
        <v>127331.504375</v>
      </c>
      <c r="G18" s="347">
        <f>IFERROR(IF(G$4="",0,IF($E18="kWh",VLOOKUP(G$4,'4. Billing Determinants'!$B$19:$R$41,4,0)/'4. Billing Determinants'!$E$41*$D18,IF($E18="kW",VLOOKUP(G$4,'4. Billing Determinants'!$B$19:$R$41,5,0)/'4. Billing Determinants'!$F$41*$D18,IF($E18="Non-RPP kWh",VLOOKUP(G$4,'4. Billing Determinants'!$B$19:$R$41,6,0)/'4. Billing Determinants'!$G$41*$D18, VLOOKUP(G$4,'4. Billing Determinants'!$B$19:$AA$41,26,0)*$D18)))),0)</f>
        <v>27503.604945000003</v>
      </c>
      <c r="H18" s="347">
        <f>IFERROR(IF(H$4="",0,IF($E18="kWh",VLOOKUP(H$4,'4. Billing Determinants'!$B$19:$R$41,4,0)/'4. Billing Determinants'!$E$41*$D18,IF($E18="kW",VLOOKUP(H$4,'4. Billing Determinants'!$B$19:$R$41,5,0)/'4. Billing Determinants'!$F$41*$D18,IF($E18="Non-RPP kWh",VLOOKUP(H$4,'4. Billing Determinants'!$B$19:$R$41,6,0)/'4. Billing Determinants'!$G$41*$D18, VLOOKUP(H$4,'4. Billing Determinants'!$B$19:$AA$41,26,0)*$D18)))),0)</f>
        <v>47672.915238000001</v>
      </c>
      <c r="I18" s="347">
        <f>IFERROR(IF(I$4="",0,IF($E18="kWh",VLOOKUP(I$4,'4. Billing Determinants'!$B$19:$R$41,4,0)/'4. Billing Determinants'!$E$41*$D18,IF($E18="kW",VLOOKUP(I$4,'4. Billing Determinants'!$B$19:$R$41,5,0)/'4. Billing Determinants'!$F$41*$D18,IF($E18="Non-RPP kWh",VLOOKUP(I$4,'4. Billing Determinants'!$B$19:$R$41,6,0)/'4. Billing Determinants'!$G$41*$D18, VLOOKUP(I$4,'4. Billing Determinants'!$B$19:$AA$41,26,0)*$D18)))),0)</f>
        <v>0</v>
      </c>
      <c r="J18" s="347">
        <f>IFERROR(IF(J$4="",0,IF($E18="kWh",VLOOKUP(J$4,'4. Billing Determinants'!$B$19:$R$41,4,0)/'4. Billing Determinants'!$E$41*$D18,IF($E18="kW",VLOOKUP(J$4,'4. Billing Determinants'!$B$19:$R$41,5,0)/'4. Billing Determinants'!$F$41*$D18,IF($E18="Non-RPP kWh",VLOOKUP(J$4,'4. Billing Determinants'!$B$19:$R$41,6,0)/'4. Billing Determinants'!$G$41*$D18, VLOOKUP(J$4,'4. Billing Determinants'!$B$19:$AA$41,26,0)*$D18)))),0)</f>
        <v>611.19122100000004</v>
      </c>
      <c r="K18" s="347">
        <f>IFERROR(IF(K$4="",0,IF($E18="kWh",VLOOKUP(K$4,'4. Billing Determinants'!$B$19:$R$41,4,0)/'4. Billing Determinants'!$E$41*$D18,IF($E18="kW",VLOOKUP(K$4,'4. Billing Determinants'!$B$19:$R$41,5,0)/'4. Billing Determinants'!$F$41*$D18,IF($E18="Non-RPP kWh",VLOOKUP(K$4,'4. Billing Determinants'!$B$19:$R$41,6,0)/'4. Billing Determinants'!$G$41*$D18, VLOOKUP(K$4,'4. Billing Determinants'!$B$19:$AA$41,26,0)*$D18)))),0)</f>
        <v>0</v>
      </c>
      <c r="L18" s="347">
        <f>IFERROR(IF(L$4="",0,IF($E18="kWh",VLOOKUP(L$4,'4. Billing Determinants'!$B$19:$R$41,4,0)/'4. Billing Determinants'!$E$41*$D18,IF($E18="kW",VLOOKUP(L$4,'4. Billing Determinants'!$B$19:$R$41,5,0)/'4. Billing Determinants'!$F$41*$D18,IF($E18="Non-RPP kWh",VLOOKUP(L$4,'4. Billing Determinants'!$B$19:$R$41,6,0)/'4. Billing Determinants'!$G$41*$D18, VLOOKUP(L$4,'4. Billing Determinants'!$B$19:$AA$41,26,0)*$D18)))),0)</f>
        <v>0</v>
      </c>
      <c r="M18" s="347">
        <f>IFERROR(IF(M$4="",0,IF($E18="kWh",VLOOKUP(M$4,'4. Billing Determinants'!$B$19:$R$41,4,0)/'4. Billing Determinants'!$E$41*$D18,IF($E18="kW",VLOOKUP(M$4,'4. Billing Determinants'!$B$19:$R$41,5,0)/'4. Billing Determinants'!$F$41*$D18,IF($E18="Non-RPP kWh",VLOOKUP(M$4,'4. Billing Determinants'!$B$19:$R$41,6,0)/'4. Billing Determinants'!$G$41*$D18, VLOOKUP(M$4,'4. Billing Determinants'!$B$19:$AA$41,26,0)*$D18)))),0)</f>
        <v>0</v>
      </c>
      <c r="N18" s="347">
        <f>IFERROR(IF(N$4="",0,IF($E18="kWh",VLOOKUP(N$4,'4. Billing Determinants'!$B$19:$R$41,4,0)/'4. Billing Determinants'!$E$41*$D18,IF($E18="kW",VLOOKUP(N$4,'4. Billing Determinants'!$B$19:$R$41,5,0)/'4. Billing Determinants'!$F$41*$D18,IF($E18="Non-RPP kWh",VLOOKUP(N$4,'4. Billing Determinants'!$B$19:$R$41,6,0)/'4. Billing Determinants'!$G$41*$D18, VLOOKUP(N$4,'4. Billing Determinants'!$B$19:$AA$41,26,0)*$D18)))),0)</f>
        <v>0</v>
      </c>
      <c r="O18" s="347">
        <f>IFERROR(IF(O$4="",0,IF($E18="kWh",VLOOKUP(O$4,'4. Billing Determinants'!$B$19:$R$41,4,0)/'4. Billing Determinants'!$E$41*$D18,IF($E18="kW",VLOOKUP(O$4,'4. Billing Determinants'!$B$19:$R$41,5,0)/'4. Billing Determinants'!$F$41*$D18,IF($E18="Non-RPP kWh",VLOOKUP(O$4,'4. Billing Determinants'!$B$19:$R$41,6,0)/'4. Billing Determinants'!$G$41*$D18, VLOOKUP(O$4,'4. Billing Determinants'!$B$19:$AA$41,26,0)*$D18)))),0)</f>
        <v>0</v>
      </c>
      <c r="P18" s="347">
        <f>IFERROR(IF(P$4="",0,IF($E18="kWh",VLOOKUP(P$4,'4. Billing Determinants'!$B$19:$R$41,4,0)/'4. Billing Determinants'!$E$41*$D18,IF($E18="kW",VLOOKUP(P$4,'4. Billing Determinants'!$B$19:$R$41,5,0)/'4. Billing Determinants'!$F$41*$D18,IF($E18="Non-RPP kWh",VLOOKUP(P$4,'4. Billing Determinants'!$B$19:$R$41,6,0)/'4. Billing Determinants'!$G$41*$D18, VLOOKUP(P$4,'4. Billing Determinants'!$B$19:$AA$41,26,0)*$D18)))),0)</f>
        <v>0</v>
      </c>
      <c r="Q18" s="347">
        <f>IFERROR(IF(Q$4="",0,IF($E18="kWh",VLOOKUP(Q$4,'4. Billing Determinants'!$B$19:$R$41,4,0)/'4. Billing Determinants'!$E$41*$D18,IF($E18="kW",VLOOKUP(Q$4,'4. Billing Determinants'!$B$19:$R$41,5,0)/'4. Billing Determinants'!$F$41*$D18,IF($E18="Non-RPP kWh",VLOOKUP(Q$4,'4. Billing Determinants'!$B$19:$R$41,6,0)/'4. Billing Determinants'!$G$41*$D18, VLOOKUP(Q$4,'4. Billing Determinants'!$B$19:$AA$41,26,0)*$D18)))),0)</f>
        <v>0</v>
      </c>
      <c r="R18" s="347">
        <f>IFERROR(IF(R$4="",0,IF($E18="kWh",VLOOKUP(R$4,'4. Billing Determinants'!$B$19:$R$41,4,0)/'4. Billing Determinants'!$E$41*$D18,IF($E18="kW",VLOOKUP(R$4,'4. Billing Determinants'!$B$19:$R$41,5,0)/'4. Billing Determinants'!$F$41*$D18,IF($E18="Non-RPP kWh",VLOOKUP(R$4,'4. Billing Determinants'!$B$19:$R$41,6,0)/'4. Billing Determinants'!$G$41*$D18, VLOOKUP(R$4,'4. Billing Determinants'!$B$19:$AA$41,26,0)*$D18)))),0)</f>
        <v>0</v>
      </c>
      <c r="S18" s="347">
        <f>IFERROR(IF(S$4="",0,IF($E18="kWh",VLOOKUP(S$4,'4. Billing Determinants'!$B$19:$R$41,4,0)/'4. Billing Determinants'!$E$41*$D18,IF($E18="kW",VLOOKUP(S$4,'4. Billing Determinants'!$B$19:$R$41,5,0)/'4. Billing Determinants'!$F$41*$D18,IF($E18="Non-RPP kWh",VLOOKUP(S$4,'4. Billing Determinants'!$B$19:$R$41,6,0)/'4. Billing Determinants'!$G$41*$D18, VLOOKUP(S$4,'4. Billing Determinants'!$B$19:$AA$41,26,0)*$D18)))),0)</f>
        <v>0</v>
      </c>
      <c r="T18" s="347">
        <f>IFERROR(IF(T$4="",0,IF($E18="kWh",VLOOKUP(T$4,'4. Billing Determinants'!$B$19:$R$41,4,0)/'4. Billing Determinants'!$E$41*$D18,IF($E18="kW",VLOOKUP(T$4,'4. Billing Determinants'!$B$19:$R$41,5,0)/'4. Billing Determinants'!$F$41*$D18,IF($E18="Non-RPP kWh",VLOOKUP(T$4,'4. Billing Determinants'!$B$19:$R$41,6,0)/'4. Billing Determinants'!$G$41*$D18, VLOOKUP(T$4,'4. Billing Determinants'!$B$19:$AA$41,26,0)*$D18)))),0)</f>
        <v>0</v>
      </c>
      <c r="U18" s="347">
        <f>IFERROR(IF(U$4="",0,IF($E18="kWh",VLOOKUP(U$4,'4. Billing Determinants'!$B$19:$R$41,4,0)/'4. Billing Determinants'!$E$41*$D18,IF($E18="kW",VLOOKUP(U$4,'4. Billing Determinants'!$B$19:$R$41,5,0)/'4. Billing Determinants'!$F$41*$D18,IF($E18="Non-RPP kWh",VLOOKUP(U$4,'4. Billing Determinants'!$B$19:$R$41,6,0)/'4. Billing Determinants'!$G$41*$D18, VLOOKUP(U$4,'4. Billing Determinants'!$B$19:$AA$41,26,0)*$D18)))),0)</f>
        <v>0</v>
      </c>
      <c r="V18" s="347">
        <f>IFERROR(IF(V$4="",0,IF($E18="kWh",VLOOKUP(V$4,'4. Billing Determinants'!$B$19:$R$41,4,0)/'4. Billing Determinants'!$E$41*$D18,IF($E18="kW",VLOOKUP(V$4,'4. Billing Determinants'!$B$19:$R$41,5,0)/'4. Billing Determinants'!$F$41*$D18,IF($E18="Non-RPP kWh",VLOOKUP(V$4,'4. Billing Determinants'!$B$19:$R$41,6,0)/'4. Billing Determinants'!$G$41*$D18, VLOOKUP(V$4,'4. Billing Determinants'!$B$19:$AA$41,26,0)*$D18)))),0)</f>
        <v>0</v>
      </c>
      <c r="W18" s="347">
        <f>IFERROR(IF(W$4="",0,IF($E18="kWh",VLOOKUP(W$4,'4. Billing Determinants'!$B$19:$R$41,4,0)/'4. Billing Determinants'!$E$41*$D18,IF($E18="kW",VLOOKUP(W$4,'4. Billing Determinants'!$B$19:$R$41,5,0)/'4. Billing Determinants'!$F$41*$D18,IF($E18="Non-RPP kWh",VLOOKUP(W$4,'4. Billing Determinants'!$B$19:$R$41,6,0)/'4. Billing Determinants'!$G$41*$D18, VLOOKUP(W$4,'4. Billing Determinants'!$B$19:$AA$41,26,0)*$D18)))),0)</f>
        <v>0</v>
      </c>
      <c r="X18" s="347">
        <f>IFERROR(IF(X$4="",0,IF($E18="kWh",VLOOKUP(X$4,'4. Billing Determinants'!$B$19:$R$41,4,0)/'4. Billing Determinants'!$E$41*$D18,IF($E18="kW",VLOOKUP(X$4,'4. Billing Determinants'!$B$19:$R$41,5,0)/'4. Billing Determinants'!$F$41*$D18,IF($E18="Non-RPP kWh",VLOOKUP(X$4,'4. Billing Determinants'!$B$19:$R$41,6,0)/'4. Billing Determinants'!$G$41*$D18, VLOOKUP(X$4,'4. Billing Determinants'!$B$19:$AA$41,26,0)*$D18)))),0)</f>
        <v>0</v>
      </c>
      <c r="Y18" s="347">
        <f>IFERROR(IF(Y$4="",0,IF($E18="kWh",VLOOKUP(Y$4,'4. Billing Determinants'!$B$19:$R$41,4,0)/'4. Billing Determinants'!$E$41*$D18,IF($E18="kW",VLOOKUP(Y$4,'4. Billing Determinants'!$B$19:$R$41,5,0)/'4. Billing Determinants'!$F$41*$D18,IF($E18="Non-RPP kWh",VLOOKUP(Y$4,'4. Billing Determinants'!$B$19:$R$41,6,0)/'4. Billing Determinants'!$G$41*$D18, VLOOKUP(Y$4,'4. Billing Determinants'!$B$19:$AA$41,26,0)*$D18)))),0)</f>
        <v>0</v>
      </c>
    </row>
    <row r="19" spans="1:25" s="2" customFormat="1" x14ac:dyDescent="0.25">
      <c r="A19" s="327">
        <v>16</v>
      </c>
      <c r="B19" s="55" t="s">
        <v>95</v>
      </c>
      <c r="C19" s="55"/>
      <c r="D19" s="56">
        <f>SUM(D5:D18)-D11</f>
        <v>246026.17100000003</v>
      </c>
      <c r="E19" s="175"/>
      <c r="F19" s="56">
        <f>SUM(F5:F18)-F11</f>
        <v>156226.09767954249</v>
      </c>
      <c r="G19" s="56">
        <f t="shared" ref="G19:Y19" si="0">SUM(G5:G18)-G11</f>
        <v>33755.445732827437</v>
      </c>
      <c r="H19" s="56">
        <f t="shared" si="0"/>
        <v>60112.58206644404</v>
      </c>
      <c r="I19" s="56">
        <f t="shared" si="0"/>
        <v>38.981968856953053</v>
      </c>
      <c r="J19" s="56">
        <f t="shared" si="0"/>
        <v>702.45900063182989</v>
      </c>
      <c r="K19" s="56">
        <f t="shared" si="0"/>
        <v>151.90201249734082</v>
      </c>
      <c r="L19" s="56">
        <f t="shared" si="0"/>
        <v>0</v>
      </c>
      <c r="M19" s="56">
        <f t="shared" si="0"/>
        <v>0</v>
      </c>
      <c r="N19" s="56">
        <f t="shared" si="0"/>
        <v>0</v>
      </c>
      <c r="O19" s="56">
        <f t="shared" si="0"/>
        <v>0</v>
      </c>
      <c r="P19" s="56">
        <f t="shared" si="0"/>
        <v>0</v>
      </c>
      <c r="Q19" s="56">
        <f t="shared" si="0"/>
        <v>0</v>
      </c>
      <c r="R19" s="56">
        <f t="shared" si="0"/>
        <v>0</v>
      </c>
      <c r="S19" s="56">
        <f t="shared" si="0"/>
        <v>0</v>
      </c>
      <c r="T19" s="56">
        <f t="shared" si="0"/>
        <v>0</v>
      </c>
      <c r="U19" s="56">
        <f t="shared" si="0"/>
        <v>0</v>
      </c>
      <c r="V19" s="56">
        <f t="shared" si="0"/>
        <v>0</v>
      </c>
      <c r="W19" s="56">
        <f t="shared" si="0"/>
        <v>0</v>
      </c>
      <c r="X19" s="56">
        <f t="shared" si="0"/>
        <v>0</v>
      </c>
      <c r="Y19" s="56">
        <f t="shared" si="0"/>
        <v>0</v>
      </c>
    </row>
    <row r="20" spans="1:25" ht="8.25" customHeight="1" x14ac:dyDescent="0.25">
      <c r="A20" s="146">
        <v>17</v>
      </c>
      <c r="B20" s="45"/>
      <c r="C20" s="45"/>
      <c r="D20" s="46"/>
      <c r="E20" s="176"/>
    </row>
    <row r="21" spans="1:25" x14ac:dyDescent="0.25">
      <c r="A21" s="146">
        <v>18</v>
      </c>
      <c r="B21" s="40" t="s">
        <v>33</v>
      </c>
      <c r="C21" s="41">
        <v>1508</v>
      </c>
      <c r="D21" s="42">
        <f>'2. 2016 Continuity Schedule'!BT47</f>
        <v>11929</v>
      </c>
      <c r="E21" s="74" t="s">
        <v>189</v>
      </c>
      <c r="F21" s="42">
        <f>IFERROR(IF(F$4="",0,IF($E21="kWh",VLOOKUP(F$4,'4. Billing Determinants'!$B$19:$R$41,4,0)/'4. Billing Determinants'!$E$41*$D21,IF($E21="kW",VLOOKUP(F$4,'4. Billing Determinants'!$B$19:$R$41,5,0)/'4. Billing Determinants'!$F$41*$D21,IF($E21="Non-RPP kWh",VLOOKUP(F$4,'4. Billing Determinants'!$B$19:$R$41,6,0)/'4. Billing Determinants'!$G$41*$D21,IF($E21="Distribution Rev.",VLOOKUP(F$4,'4. Billing Determinants'!$B$19:$R$41,8,0)/'4. Billing Determinants'!$I$41*$D21, VLOOKUP(F$4,'4. Billing Determinants'!$B$19:$R$41,3,0)/'4. Billing Determinants'!$D$41*$D21))))),0)</f>
        <v>7167.4172916670741</v>
      </c>
      <c r="G21" s="42">
        <f>IFERROR(IF(G$4="",0,IF($E21="kWh",VLOOKUP(G$4,'4. Billing Determinants'!$B$19:$R$41,4,0)/'4. Billing Determinants'!$E$41*$D21,IF($E21="kW",VLOOKUP(G$4,'4. Billing Determinants'!$B$19:$R$41,5,0)/'4. Billing Determinants'!$F$41*$D21,IF($E21="Non-RPP kWh",VLOOKUP(G$4,'4. Billing Determinants'!$B$19:$R$41,6,0)/'4. Billing Determinants'!$G$41*$D21,IF($E21="Distribution Rev.",VLOOKUP(G$4,'4. Billing Determinants'!$B$19:$R$41,8,0)/'4. Billing Determinants'!$I$41*$D21, VLOOKUP(G$4,'4. Billing Determinants'!$B$19:$R$41,3,0)/'4. Billing Determinants'!$D$41*$D21))))),0)</f>
        <v>1563.7698329355876</v>
      </c>
      <c r="H21" s="42">
        <f>IFERROR(IF(H$4="",0,IF($E21="kWh",VLOOKUP(H$4,'4. Billing Determinants'!$B$19:$R$41,4,0)/'4. Billing Determinants'!$E$41*$D21,IF($E21="kW",VLOOKUP(H$4,'4. Billing Determinants'!$B$19:$R$41,5,0)/'4. Billing Determinants'!$F$41*$D21,IF($E21="Non-RPP kWh",VLOOKUP(H$4,'4. Billing Determinants'!$B$19:$R$41,6,0)/'4. Billing Determinants'!$G$41*$D21,IF($E21="Distribution Rev.",VLOOKUP(H$4,'4. Billing Determinants'!$B$19:$R$41,8,0)/'4. Billing Determinants'!$I$41*$D21, VLOOKUP(H$4,'4. Billing Determinants'!$B$19:$R$41,3,0)/'4. Billing Determinants'!$D$41*$D21))))),0)</f>
        <v>3141.8037594800116</v>
      </c>
      <c r="I21" s="42">
        <f>IFERROR(IF(I$4="",0,IF($E21="kWh",VLOOKUP(I$4,'4. Billing Determinants'!$B$19:$R$41,4,0)/'4. Billing Determinants'!$E$41*$D21,IF($E21="kW",VLOOKUP(I$4,'4. Billing Determinants'!$B$19:$R$41,5,0)/'4. Billing Determinants'!$F$41*$D21,IF($E21="Non-RPP kWh",VLOOKUP(I$4,'4. Billing Determinants'!$B$19:$R$41,6,0)/'4. Billing Determinants'!$G$41*$D21,IF($E21="Distribution Rev.",VLOOKUP(I$4,'4. Billing Determinants'!$B$19:$R$41,8,0)/'4. Billing Determinants'!$I$41*$D21, VLOOKUP(I$4,'4. Billing Determinants'!$B$19:$R$41,3,0)/'4. Billing Determinants'!$D$41*$D21))))),0)</f>
        <v>5.1291946680185676</v>
      </c>
      <c r="J21" s="42">
        <f>IFERROR(IF(J$4="",0,IF($E21="kWh",VLOOKUP(J$4,'4. Billing Determinants'!$B$19:$R$41,4,0)/'4. Billing Determinants'!$E$41*$D21,IF($E21="kW",VLOOKUP(J$4,'4. Billing Determinants'!$B$19:$R$41,5,0)/'4. Billing Determinants'!$F$41*$D21,IF($E21="Non-RPP kWh",VLOOKUP(J$4,'4. Billing Determinants'!$B$19:$R$41,6,0)/'4. Billing Determinants'!$G$41*$D21,IF($E21="Distribution Rev.",VLOOKUP(J$4,'4. Billing Determinants'!$B$19:$R$41,8,0)/'4. Billing Determinants'!$I$41*$D21, VLOOKUP(J$4,'4. Billing Determinants'!$B$19:$R$41,3,0)/'4. Billing Determinants'!$D$41*$D21))))),0)</f>
        <v>27.933801062742994</v>
      </c>
      <c r="K21" s="42">
        <f>IFERROR(IF(K$4="",0,IF($E21="kWh",VLOOKUP(K$4,'4. Billing Determinants'!$B$19:$R$41,4,0)/'4. Billing Determinants'!$E$41*$D21,IF($E21="kW",VLOOKUP(K$4,'4. Billing Determinants'!$B$19:$R$41,5,0)/'4. Billing Determinants'!$F$41*$D21,IF($E21="Non-RPP kWh",VLOOKUP(K$4,'4. Billing Determinants'!$B$19:$R$41,6,0)/'4. Billing Determinants'!$G$41*$D21,IF($E21="Distribution Rev.",VLOOKUP(K$4,'4. Billing Determinants'!$B$19:$R$41,8,0)/'4. Billing Determinants'!$I$41*$D21, VLOOKUP(K$4,'4. Billing Determinants'!$B$19:$R$41,3,0)/'4. Billing Determinants'!$D$41*$D21))))),0)</f>
        <v>22.946120186564062</v>
      </c>
      <c r="L21" s="42">
        <f>IFERROR(IF(L$4="",0,IF($E21="kWh",VLOOKUP(L$4,'4. Billing Determinants'!$B$19:$R$41,4,0)/'4. Billing Determinants'!$E$41*$D21,IF($E21="kW",VLOOKUP(L$4,'4. Billing Determinants'!$B$19:$R$41,5,0)/'4. Billing Determinants'!$F$41*$D21,IF($E21="Non-RPP kWh",VLOOKUP(L$4,'4. Billing Determinants'!$B$19:$R$41,6,0)/'4. Billing Determinants'!$G$41*$D21,IF($E21="Distribution Rev.",VLOOKUP(L$4,'4. Billing Determinants'!$B$19:$R$41,8,0)/'4. Billing Determinants'!$I$41*$D21, VLOOKUP(L$4,'4. Billing Determinants'!$B$19:$R$41,3,0)/'4. Billing Determinants'!$D$41*$D21))))),0)</f>
        <v>0</v>
      </c>
      <c r="M21" s="42">
        <f>IFERROR(IF(M$4="",0,IF($E21="kWh",VLOOKUP(M$4,'4. Billing Determinants'!$B$19:$R$41,4,0)/'4. Billing Determinants'!$E$41*$D21,IF($E21="kW",VLOOKUP(M$4,'4. Billing Determinants'!$B$19:$R$41,5,0)/'4. Billing Determinants'!$F$41*$D21,IF($E21="Non-RPP kWh",VLOOKUP(M$4,'4. Billing Determinants'!$B$19:$R$41,6,0)/'4. Billing Determinants'!$G$41*$D21,IF($E21="Distribution Rev.",VLOOKUP(M$4,'4. Billing Determinants'!$B$19:$R$41,8,0)/'4. Billing Determinants'!$I$41*$D21, VLOOKUP(M$4,'4. Billing Determinants'!$B$19:$R$41,3,0)/'4. Billing Determinants'!$D$41*$D21))))),0)</f>
        <v>0</v>
      </c>
      <c r="N21" s="42">
        <f>IFERROR(IF(N$4="",0,IF($E21="kWh",VLOOKUP(N$4,'4. Billing Determinants'!$B$19:$R$41,4,0)/'4. Billing Determinants'!$E$41*$D21,IF($E21="kW",VLOOKUP(N$4,'4. Billing Determinants'!$B$19:$R$41,5,0)/'4. Billing Determinants'!$F$41*$D21,IF($E21="Non-RPP kWh",VLOOKUP(N$4,'4. Billing Determinants'!$B$19:$R$41,6,0)/'4. Billing Determinants'!$G$41*$D21,IF($E21="Distribution Rev.",VLOOKUP(N$4,'4. Billing Determinants'!$B$19:$R$41,8,0)/'4. Billing Determinants'!$I$41*$D21, VLOOKUP(N$4,'4. Billing Determinants'!$B$19:$R$41,3,0)/'4. Billing Determinants'!$D$41*$D21))))),0)</f>
        <v>0</v>
      </c>
      <c r="O21" s="42">
        <f>IFERROR(IF(O$4="",0,IF($E21="kWh",VLOOKUP(O$4,'4. Billing Determinants'!$B$19:$R$41,4,0)/'4. Billing Determinants'!$E$41*$D21,IF($E21="kW",VLOOKUP(O$4,'4. Billing Determinants'!$B$19:$R$41,5,0)/'4. Billing Determinants'!$F$41*$D21,IF($E21="Non-RPP kWh",VLOOKUP(O$4,'4. Billing Determinants'!$B$19:$R$41,6,0)/'4. Billing Determinants'!$G$41*$D21,IF($E21="Distribution Rev.",VLOOKUP(O$4,'4. Billing Determinants'!$B$19:$R$41,8,0)/'4. Billing Determinants'!$I$41*$D21, VLOOKUP(O$4,'4. Billing Determinants'!$B$19:$R$41,3,0)/'4. Billing Determinants'!$D$41*$D21))))),0)</f>
        <v>0</v>
      </c>
      <c r="P21" s="42">
        <f>IFERROR(IF(P$4="",0,IF($E21="kWh",VLOOKUP(P$4,'4. Billing Determinants'!$B$19:$R$41,4,0)/'4. Billing Determinants'!$E$41*$D21,IF($E21="kW",VLOOKUP(P$4,'4. Billing Determinants'!$B$19:$R$41,5,0)/'4. Billing Determinants'!$F$41*$D21,IF($E21="Non-RPP kWh",VLOOKUP(P$4,'4. Billing Determinants'!$B$19:$R$41,6,0)/'4. Billing Determinants'!$G$41*$D21,IF($E21="Distribution Rev.",VLOOKUP(P$4,'4. Billing Determinants'!$B$19:$R$41,8,0)/'4. Billing Determinants'!$I$41*$D21, VLOOKUP(P$4,'4. Billing Determinants'!$B$19:$R$41,3,0)/'4. Billing Determinants'!$D$41*$D21))))),0)</f>
        <v>0</v>
      </c>
      <c r="Q21" s="42">
        <f>IFERROR(IF(Q$4="",0,IF($E21="kWh",VLOOKUP(Q$4,'4. Billing Determinants'!$B$19:$R$41,4,0)/'4. Billing Determinants'!$E$41*$D21,IF($E21="kW",VLOOKUP(Q$4,'4. Billing Determinants'!$B$19:$R$41,5,0)/'4. Billing Determinants'!$F$41*$D21,IF($E21="Non-RPP kWh",VLOOKUP(Q$4,'4. Billing Determinants'!$B$19:$R$41,6,0)/'4. Billing Determinants'!$G$41*$D21,IF($E21="Distribution Rev.",VLOOKUP(Q$4,'4. Billing Determinants'!$B$19:$R$41,8,0)/'4. Billing Determinants'!$I$41*$D21, VLOOKUP(Q$4,'4. Billing Determinants'!$B$19:$R$41,3,0)/'4. Billing Determinants'!$D$41*$D21))))),0)</f>
        <v>0</v>
      </c>
      <c r="R21" s="42">
        <f>IFERROR(IF(R$4="",0,IF($E21="kWh",VLOOKUP(R$4,'4. Billing Determinants'!$B$19:$R$41,4,0)/'4. Billing Determinants'!$E$41*$D21,IF($E21="kW",VLOOKUP(R$4,'4. Billing Determinants'!$B$19:$R$41,5,0)/'4. Billing Determinants'!$F$41*$D21,IF($E21="Non-RPP kWh",VLOOKUP(R$4,'4. Billing Determinants'!$B$19:$R$41,6,0)/'4. Billing Determinants'!$G$41*$D21,IF($E21="Distribution Rev.",VLOOKUP(R$4,'4. Billing Determinants'!$B$19:$R$41,8,0)/'4. Billing Determinants'!$I$41*$D21, VLOOKUP(R$4,'4. Billing Determinants'!$B$19:$R$41,3,0)/'4. Billing Determinants'!$D$41*$D21))))),0)</f>
        <v>0</v>
      </c>
      <c r="S21" s="42">
        <f>IFERROR(IF(S$4="",0,IF($E21="kWh",VLOOKUP(S$4,'4. Billing Determinants'!$B$19:$R$41,4,0)/'4. Billing Determinants'!$E$41*$D21,IF($E21="kW",VLOOKUP(S$4,'4. Billing Determinants'!$B$19:$R$41,5,0)/'4. Billing Determinants'!$F$41*$D21,IF($E21="Non-RPP kWh",VLOOKUP(S$4,'4. Billing Determinants'!$B$19:$R$41,6,0)/'4. Billing Determinants'!$G$41*$D21,IF($E21="Distribution Rev.",VLOOKUP(S$4,'4. Billing Determinants'!$B$19:$R$41,8,0)/'4. Billing Determinants'!$I$41*$D21, VLOOKUP(S$4,'4. Billing Determinants'!$B$19:$R$41,3,0)/'4. Billing Determinants'!$D$41*$D21))))),0)</f>
        <v>0</v>
      </c>
      <c r="T21" s="42">
        <f>IFERROR(IF(T$4="",0,IF($E21="kWh",VLOOKUP(T$4,'4. Billing Determinants'!$B$19:$R$41,4,0)/'4. Billing Determinants'!$E$41*$D21,IF($E21="kW",VLOOKUP(T$4,'4. Billing Determinants'!$B$19:$R$41,5,0)/'4. Billing Determinants'!$F$41*$D21,IF($E21="Non-RPP kWh",VLOOKUP(T$4,'4. Billing Determinants'!$B$19:$R$41,6,0)/'4. Billing Determinants'!$G$41*$D21,IF($E21="Distribution Rev.",VLOOKUP(T$4,'4. Billing Determinants'!$B$19:$R$41,8,0)/'4. Billing Determinants'!$I$41*$D21, VLOOKUP(T$4,'4. Billing Determinants'!$B$19:$R$41,3,0)/'4. Billing Determinants'!$D$41*$D21))))),0)</f>
        <v>0</v>
      </c>
      <c r="U21" s="42">
        <f>IFERROR(IF(U$4="",0,IF($E21="kWh",VLOOKUP(U$4,'4. Billing Determinants'!$B$19:$R$41,4,0)/'4. Billing Determinants'!$E$41*$D21,IF($E21="kW",VLOOKUP(U$4,'4. Billing Determinants'!$B$19:$R$41,5,0)/'4. Billing Determinants'!$F$41*$D21,IF($E21="Non-RPP kWh",VLOOKUP(U$4,'4. Billing Determinants'!$B$19:$R$41,6,0)/'4. Billing Determinants'!$G$41*$D21,IF($E21="Distribution Rev.",VLOOKUP(U$4,'4. Billing Determinants'!$B$19:$R$41,8,0)/'4. Billing Determinants'!$I$41*$D21, VLOOKUP(U$4,'4. Billing Determinants'!$B$19:$R$41,3,0)/'4. Billing Determinants'!$D$41*$D21))))),0)</f>
        <v>0</v>
      </c>
      <c r="V21" s="42">
        <f>IFERROR(IF(V$4="",0,IF($E21="kWh",VLOOKUP(V$4,'4. Billing Determinants'!$B$19:$R$41,4,0)/'4. Billing Determinants'!$E$41*$D21,IF($E21="kW",VLOOKUP(V$4,'4. Billing Determinants'!$B$19:$R$41,5,0)/'4. Billing Determinants'!$F$41*$D21,IF($E21="Non-RPP kWh",VLOOKUP(V$4,'4. Billing Determinants'!$B$19:$R$41,6,0)/'4. Billing Determinants'!$G$41*$D21,IF($E21="Distribution Rev.",VLOOKUP(V$4,'4. Billing Determinants'!$B$19:$R$41,8,0)/'4. Billing Determinants'!$I$41*$D21, VLOOKUP(V$4,'4. Billing Determinants'!$B$19:$R$41,3,0)/'4. Billing Determinants'!$D$41*$D21))))),0)</f>
        <v>0</v>
      </c>
      <c r="W21" s="42">
        <f>IFERROR(IF(W$4="",0,IF($E21="kWh",VLOOKUP(W$4,'4. Billing Determinants'!$B$19:$R$41,4,0)/'4. Billing Determinants'!$E$41*$D21,IF($E21="kW",VLOOKUP(W$4,'4. Billing Determinants'!$B$19:$R$41,5,0)/'4. Billing Determinants'!$F$41*$D21,IF($E21="Non-RPP kWh",VLOOKUP(W$4,'4. Billing Determinants'!$B$19:$R$41,6,0)/'4. Billing Determinants'!$G$41*$D21,IF($E21="Distribution Rev.",VLOOKUP(W$4,'4. Billing Determinants'!$B$19:$R$41,8,0)/'4. Billing Determinants'!$I$41*$D21, VLOOKUP(W$4,'4. Billing Determinants'!$B$19:$R$41,3,0)/'4. Billing Determinants'!$D$41*$D21))))),0)</f>
        <v>0</v>
      </c>
      <c r="X21" s="42">
        <f>IFERROR(IF(X$4="",0,IF($E21="kWh",VLOOKUP(X$4,'4. Billing Determinants'!$B$19:$R$41,4,0)/'4. Billing Determinants'!$E$41*$D21,IF($E21="kW",VLOOKUP(X$4,'4. Billing Determinants'!$B$19:$R$41,5,0)/'4. Billing Determinants'!$F$41*$D21,IF($E21="Non-RPP kWh",VLOOKUP(X$4,'4. Billing Determinants'!$B$19:$R$41,6,0)/'4. Billing Determinants'!$G$41*$D21,IF($E21="Distribution Rev.",VLOOKUP(X$4,'4. Billing Determinants'!$B$19:$R$41,8,0)/'4. Billing Determinants'!$I$41*$D21, VLOOKUP(X$4,'4. Billing Determinants'!$B$19:$R$41,3,0)/'4. Billing Determinants'!$D$41*$D21))))),0)</f>
        <v>0</v>
      </c>
      <c r="Y21" s="42">
        <f>IFERROR(IF(Y$4="",0,IF($E21="kWh",VLOOKUP(Y$4,'4. Billing Determinants'!$B$19:$R$41,4,0)/'4. Billing Determinants'!$E$41*$D21,IF($E21="kW",VLOOKUP(Y$4,'4. Billing Determinants'!$B$19:$R$41,5,0)/'4. Billing Determinants'!$F$41*$D21,IF($E21="Non-RPP kWh",VLOOKUP(Y$4,'4. Billing Determinants'!$B$19:$R$41,6,0)/'4. Billing Determinants'!$G$41*$D21,IF($E21="Distribution Rev.",VLOOKUP(Y$4,'4. Billing Determinants'!$B$19:$R$41,8,0)/'4. Billing Determinants'!$I$41*$D21, VLOOKUP(Y$4,'4. Billing Determinants'!$B$19:$R$41,3,0)/'4. Billing Determinants'!$D$41*$D21))))),0)</f>
        <v>0</v>
      </c>
    </row>
    <row r="22" spans="1:25" x14ac:dyDescent="0.25">
      <c r="A22" s="146">
        <v>19</v>
      </c>
      <c r="B22" s="40" t="s">
        <v>34</v>
      </c>
      <c r="C22" s="41">
        <v>1508</v>
      </c>
      <c r="D22" s="42">
        <f>'2. 2016 Continuity Schedule'!BT48</f>
        <v>0</v>
      </c>
      <c r="E22" s="74" t="s">
        <v>189</v>
      </c>
      <c r="F22" s="42">
        <f>IFERROR(IF(F$4="",0,IF($E22="kWh",VLOOKUP(F$4,'4. Billing Determinants'!$B$19:$R$41,4,0)/'4. Billing Determinants'!$E$41*$D22,IF($E22="kW",VLOOKUP(F$4,'4. Billing Determinants'!$B$19:$R$41,5,0)/'4. Billing Determinants'!$F$41*$D22,IF($E22="Non-RPP kWh",VLOOKUP(F$4,'4. Billing Determinants'!$B$19:$R$41,6,0)/'4. Billing Determinants'!$G$41*$D22,IF($E22="Distribution Rev.",VLOOKUP(F$4,'4. Billing Determinants'!$B$19:$R$41,8,0)/'4. Billing Determinants'!$I$41*$D22, VLOOKUP(F$4,'4. Billing Determinants'!$B$19:$R$41,3,0)/'4. Billing Determinants'!$D$41*$D22))))),0)</f>
        <v>0</v>
      </c>
      <c r="G22" s="42">
        <f>IFERROR(IF(G$4="",0,IF($E22="kWh",VLOOKUP(G$4,'4. Billing Determinants'!$B$19:$R$41,4,0)/'4. Billing Determinants'!$E$41*$D22,IF($E22="kW",VLOOKUP(G$4,'4. Billing Determinants'!$B$19:$R$41,5,0)/'4. Billing Determinants'!$F$41*$D22,IF($E22="Non-RPP kWh",VLOOKUP(G$4,'4. Billing Determinants'!$B$19:$R$41,6,0)/'4. Billing Determinants'!$G$41*$D22,IF($E22="Distribution Rev.",VLOOKUP(G$4,'4. Billing Determinants'!$B$19:$R$41,8,0)/'4. Billing Determinants'!$I$41*$D22, VLOOKUP(G$4,'4. Billing Determinants'!$B$19:$R$41,3,0)/'4. Billing Determinants'!$D$41*$D22))))),0)</f>
        <v>0</v>
      </c>
      <c r="H22" s="42">
        <f>IFERROR(IF(H$4="",0,IF($E22="kWh",VLOOKUP(H$4,'4. Billing Determinants'!$B$19:$R$41,4,0)/'4. Billing Determinants'!$E$41*$D22,IF($E22="kW",VLOOKUP(H$4,'4. Billing Determinants'!$B$19:$R$41,5,0)/'4. Billing Determinants'!$F$41*$D22,IF($E22="Non-RPP kWh",VLOOKUP(H$4,'4. Billing Determinants'!$B$19:$R$41,6,0)/'4. Billing Determinants'!$G$41*$D22,IF($E22="Distribution Rev.",VLOOKUP(H$4,'4. Billing Determinants'!$B$19:$R$41,8,0)/'4. Billing Determinants'!$I$41*$D22, VLOOKUP(H$4,'4. Billing Determinants'!$B$19:$R$41,3,0)/'4. Billing Determinants'!$D$41*$D22))))),0)</f>
        <v>0</v>
      </c>
      <c r="I22" s="42">
        <f>IFERROR(IF(I$4="",0,IF($E22="kWh",VLOOKUP(I$4,'4. Billing Determinants'!$B$19:$R$41,4,0)/'4. Billing Determinants'!$E$41*$D22,IF($E22="kW",VLOOKUP(I$4,'4. Billing Determinants'!$B$19:$R$41,5,0)/'4. Billing Determinants'!$F$41*$D22,IF($E22="Non-RPP kWh",VLOOKUP(I$4,'4. Billing Determinants'!$B$19:$R$41,6,0)/'4. Billing Determinants'!$G$41*$D22,IF($E22="Distribution Rev.",VLOOKUP(I$4,'4. Billing Determinants'!$B$19:$R$41,8,0)/'4. Billing Determinants'!$I$41*$D22, VLOOKUP(I$4,'4. Billing Determinants'!$B$19:$R$41,3,0)/'4. Billing Determinants'!$D$41*$D22))))),0)</f>
        <v>0</v>
      </c>
      <c r="J22" s="42">
        <f>IFERROR(IF(J$4="",0,IF($E22="kWh",VLOOKUP(J$4,'4. Billing Determinants'!$B$19:$R$41,4,0)/'4. Billing Determinants'!$E$41*$D22,IF($E22="kW",VLOOKUP(J$4,'4. Billing Determinants'!$B$19:$R$41,5,0)/'4. Billing Determinants'!$F$41*$D22,IF($E22="Non-RPP kWh",VLOOKUP(J$4,'4. Billing Determinants'!$B$19:$R$41,6,0)/'4. Billing Determinants'!$G$41*$D22,IF($E22="Distribution Rev.",VLOOKUP(J$4,'4. Billing Determinants'!$B$19:$R$41,8,0)/'4. Billing Determinants'!$I$41*$D22, VLOOKUP(J$4,'4. Billing Determinants'!$B$19:$R$41,3,0)/'4. Billing Determinants'!$D$41*$D22))))),0)</f>
        <v>0</v>
      </c>
      <c r="K22" s="42">
        <f>IFERROR(IF(K$4="",0,IF($E22="kWh",VLOOKUP(K$4,'4. Billing Determinants'!$B$19:$R$41,4,0)/'4. Billing Determinants'!$E$41*$D22,IF($E22="kW",VLOOKUP(K$4,'4. Billing Determinants'!$B$19:$R$41,5,0)/'4. Billing Determinants'!$F$41*$D22,IF($E22="Non-RPP kWh",VLOOKUP(K$4,'4. Billing Determinants'!$B$19:$R$41,6,0)/'4. Billing Determinants'!$G$41*$D22,IF($E22="Distribution Rev.",VLOOKUP(K$4,'4. Billing Determinants'!$B$19:$R$41,8,0)/'4. Billing Determinants'!$I$41*$D22, VLOOKUP(K$4,'4. Billing Determinants'!$B$19:$R$41,3,0)/'4. Billing Determinants'!$D$41*$D22))))),0)</f>
        <v>0</v>
      </c>
      <c r="L22" s="42">
        <f>IFERROR(IF(L$4="",0,IF($E22="kWh",VLOOKUP(L$4,'4. Billing Determinants'!$B$19:$R$41,4,0)/'4. Billing Determinants'!$E$41*$D22,IF($E22="kW",VLOOKUP(L$4,'4. Billing Determinants'!$B$19:$R$41,5,0)/'4. Billing Determinants'!$F$41*$D22,IF($E22="Non-RPP kWh",VLOOKUP(L$4,'4. Billing Determinants'!$B$19:$R$41,6,0)/'4. Billing Determinants'!$G$41*$D22,IF($E22="Distribution Rev.",VLOOKUP(L$4,'4. Billing Determinants'!$B$19:$R$41,8,0)/'4. Billing Determinants'!$I$41*$D22, VLOOKUP(L$4,'4. Billing Determinants'!$B$19:$R$41,3,0)/'4. Billing Determinants'!$D$41*$D22))))),0)</f>
        <v>0</v>
      </c>
      <c r="M22" s="42">
        <f>IFERROR(IF(M$4="",0,IF($E22="kWh",VLOOKUP(M$4,'4. Billing Determinants'!$B$19:$R$41,4,0)/'4. Billing Determinants'!$E$41*$D22,IF($E22="kW",VLOOKUP(M$4,'4. Billing Determinants'!$B$19:$R$41,5,0)/'4. Billing Determinants'!$F$41*$D22,IF($E22="Non-RPP kWh",VLOOKUP(M$4,'4. Billing Determinants'!$B$19:$R$41,6,0)/'4. Billing Determinants'!$G$41*$D22,IF($E22="Distribution Rev.",VLOOKUP(M$4,'4. Billing Determinants'!$B$19:$R$41,8,0)/'4. Billing Determinants'!$I$41*$D22, VLOOKUP(M$4,'4. Billing Determinants'!$B$19:$R$41,3,0)/'4. Billing Determinants'!$D$41*$D22))))),0)</f>
        <v>0</v>
      </c>
      <c r="N22" s="42">
        <f>IFERROR(IF(N$4="",0,IF($E22="kWh",VLOOKUP(N$4,'4. Billing Determinants'!$B$19:$R$41,4,0)/'4. Billing Determinants'!$E$41*$D22,IF($E22="kW",VLOOKUP(N$4,'4. Billing Determinants'!$B$19:$R$41,5,0)/'4. Billing Determinants'!$F$41*$D22,IF($E22="Non-RPP kWh",VLOOKUP(N$4,'4. Billing Determinants'!$B$19:$R$41,6,0)/'4. Billing Determinants'!$G$41*$D22,IF($E22="Distribution Rev.",VLOOKUP(N$4,'4. Billing Determinants'!$B$19:$R$41,8,0)/'4. Billing Determinants'!$I$41*$D22, VLOOKUP(N$4,'4. Billing Determinants'!$B$19:$R$41,3,0)/'4. Billing Determinants'!$D$41*$D22))))),0)</f>
        <v>0</v>
      </c>
      <c r="O22" s="42">
        <f>IFERROR(IF(O$4="",0,IF($E22="kWh",VLOOKUP(O$4,'4. Billing Determinants'!$B$19:$R$41,4,0)/'4. Billing Determinants'!$E$41*$D22,IF($E22="kW",VLOOKUP(O$4,'4. Billing Determinants'!$B$19:$R$41,5,0)/'4. Billing Determinants'!$F$41*$D22,IF($E22="Non-RPP kWh",VLOOKUP(O$4,'4. Billing Determinants'!$B$19:$R$41,6,0)/'4. Billing Determinants'!$G$41*$D22,IF($E22="Distribution Rev.",VLOOKUP(O$4,'4. Billing Determinants'!$B$19:$R$41,8,0)/'4. Billing Determinants'!$I$41*$D22, VLOOKUP(O$4,'4. Billing Determinants'!$B$19:$R$41,3,0)/'4. Billing Determinants'!$D$41*$D22))))),0)</f>
        <v>0</v>
      </c>
      <c r="P22" s="42">
        <f>IFERROR(IF(P$4="",0,IF($E22="kWh",VLOOKUP(P$4,'4. Billing Determinants'!$B$19:$R$41,4,0)/'4. Billing Determinants'!$E$41*$D22,IF($E22="kW",VLOOKUP(P$4,'4. Billing Determinants'!$B$19:$R$41,5,0)/'4. Billing Determinants'!$F$41*$D22,IF($E22="Non-RPP kWh",VLOOKUP(P$4,'4. Billing Determinants'!$B$19:$R$41,6,0)/'4. Billing Determinants'!$G$41*$D22,IF($E22="Distribution Rev.",VLOOKUP(P$4,'4. Billing Determinants'!$B$19:$R$41,8,0)/'4. Billing Determinants'!$I$41*$D22, VLOOKUP(P$4,'4. Billing Determinants'!$B$19:$R$41,3,0)/'4. Billing Determinants'!$D$41*$D22))))),0)</f>
        <v>0</v>
      </c>
      <c r="Q22" s="42">
        <f>IFERROR(IF(Q$4="",0,IF($E22="kWh",VLOOKUP(Q$4,'4. Billing Determinants'!$B$19:$R$41,4,0)/'4. Billing Determinants'!$E$41*$D22,IF($E22="kW",VLOOKUP(Q$4,'4. Billing Determinants'!$B$19:$R$41,5,0)/'4. Billing Determinants'!$F$41*$D22,IF($E22="Non-RPP kWh",VLOOKUP(Q$4,'4. Billing Determinants'!$B$19:$R$41,6,0)/'4. Billing Determinants'!$G$41*$D22,IF($E22="Distribution Rev.",VLOOKUP(Q$4,'4. Billing Determinants'!$B$19:$R$41,8,0)/'4. Billing Determinants'!$I$41*$D22, VLOOKUP(Q$4,'4. Billing Determinants'!$B$19:$R$41,3,0)/'4. Billing Determinants'!$D$41*$D22))))),0)</f>
        <v>0</v>
      </c>
      <c r="R22" s="42">
        <f>IFERROR(IF(R$4="",0,IF($E22="kWh",VLOOKUP(R$4,'4. Billing Determinants'!$B$19:$R$41,4,0)/'4. Billing Determinants'!$E$41*$D22,IF($E22="kW",VLOOKUP(R$4,'4. Billing Determinants'!$B$19:$R$41,5,0)/'4. Billing Determinants'!$F$41*$D22,IF($E22="Non-RPP kWh",VLOOKUP(R$4,'4. Billing Determinants'!$B$19:$R$41,6,0)/'4. Billing Determinants'!$G$41*$D22,IF($E22="Distribution Rev.",VLOOKUP(R$4,'4. Billing Determinants'!$B$19:$R$41,8,0)/'4. Billing Determinants'!$I$41*$D22, VLOOKUP(R$4,'4. Billing Determinants'!$B$19:$R$41,3,0)/'4. Billing Determinants'!$D$41*$D22))))),0)</f>
        <v>0</v>
      </c>
      <c r="S22" s="42">
        <f>IFERROR(IF(S$4="",0,IF($E22="kWh",VLOOKUP(S$4,'4. Billing Determinants'!$B$19:$R$41,4,0)/'4. Billing Determinants'!$E$41*$D22,IF($E22="kW",VLOOKUP(S$4,'4. Billing Determinants'!$B$19:$R$41,5,0)/'4. Billing Determinants'!$F$41*$D22,IF($E22="Non-RPP kWh",VLOOKUP(S$4,'4. Billing Determinants'!$B$19:$R$41,6,0)/'4. Billing Determinants'!$G$41*$D22,IF($E22="Distribution Rev.",VLOOKUP(S$4,'4. Billing Determinants'!$B$19:$R$41,8,0)/'4. Billing Determinants'!$I$41*$D22, VLOOKUP(S$4,'4. Billing Determinants'!$B$19:$R$41,3,0)/'4. Billing Determinants'!$D$41*$D22))))),0)</f>
        <v>0</v>
      </c>
      <c r="T22" s="42">
        <f>IFERROR(IF(T$4="",0,IF($E22="kWh",VLOOKUP(T$4,'4. Billing Determinants'!$B$19:$R$41,4,0)/'4. Billing Determinants'!$E$41*$D22,IF($E22="kW",VLOOKUP(T$4,'4. Billing Determinants'!$B$19:$R$41,5,0)/'4. Billing Determinants'!$F$41*$D22,IF($E22="Non-RPP kWh",VLOOKUP(T$4,'4. Billing Determinants'!$B$19:$R$41,6,0)/'4. Billing Determinants'!$G$41*$D22,IF($E22="Distribution Rev.",VLOOKUP(T$4,'4. Billing Determinants'!$B$19:$R$41,8,0)/'4. Billing Determinants'!$I$41*$D22, VLOOKUP(T$4,'4. Billing Determinants'!$B$19:$R$41,3,0)/'4. Billing Determinants'!$D$41*$D22))))),0)</f>
        <v>0</v>
      </c>
      <c r="U22" s="42">
        <f>IFERROR(IF(U$4="",0,IF($E22="kWh",VLOOKUP(U$4,'4. Billing Determinants'!$B$19:$R$41,4,0)/'4. Billing Determinants'!$E$41*$D22,IF($E22="kW",VLOOKUP(U$4,'4. Billing Determinants'!$B$19:$R$41,5,0)/'4. Billing Determinants'!$F$41*$D22,IF($E22="Non-RPP kWh",VLOOKUP(U$4,'4. Billing Determinants'!$B$19:$R$41,6,0)/'4. Billing Determinants'!$G$41*$D22,IF($E22="Distribution Rev.",VLOOKUP(U$4,'4. Billing Determinants'!$B$19:$R$41,8,0)/'4. Billing Determinants'!$I$41*$D22, VLOOKUP(U$4,'4. Billing Determinants'!$B$19:$R$41,3,0)/'4. Billing Determinants'!$D$41*$D22))))),0)</f>
        <v>0</v>
      </c>
      <c r="V22" s="42">
        <f>IFERROR(IF(V$4="",0,IF($E22="kWh",VLOOKUP(V$4,'4. Billing Determinants'!$B$19:$R$41,4,0)/'4. Billing Determinants'!$E$41*$D22,IF($E22="kW",VLOOKUP(V$4,'4. Billing Determinants'!$B$19:$R$41,5,0)/'4. Billing Determinants'!$F$41*$D22,IF($E22="Non-RPP kWh",VLOOKUP(V$4,'4. Billing Determinants'!$B$19:$R$41,6,0)/'4. Billing Determinants'!$G$41*$D22,IF($E22="Distribution Rev.",VLOOKUP(V$4,'4. Billing Determinants'!$B$19:$R$41,8,0)/'4. Billing Determinants'!$I$41*$D22, VLOOKUP(V$4,'4. Billing Determinants'!$B$19:$R$41,3,0)/'4. Billing Determinants'!$D$41*$D22))))),0)</f>
        <v>0</v>
      </c>
      <c r="W22" s="42">
        <f>IFERROR(IF(W$4="",0,IF($E22="kWh",VLOOKUP(W$4,'4. Billing Determinants'!$B$19:$R$41,4,0)/'4. Billing Determinants'!$E$41*$D22,IF($E22="kW",VLOOKUP(W$4,'4. Billing Determinants'!$B$19:$R$41,5,0)/'4. Billing Determinants'!$F$41*$D22,IF($E22="Non-RPP kWh",VLOOKUP(W$4,'4. Billing Determinants'!$B$19:$R$41,6,0)/'4. Billing Determinants'!$G$41*$D22,IF($E22="Distribution Rev.",VLOOKUP(W$4,'4. Billing Determinants'!$B$19:$R$41,8,0)/'4. Billing Determinants'!$I$41*$D22, VLOOKUP(W$4,'4. Billing Determinants'!$B$19:$R$41,3,0)/'4. Billing Determinants'!$D$41*$D22))))),0)</f>
        <v>0</v>
      </c>
      <c r="X22" s="42">
        <f>IFERROR(IF(X$4="",0,IF($E22="kWh",VLOOKUP(X$4,'4. Billing Determinants'!$B$19:$R$41,4,0)/'4. Billing Determinants'!$E$41*$D22,IF($E22="kW",VLOOKUP(X$4,'4. Billing Determinants'!$B$19:$R$41,5,0)/'4. Billing Determinants'!$F$41*$D22,IF($E22="Non-RPP kWh",VLOOKUP(X$4,'4. Billing Determinants'!$B$19:$R$41,6,0)/'4. Billing Determinants'!$G$41*$D22,IF($E22="Distribution Rev.",VLOOKUP(X$4,'4. Billing Determinants'!$B$19:$R$41,8,0)/'4. Billing Determinants'!$I$41*$D22, VLOOKUP(X$4,'4. Billing Determinants'!$B$19:$R$41,3,0)/'4. Billing Determinants'!$D$41*$D22))))),0)</f>
        <v>0</v>
      </c>
      <c r="Y22" s="42">
        <f>IFERROR(IF(Y$4="",0,IF($E22="kWh",VLOOKUP(Y$4,'4. Billing Determinants'!$B$19:$R$41,4,0)/'4. Billing Determinants'!$E$41*$D22,IF($E22="kW",VLOOKUP(Y$4,'4. Billing Determinants'!$B$19:$R$41,5,0)/'4. Billing Determinants'!$F$41*$D22,IF($E22="Non-RPP kWh",VLOOKUP(Y$4,'4. Billing Determinants'!$B$19:$R$41,6,0)/'4. Billing Determinants'!$G$41*$D22,IF($E22="Distribution Rev.",VLOOKUP(Y$4,'4. Billing Determinants'!$B$19:$R$41,8,0)/'4. Billing Determinants'!$I$41*$D22, VLOOKUP(Y$4,'4. Billing Determinants'!$B$19:$R$41,3,0)/'4. Billing Determinants'!$D$41*$D22))))),0)</f>
        <v>0</v>
      </c>
    </row>
    <row r="23" spans="1:25" ht="26.4" x14ac:dyDescent="0.25">
      <c r="A23" s="327">
        <v>20</v>
      </c>
      <c r="B23" s="126" t="s">
        <v>311</v>
      </c>
      <c r="C23" s="41">
        <v>1508</v>
      </c>
      <c r="D23" s="42">
        <f>'2. 2016 Continuity Schedule'!BT49</f>
        <v>0</v>
      </c>
      <c r="E23" s="74" t="s">
        <v>189</v>
      </c>
      <c r="F23" s="42">
        <f>IFERROR(IF(F$4="",0,IF($E23="kWh",VLOOKUP(F$4,'4. Billing Determinants'!$B$19:$R$41,4,0)/'4. Billing Determinants'!$E$41*$D23,IF($E23="kW",VLOOKUP(F$4,'4. Billing Determinants'!$B$19:$R$41,5,0)/'4. Billing Determinants'!$F$41*$D23,IF($E23="Non-RPP kWh",VLOOKUP(F$4,'4. Billing Determinants'!$B$19:$R$41,6,0)/'4. Billing Determinants'!$G$41*$D23,IF($E23="Distribution Rev.",VLOOKUP(F$4,'4. Billing Determinants'!$B$19:$R$41,8,0)/'4. Billing Determinants'!$I$41*$D23, VLOOKUP(F$4,'4. Billing Determinants'!$B$19:$R$41,3,0)/'4. Billing Determinants'!$D$41*$D23))))),0)</f>
        <v>0</v>
      </c>
      <c r="G23" s="42">
        <f>IFERROR(IF(G$4="",0,IF($E23="kWh",VLOOKUP(G$4,'4. Billing Determinants'!$B$19:$R$41,4,0)/'4. Billing Determinants'!$E$41*$D23,IF($E23="kW",VLOOKUP(G$4,'4. Billing Determinants'!$B$19:$R$41,5,0)/'4. Billing Determinants'!$F$41*$D23,IF($E23="Non-RPP kWh",VLOOKUP(G$4,'4. Billing Determinants'!$B$19:$R$41,6,0)/'4. Billing Determinants'!$G$41*$D23,IF($E23="Distribution Rev.",VLOOKUP(G$4,'4. Billing Determinants'!$B$19:$R$41,8,0)/'4. Billing Determinants'!$I$41*$D23, VLOOKUP(G$4,'4. Billing Determinants'!$B$19:$R$41,3,0)/'4. Billing Determinants'!$D$41*$D23))))),0)</f>
        <v>0</v>
      </c>
      <c r="H23" s="42">
        <f>IFERROR(IF(H$4="",0,IF($E23="kWh",VLOOKUP(H$4,'4. Billing Determinants'!$B$19:$R$41,4,0)/'4. Billing Determinants'!$E$41*$D23,IF($E23="kW",VLOOKUP(H$4,'4. Billing Determinants'!$B$19:$R$41,5,0)/'4. Billing Determinants'!$F$41*$D23,IF($E23="Non-RPP kWh",VLOOKUP(H$4,'4. Billing Determinants'!$B$19:$R$41,6,0)/'4. Billing Determinants'!$G$41*$D23,IF($E23="Distribution Rev.",VLOOKUP(H$4,'4. Billing Determinants'!$B$19:$R$41,8,0)/'4. Billing Determinants'!$I$41*$D23, VLOOKUP(H$4,'4. Billing Determinants'!$B$19:$R$41,3,0)/'4. Billing Determinants'!$D$41*$D23))))),0)</f>
        <v>0</v>
      </c>
      <c r="I23" s="42">
        <f>IFERROR(IF(I$4="",0,IF($E23="kWh",VLOOKUP(I$4,'4. Billing Determinants'!$B$19:$R$41,4,0)/'4. Billing Determinants'!$E$41*$D23,IF($E23="kW",VLOOKUP(I$4,'4. Billing Determinants'!$B$19:$R$41,5,0)/'4. Billing Determinants'!$F$41*$D23,IF($E23="Non-RPP kWh",VLOOKUP(I$4,'4. Billing Determinants'!$B$19:$R$41,6,0)/'4. Billing Determinants'!$G$41*$D23,IF($E23="Distribution Rev.",VLOOKUP(I$4,'4. Billing Determinants'!$B$19:$R$41,8,0)/'4. Billing Determinants'!$I$41*$D23, VLOOKUP(I$4,'4. Billing Determinants'!$B$19:$R$41,3,0)/'4. Billing Determinants'!$D$41*$D23))))),0)</f>
        <v>0</v>
      </c>
      <c r="J23" s="42">
        <f>IFERROR(IF(J$4="",0,IF($E23="kWh",VLOOKUP(J$4,'4. Billing Determinants'!$B$19:$R$41,4,0)/'4. Billing Determinants'!$E$41*$D23,IF($E23="kW",VLOOKUP(J$4,'4. Billing Determinants'!$B$19:$R$41,5,0)/'4. Billing Determinants'!$F$41*$D23,IF($E23="Non-RPP kWh",VLOOKUP(J$4,'4. Billing Determinants'!$B$19:$R$41,6,0)/'4. Billing Determinants'!$G$41*$D23,IF($E23="Distribution Rev.",VLOOKUP(J$4,'4. Billing Determinants'!$B$19:$R$41,8,0)/'4. Billing Determinants'!$I$41*$D23, VLOOKUP(J$4,'4. Billing Determinants'!$B$19:$R$41,3,0)/'4. Billing Determinants'!$D$41*$D23))))),0)</f>
        <v>0</v>
      </c>
      <c r="K23" s="42">
        <f>IFERROR(IF(K$4="",0,IF($E23="kWh",VLOOKUP(K$4,'4. Billing Determinants'!$B$19:$R$41,4,0)/'4. Billing Determinants'!$E$41*$D23,IF($E23="kW",VLOOKUP(K$4,'4. Billing Determinants'!$B$19:$R$41,5,0)/'4. Billing Determinants'!$F$41*$D23,IF($E23="Non-RPP kWh",VLOOKUP(K$4,'4. Billing Determinants'!$B$19:$R$41,6,0)/'4. Billing Determinants'!$G$41*$D23,IF($E23="Distribution Rev.",VLOOKUP(K$4,'4. Billing Determinants'!$B$19:$R$41,8,0)/'4. Billing Determinants'!$I$41*$D23, VLOOKUP(K$4,'4. Billing Determinants'!$B$19:$R$41,3,0)/'4. Billing Determinants'!$D$41*$D23))))),0)</f>
        <v>0</v>
      </c>
      <c r="L23" s="42">
        <f>IFERROR(IF(L$4="",0,IF($E23="kWh",VLOOKUP(L$4,'4. Billing Determinants'!$B$19:$R$41,4,0)/'4. Billing Determinants'!$E$41*$D23,IF($E23="kW",VLOOKUP(L$4,'4. Billing Determinants'!$B$19:$R$41,5,0)/'4. Billing Determinants'!$F$41*$D23,IF($E23="Non-RPP kWh",VLOOKUP(L$4,'4. Billing Determinants'!$B$19:$R$41,6,0)/'4. Billing Determinants'!$G$41*$D23,IF($E23="Distribution Rev.",VLOOKUP(L$4,'4. Billing Determinants'!$B$19:$R$41,8,0)/'4. Billing Determinants'!$I$41*$D23, VLOOKUP(L$4,'4. Billing Determinants'!$B$19:$R$41,3,0)/'4. Billing Determinants'!$D$41*$D23))))),0)</f>
        <v>0</v>
      </c>
      <c r="M23" s="42">
        <f>IFERROR(IF(M$4="",0,IF($E23="kWh",VLOOKUP(M$4,'4. Billing Determinants'!$B$19:$R$41,4,0)/'4. Billing Determinants'!$E$41*$D23,IF($E23="kW",VLOOKUP(M$4,'4. Billing Determinants'!$B$19:$R$41,5,0)/'4. Billing Determinants'!$F$41*$D23,IF($E23="Non-RPP kWh",VLOOKUP(M$4,'4. Billing Determinants'!$B$19:$R$41,6,0)/'4. Billing Determinants'!$G$41*$D23,IF($E23="Distribution Rev.",VLOOKUP(M$4,'4. Billing Determinants'!$B$19:$R$41,8,0)/'4. Billing Determinants'!$I$41*$D23, VLOOKUP(M$4,'4. Billing Determinants'!$B$19:$R$41,3,0)/'4. Billing Determinants'!$D$41*$D23))))),0)</f>
        <v>0</v>
      </c>
      <c r="N23" s="42">
        <f>IFERROR(IF(N$4="",0,IF($E23="kWh",VLOOKUP(N$4,'4. Billing Determinants'!$B$19:$R$41,4,0)/'4. Billing Determinants'!$E$41*$D23,IF($E23="kW",VLOOKUP(N$4,'4. Billing Determinants'!$B$19:$R$41,5,0)/'4. Billing Determinants'!$F$41*$D23,IF($E23="Non-RPP kWh",VLOOKUP(N$4,'4. Billing Determinants'!$B$19:$R$41,6,0)/'4. Billing Determinants'!$G$41*$D23,IF($E23="Distribution Rev.",VLOOKUP(N$4,'4. Billing Determinants'!$B$19:$R$41,8,0)/'4. Billing Determinants'!$I$41*$D23, VLOOKUP(N$4,'4. Billing Determinants'!$B$19:$R$41,3,0)/'4. Billing Determinants'!$D$41*$D23))))),0)</f>
        <v>0</v>
      </c>
      <c r="O23" s="42">
        <f>IFERROR(IF(O$4="",0,IF($E23="kWh",VLOOKUP(O$4,'4. Billing Determinants'!$B$19:$R$41,4,0)/'4. Billing Determinants'!$E$41*$D23,IF($E23="kW",VLOOKUP(O$4,'4. Billing Determinants'!$B$19:$R$41,5,0)/'4. Billing Determinants'!$F$41*$D23,IF($E23="Non-RPP kWh",VLOOKUP(O$4,'4. Billing Determinants'!$B$19:$R$41,6,0)/'4. Billing Determinants'!$G$41*$D23,IF($E23="Distribution Rev.",VLOOKUP(O$4,'4. Billing Determinants'!$B$19:$R$41,8,0)/'4. Billing Determinants'!$I$41*$D23, VLOOKUP(O$4,'4. Billing Determinants'!$B$19:$R$41,3,0)/'4. Billing Determinants'!$D$41*$D23))))),0)</f>
        <v>0</v>
      </c>
      <c r="P23" s="42">
        <f>IFERROR(IF(P$4="",0,IF($E23="kWh",VLOOKUP(P$4,'4. Billing Determinants'!$B$19:$R$41,4,0)/'4. Billing Determinants'!$E$41*$D23,IF($E23="kW",VLOOKUP(P$4,'4. Billing Determinants'!$B$19:$R$41,5,0)/'4. Billing Determinants'!$F$41*$D23,IF($E23="Non-RPP kWh",VLOOKUP(P$4,'4. Billing Determinants'!$B$19:$R$41,6,0)/'4. Billing Determinants'!$G$41*$D23,IF($E23="Distribution Rev.",VLOOKUP(P$4,'4. Billing Determinants'!$B$19:$R$41,8,0)/'4. Billing Determinants'!$I$41*$D23, VLOOKUP(P$4,'4. Billing Determinants'!$B$19:$R$41,3,0)/'4. Billing Determinants'!$D$41*$D23))))),0)</f>
        <v>0</v>
      </c>
      <c r="Q23" s="42">
        <f>IFERROR(IF(Q$4="",0,IF($E23="kWh",VLOOKUP(Q$4,'4. Billing Determinants'!$B$19:$R$41,4,0)/'4. Billing Determinants'!$E$41*$D23,IF($E23="kW",VLOOKUP(Q$4,'4. Billing Determinants'!$B$19:$R$41,5,0)/'4. Billing Determinants'!$F$41*$D23,IF($E23="Non-RPP kWh",VLOOKUP(Q$4,'4. Billing Determinants'!$B$19:$R$41,6,0)/'4. Billing Determinants'!$G$41*$D23,IF($E23="Distribution Rev.",VLOOKUP(Q$4,'4. Billing Determinants'!$B$19:$R$41,8,0)/'4. Billing Determinants'!$I$41*$D23, VLOOKUP(Q$4,'4. Billing Determinants'!$B$19:$R$41,3,0)/'4. Billing Determinants'!$D$41*$D23))))),0)</f>
        <v>0</v>
      </c>
      <c r="R23" s="42">
        <f>IFERROR(IF(R$4="",0,IF($E23="kWh",VLOOKUP(R$4,'4. Billing Determinants'!$B$19:$R$41,4,0)/'4. Billing Determinants'!$E$41*$D23,IF($E23="kW",VLOOKUP(R$4,'4. Billing Determinants'!$B$19:$R$41,5,0)/'4. Billing Determinants'!$F$41*$D23,IF($E23="Non-RPP kWh",VLOOKUP(R$4,'4. Billing Determinants'!$B$19:$R$41,6,0)/'4. Billing Determinants'!$G$41*$D23,IF($E23="Distribution Rev.",VLOOKUP(R$4,'4. Billing Determinants'!$B$19:$R$41,8,0)/'4. Billing Determinants'!$I$41*$D23, VLOOKUP(R$4,'4. Billing Determinants'!$B$19:$R$41,3,0)/'4. Billing Determinants'!$D$41*$D23))))),0)</f>
        <v>0</v>
      </c>
      <c r="S23" s="42">
        <f>IFERROR(IF(S$4="",0,IF($E23="kWh",VLOOKUP(S$4,'4. Billing Determinants'!$B$19:$R$41,4,0)/'4. Billing Determinants'!$E$41*$D23,IF($E23="kW",VLOOKUP(S$4,'4. Billing Determinants'!$B$19:$R$41,5,0)/'4. Billing Determinants'!$F$41*$D23,IF($E23="Non-RPP kWh",VLOOKUP(S$4,'4. Billing Determinants'!$B$19:$R$41,6,0)/'4. Billing Determinants'!$G$41*$D23,IF($E23="Distribution Rev.",VLOOKUP(S$4,'4. Billing Determinants'!$B$19:$R$41,8,0)/'4. Billing Determinants'!$I$41*$D23, VLOOKUP(S$4,'4. Billing Determinants'!$B$19:$R$41,3,0)/'4. Billing Determinants'!$D$41*$D23))))),0)</f>
        <v>0</v>
      </c>
      <c r="T23" s="42">
        <f>IFERROR(IF(T$4="",0,IF($E23="kWh",VLOOKUP(T$4,'4. Billing Determinants'!$B$19:$R$41,4,0)/'4. Billing Determinants'!$E$41*$D23,IF($E23="kW",VLOOKUP(T$4,'4. Billing Determinants'!$B$19:$R$41,5,0)/'4. Billing Determinants'!$F$41*$D23,IF($E23="Non-RPP kWh",VLOOKUP(T$4,'4. Billing Determinants'!$B$19:$R$41,6,0)/'4. Billing Determinants'!$G$41*$D23,IF($E23="Distribution Rev.",VLOOKUP(T$4,'4. Billing Determinants'!$B$19:$R$41,8,0)/'4. Billing Determinants'!$I$41*$D23, VLOOKUP(T$4,'4. Billing Determinants'!$B$19:$R$41,3,0)/'4. Billing Determinants'!$D$41*$D23))))),0)</f>
        <v>0</v>
      </c>
      <c r="U23" s="42">
        <f>IFERROR(IF(U$4="",0,IF($E23="kWh",VLOOKUP(U$4,'4. Billing Determinants'!$B$19:$R$41,4,0)/'4. Billing Determinants'!$E$41*$D23,IF($E23="kW",VLOOKUP(U$4,'4. Billing Determinants'!$B$19:$R$41,5,0)/'4. Billing Determinants'!$F$41*$D23,IF($E23="Non-RPP kWh",VLOOKUP(U$4,'4. Billing Determinants'!$B$19:$R$41,6,0)/'4. Billing Determinants'!$G$41*$D23,IF($E23="Distribution Rev.",VLOOKUP(U$4,'4. Billing Determinants'!$B$19:$R$41,8,0)/'4. Billing Determinants'!$I$41*$D23, VLOOKUP(U$4,'4. Billing Determinants'!$B$19:$R$41,3,0)/'4. Billing Determinants'!$D$41*$D23))))),0)</f>
        <v>0</v>
      </c>
      <c r="V23" s="42">
        <f>IFERROR(IF(V$4="",0,IF($E23="kWh",VLOOKUP(V$4,'4. Billing Determinants'!$B$19:$R$41,4,0)/'4. Billing Determinants'!$E$41*$D23,IF($E23="kW",VLOOKUP(V$4,'4. Billing Determinants'!$B$19:$R$41,5,0)/'4. Billing Determinants'!$F$41*$D23,IF($E23="Non-RPP kWh",VLOOKUP(V$4,'4. Billing Determinants'!$B$19:$R$41,6,0)/'4. Billing Determinants'!$G$41*$D23,IF($E23="Distribution Rev.",VLOOKUP(V$4,'4. Billing Determinants'!$B$19:$R$41,8,0)/'4. Billing Determinants'!$I$41*$D23, VLOOKUP(V$4,'4. Billing Determinants'!$B$19:$R$41,3,0)/'4. Billing Determinants'!$D$41*$D23))))),0)</f>
        <v>0</v>
      </c>
      <c r="W23" s="42">
        <f>IFERROR(IF(W$4="",0,IF($E23="kWh",VLOOKUP(W$4,'4. Billing Determinants'!$B$19:$R$41,4,0)/'4. Billing Determinants'!$E$41*$D23,IF($E23="kW",VLOOKUP(W$4,'4. Billing Determinants'!$B$19:$R$41,5,0)/'4. Billing Determinants'!$F$41*$D23,IF($E23="Non-RPP kWh",VLOOKUP(W$4,'4. Billing Determinants'!$B$19:$R$41,6,0)/'4. Billing Determinants'!$G$41*$D23,IF($E23="Distribution Rev.",VLOOKUP(W$4,'4. Billing Determinants'!$B$19:$R$41,8,0)/'4. Billing Determinants'!$I$41*$D23, VLOOKUP(W$4,'4. Billing Determinants'!$B$19:$R$41,3,0)/'4. Billing Determinants'!$D$41*$D23))))),0)</f>
        <v>0</v>
      </c>
      <c r="X23" s="42">
        <f>IFERROR(IF(X$4="",0,IF($E23="kWh",VLOOKUP(X$4,'4. Billing Determinants'!$B$19:$R$41,4,0)/'4. Billing Determinants'!$E$41*$D23,IF($E23="kW",VLOOKUP(X$4,'4. Billing Determinants'!$B$19:$R$41,5,0)/'4. Billing Determinants'!$F$41*$D23,IF($E23="Non-RPP kWh",VLOOKUP(X$4,'4. Billing Determinants'!$B$19:$R$41,6,0)/'4. Billing Determinants'!$G$41*$D23,IF($E23="Distribution Rev.",VLOOKUP(X$4,'4. Billing Determinants'!$B$19:$R$41,8,0)/'4. Billing Determinants'!$I$41*$D23, VLOOKUP(X$4,'4. Billing Determinants'!$B$19:$R$41,3,0)/'4. Billing Determinants'!$D$41*$D23))))),0)</f>
        <v>0</v>
      </c>
      <c r="Y23" s="42">
        <f>IFERROR(IF(Y$4="",0,IF($E23="kWh",VLOOKUP(Y$4,'4. Billing Determinants'!$B$19:$R$41,4,0)/'4. Billing Determinants'!$E$41*$D23,IF($E23="kW",VLOOKUP(Y$4,'4. Billing Determinants'!$B$19:$R$41,5,0)/'4. Billing Determinants'!$F$41*$D23,IF($E23="Non-RPP kWh",VLOOKUP(Y$4,'4. Billing Determinants'!$B$19:$R$41,6,0)/'4. Billing Determinants'!$G$41*$D23,IF($E23="Distribution Rev.",VLOOKUP(Y$4,'4. Billing Determinants'!$B$19:$R$41,8,0)/'4. Billing Determinants'!$I$41*$D23, VLOOKUP(Y$4,'4. Billing Determinants'!$B$19:$R$41,3,0)/'4. Billing Determinants'!$D$41*$D23))))),0)</f>
        <v>0</v>
      </c>
    </row>
    <row r="24" spans="1:25" x14ac:dyDescent="0.25">
      <c r="A24" s="146">
        <v>21</v>
      </c>
      <c r="B24" s="47" t="s">
        <v>312</v>
      </c>
      <c r="C24" s="41">
        <v>1508</v>
      </c>
      <c r="D24" s="42">
        <f>'2. 2016 Continuity Schedule'!BT50</f>
        <v>2565.0700000000002</v>
      </c>
      <c r="E24" s="74" t="s">
        <v>189</v>
      </c>
      <c r="F24" s="42">
        <f>IFERROR(IF(F$4="",0,IF($E24="kWh",VLOOKUP(F$4,'4. Billing Determinants'!$B$19:$R$41,4,0)/'4. Billing Determinants'!$E$41*$D24,IF($E24="kW",VLOOKUP(F$4,'4. Billing Determinants'!$B$19:$R$41,5,0)/'4. Billing Determinants'!$F$41*$D24,IF($E24="Non-RPP kWh",VLOOKUP(F$4,'4. Billing Determinants'!$B$19:$R$41,6,0)/'4. Billing Determinants'!$G$41*$D24,IF($E24="Distribution Rev.",VLOOKUP(F$4,'4. Billing Determinants'!$B$19:$R$41,8,0)/'4. Billing Determinants'!$I$41*$D24, VLOOKUP(F$4,'4. Billing Determinants'!$B$19:$R$41,3,0)/'4. Billing Determinants'!$D$41*$D24))))),0)</f>
        <v>1541.1959990222535</v>
      </c>
      <c r="G24" s="42">
        <f>IFERROR(IF(G$4="",0,IF($E24="kWh",VLOOKUP(G$4,'4. Billing Determinants'!$B$19:$R$41,4,0)/'4. Billing Determinants'!$E$41*$D24,IF($E24="kW",VLOOKUP(G$4,'4. Billing Determinants'!$B$19:$R$41,5,0)/'4. Billing Determinants'!$F$41*$D24,IF($E24="Non-RPP kWh",VLOOKUP(G$4,'4. Billing Determinants'!$B$19:$R$41,6,0)/'4. Billing Determinants'!$G$41*$D24,IF($E24="Distribution Rev.",VLOOKUP(G$4,'4. Billing Determinants'!$B$19:$R$41,8,0)/'4. Billing Determinants'!$I$41*$D24, VLOOKUP(G$4,'4. Billing Determinants'!$B$19:$R$41,3,0)/'4. Billing Determinants'!$D$41*$D24))))),0)</f>
        <v>336.25442915316353</v>
      </c>
      <c r="H24" s="42">
        <f>IFERROR(IF(H$4="",0,IF($E24="kWh",VLOOKUP(H$4,'4. Billing Determinants'!$B$19:$R$41,4,0)/'4. Billing Determinants'!$E$41*$D24,IF($E24="kW",VLOOKUP(H$4,'4. Billing Determinants'!$B$19:$R$41,5,0)/'4. Billing Determinants'!$F$41*$D24,IF($E24="Non-RPP kWh",VLOOKUP(H$4,'4. Billing Determinants'!$B$19:$R$41,6,0)/'4. Billing Determinants'!$G$41*$D24,IF($E24="Distribution Rev.",VLOOKUP(H$4,'4. Billing Determinants'!$B$19:$R$41,8,0)/'4. Billing Determinants'!$I$41*$D24, VLOOKUP(H$4,'4. Billing Determinants'!$B$19:$R$41,3,0)/'4. Billing Determinants'!$D$41*$D24))))),0)</f>
        <v>675.57603900824824</v>
      </c>
      <c r="I24" s="42">
        <f>IFERROR(IF(I$4="",0,IF($E24="kWh",VLOOKUP(I$4,'4. Billing Determinants'!$B$19:$R$41,4,0)/'4. Billing Determinants'!$E$41*$D24,IF($E24="kW",VLOOKUP(I$4,'4. Billing Determinants'!$B$19:$R$41,5,0)/'4. Billing Determinants'!$F$41*$D24,IF($E24="Non-RPP kWh",VLOOKUP(I$4,'4. Billing Determinants'!$B$19:$R$41,6,0)/'4. Billing Determinants'!$G$41*$D24,IF($E24="Distribution Rev.",VLOOKUP(I$4,'4. Billing Determinants'!$B$19:$R$41,8,0)/'4. Billing Determinants'!$I$41*$D24, VLOOKUP(I$4,'4. Billing Determinants'!$B$19:$R$41,3,0)/'4. Billing Determinants'!$D$41*$D24))))),0)</f>
        <v>1.1029208958918926</v>
      </c>
      <c r="J24" s="42">
        <f>IFERROR(IF(J$4="",0,IF($E24="kWh",VLOOKUP(J$4,'4. Billing Determinants'!$B$19:$R$41,4,0)/'4. Billing Determinants'!$E$41*$D24,IF($E24="kW",VLOOKUP(J$4,'4. Billing Determinants'!$B$19:$R$41,5,0)/'4. Billing Determinants'!$F$41*$D24,IF($E24="Non-RPP kWh",VLOOKUP(J$4,'4. Billing Determinants'!$B$19:$R$41,6,0)/'4. Billing Determinants'!$G$41*$D24,IF($E24="Distribution Rev.",VLOOKUP(J$4,'4. Billing Determinants'!$B$19:$R$41,8,0)/'4. Billing Determinants'!$I$41*$D24, VLOOKUP(J$4,'4. Billing Determinants'!$B$19:$R$41,3,0)/'4. Billing Determinants'!$D$41*$D24))))),0)</f>
        <v>6.0065516884910872</v>
      </c>
      <c r="K24" s="42">
        <f>IFERROR(IF(K$4="",0,IF($E24="kWh",VLOOKUP(K$4,'4. Billing Determinants'!$B$19:$R$41,4,0)/'4. Billing Determinants'!$E$41*$D24,IF($E24="kW",VLOOKUP(K$4,'4. Billing Determinants'!$B$19:$R$41,5,0)/'4. Billing Determinants'!$F$41*$D24,IF($E24="Non-RPP kWh",VLOOKUP(K$4,'4. Billing Determinants'!$B$19:$R$41,6,0)/'4. Billing Determinants'!$G$41*$D24,IF($E24="Distribution Rev.",VLOOKUP(K$4,'4. Billing Determinants'!$B$19:$R$41,8,0)/'4. Billing Determinants'!$I$41*$D24, VLOOKUP(K$4,'4. Billing Determinants'!$B$19:$R$41,3,0)/'4. Billing Determinants'!$D$41*$D24))))),0)</f>
        <v>4.9340602319515368</v>
      </c>
      <c r="L24" s="42">
        <f>IFERROR(IF(L$4="",0,IF($E24="kWh",VLOOKUP(L$4,'4. Billing Determinants'!$B$19:$R$41,4,0)/'4. Billing Determinants'!$E$41*$D24,IF($E24="kW",VLOOKUP(L$4,'4. Billing Determinants'!$B$19:$R$41,5,0)/'4. Billing Determinants'!$F$41*$D24,IF($E24="Non-RPP kWh",VLOOKUP(L$4,'4. Billing Determinants'!$B$19:$R$41,6,0)/'4. Billing Determinants'!$G$41*$D24,IF($E24="Distribution Rev.",VLOOKUP(L$4,'4. Billing Determinants'!$B$19:$R$41,8,0)/'4. Billing Determinants'!$I$41*$D24, VLOOKUP(L$4,'4. Billing Determinants'!$B$19:$R$41,3,0)/'4. Billing Determinants'!$D$41*$D24))))),0)</f>
        <v>0</v>
      </c>
      <c r="M24" s="42">
        <f>IFERROR(IF(M$4="",0,IF($E24="kWh",VLOOKUP(M$4,'4. Billing Determinants'!$B$19:$R$41,4,0)/'4. Billing Determinants'!$E$41*$D24,IF($E24="kW",VLOOKUP(M$4,'4. Billing Determinants'!$B$19:$R$41,5,0)/'4. Billing Determinants'!$F$41*$D24,IF($E24="Non-RPP kWh",VLOOKUP(M$4,'4. Billing Determinants'!$B$19:$R$41,6,0)/'4. Billing Determinants'!$G$41*$D24,IF($E24="Distribution Rev.",VLOOKUP(M$4,'4. Billing Determinants'!$B$19:$R$41,8,0)/'4. Billing Determinants'!$I$41*$D24, VLOOKUP(M$4,'4. Billing Determinants'!$B$19:$R$41,3,0)/'4. Billing Determinants'!$D$41*$D24))))),0)</f>
        <v>0</v>
      </c>
      <c r="N24" s="42">
        <f>IFERROR(IF(N$4="",0,IF($E24="kWh",VLOOKUP(N$4,'4. Billing Determinants'!$B$19:$R$41,4,0)/'4. Billing Determinants'!$E$41*$D24,IF($E24="kW",VLOOKUP(N$4,'4. Billing Determinants'!$B$19:$R$41,5,0)/'4. Billing Determinants'!$F$41*$D24,IF($E24="Non-RPP kWh",VLOOKUP(N$4,'4. Billing Determinants'!$B$19:$R$41,6,0)/'4. Billing Determinants'!$G$41*$D24,IF($E24="Distribution Rev.",VLOOKUP(N$4,'4. Billing Determinants'!$B$19:$R$41,8,0)/'4. Billing Determinants'!$I$41*$D24, VLOOKUP(N$4,'4. Billing Determinants'!$B$19:$R$41,3,0)/'4. Billing Determinants'!$D$41*$D24))))),0)</f>
        <v>0</v>
      </c>
      <c r="O24" s="42">
        <f>IFERROR(IF(O$4="",0,IF($E24="kWh",VLOOKUP(O$4,'4. Billing Determinants'!$B$19:$R$41,4,0)/'4. Billing Determinants'!$E$41*$D24,IF($E24="kW",VLOOKUP(O$4,'4. Billing Determinants'!$B$19:$R$41,5,0)/'4. Billing Determinants'!$F$41*$D24,IF($E24="Non-RPP kWh",VLOOKUP(O$4,'4. Billing Determinants'!$B$19:$R$41,6,0)/'4. Billing Determinants'!$G$41*$D24,IF($E24="Distribution Rev.",VLOOKUP(O$4,'4. Billing Determinants'!$B$19:$R$41,8,0)/'4. Billing Determinants'!$I$41*$D24, VLOOKUP(O$4,'4. Billing Determinants'!$B$19:$R$41,3,0)/'4. Billing Determinants'!$D$41*$D24))))),0)</f>
        <v>0</v>
      </c>
      <c r="P24" s="42">
        <f>IFERROR(IF(P$4="",0,IF($E24="kWh",VLOOKUP(P$4,'4. Billing Determinants'!$B$19:$R$41,4,0)/'4. Billing Determinants'!$E$41*$D24,IF($E24="kW",VLOOKUP(P$4,'4. Billing Determinants'!$B$19:$R$41,5,0)/'4. Billing Determinants'!$F$41*$D24,IF($E24="Non-RPP kWh",VLOOKUP(P$4,'4. Billing Determinants'!$B$19:$R$41,6,0)/'4. Billing Determinants'!$G$41*$D24,IF($E24="Distribution Rev.",VLOOKUP(P$4,'4. Billing Determinants'!$B$19:$R$41,8,0)/'4. Billing Determinants'!$I$41*$D24, VLOOKUP(P$4,'4. Billing Determinants'!$B$19:$R$41,3,0)/'4. Billing Determinants'!$D$41*$D24))))),0)</f>
        <v>0</v>
      </c>
      <c r="Q24" s="42">
        <f>IFERROR(IF(Q$4="",0,IF($E24="kWh",VLOOKUP(Q$4,'4. Billing Determinants'!$B$19:$R$41,4,0)/'4. Billing Determinants'!$E$41*$D24,IF($E24="kW",VLOOKUP(Q$4,'4. Billing Determinants'!$B$19:$R$41,5,0)/'4. Billing Determinants'!$F$41*$D24,IF($E24="Non-RPP kWh",VLOOKUP(Q$4,'4. Billing Determinants'!$B$19:$R$41,6,0)/'4. Billing Determinants'!$G$41*$D24,IF($E24="Distribution Rev.",VLOOKUP(Q$4,'4. Billing Determinants'!$B$19:$R$41,8,0)/'4. Billing Determinants'!$I$41*$D24, VLOOKUP(Q$4,'4. Billing Determinants'!$B$19:$R$41,3,0)/'4. Billing Determinants'!$D$41*$D24))))),0)</f>
        <v>0</v>
      </c>
      <c r="R24" s="42">
        <f>IFERROR(IF(R$4="",0,IF($E24="kWh",VLOOKUP(R$4,'4. Billing Determinants'!$B$19:$R$41,4,0)/'4. Billing Determinants'!$E$41*$D24,IF($E24="kW",VLOOKUP(R$4,'4. Billing Determinants'!$B$19:$R$41,5,0)/'4. Billing Determinants'!$F$41*$D24,IF($E24="Non-RPP kWh",VLOOKUP(R$4,'4. Billing Determinants'!$B$19:$R$41,6,0)/'4. Billing Determinants'!$G$41*$D24,IF($E24="Distribution Rev.",VLOOKUP(R$4,'4. Billing Determinants'!$B$19:$R$41,8,0)/'4. Billing Determinants'!$I$41*$D24, VLOOKUP(R$4,'4. Billing Determinants'!$B$19:$R$41,3,0)/'4. Billing Determinants'!$D$41*$D24))))),0)</f>
        <v>0</v>
      </c>
      <c r="S24" s="42">
        <f>IFERROR(IF(S$4="",0,IF($E24="kWh",VLOOKUP(S$4,'4. Billing Determinants'!$B$19:$R$41,4,0)/'4. Billing Determinants'!$E$41*$D24,IF($E24="kW",VLOOKUP(S$4,'4. Billing Determinants'!$B$19:$R$41,5,0)/'4. Billing Determinants'!$F$41*$D24,IF($E24="Non-RPP kWh",VLOOKUP(S$4,'4. Billing Determinants'!$B$19:$R$41,6,0)/'4. Billing Determinants'!$G$41*$D24,IF($E24="Distribution Rev.",VLOOKUP(S$4,'4. Billing Determinants'!$B$19:$R$41,8,0)/'4. Billing Determinants'!$I$41*$D24, VLOOKUP(S$4,'4. Billing Determinants'!$B$19:$R$41,3,0)/'4. Billing Determinants'!$D$41*$D24))))),0)</f>
        <v>0</v>
      </c>
      <c r="T24" s="42">
        <f>IFERROR(IF(T$4="",0,IF($E24="kWh",VLOOKUP(T$4,'4. Billing Determinants'!$B$19:$R$41,4,0)/'4. Billing Determinants'!$E$41*$D24,IF($E24="kW",VLOOKUP(T$4,'4. Billing Determinants'!$B$19:$R$41,5,0)/'4. Billing Determinants'!$F$41*$D24,IF($E24="Non-RPP kWh",VLOOKUP(T$4,'4. Billing Determinants'!$B$19:$R$41,6,0)/'4. Billing Determinants'!$G$41*$D24,IF($E24="Distribution Rev.",VLOOKUP(T$4,'4. Billing Determinants'!$B$19:$R$41,8,0)/'4. Billing Determinants'!$I$41*$D24, VLOOKUP(T$4,'4. Billing Determinants'!$B$19:$R$41,3,0)/'4. Billing Determinants'!$D$41*$D24))))),0)</f>
        <v>0</v>
      </c>
      <c r="U24" s="42">
        <f>IFERROR(IF(U$4="",0,IF($E24="kWh",VLOOKUP(U$4,'4. Billing Determinants'!$B$19:$R$41,4,0)/'4. Billing Determinants'!$E$41*$D24,IF($E24="kW",VLOOKUP(U$4,'4. Billing Determinants'!$B$19:$R$41,5,0)/'4. Billing Determinants'!$F$41*$D24,IF($E24="Non-RPP kWh",VLOOKUP(U$4,'4. Billing Determinants'!$B$19:$R$41,6,0)/'4. Billing Determinants'!$G$41*$D24,IF($E24="Distribution Rev.",VLOOKUP(U$4,'4. Billing Determinants'!$B$19:$R$41,8,0)/'4. Billing Determinants'!$I$41*$D24, VLOOKUP(U$4,'4. Billing Determinants'!$B$19:$R$41,3,0)/'4. Billing Determinants'!$D$41*$D24))))),0)</f>
        <v>0</v>
      </c>
      <c r="V24" s="42">
        <f>IFERROR(IF(V$4="",0,IF($E24="kWh",VLOOKUP(V$4,'4. Billing Determinants'!$B$19:$R$41,4,0)/'4. Billing Determinants'!$E$41*$D24,IF($E24="kW",VLOOKUP(V$4,'4. Billing Determinants'!$B$19:$R$41,5,0)/'4. Billing Determinants'!$F$41*$D24,IF($E24="Non-RPP kWh",VLOOKUP(V$4,'4. Billing Determinants'!$B$19:$R$41,6,0)/'4. Billing Determinants'!$G$41*$D24,IF($E24="Distribution Rev.",VLOOKUP(V$4,'4. Billing Determinants'!$B$19:$R$41,8,0)/'4. Billing Determinants'!$I$41*$D24, VLOOKUP(V$4,'4. Billing Determinants'!$B$19:$R$41,3,0)/'4. Billing Determinants'!$D$41*$D24))))),0)</f>
        <v>0</v>
      </c>
      <c r="W24" s="42">
        <f>IFERROR(IF(W$4="",0,IF($E24="kWh",VLOOKUP(W$4,'4. Billing Determinants'!$B$19:$R$41,4,0)/'4. Billing Determinants'!$E$41*$D24,IF($E24="kW",VLOOKUP(W$4,'4. Billing Determinants'!$B$19:$R$41,5,0)/'4. Billing Determinants'!$F$41*$D24,IF($E24="Non-RPP kWh",VLOOKUP(W$4,'4. Billing Determinants'!$B$19:$R$41,6,0)/'4. Billing Determinants'!$G$41*$D24,IF($E24="Distribution Rev.",VLOOKUP(W$4,'4. Billing Determinants'!$B$19:$R$41,8,0)/'4. Billing Determinants'!$I$41*$D24, VLOOKUP(W$4,'4. Billing Determinants'!$B$19:$R$41,3,0)/'4. Billing Determinants'!$D$41*$D24))))),0)</f>
        <v>0</v>
      </c>
      <c r="X24" s="42">
        <f>IFERROR(IF(X$4="",0,IF($E24="kWh",VLOOKUP(X$4,'4. Billing Determinants'!$B$19:$R$41,4,0)/'4. Billing Determinants'!$E$41*$D24,IF($E24="kW",VLOOKUP(X$4,'4. Billing Determinants'!$B$19:$R$41,5,0)/'4. Billing Determinants'!$F$41*$D24,IF($E24="Non-RPP kWh",VLOOKUP(X$4,'4. Billing Determinants'!$B$19:$R$41,6,0)/'4. Billing Determinants'!$G$41*$D24,IF($E24="Distribution Rev.",VLOOKUP(X$4,'4. Billing Determinants'!$B$19:$R$41,8,0)/'4. Billing Determinants'!$I$41*$D24, VLOOKUP(X$4,'4. Billing Determinants'!$B$19:$R$41,3,0)/'4. Billing Determinants'!$D$41*$D24))))),0)</f>
        <v>0</v>
      </c>
      <c r="Y24" s="42">
        <f>IFERROR(IF(Y$4="",0,IF($E24="kWh",VLOOKUP(Y$4,'4. Billing Determinants'!$B$19:$R$41,4,0)/'4. Billing Determinants'!$E$41*$D24,IF($E24="kW",VLOOKUP(Y$4,'4. Billing Determinants'!$B$19:$R$41,5,0)/'4. Billing Determinants'!$F$41*$D24,IF($E24="Non-RPP kWh",VLOOKUP(Y$4,'4. Billing Determinants'!$B$19:$R$41,6,0)/'4. Billing Determinants'!$G$41*$D24,IF($E24="Distribution Rev.",VLOOKUP(Y$4,'4. Billing Determinants'!$B$19:$R$41,8,0)/'4. Billing Determinants'!$I$41*$D24, VLOOKUP(Y$4,'4. Billing Determinants'!$B$19:$R$41,3,0)/'4. Billing Determinants'!$D$41*$D24))))),0)</f>
        <v>0</v>
      </c>
    </row>
    <row r="25" spans="1:25" x14ac:dyDescent="0.25">
      <c r="A25" s="146">
        <v>22</v>
      </c>
      <c r="B25" s="47" t="s">
        <v>4</v>
      </c>
      <c r="C25" s="41">
        <v>1518</v>
      </c>
      <c r="D25" s="42">
        <f>'2. 2016 Continuity Schedule'!BT51</f>
        <v>61171</v>
      </c>
      <c r="E25" s="74" t="s">
        <v>189</v>
      </c>
      <c r="F25" s="42">
        <f>IFERROR(IF(F$4="",0,IF($E25="kWh",VLOOKUP(F$4,'4. Billing Determinants'!$B$19:$R$41,4,0)/'4. Billing Determinants'!$E$41*$D25,IF($E25="kW",VLOOKUP(F$4,'4. Billing Determinants'!$B$19:$R$41,5,0)/'4. Billing Determinants'!$F$41*$D25,IF($E25="Non-RPP kWh",VLOOKUP(F$4,'4. Billing Determinants'!$B$19:$R$41,6,0)/'4. Billing Determinants'!$G$41*$D25,IF($E25="Distribution Rev.",VLOOKUP(F$4,'4. Billing Determinants'!$B$19:$R$41,8,0)/'4. Billing Determinants'!$I$41*$D25, VLOOKUP(F$4,'4. Billing Determinants'!$B$19:$R$41,3,0)/'4. Billing Determinants'!$D$41*$D25))))),0)</f>
        <v>36753.967905823338</v>
      </c>
      <c r="G25" s="42">
        <f>IFERROR(IF(G$4="",0,IF($E25="kWh",VLOOKUP(G$4,'4. Billing Determinants'!$B$19:$R$41,4,0)/'4. Billing Determinants'!$E$41*$D25,IF($E25="kW",VLOOKUP(G$4,'4. Billing Determinants'!$B$19:$R$41,5,0)/'4. Billing Determinants'!$F$41*$D25,IF($E25="Non-RPP kWh",VLOOKUP(G$4,'4. Billing Determinants'!$B$19:$R$41,6,0)/'4. Billing Determinants'!$G$41*$D25,IF($E25="Distribution Rev.",VLOOKUP(G$4,'4. Billing Determinants'!$B$19:$R$41,8,0)/'4. Billing Determinants'!$I$41*$D25, VLOOKUP(G$4,'4. Billing Determinants'!$B$19:$R$41,3,0)/'4. Billing Determinants'!$D$41*$D25))))),0)</f>
        <v>8018.8921494260067</v>
      </c>
      <c r="H25" s="42">
        <f>IFERROR(IF(H$4="",0,IF($E25="kWh",VLOOKUP(H$4,'4. Billing Determinants'!$B$19:$R$41,4,0)/'4. Billing Determinants'!$E$41*$D25,IF($E25="kW",VLOOKUP(H$4,'4. Billing Determinants'!$B$19:$R$41,5,0)/'4. Billing Determinants'!$F$41*$D25,IF($E25="Non-RPP kWh",VLOOKUP(H$4,'4. Billing Determinants'!$B$19:$R$41,6,0)/'4. Billing Determinants'!$G$41*$D25,IF($E25="Distribution Rev.",VLOOKUP(H$4,'4. Billing Determinants'!$B$19:$R$41,8,0)/'4. Billing Determinants'!$I$41*$D25, VLOOKUP(H$4,'4. Billing Determinants'!$B$19:$R$41,3,0)/'4. Billing Determinants'!$D$41*$D25))))),0)</f>
        <v>16110.929480354747</v>
      </c>
      <c r="I25" s="42">
        <f>IFERROR(IF(I$4="",0,IF($E25="kWh",VLOOKUP(I$4,'4. Billing Determinants'!$B$19:$R$41,4,0)/'4. Billing Determinants'!$E$41*$D25,IF($E25="kW",VLOOKUP(I$4,'4. Billing Determinants'!$B$19:$R$41,5,0)/'4. Billing Determinants'!$F$41*$D25,IF($E25="Non-RPP kWh",VLOOKUP(I$4,'4. Billing Determinants'!$B$19:$R$41,6,0)/'4. Billing Determinants'!$G$41*$D25,IF($E25="Distribution Rev.",VLOOKUP(I$4,'4. Billing Determinants'!$B$19:$R$41,8,0)/'4. Billing Determinants'!$I$41*$D25, VLOOKUP(I$4,'4. Billing Determinants'!$B$19:$R$41,3,0)/'4. Billing Determinants'!$D$41*$D25))))),0)</f>
        <v>26.302118118648988</v>
      </c>
      <c r="J25" s="42">
        <f>IFERROR(IF(J$4="",0,IF($E25="kWh",VLOOKUP(J$4,'4. Billing Determinants'!$B$19:$R$41,4,0)/'4. Billing Determinants'!$E$41*$D25,IF($E25="kW",VLOOKUP(J$4,'4. Billing Determinants'!$B$19:$R$41,5,0)/'4. Billing Determinants'!$F$41*$D25,IF($E25="Non-RPP kWh",VLOOKUP(J$4,'4. Billing Determinants'!$B$19:$R$41,6,0)/'4. Billing Determinants'!$G$41*$D25,IF($E25="Distribution Rev.",VLOOKUP(J$4,'4. Billing Determinants'!$B$19:$R$41,8,0)/'4. Billing Determinants'!$I$41*$D25, VLOOKUP(J$4,'4. Billing Determinants'!$B$19:$R$41,3,0)/'4. Billing Determinants'!$D$41*$D25))))),0)</f>
        <v>143.2423962452051</v>
      </c>
      <c r="K25" s="42">
        <f>IFERROR(IF(K$4="",0,IF($E25="kWh",VLOOKUP(K$4,'4. Billing Determinants'!$B$19:$R$41,4,0)/'4. Billing Determinants'!$E$41*$D25,IF($E25="kW",VLOOKUP(K$4,'4. Billing Determinants'!$B$19:$R$41,5,0)/'4. Billing Determinants'!$F$41*$D25,IF($E25="Non-RPP kWh",VLOOKUP(K$4,'4. Billing Determinants'!$B$19:$R$41,6,0)/'4. Billing Determinants'!$G$41*$D25,IF($E25="Distribution Rev.",VLOOKUP(K$4,'4. Billing Determinants'!$B$19:$R$41,8,0)/'4. Billing Determinants'!$I$41*$D25, VLOOKUP(K$4,'4. Billing Determinants'!$B$19:$R$41,3,0)/'4. Billing Determinants'!$D$41*$D25))))),0)</f>
        <v>117.66595003204881</v>
      </c>
      <c r="L25" s="42">
        <f>IFERROR(IF(L$4="",0,IF($E25="kWh",VLOOKUP(L$4,'4. Billing Determinants'!$B$19:$R$41,4,0)/'4. Billing Determinants'!$E$41*$D25,IF($E25="kW",VLOOKUP(L$4,'4. Billing Determinants'!$B$19:$R$41,5,0)/'4. Billing Determinants'!$F$41*$D25,IF($E25="Non-RPP kWh",VLOOKUP(L$4,'4. Billing Determinants'!$B$19:$R$41,6,0)/'4. Billing Determinants'!$G$41*$D25,IF($E25="Distribution Rev.",VLOOKUP(L$4,'4. Billing Determinants'!$B$19:$R$41,8,0)/'4. Billing Determinants'!$I$41*$D25, VLOOKUP(L$4,'4. Billing Determinants'!$B$19:$R$41,3,0)/'4. Billing Determinants'!$D$41*$D25))))),0)</f>
        <v>0</v>
      </c>
      <c r="M25" s="42">
        <f>IFERROR(IF(M$4="",0,IF($E25="kWh",VLOOKUP(M$4,'4. Billing Determinants'!$B$19:$R$41,4,0)/'4. Billing Determinants'!$E$41*$D25,IF($E25="kW",VLOOKUP(M$4,'4. Billing Determinants'!$B$19:$R$41,5,0)/'4. Billing Determinants'!$F$41*$D25,IF($E25="Non-RPP kWh",VLOOKUP(M$4,'4. Billing Determinants'!$B$19:$R$41,6,0)/'4. Billing Determinants'!$G$41*$D25,IF($E25="Distribution Rev.",VLOOKUP(M$4,'4. Billing Determinants'!$B$19:$R$41,8,0)/'4. Billing Determinants'!$I$41*$D25, VLOOKUP(M$4,'4. Billing Determinants'!$B$19:$R$41,3,0)/'4. Billing Determinants'!$D$41*$D25))))),0)</f>
        <v>0</v>
      </c>
      <c r="N25" s="42">
        <f>IFERROR(IF(N$4="",0,IF($E25="kWh",VLOOKUP(N$4,'4. Billing Determinants'!$B$19:$R$41,4,0)/'4. Billing Determinants'!$E$41*$D25,IF($E25="kW",VLOOKUP(N$4,'4. Billing Determinants'!$B$19:$R$41,5,0)/'4. Billing Determinants'!$F$41*$D25,IF($E25="Non-RPP kWh",VLOOKUP(N$4,'4. Billing Determinants'!$B$19:$R$41,6,0)/'4. Billing Determinants'!$G$41*$D25,IF($E25="Distribution Rev.",VLOOKUP(N$4,'4. Billing Determinants'!$B$19:$R$41,8,0)/'4. Billing Determinants'!$I$41*$D25, VLOOKUP(N$4,'4. Billing Determinants'!$B$19:$R$41,3,0)/'4. Billing Determinants'!$D$41*$D25))))),0)</f>
        <v>0</v>
      </c>
      <c r="O25" s="42">
        <f>IFERROR(IF(O$4="",0,IF($E25="kWh",VLOOKUP(O$4,'4. Billing Determinants'!$B$19:$R$41,4,0)/'4. Billing Determinants'!$E$41*$D25,IF($E25="kW",VLOOKUP(O$4,'4. Billing Determinants'!$B$19:$R$41,5,0)/'4. Billing Determinants'!$F$41*$D25,IF($E25="Non-RPP kWh",VLOOKUP(O$4,'4. Billing Determinants'!$B$19:$R$41,6,0)/'4. Billing Determinants'!$G$41*$D25,IF($E25="Distribution Rev.",VLOOKUP(O$4,'4. Billing Determinants'!$B$19:$R$41,8,0)/'4. Billing Determinants'!$I$41*$D25, VLOOKUP(O$4,'4. Billing Determinants'!$B$19:$R$41,3,0)/'4. Billing Determinants'!$D$41*$D25))))),0)</f>
        <v>0</v>
      </c>
      <c r="P25" s="42">
        <f>IFERROR(IF(P$4="",0,IF($E25="kWh",VLOOKUP(P$4,'4. Billing Determinants'!$B$19:$R$41,4,0)/'4. Billing Determinants'!$E$41*$D25,IF($E25="kW",VLOOKUP(P$4,'4. Billing Determinants'!$B$19:$R$41,5,0)/'4. Billing Determinants'!$F$41*$D25,IF($E25="Non-RPP kWh",VLOOKUP(P$4,'4. Billing Determinants'!$B$19:$R$41,6,0)/'4. Billing Determinants'!$G$41*$D25,IF($E25="Distribution Rev.",VLOOKUP(P$4,'4. Billing Determinants'!$B$19:$R$41,8,0)/'4. Billing Determinants'!$I$41*$D25, VLOOKUP(P$4,'4. Billing Determinants'!$B$19:$R$41,3,0)/'4. Billing Determinants'!$D$41*$D25))))),0)</f>
        <v>0</v>
      </c>
      <c r="Q25" s="42">
        <f>IFERROR(IF(Q$4="",0,IF($E25="kWh",VLOOKUP(Q$4,'4. Billing Determinants'!$B$19:$R$41,4,0)/'4. Billing Determinants'!$E$41*$D25,IF($E25="kW",VLOOKUP(Q$4,'4. Billing Determinants'!$B$19:$R$41,5,0)/'4. Billing Determinants'!$F$41*$D25,IF($E25="Non-RPP kWh",VLOOKUP(Q$4,'4. Billing Determinants'!$B$19:$R$41,6,0)/'4. Billing Determinants'!$G$41*$D25,IF($E25="Distribution Rev.",VLOOKUP(Q$4,'4. Billing Determinants'!$B$19:$R$41,8,0)/'4. Billing Determinants'!$I$41*$D25, VLOOKUP(Q$4,'4. Billing Determinants'!$B$19:$R$41,3,0)/'4. Billing Determinants'!$D$41*$D25))))),0)</f>
        <v>0</v>
      </c>
      <c r="R25" s="42">
        <f>IFERROR(IF(R$4="",0,IF($E25="kWh",VLOOKUP(R$4,'4. Billing Determinants'!$B$19:$R$41,4,0)/'4. Billing Determinants'!$E$41*$D25,IF($E25="kW",VLOOKUP(R$4,'4. Billing Determinants'!$B$19:$R$41,5,0)/'4. Billing Determinants'!$F$41*$D25,IF($E25="Non-RPP kWh",VLOOKUP(R$4,'4. Billing Determinants'!$B$19:$R$41,6,0)/'4. Billing Determinants'!$G$41*$D25,IF($E25="Distribution Rev.",VLOOKUP(R$4,'4. Billing Determinants'!$B$19:$R$41,8,0)/'4. Billing Determinants'!$I$41*$D25, VLOOKUP(R$4,'4. Billing Determinants'!$B$19:$R$41,3,0)/'4. Billing Determinants'!$D$41*$D25))))),0)</f>
        <v>0</v>
      </c>
      <c r="S25" s="42">
        <f>IFERROR(IF(S$4="",0,IF($E25="kWh",VLOOKUP(S$4,'4. Billing Determinants'!$B$19:$R$41,4,0)/'4. Billing Determinants'!$E$41*$D25,IF($E25="kW",VLOOKUP(S$4,'4. Billing Determinants'!$B$19:$R$41,5,0)/'4. Billing Determinants'!$F$41*$D25,IF($E25="Non-RPP kWh",VLOOKUP(S$4,'4. Billing Determinants'!$B$19:$R$41,6,0)/'4. Billing Determinants'!$G$41*$D25,IF($E25="Distribution Rev.",VLOOKUP(S$4,'4. Billing Determinants'!$B$19:$R$41,8,0)/'4. Billing Determinants'!$I$41*$D25, VLOOKUP(S$4,'4. Billing Determinants'!$B$19:$R$41,3,0)/'4. Billing Determinants'!$D$41*$D25))))),0)</f>
        <v>0</v>
      </c>
      <c r="T25" s="42">
        <f>IFERROR(IF(T$4="",0,IF($E25="kWh",VLOOKUP(T$4,'4. Billing Determinants'!$B$19:$R$41,4,0)/'4. Billing Determinants'!$E$41*$D25,IF($E25="kW",VLOOKUP(T$4,'4. Billing Determinants'!$B$19:$R$41,5,0)/'4. Billing Determinants'!$F$41*$D25,IF($E25="Non-RPP kWh",VLOOKUP(T$4,'4. Billing Determinants'!$B$19:$R$41,6,0)/'4. Billing Determinants'!$G$41*$D25,IF($E25="Distribution Rev.",VLOOKUP(T$4,'4. Billing Determinants'!$B$19:$R$41,8,0)/'4. Billing Determinants'!$I$41*$D25, VLOOKUP(T$4,'4. Billing Determinants'!$B$19:$R$41,3,0)/'4. Billing Determinants'!$D$41*$D25))))),0)</f>
        <v>0</v>
      </c>
      <c r="U25" s="42">
        <f>IFERROR(IF(U$4="",0,IF($E25="kWh",VLOOKUP(U$4,'4. Billing Determinants'!$B$19:$R$41,4,0)/'4. Billing Determinants'!$E$41*$D25,IF($E25="kW",VLOOKUP(U$4,'4. Billing Determinants'!$B$19:$R$41,5,0)/'4. Billing Determinants'!$F$41*$D25,IF($E25="Non-RPP kWh",VLOOKUP(U$4,'4. Billing Determinants'!$B$19:$R$41,6,0)/'4. Billing Determinants'!$G$41*$D25,IF($E25="Distribution Rev.",VLOOKUP(U$4,'4. Billing Determinants'!$B$19:$R$41,8,0)/'4. Billing Determinants'!$I$41*$D25, VLOOKUP(U$4,'4. Billing Determinants'!$B$19:$R$41,3,0)/'4. Billing Determinants'!$D$41*$D25))))),0)</f>
        <v>0</v>
      </c>
      <c r="V25" s="42">
        <f>IFERROR(IF(V$4="",0,IF($E25="kWh",VLOOKUP(V$4,'4. Billing Determinants'!$B$19:$R$41,4,0)/'4. Billing Determinants'!$E$41*$D25,IF($E25="kW",VLOOKUP(V$4,'4. Billing Determinants'!$B$19:$R$41,5,0)/'4. Billing Determinants'!$F$41*$D25,IF($E25="Non-RPP kWh",VLOOKUP(V$4,'4. Billing Determinants'!$B$19:$R$41,6,0)/'4. Billing Determinants'!$G$41*$D25,IF($E25="Distribution Rev.",VLOOKUP(V$4,'4. Billing Determinants'!$B$19:$R$41,8,0)/'4. Billing Determinants'!$I$41*$D25, VLOOKUP(V$4,'4. Billing Determinants'!$B$19:$R$41,3,0)/'4. Billing Determinants'!$D$41*$D25))))),0)</f>
        <v>0</v>
      </c>
      <c r="W25" s="42">
        <f>IFERROR(IF(W$4="",0,IF($E25="kWh",VLOOKUP(W$4,'4. Billing Determinants'!$B$19:$R$41,4,0)/'4. Billing Determinants'!$E$41*$D25,IF($E25="kW",VLOOKUP(W$4,'4. Billing Determinants'!$B$19:$R$41,5,0)/'4. Billing Determinants'!$F$41*$D25,IF($E25="Non-RPP kWh",VLOOKUP(W$4,'4. Billing Determinants'!$B$19:$R$41,6,0)/'4. Billing Determinants'!$G$41*$D25,IF($E25="Distribution Rev.",VLOOKUP(W$4,'4. Billing Determinants'!$B$19:$R$41,8,0)/'4. Billing Determinants'!$I$41*$D25, VLOOKUP(W$4,'4. Billing Determinants'!$B$19:$R$41,3,0)/'4. Billing Determinants'!$D$41*$D25))))),0)</f>
        <v>0</v>
      </c>
      <c r="X25" s="42">
        <f>IFERROR(IF(X$4="",0,IF($E25="kWh",VLOOKUP(X$4,'4. Billing Determinants'!$B$19:$R$41,4,0)/'4. Billing Determinants'!$E$41*$D25,IF($E25="kW",VLOOKUP(X$4,'4. Billing Determinants'!$B$19:$R$41,5,0)/'4. Billing Determinants'!$F$41*$D25,IF($E25="Non-RPP kWh",VLOOKUP(X$4,'4. Billing Determinants'!$B$19:$R$41,6,0)/'4. Billing Determinants'!$G$41*$D25,IF($E25="Distribution Rev.",VLOOKUP(X$4,'4. Billing Determinants'!$B$19:$R$41,8,0)/'4. Billing Determinants'!$I$41*$D25, VLOOKUP(X$4,'4. Billing Determinants'!$B$19:$R$41,3,0)/'4. Billing Determinants'!$D$41*$D25))))),0)</f>
        <v>0</v>
      </c>
      <c r="Y25" s="42">
        <f>IFERROR(IF(Y$4="",0,IF($E25="kWh",VLOOKUP(Y$4,'4. Billing Determinants'!$B$19:$R$41,4,0)/'4. Billing Determinants'!$E$41*$D25,IF($E25="kW",VLOOKUP(Y$4,'4. Billing Determinants'!$B$19:$R$41,5,0)/'4. Billing Determinants'!$F$41*$D25,IF($E25="Non-RPP kWh",VLOOKUP(Y$4,'4. Billing Determinants'!$B$19:$R$41,6,0)/'4. Billing Determinants'!$G$41*$D25,IF($E25="Distribution Rev.",VLOOKUP(Y$4,'4. Billing Determinants'!$B$19:$R$41,8,0)/'4. Billing Determinants'!$I$41*$D25, VLOOKUP(Y$4,'4. Billing Determinants'!$B$19:$R$41,3,0)/'4. Billing Determinants'!$D$41*$D25))))),0)</f>
        <v>0</v>
      </c>
    </row>
    <row r="26" spans="1:25" x14ac:dyDescent="0.25">
      <c r="A26" s="146">
        <v>23</v>
      </c>
      <c r="B26" s="40" t="s">
        <v>9</v>
      </c>
      <c r="C26" s="41">
        <v>1525</v>
      </c>
      <c r="D26" s="42">
        <f>'2. 2016 Continuity Schedule'!BT52</f>
        <v>0</v>
      </c>
      <c r="E26" s="74" t="s">
        <v>189</v>
      </c>
      <c r="F26" s="42">
        <f>IFERROR(IF(F$4="",0,IF($E26="kWh",VLOOKUP(F$4,'4. Billing Determinants'!$B$19:$R$41,4,0)/'4. Billing Determinants'!$E$41*$D26,IF($E26="kW",VLOOKUP(F$4,'4. Billing Determinants'!$B$19:$R$41,5,0)/'4. Billing Determinants'!$F$41*$D26,IF($E26="Non-RPP kWh",VLOOKUP(F$4,'4. Billing Determinants'!$B$19:$R$41,6,0)/'4. Billing Determinants'!$G$41*$D26,IF($E26="Distribution Rev.",VLOOKUP(F$4,'4. Billing Determinants'!$B$19:$R$41,8,0)/'4. Billing Determinants'!$I$41*$D26, VLOOKUP(F$4,'4. Billing Determinants'!$B$19:$R$41,3,0)/'4. Billing Determinants'!$D$41*$D26))))),0)</f>
        <v>0</v>
      </c>
      <c r="G26" s="42">
        <f>IFERROR(IF(G$4="",0,IF($E26="kWh",VLOOKUP(G$4,'4. Billing Determinants'!$B$19:$R$41,4,0)/'4. Billing Determinants'!$E$41*$D26,IF($E26="kW",VLOOKUP(G$4,'4. Billing Determinants'!$B$19:$R$41,5,0)/'4. Billing Determinants'!$F$41*$D26,IF($E26="Non-RPP kWh",VLOOKUP(G$4,'4. Billing Determinants'!$B$19:$R$41,6,0)/'4. Billing Determinants'!$G$41*$D26,IF($E26="Distribution Rev.",VLOOKUP(G$4,'4. Billing Determinants'!$B$19:$R$41,8,0)/'4. Billing Determinants'!$I$41*$D26, VLOOKUP(G$4,'4. Billing Determinants'!$B$19:$R$41,3,0)/'4. Billing Determinants'!$D$41*$D26))))),0)</f>
        <v>0</v>
      </c>
      <c r="H26" s="42">
        <f>IFERROR(IF(H$4="",0,IF($E26="kWh",VLOOKUP(H$4,'4. Billing Determinants'!$B$19:$R$41,4,0)/'4. Billing Determinants'!$E$41*$D26,IF($E26="kW",VLOOKUP(H$4,'4. Billing Determinants'!$B$19:$R$41,5,0)/'4. Billing Determinants'!$F$41*$D26,IF($E26="Non-RPP kWh",VLOOKUP(H$4,'4. Billing Determinants'!$B$19:$R$41,6,0)/'4. Billing Determinants'!$G$41*$D26,IF($E26="Distribution Rev.",VLOOKUP(H$4,'4. Billing Determinants'!$B$19:$R$41,8,0)/'4. Billing Determinants'!$I$41*$D26, VLOOKUP(H$4,'4. Billing Determinants'!$B$19:$R$41,3,0)/'4. Billing Determinants'!$D$41*$D26))))),0)</f>
        <v>0</v>
      </c>
      <c r="I26" s="42">
        <f>IFERROR(IF(I$4="",0,IF($E26="kWh",VLOOKUP(I$4,'4. Billing Determinants'!$B$19:$R$41,4,0)/'4. Billing Determinants'!$E$41*$D26,IF($E26="kW",VLOOKUP(I$4,'4. Billing Determinants'!$B$19:$R$41,5,0)/'4. Billing Determinants'!$F$41*$D26,IF($E26="Non-RPP kWh",VLOOKUP(I$4,'4. Billing Determinants'!$B$19:$R$41,6,0)/'4. Billing Determinants'!$G$41*$D26,IF($E26="Distribution Rev.",VLOOKUP(I$4,'4. Billing Determinants'!$B$19:$R$41,8,0)/'4. Billing Determinants'!$I$41*$D26, VLOOKUP(I$4,'4. Billing Determinants'!$B$19:$R$41,3,0)/'4. Billing Determinants'!$D$41*$D26))))),0)</f>
        <v>0</v>
      </c>
      <c r="J26" s="42">
        <f>IFERROR(IF(J$4="",0,IF($E26="kWh",VLOOKUP(J$4,'4. Billing Determinants'!$B$19:$R$41,4,0)/'4. Billing Determinants'!$E$41*$D26,IF($E26="kW",VLOOKUP(J$4,'4. Billing Determinants'!$B$19:$R$41,5,0)/'4. Billing Determinants'!$F$41*$D26,IF($E26="Non-RPP kWh",VLOOKUP(J$4,'4. Billing Determinants'!$B$19:$R$41,6,0)/'4. Billing Determinants'!$G$41*$D26,IF($E26="Distribution Rev.",VLOOKUP(J$4,'4. Billing Determinants'!$B$19:$R$41,8,0)/'4. Billing Determinants'!$I$41*$D26, VLOOKUP(J$4,'4. Billing Determinants'!$B$19:$R$41,3,0)/'4. Billing Determinants'!$D$41*$D26))))),0)</f>
        <v>0</v>
      </c>
      <c r="K26" s="42">
        <f>IFERROR(IF(K$4="",0,IF($E26="kWh",VLOOKUP(K$4,'4. Billing Determinants'!$B$19:$R$41,4,0)/'4. Billing Determinants'!$E$41*$D26,IF($E26="kW",VLOOKUP(K$4,'4. Billing Determinants'!$B$19:$R$41,5,0)/'4. Billing Determinants'!$F$41*$D26,IF($E26="Non-RPP kWh",VLOOKUP(K$4,'4. Billing Determinants'!$B$19:$R$41,6,0)/'4. Billing Determinants'!$G$41*$D26,IF($E26="Distribution Rev.",VLOOKUP(K$4,'4. Billing Determinants'!$B$19:$R$41,8,0)/'4. Billing Determinants'!$I$41*$D26, VLOOKUP(K$4,'4. Billing Determinants'!$B$19:$R$41,3,0)/'4. Billing Determinants'!$D$41*$D26))))),0)</f>
        <v>0</v>
      </c>
      <c r="L26" s="42">
        <f>IFERROR(IF(L$4="",0,IF($E26="kWh",VLOOKUP(L$4,'4. Billing Determinants'!$B$19:$R$41,4,0)/'4. Billing Determinants'!$E$41*$D26,IF($E26="kW",VLOOKUP(L$4,'4. Billing Determinants'!$B$19:$R$41,5,0)/'4. Billing Determinants'!$F$41*$D26,IF($E26="Non-RPP kWh",VLOOKUP(L$4,'4. Billing Determinants'!$B$19:$R$41,6,0)/'4. Billing Determinants'!$G$41*$D26,IF($E26="Distribution Rev.",VLOOKUP(L$4,'4. Billing Determinants'!$B$19:$R$41,8,0)/'4. Billing Determinants'!$I$41*$D26, VLOOKUP(L$4,'4. Billing Determinants'!$B$19:$R$41,3,0)/'4. Billing Determinants'!$D$41*$D26))))),0)</f>
        <v>0</v>
      </c>
      <c r="M26" s="42">
        <f>IFERROR(IF(M$4="",0,IF($E26="kWh",VLOOKUP(M$4,'4. Billing Determinants'!$B$19:$R$41,4,0)/'4. Billing Determinants'!$E$41*$D26,IF($E26="kW",VLOOKUP(M$4,'4. Billing Determinants'!$B$19:$R$41,5,0)/'4. Billing Determinants'!$F$41*$D26,IF($E26="Non-RPP kWh",VLOOKUP(M$4,'4. Billing Determinants'!$B$19:$R$41,6,0)/'4. Billing Determinants'!$G$41*$D26,IF($E26="Distribution Rev.",VLOOKUP(M$4,'4. Billing Determinants'!$B$19:$R$41,8,0)/'4. Billing Determinants'!$I$41*$D26, VLOOKUP(M$4,'4. Billing Determinants'!$B$19:$R$41,3,0)/'4. Billing Determinants'!$D$41*$D26))))),0)</f>
        <v>0</v>
      </c>
      <c r="N26" s="42">
        <f>IFERROR(IF(N$4="",0,IF($E26="kWh",VLOOKUP(N$4,'4. Billing Determinants'!$B$19:$R$41,4,0)/'4. Billing Determinants'!$E$41*$D26,IF($E26="kW",VLOOKUP(N$4,'4. Billing Determinants'!$B$19:$R$41,5,0)/'4. Billing Determinants'!$F$41*$D26,IF($E26="Non-RPP kWh",VLOOKUP(N$4,'4. Billing Determinants'!$B$19:$R$41,6,0)/'4. Billing Determinants'!$G$41*$D26,IF($E26="Distribution Rev.",VLOOKUP(N$4,'4. Billing Determinants'!$B$19:$R$41,8,0)/'4. Billing Determinants'!$I$41*$D26, VLOOKUP(N$4,'4. Billing Determinants'!$B$19:$R$41,3,0)/'4. Billing Determinants'!$D$41*$D26))))),0)</f>
        <v>0</v>
      </c>
      <c r="O26" s="42">
        <f>IFERROR(IF(O$4="",0,IF($E26="kWh",VLOOKUP(O$4,'4. Billing Determinants'!$B$19:$R$41,4,0)/'4. Billing Determinants'!$E$41*$D26,IF($E26="kW",VLOOKUP(O$4,'4. Billing Determinants'!$B$19:$R$41,5,0)/'4. Billing Determinants'!$F$41*$D26,IF($E26="Non-RPP kWh",VLOOKUP(O$4,'4. Billing Determinants'!$B$19:$R$41,6,0)/'4. Billing Determinants'!$G$41*$D26,IF($E26="Distribution Rev.",VLOOKUP(O$4,'4. Billing Determinants'!$B$19:$R$41,8,0)/'4. Billing Determinants'!$I$41*$D26, VLOOKUP(O$4,'4. Billing Determinants'!$B$19:$R$41,3,0)/'4. Billing Determinants'!$D$41*$D26))))),0)</f>
        <v>0</v>
      </c>
      <c r="P26" s="42">
        <f>IFERROR(IF(P$4="",0,IF($E26="kWh",VLOOKUP(P$4,'4. Billing Determinants'!$B$19:$R$41,4,0)/'4. Billing Determinants'!$E$41*$D26,IF($E26="kW",VLOOKUP(P$4,'4. Billing Determinants'!$B$19:$R$41,5,0)/'4. Billing Determinants'!$F$41*$D26,IF($E26="Non-RPP kWh",VLOOKUP(P$4,'4. Billing Determinants'!$B$19:$R$41,6,0)/'4. Billing Determinants'!$G$41*$D26,IF($E26="Distribution Rev.",VLOOKUP(P$4,'4. Billing Determinants'!$B$19:$R$41,8,0)/'4. Billing Determinants'!$I$41*$D26, VLOOKUP(P$4,'4. Billing Determinants'!$B$19:$R$41,3,0)/'4. Billing Determinants'!$D$41*$D26))))),0)</f>
        <v>0</v>
      </c>
      <c r="Q26" s="42">
        <f>IFERROR(IF(Q$4="",0,IF($E26="kWh",VLOOKUP(Q$4,'4. Billing Determinants'!$B$19:$R$41,4,0)/'4. Billing Determinants'!$E$41*$D26,IF($E26="kW",VLOOKUP(Q$4,'4. Billing Determinants'!$B$19:$R$41,5,0)/'4. Billing Determinants'!$F$41*$D26,IF($E26="Non-RPP kWh",VLOOKUP(Q$4,'4. Billing Determinants'!$B$19:$R$41,6,0)/'4. Billing Determinants'!$G$41*$D26,IF($E26="Distribution Rev.",VLOOKUP(Q$4,'4. Billing Determinants'!$B$19:$R$41,8,0)/'4. Billing Determinants'!$I$41*$D26, VLOOKUP(Q$4,'4. Billing Determinants'!$B$19:$R$41,3,0)/'4. Billing Determinants'!$D$41*$D26))))),0)</f>
        <v>0</v>
      </c>
      <c r="R26" s="42">
        <f>IFERROR(IF(R$4="",0,IF($E26="kWh",VLOOKUP(R$4,'4. Billing Determinants'!$B$19:$R$41,4,0)/'4. Billing Determinants'!$E$41*$D26,IF($E26="kW",VLOOKUP(R$4,'4. Billing Determinants'!$B$19:$R$41,5,0)/'4. Billing Determinants'!$F$41*$D26,IF($E26="Non-RPP kWh",VLOOKUP(R$4,'4. Billing Determinants'!$B$19:$R$41,6,0)/'4. Billing Determinants'!$G$41*$D26,IF($E26="Distribution Rev.",VLOOKUP(R$4,'4. Billing Determinants'!$B$19:$R$41,8,0)/'4. Billing Determinants'!$I$41*$D26, VLOOKUP(R$4,'4. Billing Determinants'!$B$19:$R$41,3,0)/'4. Billing Determinants'!$D$41*$D26))))),0)</f>
        <v>0</v>
      </c>
      <c r="S26" s="42">
        <f>IFERROR(IF(S$4="",0,IF($E26="kWh",VLOOKUP(S$4,'4. Billing Determinants'!$B$19:$R$41,4,0)/'4. Billing Determinants'!$E$41*$D26,IF($E26="kW",VLOOKUP(S$4,'4. Billing Determinants'!$B$19:$R$41,5,0)/'4. Billing Determinants'!$F$41*$D26,IF($E26="Non-RPP kWh",VLOOKUP(S$4,'4. Billing Determinants'!$B$19:$R$41,6,0)/'4. Billing Determinants'!$G$41*$D26,IF($E26="Distribution Rev.",VLOOKUP(S$4,'4. Billing Determinants'!$B$19:$R$41,8,0)/'4. Billing Determinants'!$I$41*$D26, VLOOKUP(S$4,'4. Billing Determinants'!$B$19:$R$41,3,0)/'4. Billing Determinants'!$D$41*$D26))))),0)</f>
        <v>0</v>
      </c>
      <c r="T26" s="42">
        <f>IFERROR(IF(T$4="",0,IF($E26="kWh",VLOOKUP(T$4,'4. Billing Determinants'!$B$19:$R$41,4,0)/'4. Billing Determinants'!$E$41*$D26,IF($E26="kW",VLOOKUP(T$4,'4. Billing Determinants'!$B$19:$R$41,5,0)/'4. Billing Determinants'!$F$41*$D26,IF($E26="Non-RPP kWh",VLOOKUP(T$4,'4. Billing Determinants'!$B$19:$R$41,6,0)/'4. Billing Determinants'!$G$41*$D26,IF($E26="Distribution Rev.",VLOOKUP(T$4,'4. Billing Determinants'!$B$19:$R$41,8,0)/'4. Billing Determinants'!$I$41*$D26, VLOOKUP(T$4,'4. Billing Determinants'!$B$19:$R$41,3,0)/'4. Billing Determinants'!$D$41*$D26))))),0)</f>
        <v>0</v>
      </c>
      <c r="U26" s="42">
        <f>IFERROR(IF(U$4="",0,IF($E26="kWh",VLOOKUP(U$4,'4. Billing Determinants'!$B$19:$R$41,4,0)/'4. Billing Determinants'!$E$41*$D26,IF($E26="kW",VLOOKUP(U$4,'4. Billing Determinants'!$B$19:$R$41,5,0)/'4. Billing Determinants'!$F$41*$D26,IF($E26="Non-RPP kWh",VLOOKUP(U$4,'4. Billing Determinants'!$B$19:$R$41,6,0)/'4. Billing Determinants'!$G$41*$D26,IF($E26="Distribution Rev.",VLOOKUP(U$4,'4. Billing Determinants'!$B$19:$R$41,8,0)/'4. Billing Determinants'!$I$41*$D26, VLOOKUP(U$4,'4. Billing Determinants'!$B$19:$R$41,3,0)/'4. Billing Determinants'!$D$41*$D26))))),0)</f>
        <v>0</v>
      </c>
      <c r="V26" s="42">
        <f>IFERROR(IF(V$4="",0,IF($E26="kWh",VLOOKUP(V$4,'4. Billing Determinants'!$B$19:$R$41,4,0)/'4. Billing Determinants'!$E$41*$D26,IF($E26="kW",VLOOKUP(V$4,'4. Billing Determinants'!$B$19:$R$41,5,0)/'4. Billing Determinants'!$F$41*$D26,IF($E26="Non-RPP kWh",VLOOKUP(V$4,'4. Billing Determinants'!$B$19:$R$41,6,0)/'4. Billing Determinants'!$G$41*$D26,IF($E26="Distribution Rev.",VLOOKUP(V$4,'4. Billing Determinants'!$B$19:$R$41,8,0)/'4. Billing Determinants'!$I$41*$D26, VLOOKUP(V$4,'4. Billing Determinants'!$B$19:$R$41,3,0)/'4. Billing Determinants'!$D$41*$D26))))),0)</f>
        <v>0</v>
      </c>
      <c r="W26" s="42">
        <f>IFERROR(IF(W$4="",0,IF($E26="kWh",VLOOKUP(W$4,'4. Billing Determinants'!$B$19:$R$41,4,0)/'4. Billing Determinants'!$E$41*$D26,IF($E26="kW",VLOOKUP(W$4,'4. Billing Determinants'!$B$19:$R$41,5,0)/'4. Billing Determinants'!$F$41*$D26,IF($E26="Non-RPP kWh",VLOOKUP(W$4,'4. Billing Determinants'!$B$19:$R$41,6,0)/'4. Billing Determinants'!$G$41*$D26,IF($E26="Distribution Rev.",VLOOKUP(W$4,'4. Billing Determinants'!$B$19:$R$41,8,0)/'4. Billing Determinants'!$I$41*$D26, VLOOKUP(W$4,'4. Billing Determinants'!$B$19:$R$41,3,0)/'4. Billing Determinants'!$D$41*$D26))))),0)</f>
        <v>0</v>
      </c>
      <c r="X26" s="42">
        <f>IFERROR(IF(X$4="",0,IF($E26="kWh",VLOOKUP(X$4,'4. Billing Determinants'!$B$19:$R$41,4,0)/'4. Billing Determinants'!$E$41*$D26,IF($E26="kW",VLOOKUP(X$4,'4. Billing Determinants'!$B$19:$R$41,5,0)/'4. Billing Determinants'!$F$41*$D26,IF($E26="Non-RPP kWh",VLOOKUP(X$4,'4. Billing Determinants'!$B$19:$R$41,6,0)/'4. Billing Determinants'!$G$41*$D26,IF($E26="Distribution Rev.",VLOOKUP(X$4,'4. Billing Determinants'!$B$19:$R$41,8,0)/'4. Billing Determinants'!$I$41*$D26, VLOOKUP(X$4,'4. Billing Determinants'!$B$19:$R$41,3,0)/'4. Billing Determinants'!$D$41*$D26))))),0)</f>
        <v>0</v>
      </c>
      <c r="Y26" s="42">
        <f>IFERROR(IF(Y$4="",0,IF($E26="kWh",VLOOKUP(Y$4,'4. Billing Determinants'!$B$19:$R$41,4,0)/'4. Billing Determinants'!$E$41*$D26,IF($E26="kW",VLOOKUP(Y$4,'4. Billing Determinants'!$B$19:$R$41,5,0)/'4. Billing Determinants'!$F$41*$D26,IF($E26="Non-RPP kWh",VLOOKUP(Y$4,'4. Billing Determinants'!$B$19:$R$41,6,0)/'4. Billing Determinants'!$G$41*$D26,IF($E26="Distribution Rev.",VLOOKUP(Y$4,'4. Billing Determinants'!$B$19:$R$41,8,0)/'4. Billing Determinants'!$I$41*$D26, VLOOKUP(Y$4,'4. Billing Determinants'!$B$19:$R$41,3,0)/'4. Billing Determinants'!$D$41*$D26))))),0)</f>
        <v>0</v>
      </c>
    </row>
    <row r="27" spans="1:25" x14ac:dyDescent="0.25">
      <c r="A27" s="327">
        <v>24</v>
      </c>
      <c r="B27" s="40" t="s">
        <v>5</v>
      </c>
      <c r="C27" s="41">
        <v>1548</v>
      </c>
      <c r="D27" s="42">
        <f>'2. 2016 Continuity Schedule'!BT53</f>
        <v>26247</v>
      </c>
      <c r="E27" s="74" t="s">
        <v>189</v>
      </c>
      <c r="F27" s="42">
        <f>IFERROR(IF(F$4="",0,IF($E27="kWh",VLOOKUP(F$4,'4. Billing Determinants'!$B$19:$R$41,4,0)/'4. Billing Determinants'!$E$41*$D27,IF($E27="kW",VLOOKUP(F$4,'4. Billing Determinants'!$B$19:$R$41,5,0)/'4. Billing Determinants'!$F$41*$D27,IF($E27="Non-RPP kWh",VLOOKUP(F$4,'4. Billing Determinants'!$B$19:$R$41,6,0)/'4. Billing Determinants'!$G$41*$D27,IF($E27="Distribution Rev.",VLOOKUP(F$4,'4. Billing Determinants'!$B$19:$R$41,8,0)/'4. Billing Determinants'!$I$41*$D27, VLOOKUP(F$4,'4. Billing Determinants'!$B$19:$R$41,3,0)/'4. Billing Determinants'!$D$41*$D27))))),0)</f>
        <v>15770.24072884447</v>
      </c>
      <c r="G27" s="42">
        <f>IFERROR(IF(G$4="",0,IF($E27="kWh",VLOOKUP(G$4,'4. Billing Determinants'!$B$19:$R$41,4,0)/'4. Billing Determinants'!$E$41*$D27,IF($E27="kW",VLOOKUP(G$4,'4. Billing Determinants'!$B$19:$R$41,5,0)/'4. Billing Determinants'!$F$41*$D27,IF($E27="Non-RPP kWh",VLOOKUP(G$4,'4. Billing Determinants'!$B$19:$R$41,6,0)/'4. Billing Determinants'!$G$41*$D27,IF($E27="Distribution Rev.",VLOOKUP(G$4,'4. Billing Determinants'!$B$19:$R$41,8,0)/'4. Billing Determinants'!$I$41*$D27, VLOOKUP(G$4,'4. Billing Determinants'!$B$19:$R$41,3,0)/'4. Billing Determinants'!$D$41*$D27))))),0)</f>
        <v>3440.7131197133344</v>
      </c>
      <c r="H27" s="42">
        <f>IFERROR(IF(H$4="",0,IF($E27="kWh",VLOOKUP(H$4,'4. Billing Determinants'!$B$19:$R$41,4,0)/'4. Billing Determinants'!$E$41*$D27,IF($E27="kW",VLOOKUP(H$4,'4. Billing Determinants'!$B$19:$R$41,5,0)/'4. Billing Determinants'!$F$41*$D27,IF($E27="Non-RPP kWh",VLOOKUP(H$4,'4. Billing Determinants'!$B$19:$R$41,6,0)/'4. Billing Determinants'!$G$41*$D27,IF($E27="Distribution Rev.",VLOOKUP(H$4,'4. Billing Determinants'!$B$19:$R$41,8,0)/'4. Billing Determinants'!$I$41*$D27, VLOOKUP(H$4,'4. Billing Determinants'!$B$19:$R$41,3,0)/'4. Billing Determinants'!$D$41*$D27))))),0)</f>
        <v>6912.8110717639247</v>
      </c>
      <c r="I27" s="42">
        <f>IFERROR(IF(I$4="",0,IF($E27="kWh",VLOOKUP(I$4,'4. Billing Determinants'!$B$19:$R$41,4,0)/'4. Billing Determinants'!$E$41*$D27,IF($E27="kW",VLOOKUP(I$4,'4. Billing Determinants'!$B$19:$R$41,5,0)/'4. Billing Determinants'!$F$41*$D27,IF($E27="Non-RPP kWh",VLOOKUP(I$4,'4. Billing Determinants'!$B$19:$R$41,6,0)/'4. Billing Determinants'!$G$41*$D27,IF($E27="Distribution Rev.",VLOOKUP(I$4,'4. Billing Determinants'!$B$19:$R$41,8,0)/'4. Billing Determinants'!$I$41*$D27, VLOOKUP(I$4,'4. Billing Determinants'!$B$19:$R$41,3,0)/'4. Billing Determinants'!$D$41*$D27))))),0)</f>
        <v>11.285604195781987</v>
      </c>
      <c r="J27" s="42">
        <f>IFERROR(IF(J$4="",0,IF($E27="kWh",VLOOKUP(J$4,'4. Billing Determinants'!$B$19:$R$41,4,0)/'4. Billing Determinants'!$E$41*$D27,IF($E27="kW",VLOOKUP(J$4,'4. Billing Determinants'!$B$19:$R$41,5,0)/'4. Billing Determinants'!$F$41*$D27,IF($E27="Non-RPP kWh",VLOOKUP(J$4,'4. Billing Determinants'!$B$19:$R$41,6,0)/'4. Billing Determinants'!$G$41*$D27,IF($E27="Distribution Rev.",VLOOKUP(J$4,'4. Billing Determinants'!$B$19:$R$41,8,0)/'4. Billing Determinants'!$I$41*$D27, VLOOKUP(J$4,'4. Billing Determinants'!$B$19:$R$41,3,0)/'4. Billing Determinants'!$D$41*$D27))))),0)</f>
        <v>61.461855687301146</v>
      </c>
      <c r="K27" s="42">
        <f>IFERROR(IF(K$4="",0,IF($E27="kWh",VLOOKUP(K$4,'4. Billing Determinants'!$B$19:$R$41,4,0)/'4. Billing Determinants'!$E$41*$D27,IF($E27="kW",VLOOKUP(K$4,'4. Billing Determinants'!$B$19:$R$41,5,0)/'4. Billing Determinants'!$F$41*$D27,IF($E27="Non-RPP kWh",VLOOKUP(K$4,'4. Billing Determinants'!$B$19:$R$41,6,0)/'4. Billing Determinants'!$G$41*$D27,IF($E27="Distribution Rev.",VLOOKUP(K$4,'4. Billing Determinants'!$B$19:$R$41,8,0)/'4. Billing Determinants'!$I$41*$D27, VLOOKUP(K$4,'4. Billing Determinants'!$B$19:$R$41,3,0)/'4. Billing Determinants'!$D$41*$D27))))),0)</f>
        <v>50.487619795183754</v>
      </c>
      <c r="L27" s="42">
        <f>IFERROR(IF(L$4="",0,IF($E27="kWh",VLOOKUP(L$4,'4. Billing Determinants'!$B$19:$R$41,4,0)/'4. Billing Determinants'!$E$41*$D27,IF($E27="kW",VLOOKUP(L$4,'4. Billing Determinants'!$B$19:$R$41,5,0)/'4. Billing Determinants'!$F$41*$D27,IF($E27="Non-RPP kWh",VLOOKUP(L$4,'4. Billing Determinants'!$B$19:$R$41,6,0)/'4. Billing Determinants'!$G$41*$D27,IF($E27="Distribution Rev.",VLOOKUP(L$4,'4. Billing Determinants'!$B$19:$R$41,8,0)/'4. Billing Determinants'!$I$41*$D27, VLOOKUP(L$4,'4. Billing Determinants'!$B$19:$R$41,3,0)/'4. Billing Determinants'!$D$41*$D27))))),0)</f>
        <v>0</v>
      </c>
      <c r="M27" s="42">
        <f>IFERROR(IF(M$4="",0,IF($E27="kWh",VLOOKUP(M$4,'4. Billing Determinants'!$B$19:$R$41,4,0)/'4. Billing Determinants'!$E$41*$D27,IF($E27="kW",VLOOKUP(M$4,'4. Billing Determinants'!$B$19:$R$41,5,0)/'4. Billing Determinants'!$F$41*$D27,IF($E27="Non-RPP kWh",VLOOKUP(M$4,'4. Billing Determinants'!$B$19:$R$41,6,0)/'4. Billing Determinants'!$G$41*$D27,IF($E27="Distribution Rev.",VLOOKUP(M$4,'4. Billing Determinants'!$B$19:$R$41,8,0)/'4. Billing Determinants'!$I$41*$D27, VLOOKUP(M$4,'4. Billing Determinants'!$B$19:$R$41,3,0)/'4. Billing Determinants'!$D$41*$D27))))),0)</f>
        <v>0</v>
      </c>
      <c r="N27" s="42">
        <f>IFERROR(IF(N$4="",0,IF($E27="kWh",VLOOKUP(N$4,'4. Billing Determinants'!$B$19:$R$41,4,0)/'4. Billing Determinants'!$E$41*$D27,IF($E27="kW",VLOOKUP(N$4,'4. Billing Determinants'!$B$19:$R$41,5,0)/'4. Billing Determinants'!$F$41*$D27,IF($E27="Non-RPP kWh",VLOOKUP(N$4,'4. Billing Determinants'!$B$19:$R$41,6,0)/'4. Billing Determinants'!$G$41*$D27,IF($E27="Distribution Rev.",VLOOKUP(N$4,'4. Billing Determinants'!$B$19:$R$41,8,0)/'4. Billing Determinants'!$I$41*$D27, VLOOKUP(N$4,'4. Billing Determinants'!$B$19:$R$41,3,0)/'4. Billing Determinants'!$D$41*$D27))))),0)</f>
        <v>0</v>
      </c>
      <c r="O27" s="42">
        <f>IFERROR(IF(O$4="",0,IF($E27="kWh",VLOOKUP(O$4,'4. Billing Determinants'!$B$19:$R$41,4,0)/'4. Billing Determinants'!$E$41*$D27,IF($E27="kW",VLOOKUP(O$4,'4. Billing Determinants'!$B$19:$R$41,5,0)/'4. Billing Determinants'!$F$41*$D27,IF($E27="Non-RPP kWh",VLOOKUP(O$4,'4. Billing Determinants'!$B$19:$R$41,6,0)/'4. Billing Determinants'!$G$41*$D27,IF($E27="Distribution Rev.",VLOOKUP(O$4,'4. Billing Determinants'!$B$19:$R$41,8,0)/'4. Billing Determinants'!$I$41*$D27, VLOOKUP(O$4,'4. Billing Determinants'!$B$19:$R$41,3,0)/'4. Billing Determinants'!$D$41*$D27))))),0)</f>
        <v>0</v>
      </c>
      <c r="P27" s="42">
        <f>IFERROR(IF(P$4="",0,IF($E27="kWh",VLOOKUP(P$4,'4. Billing Determinants'!$B$19:$R$41,4,0)/'4. Billing Determinants'!$E$41*$D27,IF($E27="kW",VLOOKUP(P$4,'4. Billing Determinants'!$B$19:$R$41,5,0)/'4. Billing Determinants'!$F$41*$D27,IF($E27="Non-RPP kWh",VLOOKUP(P$4,'4. Billing Determinants'!$B$19:$R$41,6,0)/'4. Billing Determinants'!$G$41*$D27,IF($E27="Distribution Rev.",VLOOKUP(P$4,'4. Billing Determinants'!$B$19:$R$41,8,0)/'4. Billing Determinants'!$I$41*$D27, VLOOKUP(P$4,'4. Billing Determinants'!$B$19:$R$41,3,0)/'4. Billing Determinants'!$D$41*$D27))))),0)</f>
        <v>0</v>
      </c>
      <c r="Q27" s="42">
        <f>IFERROR(IF(Q$4="",0,IF($E27="kWh",VLOOKUP(Q$4,'4. Billing Determinants'!$B$19:$R$41,4,0)/'4. Billing Determinants'!$E$41*$D27,IF($E27="kW",VLOOKUP(Q$4,'4. Billing Determinants'!$B$19:$R$41,5,0)/'4. Billing Determinants'!$F$41*$D27,IF($E27="Non-RPP kWh",VLOOKUP(Q$4,'4. Billing Determinants'!$B$19:$R$41,6,0)/'4. Billing Determinants'!$G$41*$D27,IF($E27="Distribution Rev.",VLOOKUP(Q$4,'4. Billing Determinants'!$B$19:$R$41,8,0)/'4. Billing Determinants'!$I$41*$D27, VLOOKUP(Q$4,'4. Billing Determinants'!$B$19:$R$41,3,0)/'4. Billing Determinants'!$D$41*$D27))))),0)</f>
        <v>0</v>
      </c>
      <c r="R27" s="42">
        <f>IFERROR(IF(R$4="",0,IF($E27="kWh",VLOOKUP(R$4,'4. Billing Determinants'!$B$19:$R$41,4,0)/'4. Billing Determinants'!$E$41*$D27,IF($E27="kW",VLOOKUP(R$4,'4. Billing Determinants'!$B$19:$R$41,5,0)/'4. Billing Determinants'!$F$41*$D27,IF($E27="Non-RPP kWh",VLOOKUP(R$4,'4. Billing Determinants'!$B$19:$R$41,6,0)/'4. Billing Determinants'!$G$41*$D27,IF($E27="Distribution Rev.",VLOOKUP(R$4,'4. Billing Determinants'!$B$19:$R$41,8,0)/'4. Billing Determinants'!$I$41*$D27, VLOOKUP(R$4,'4. Billing Determinants'!$B$19:$R$41,3,0)/'4. Billing Determinants'!$D$41*$D27))))),0)</f>
        <v>0</v>
      </c>
      <c r="S27" s="42">
        <f>IFERROR(IF(S$4="",0,IF($E27="kWh",VLOOKUP(S$4,'4. Billing Determinants'!$B$19:$R$41,4,0)/'4. Billing Determinants'!$E$41*$D27,IF($E27="kW",VLOOKUP(S$4,'4. Billing Determinants'!$B$19:$R$41,5,0)/'4. Billing Determinants'!$F$41*$D27,IF($E27="Non-RPP kWh",VLOOKUP(S$4,'4. Billing Determinants'!$B$19:$R$41,6,0)/'4. Billing Determinants'!$G$41*$D27,IF($E27="Distribution Rev.",VLOOKUP(S$4,'4. Billing Determinants'!$B$19:$R$41,8,0)/'4. Billing Determinants'!$I$41*$D27, VLOOKUP(S$4,'4. Billing Determinants'!$B$19:$R$41,3,0)/'4. Billing Determinants'!$D$41*$D27))))),0)</f>
        <v>0</v>
      </c>
      <c r="T27" s="42">
        <f>IFERROR(IF(T$4="",0,IF($E27="kWh",VLOOKUP(T$4,'4. Billing Determinants'!$B$19:$R$41,4,0)/'4. Billing Determinants'!$E$41*$D27,IF($E27="kW",VLOOKUP(T$4,'4. Billing Determinants'!$B$19:$R$41,5,0)/'4. Billing Determinants'!$F$41*$D27,IF($E27="Non-RPP kWh",VLOOKUP(T$4,'4. Billing Determinants'!$B$19:$R$41,6,0)/'4. Billing Determinants'!$G$41*$D27,IF($E27="Distribution Rev.",VLOOKUP(T$4,'4. Billing Determinants'!$B$19:$R$41,8,0)/'4. Billing Determinants'!$I$41*$D27, VLOOKUP(T$4,'4. Billing Determinants'!$B$19:$R$41,3,0)/'4. Billing Determinants'!$D$41*$D27))))),0)</f>
        <v>0</v>
      </c>
      <c r="U27" s="42">
        <f>IFERROR(IF(U$4="",0,IF($E27="kWh",VLOOKUP(U$4,'4. Billing Determinants'!$B$19:$R$41,4,0)/'4. Billing Determinants'!$E$41*$D27,IF($E27="kW",VLOOKUP(U$4,'4. Billing Determinants'!$B$19:$R$41,5,0)/'4. Billing Determinants'!$F$41*$D27,IF($E27="Non-RPP kWh",VLOOKUP(U$4,'4. Billing Determinants'!$B$19:$R$41,6,0)/'4. Billing Determinants'!$G$41*$D27,IF($E27="Distribution Rev.",VLOOKUP(U$4,'4. Billing Determinants'!$B$19:$R$41,8,0)/'4. Billing Determinants'!$I$41*$D27, VLOOKUP(U$4,'4. Billing Determinants'!$B$19:$R$41,3,0)/'4. Billing Determinants'!$D$41*$D27))))),0)</f>
        <v>0</v>
      </c>
      <c r="V27" s="42">
        <f>IFERROR(IF(V$4="",0,IF($E27="kWh",VLOOKUP(V$4,'4. Billing Determinants'!$B$19:$R$41,4,0)/'4. Billing Determinants'!$E$41*$D27,IF($E27="kW",VLOOKUP(V$4,'4. Billing Determinants'!$B$19:$R$41,5,0)/'4. Billing Determinants'!$F$41*$D27,IF($E27="Non-RPP kWh",VLOOKUP(V$4,'4. Billing Determinants'!$B$19:$R$41,6,0)/'4. Billing Determinants'!$G$41*$D27,IF($E27="Distribution Rev.",VLOOKUP(V$4,'4. Billing Determinants'!$B$19:$R$41,8,0)/'4. Billing Determinants'!$I$41*$D27, VLOOKUP(V$4,'4. Billing Determinants'!$B$19:$R$41,3,0)/'4. Billing Determinants'!$D$41*$D27))))),0)</f>
        <v>0</v>
      </c>
      <c r="W27" s="42">
        <f>IFERROR(IF(W$4="",0,IF($E27="kWh",VLOOKUP(W$4,'4. Billing Determinants'!$B$19:$R$41,4,0)/'4. Billing Determinants'!$E$41*$D27,IF($E27="kW",VLOOKUP(W$4,'4. Billing Determinants'!$B$19:$R$41,5,0)/'4. Billing Determinants'!$F$41*$D27,IF($E27="Non-RPP kWh",VLOOKUP(W$4,'4. Billing Determinants'!$B$19:$R$41,6,0)/'4. Billing Determinants'!$G$41*$D27,IF($E27="Distribution Rev.",VLOOKUP(W$4,'4. Billing Determinants'!$B$19:$R$41,8,0)/'4. Billing Determinants'!$I$41*$D27, VLOOKUP(W$4,'4. Billing Determinants'!$B$19:$R$41,3,0)/'4. Billing Determinants'!$D$41*$D27))))),0)</f>
        <v>0</v>
      </c>
      <c r="X27" s="42">
        <f>IFERROR(IF(X$4="",0,IF($E27="kWh",VLOOKUP(X$4,'4. Billing Determinants'!$B$19:$R$41,4,0)/'4. Billing Determinants'!$E$41*$D27,IF($E27="kW",VLOOKUP(X$4,'4. Billing Determinants'!$B$19:$R$41,5,0)/'4. Billing Determinants'!$F$41*$D27,IF($E27="Non-RPP kWh",VLOOKUP(X$4,'4. Billing Determinants'!$B$19:$R$41,6,0)/'4. Billing Determinants'!$G$41*$D27,IF($E27="Distribution Rev.",VLOOKUP(X$4,'4. Billing Determinants'!$B$19:$R$41,8,0)/'4. Billing Determinants'!$I$41*$D27, VLOOKUP(X$4,'4. Billing Determinants'!$B$19:$R$41,3,0)/'4. Billing Determinants'!$D$41*$D27))))),0)</f>
        <v>0</v>
      </c>
      <c r="Y27" s="42">
        <f>IFERROR(IF(Y$4="",0,IF($E27="kWh",VLOOKUP(Y$4,'4. Billing Determinants'!$B$19:$R$41,4,0)/'4. Billing Determinants'!$E$41*$D27,IF($E27="kW",VLOOKUP(Y$4,'4. Billing Determinants'!$B$19:$R$41,5,0)/'4. Billing Determinants'!$F$41*$D27,IF($E27="Non-RPP kWh",VLOOKUP(Y$4,'4. Billing Determinants'!$B$19:$R$41,6,0)/'4. Billing Determinants'!$G$41*$D27,IF($E27="Distribution Rev.",VLOOKUP(Y$4,'4. Billing Determinants'!$B$19:$R$41,8,0)/'4. Billing Determinants'!$I$41*$D27, VLOOKUP(Y$4,'4. Billing Determinants'!$B$19:$R$41,3,0)/'4. Billing Determinants'!$D$41*$D27))))),0)</f>
        <v>0</v>
      </c>
    </row>
    <row r="28" spans="1:25" x14ac:dyDescent="0.25">
      <c r="A28" s="146">
        <v>25</v>
      </c>
      <c r="B28" s="40" t="s">
        <v>32</v>
      </c>
      <c r="C28" s="41">
        <v>1567</v>
      </c>
      <c r="D28" s="42">
        <f>'2. 2016 Continuity Schedule'!BT54</f>
        <v>0</v>
      </c>
      <c r="E28" s="74" t="s">
        <v>189</v>
      </c>
      <c r="F28" s="42">
        <f>IFERROR(IF(F$4="",0,IF($E28="kWh",VLOOKUP(F$4,'4. Billing Determinants'!$B$19:$R$41,4,0)/'4. Billing Determinants'!$E$41*$D28,IF($E28="kW",VLOOKUP(F$4,'4. Billing Determinants'!$B$19:$R$41,5,0)/'4. Billing Determinants'!$F$41*$D28,IF($E28="Non-RPP kWh",VLOOKUP(F$4,'4. Billing Determinants'!$B$19:$R$41,6,0)/'4. Billing Determinants'!$G$41*$D28,IF($E28="Distribution Rev.",VLOOKUP(F$4,'4. Billing Determinants'!$B$19:$R$41,8,0)/'4. Billing Determinants'!$I$41*$D28, VLOOKUP(F$4,'4. Billing Determinants'!$B$19:$R$41,3,0)/'4. Billing Determinants'!$D$41*$D28))))),0)</f>
        <v>0</v>
      </c>
      <c r="G28" s="42">
        <f>IFERROR(IF(G$4="",0,IF($E28="kWh",VLOOKUP(G$4,'4. Billing Determinants'!$B$19:$R$41,4,0)/'4. Billing Determinants'!$E$41*$D28,IF($E28="kW",VLOOKUP(G$4,'4. Billing Determinants'!$B$19:$R$41,5,0)/'4. Billing Determinants'!$F$41*$D28,IF($E28="Non-RPP kWh",VLOOKUP(G$4,'4. Billing Determinants'!$B$19:$R$41,6,0)/'4. Billing Determinants'!$G$41*$D28,IF($E28="Distribution Rev.",VLOOKUP(G$4,'4. Billing Determinants'!$B$19:$R$41,8,0)/'4. Billing Determinants'!$I$41*$D28, VLOOKUP(G$4,'4. Billing Determinants'!$B$19:$R$41,3,0)/'4. Billing Determinants'!$D$41*$D28))))),0)</f>
        <v>0</v>
      </c>
      <c r="H28" s="42">
        <f>IFERROR(IF(H$4="",0,IF($E28="kWh",VLOOKUP(H$4,'4. Billing Determinants'!$B$19:$R$41,4,0)/'4. Billing Determinants'!$E$41*$D28,IF($E28="kW",VLOOKUP(H$4,'4. Billing Determinants'!$B$19:$R$41,5,0)/'4. Billing Determinants'!$F$41*$D28,IF($E28="Non-RPP kWh",VLOOKUP(H$4,'4. Billing Determinants'!$B$19:$R$41,6,0)/'4. Billing Determinants'!$G$41*$D28,IF($E28="Distribution Rev.",VLOOKUP(H$4,'4. Billing Determinants'!$B$19:$R$41,8,0)/'4. Billing Determinants'!$I$41*$D28, VLOOKUP(H$4,'4. Billing Determinants'!$B$19:$R$41,3,0)/'4. Billing Determinants'!$D$41*$D28))))),0)</f>
        <v>0</v>
      </c>
      <c r="I28" s="42">
        <f>IFERROR(IF(I$4="",0,IF($E28="kWh",VLOOKUP(I$4,'4. Billing Determinants'!$B$19:$R$41,4,0)/'4. Billing Determinants'!$E$41*$D28,IF($E28="kW",VLOOKUP(I$4,'4. Billing Determinants'!$B$19:$R$41,5,0)/'4. Billing Determinants'!$F$41*$D28,IF($E28="Non-RPP kWh",VLOOKUP(I$4,'4. Billing Determinants'!$B$19:$R$41,6,0)/'4. Billing Determinants'!$G$41*$D28,IF($E28="Distribution Rev.",VLOOKUP(I$4,'4. Billing Determinants'!$B$19:$R$41,8,0)/'4. Billing Determinants'!$I$41*$D28, VLOOKUP(I$4,'4. Billing Determinants'!$B$19:$R$41,3,0)/'4. Billing Determinants'!$D$41*$D28))))),0)</f>
        <v>0</v>
      </c>
      <c r="J28" s="42">
        <f>IFERROR(IF(J$4="",0,IF($E28="kWh",VLOOKUP(J$4,'4. Billing Determinants'!$B$19:$R$41,4,0)/'4. Billing Determinants'!$E$41*$D28,IF($E28="kW",VLOOKUP(J$4,'4. Billing Determinants'!$B$19:$R$41,5,0)/'4. Billing Determinants'!$F$41*$D28,IF($E28="Non-RPP kWh",VLOOKUP(J$4,'4. Billing Determinants'!$B$19:$R$41,6,0)/'4. Billing Determinants'!$G$41*$D28,IF($E28="Distribution Rev.",VLOOKUP(J$4,'4. Billing Determinants'!$B$19:$R$41,8,0)/'4. Billing Determinants'!$I$41*$D28, VLOOKUP(J$4,'4. Billing Determinants'!$B$19:$R$41,3,0)/'4. Billing Determinants'!$D$41*$D28))))),0)</f>
        <v>0</v>
      </c>
      <c r="K28" s="42">
        <f>IFERROR(IF(K$4="",0,IF($E28="kWh",VLOOKUP(K$4,'4. Billing Determinants'!$B$19:$R$41,4,0)/'4. Billing Determinants'!$E$41*$D28,IF($E28="kW",VLOOKUP(K$4,'4. Billing Determinants'!$B$19:$R$41,5,0)/'4. Billing Determinants'!$F$41*$D28,IF($E28="Non-RPP kWh",VLOOKUP(K$4,'4. Billing Determinants'!$B$19:$R$41,6,0)/'4. Billing Determinants'!$G$41*$D28,IF($E28="Distribution Rev.",VLOOKUP(K$4,'4. Billing Determinants'!$B$19:$R$41,8,0)/'4. Billing Determinants'!$I$41*$D28, VLOOKUP(K$4,'4. Billing Determinants'!$B$19:$R$41,3,0)/'4. Billing Determinants'!$D$41*$D28))))),0)</f>
        <v>0</v>
      </c>
      <c r="L28" s="42">
        <f>IFERROR(IF(L$4="",0,IF($E28="kWh",VLOOKUP(L$4,'4. Billing Determinants'!$B$19:$R$41,4,0)/'4. Billing Determinants'!$E$41*$D28,IF($E28="kW",VLOOKUP(L$4,'4. Billing Determinants'!$B$19:$R$41,5,0)/'4. Billing Determinants'!$F$41*$D28,IF($E28="Non-RPP kWh",VLOOKUP(L$4,'4. Billing Determinants'!$B$19:$R$41,6,0)/'4. Billing Determinants'!$G$41*$D28,IF($E28="Distribution Rev.",VLOOKUP(L$4,'4. Billing Determinants'!$B$19:$R$41,8,0)/'4. Billing Determinants'!$I$41*$D28, VLOOKUP(L$4,'4. Billing Determinants'!$B$19:$R$41,3,0)/'4. Billing Determinants'!$D$41*$D28))))),0)</f>
        <v>0</v>
      </c>
      <c r="M28" s="42">
        <f>IFERROR(IF(M$4="",0,IF($E28="kWh",VLOOKUP(M$4,'4. Billing Determinants'!$B$19:$R$41,4,0)/'4. Billing Determinants'!$E$41*$D28,IF($E28="kW",VLOOKUP(M$4,'4. Billing Determinants'!$B$19:$R$41,5,0)/'4. Billing Determinants'!$F$41*$D28,IF($E28="Non-RPP kWh",VLOOKUP(M$4,'4. Billing Determinants'!$B$19:$R$41,6,0)/'4. Billing Determinants'!$G$41*$D28,IF($E28="Distribution Rev.",VLOOKUP(M$4,'4. Billing Determinants'!$B$19:$R$41,8,0)/'4. Billing Determinants'!$I$41*$D28, VLOOKUP(M$4,'4. Billing Determinants'!$B$19:$R$41,3,0)/'4. Billing Determinants'!$D$41*$D28))))),0)</f>
        <v>0</v>
      </c>
      <c r="N28" s="42">
        <f>IFERROR(IF(N$4="",0,IF($E28="kWh",VLOOKUP(N$4,'4. Billing Determinants'!$B$19:$R$41,4,0)/'4. Billing Determinants'!$E$41*$D28,IF($E28="kW",VLOOKUP(N$4,'4. Billing Determinants'!$B$19:$R$41,5,0)/'4. Billing Determinants'!$F$41*$D28,IF($E28="Non-RPP kWh",VLOOKUP(N$4,'4. Billing Determinants'!$B$19:$R$41,6,0)/'4. Billing Determinants'!$G$41*$D28,IF($E28="Distribution Rev.",VLOOKUP(N$4,'4. Billing Determinants'!$B$19:$R$41,8,0)/'4. Billing Determinants'!$I$41*$D28, VLOOKUP(N$4,'4. Billing Determinants'!$B$19:$R$41,3,0)/'4. Billing Determinants'!$D$41*$D28))))),0)</f>
        <v>0</v>
      </c>
      <c r="O28" s="42">
        <f>IFERROR(IF(O$4="",0,IF($E28="kWh",VLOOKUP(O$4,'4. Billing Determinants'!$B$19:$R$41,4,0)/'4. Billing Determinants'!$E$41*$D28,IF($E28="kW",VLOOKUP(O$4,'4. Billing Determinants'!$B$19:$R$41,5,0)/'4. Billing Determinants'!$F$41*$D28,IF($E28="Non-RPP kWh",VLOOKUP(O$4,'4. Billing Determinants'!$B$19:$R$41,6,0)/'4. Billing Determinants'!$G$41*$D28,IF($E28="Distribution Rev.",VLOOKUP(O$4,'4. Billing Determinants'!$B$19:$R$41,8,0)/'4. Billing Determinants'!$I$41*$D28, VLOOKUP(O$4,'4. Billing Determinants'!$B$19:$R$41,3,0)/'4. Billing Determinants'!$D$41*$D28))))),0)</f>
        <v>0</v>
      </c>
      <c r="P28" s="42">
        <f>IFERROR(IF(P$4="",0,IF($E28="kWh",VLOOKUP(P$4,'4. Billing Determinants'!$B$19:$R$41,4,0)/'4. Billing Determinants'!$E$41*$D28,IF($E28="kW",VLOOKUP(P$4,'4. Billing Determinants'!$B$19:$R$41,5,0)/'4. Billing Determinants'!$F$41*$D28,IF($E28="Non-RPP kWh",VLOOKUP(P$4,'4. Billing Determinants'!$B$19:$R$41,6,0)/'4. Billing Determinants'!$G$41*$D28,IF($E28="Distribution Rev.",VLOOKUP(P$4,'4. Billing Determinants'!$B$19:$R$41,8,0)/'4. Billing Determinants'!$I$41*$D28, VLOOKUP(P$4,'4. Billing Determinants'!$B$19:$R$41,3,0)/'4. Billing Determinants'!$D$41*$D28))))),0)</f>
        <v>0</v>
      </c>
      <c r="Q28" s="42">
        <f>IFERROR(IF(Q$4="",0,IF($E28="kWh",VLOOKUP(Q$4,'4. Billing Determinants'!$B$19:$R$41,4,0)/'4. Billing Determinants'!$E$41*$D28,IF($E28="kW",VLOOKUP(Q$4,'4. Billing Determinants'!$B$19:$R$41,5,0)/'4. Billing Determinants'!$F$41*$D28,IF($E28="Non-RPP kWh",VLOOKUP(Q$4,'4. Billing Determinants'!$B$19:$R$41,6,0)/'4. Billing Determinants'!$G$41*$D28,IF($E28="Distribution Rev.",VLOOKUP(Q$4,'4. Billing Determinants'!$B$19:$R$41,8,0)/'4. Billing Determinants'!$I$41*$D28, VLOOKUP(Q$4,'4. Billing Determinants'!$B$19:$R$41,3,0)/'4. Billing Determinants'!$D$41*$D28))))),0)</f>
        <v>0</v>
      </c>
      <c r="R28" s="42">
        <f>IFERROR(IF(R$4="",0,IF($E28="kWh",VLOOKUP(R$4,'4. Billing Determinants'!$B$19:$R$41,4,0)/'4. Billing Determinants'!$E$41*$D28,IF($E28="kW",VLOOKUP(R$4,'4. Billing Determinants'!$B$19:$R$41,5,0)/'4. Billing Determinants'!$F$41*$D28,IF($E28="Non-RPP kWh",VLOOKUP(R$4,'4. Billing Determinants'!$B$19:$R$41,6,0)/'4. Billing Determinants'!$G$41*$D28,IF($E28="Distribution Rev.",VLOOKUP(R$4,'4. Billing Determinants'!$B$19:$R$41,8,0)/'4. Billing Determinants'!$I$41*$D28, VLOOKUP(R$4,'4. Billing Determinants'!$B$19:$R$41,3,0)/'4. Billing Determinants'!$D$41*$D28))))),0)</f>
        <v>0</v>
      </c>
      <c r="S28" s="42">
        <f>IFERROR(IF(S$4="",0,IF($E28="kWh",VLOOKUP(S$4,'4. Billing Determinants'!$B$19:$R$41,4,0)/'4. Billing Determinants'!$E$41*$D28,IF($E28="kW",VLOOKUP(S$4,'4. Billing Determinants'!$B$19:$R$41,5,0)/'4. Billing Determinants'!$F$41*$D28,IF($E28="Non-RPP kWh",VLOOKUP(S$4,'4. Billing Determinants'!$B$19:$R$41,6,0)/'4. Billing Determinants'!$G$41*$D28,IF($E28="Distribution Rev.",VLOOKUP(S$4,'4. Billing Determinants'!$B$19:$R$41,8,0)/'4. Billing Determinants'!$I$41*$D28, VLOOKUP(S$4,'4. Billing Determinants'!$B$19:$R$41,3,0)/'4. Billing Determinants'!$D$41*$D28))))),0)</f>
        <v>0</v>
      </c>
      <c r="T28" s="42">
        <f>IFERROR(IF(T$4="",0,IF($E28="kWh",VLOOKUP(T$4,'4. Billing Determinants'!$B$19:$R$41,4,0)/'4. Billing Determinants'!$E$41*$D28,IF($E28="kW",VLOOKUP(T$4,'4. Billing Determinants'!$B$19:$R$41,5,0)/'4. Billing Determinants'!$F$41*$D28,IF($E28="Non-RPP kWh",VLOOKUP(T$4,'4. Billing Determinants'!$B$19:$R$41,6,0)/'4. Billing Determinants'!$G$41*$D28,IF($E28="Distribution Rev.",VLOOKUP(T$4,'4. Billing Determinants'!$B$19:$R$41,8,0)/'4. Billing Determinants'!$I$41*$D28, VLOOKUP(T$4,'4. Billing Determinants'!$B$19:$R$41,3,0)/'4. Billing Determinants'!$D$41*$D28))))),0)</f>
        <v>0</v>
      </c>
      <c r="U28" s="42">
        <f>IFERROR(IF(U$4="",0,IF($E28="kWh",VLOOKUP(U$4,'4. Billing Determinants'!$B$19:$R$41,4,0)/'4. Billing Determinants'!$E$41*$D28,IF($E28="kW",VLOOKUP(U$4,'4. Billing Determinants'!$B$19:$R$41,5,0)/'4. Billing Determinants'!$F$41*$D28,IF($E28="Non-RPP kWh",VLOOKUP(U$4,'4. Billing Determinants'!$B$19:$R$41,6,0)/'4. Billing Determinants'!$G$41*$D28,IF($E28="Distribution Rev.",VLOOKUP(U$4,'4. Billing Determinants'!$B$19:$R$41,8,0)/'4. Billing Determinants'!$I$41*$D28, VLOOKUP(U$4,'4. Billing Determinants'!$B$19:$R$41,3,0)/'4. Billing Determinants'!$D$41*$D28))))),0)</f>
        <v>0</v>
      </c>
      <c r="V28" s="42">
        <f>IFERROR(IF(V$4="",0,IF($E28="kWh",VLOOKUP(V$4,'4. Billing Determinants'!$B$19:$R$41,4,0)/'4. Billing Determinants'!$E$41*$D28,IF($E28="kW",VLOOKUP(V$4,'4. Billing Determinants'!$B$19:$R$41,5,0)/'4. Billing Determinants'!$F$41*$D28,IF($E28="Non-RPP kWh",VLOOKUP(V$4,'4. Billing Determinants'!$B$19:$R$41,6,0)/'4. Billing Determinants'!$G$41*$D28,IF($E28="Distribution Rev.",VLOOKUP(V$4,'4. Billing Determinants'!$B$19:$R$41,8,0)/'4. Billing Determinants'!$I$41*$D28, VLOOKUP(V$4,'4. Billing Determinants'!$B$19:$R$41,3,0)/'4. Billing Determinants'!$D$41*$D28))))),0)</f>
        <v>0</v>
      </c>
      <c r="W28" s="42">
        <f>IFERROR(IF(W$4="",0,IF($E28="kWh",VLOOKUP(W$4,'4. Billing Determinants'!$B$19:$R$41,4,0)/'4. Billing Determinants'!$E$41*$D28,IF($E28="kW",VLOOKUP(W$4,'4. Billing Determinants'!$B$19:$R$41,5,0)/'4. Billing Determinants'!$F$41*$D28,IF($E28="Non-RPP kWh",VLOOKUP(W$4,'4. Billing Determinants'!$B$19:$R$41,6,0)/'4. Billing Determinants'!$G$41*$D28,IF($E28="Distribution Rev.",VLOOKUP(W$4,'4. Billing Determinants'!$B$19:$R$41,8,0)/'4. Billing Determinants'!$I$41*$D28, VLOOKUP(W$4,'4. Billing Determinants'!$B$19:$R$41,3,0)/'4. Billing Determinants'!$D$41*$D28))))),0)</f>
        <v>0</v>
      </c>
      <c r="X28" s="42">
        <f>IFERROR(IF(X$4="",0,IF($E28="kWh",VLOOKUP(X$4,'4. Billing Determinants'!$B$19:$R$41,4,0)/'4. Billing Determinants'!$E$41*$D28,IF($E28="kW",VLOOKUP(X$4,'4. Billing Determinants'!$B$19:$R$41,5,0)/'4. Billing Determinants'!$F$41*$D28,IF($E28="Non-RPP kWh",VLOOKUP(X$4,'4. Billing Determinants'!$B$19:$R$41,6,0)/'4. Billing Determinants'!$G$41*$D28,IF($E28="Distribution Rev.",VLOOKUP(X$4,'4. Billing Determinants'!$B$19:$R$41,8,0)/'4. Billing Determinants'!$I$41*$D28, VLOOKUP(X$4,'4. Billing Determinants'!$B$19:$R$41,3,0)/'4. Billing Determinants'!$D$41*$D28))))),0)</f>
        <v>0</v>
      </c>
      <c r="Y28" s="42">
        <f>IFERROR(IF(Y$4="",0,IF($E28="kWh",VLOOKUP(Y$4,'4. Billing Determinants'!$B$19:$R$41,4,0)/'4. Billing Determinants'!$E$41*$D28,IF($E28="kW",VLOOKUP(Y$4,'4. Billing Determinants'!$B$19:$R$41,5,0)/'4. Billing Determinants'!$F$41*$D28,IF($E28="Non-RPP kWh",VLOOKUP(Y$4,'4. Billing Determinants'!$B$19:$R$41,6,0)/'4. Billing Determinants'!$G$41*$D28,IF($E28="Distribution Rev.",VLOOKUP(Y$4,'4. Billing Determinants'!$B$19:$R$41,8,0)/'4. Billing Determinants'!$I$41*$D28, VLOOKUP(Y$4,'4. Billing Determinants'!$B$19:$R$41,3,0)/'4. Billing Determinants'!$D$41*$D28))))),0)</f>
        <v>0</v>
      </c>
    </row>
    <row r="29" spans="1:25" x14ac:dyDescent="0.25">
      <c r="A29" s="146">
        <v>26</v>
      </c>
      <c r="B29" s="40" t="s">
        <v>10</v>
      </c>
      <c r="C29" s="41">
        <v>1572</v>
      </c>
      <c r="D29" s="42">
        <f>'2. 2016 Continuity Schedule'!BT55</f>
        <v>0</v>
      </c>
      <c r="E29" s="74" t="s">
        <v>189</v>
      </c>
      <c r="F29" s="42">
        <f>IFERROR(IF(F$4="",0,IF($E29="kWh",VLOOKUP(F$4,'4. Billing Determinants'!$B$19:$R$41,4,0)/'4. Billing Determinants'!$E$41*$D29,IF($E29="kW",VLOOKUP(F$4,'4. Billing Determinants'!$B$19:$R$41,5,0)/'4. Billing Determinants'!$F$41*$D29,IF($E29="Non-RPP kWh",VLOOKUP(F$4,'4. Billing Determinants'!$B$19:$R$41,6,0)/'4. Billing Determinants'!$G$41*$D29,IF($E29="Distribution Rev.",VLOOKUP(F$4,'4. Billing Determinants'!$B$19:$R$41,8,0)/'4. Billing Determinants'!$I$41*$D29, VLOOKUP(F$4,'4. Billing Determinants'!$B$19:$R$41,3,0)/'4. Billing Determinants'!$D$41*$D29))))),0)</f>
        <v>0</v>
      </c>
      <c r="G29" s="42">
        <f>IFERROR(IF(G$4="",0,IF($E29="kWh",VLOOKUP(G$4,'4. Billing Determinants'!$B$19:$R$41,4,0)/'4. Billing Determinants'!$E$41*$D29,IF($E29="kW",VLOOKUP(G$4,'4. Billing Determinants'!$B$19:$R$41,5,0)/'4. Billing Determinants'!$F$41*$D29,IF($E29="Non-RPP kWh",VLOOKUP(G$4,'4. Billing Determinants'!$B$19:$R$41,6,0)/'4. Billing Determinants'!$G$41*$D29,IF($E29="Distribution Rev.",VLOOKUP(G$4,'4. Billing Determinants'!$B$19:$R$41,8,0)/'4. Billing Determinants'!$I$41*$D29, VLOOKUP(G$4,'4. Billing Determinants'!$B$19:$R$41,3,0)/'4. Billing Determinants'!$D$41*$D29))))),0)</f>
        <v>0</v>
      </c>
      <c r="H29" s="42">
        <f>IFERROR(IF(H$4="",0,IF($E29="kWh",VLOOKUP(H$4,'4. Billing Determinants'!$B$19:$R$41,4,0)/'4. Billing Determinants'!$E$41*$D29,IF($E29="kW",VLOOKUP(H$4,'4. Billing Determinants'!$B$19:$R$41,5,0)/'4. Billing Determinants'!$F$41*$D29,IF($E29="Non-RPP kWh",VLOOKUP(H$4,'4. Billing Determinants'!$B$19:$R$41,6,0)/'4. Billing Determinants'!$G$41*$D29,IF($E29="Distribution Rev.",VLOOKUP(H$4,'4. Billing Determinants'!$B$19:$R$41,8,0)/'4. Billing Determinants'!$I$41*$D29, VLOOKUP(H$4,'4. Billing Determinants'!$B$19:$R$41,3,0)/'4. Billing Determinants'!$D$41*$D29))))),0)</f>
        <v>0</v>
      </c>
      <c r="I29" s="42">
        <f>IFERROR(IF(I$4="",0,IF($E29="kWh",VLOOKUP(I$4,'4. Billing Determinants'!$B$19:$R$41,4,0)/'4. Billing Determinants'!$E$41*$D29,IF($E29="kW",VLOOKUP(I$4,'4. Billing Determinants'!$B$19:$R$41,5,0)/'4. Billing Determinants'!$F$41*$D29,IF($E29="Non-RPP kWh",VLOOKUP(I$4,'4. Billing Determinants'!$B$19:$R$41,6,0)/'4. Billing Determinants'!$G$41*$D29,IF($E29="Distribution Rev.",VLOOKUP(I$4,'4. Billing Determinants'!$B$19:$R$41,8,0)/'4. Billing Determinants'!$I$41*$D29, VLOOKUP(I$4,'4. Billing Determinants'!$B$19:$R$41,3,0)/'4. Billing Determinants'!$D$41*$D29))))),0)</f>
        <v>0</v>
      </c>
      <c r="J29" s="42">
        <f>IFERROR(IF(J$4="",0,IF($E29="kWh",VLOOKUP(J$4,'4. Billing Determinants'!$B$19:$R$41,4,0)/'4. Billing Determinants'!$E$41*$D29,IF($E29="kW",VLOOKUP(J$4,'4. Billing Determinants'!$B$19:$R$41,5,0)/'4. Billing Determinants'!$F$41*$D29,IF($E29="Non-RPP kWh",VLOOKUP(J$4,'4. Billing Determinants'!$B$19:$R$41,6,0)/'4. Billing Determinants'!$G$41*$D29,IF($E29="Distribution Rev.",VLOOKUP(J$4,'4. Billing Determinants'!$B$19:$R$41,8,0)/'4. Billing Determinants'!$I$41*$D29, VLOOKUP(J$4,'4. Billing Determinants'!$B$19:$R$41,3,0)/'4. Billing Determinants'!$D$41*$D29))))),0)</f>
        <v>0</v>
      </c>
      <c r="K29" s="42">
        <f>IFERROR(IF(K$4="",0,IF($E29="kWh",VLOOKUP(K$4,'4. Billing Determinants'!$B$19:$R$41,4,0)/'4. Billing Determinants'!$E$41*$D29,IF($E29="kW",VLOOKUP(K$4,'4. Billing Determinants'!$B$19:$R$41,5,0)/'4. Billing Determinants'!$F$41*$D29,IF($E29="Non-RPP kWh",VLOOKUP(K$4,'4. Billing Determinants'!$B$19:$R$41,6,0)/'4. Billing Determinants'!$G$41*$D29,IF($E29="Distribution Rev.",VLOOKUP(K$4,'4. Billing Determinants'!$B$19:$R$41,8,0)/'4. Billing Determinants'!$I$41*$D29, VLOOKUP(K$4,'4. Billing Determinants'!$B$19:$R$41,3,0)/'4. Billing Determinants'!$D$41*$D29))))),0)</f>
        <v>0</v>
      </c>
      <c r="L29" s="42">
        <f>IFERROR(IF(L$4="",0,IF($E29="kWh",VLOOKUP(L$4,'4. Billing Determinants'!$B$19:$R$41,4,0)/'4. Billing Determinants'!$E$41*$D29,IF($E29="kW",VLOOKUP(L$4,'4. Billing Determinants'!$B$19:$R$41,5,0)/'4. Billing Determinants'!$F$41*$D29,IF($E29="Non-RPP kWh",VLOOKUP(L$4,'4. Billing Determinants'!$B$19:$R$41,6,0)/'4. Billing Determinants'!$G$41*$D29,IF($E29="Distribution Rev.",VLOOKUP(L$4,'4. Billing Determinants'!$B$19:$R$41,8,0)/'4. Billing Determinants'!$I$41*$D29, VLOOKUP(L$4,'4. Billing Determinants'!$B$19:$R$41,3,0)/'4. Billing Determinants'!$D$41*$D29))))),0)</f>
        <v>0</v>
      </c>
      <c r="M29" s="42">
        <f>IFERROR(IF(M$4="",0,IF($E29="kWh",VLOOKUP(M$4,'4. Billing Determinants'!$B$19:$R$41,4,0)/'4. Billing Determinants'!$E$41*$D29,IF($E29="kW",VLOOKUP(M$4,'4. Billing Determinants'!$B$19:$R$41,5,0)/'4. Billing Determinants'!$F$41*$D29,IF($E29="Non-RPP kWh",VLOOKUP(M$4,'4. Billing Determinants'!$B$19:$R$41,6,0)/'4. Billing Determinants'!$G$41*$D29,IF($E29="Distribution Rev.",VLOOKUP(M$4,'4. Billing Determinants'!$B$19:$R$41,8,0)/'4. Billing Determinants'!$I$41*$D29, VLOOKUP(M$4,'4. Billing Determinants'!$B$19:$R$41,3,0)/'4. Billing Determinants'!$D$41*$D29))))),0)</f>
        <v>0</v>
      </c>
      <c r="N29" s="42">
        <f>IFERROR(IF(N$4="",0,IF($E29="kWh",VLOOKUP(N$4,'4. Billing Determinants'!$B$19:$R$41,4,0)/'4. Billing Determinants'!$E$41*$D29,IF($E29="kW",VLOOKUP(N$4,'4. Billing Determinants'!$B$19:$R$41,5,0)/'4. Billing Determinants'!$F$41*$D29,IF($E29="Non-RPP kWh",VLOOKUP(N$4,'4. Billing Determinants'!$B$19:$R$41,6,0)/'4. Billing Determinants'!$G$41*$D29,IF($E29="Distribution Rev.",VLOOKUP(N$4,'4. Billing Determinants'!$B$19:$R$41,8,0)/'4. Billing Determinants'!$I$41*$D29, VLOOKUP(N$4,'4. Billing Determinants'!$B$19:$R$41,3,0)/'4. Billing Determinants'!$D$41*$D29))))),0)</f>
        <v>0</v>
      </c>
      <c r="O29" s="42">
        <f>IFERROR(IF(O$4="",0,IF($E29="kWh",VLOOKUP(O$4,'4. Billing Determinants'!$B$19:$R$41,4,0)/'4. Billing Determinants'!$E$41*$D29,IF($E29="kW",VLOOKUP(O$4,'4. Billing Determinants'!$B$19:$R$41,5,0)/'4. Billing Determinants'!$F$41*$D29,IF($E29="Non-RPP kWh",VLOOKUP(O$4,'4. Billing Determinants'!$B$19:$R$41,6,0)/'4. Billing Determinants'!$G$41*$D29,IF($E29="Distribution Rev.",VLOOKUP(O$4,'4. Billing Determinants'!$B$19:$R$41,8,0)/'4. Billing Determinants'!$I$41*$D29, VLOOKUP(O$4,'4. Billing Determinants'!$B$19:$R$41,3,0)/'4. Billing Determinants'!$D$41*$D29))))),0)</f>
        <v>0</v>
      </c>
      <c r="P29" s="42">
        <f>IFERROR(IF(P$4="",0,IF($E29="kWh",VLOOKUP(P$4,'4. Billing Determinants'!$B$19:$R$41,4,0)/'4. Billing Determinants'!$E$41*$D29,IF($E29="kW",VLOOKUP(P$4,'4. Billing Determinants'!$B$19:$R$41,5,0)/'4. Billing Determinants'!$F$41*$D29,IF($E29="Non-RPP kWh",VLOOKUP(P$4,'4. Billing Determinants'!$B$19:$R$41,6,0)/'4. Billing Determinants'!$G$41*$D29,IF($E29="Distribution Rev.",VLOOKUP(P$4,'4. Billing Determinants'!$B$19:$R$41,8,0)/'4. Billing Determinants'!$I$41*$D29, VLOOKUP(P$4,'4. Billing Determinants'!$B$19:$R$41,3,0)/'4. Billing Determinants'!$D$41*$D29))))),0)</f>
        <v>0</v>
      </c>
      <c r="Q29" s="42">
        <f>IFERROR(IF(Q$4="",0,IF($E29="kWh",VLOOKUP(Q$4,'4. Billing Determinants'!$B$19:$R$41,4,0)/'4. Billing Determinants'!$E$41*$D29,IF($E29="kW",VLOOKUP(Q$4,'4. Billing Determinants'!$B$19:$R$41,5,0)/'4. Billing Determinants'!$F$41*$D29,IF($E29="Non-RPP kWh",VLOOKUP(Q$4,'4. Billing Determinants'!$B$19:$R$41,6,0)/'4. Billing Determinants'!$G$41*$D29,IF($E29="Distribution Rev.",VLOOKUP(Q$4,'4. Billing Determinants'!$B$19:$R$41,8,0)/'4. Billing Determinants'!$I$41*$D29, VLOOKUP(Q$4,'4. Billing Determinants'!$B$19:$R$41,3,0)/'4. Billing Determinants'!$D$41*$D29))))),0)</f>
        <v>0</v>
      </c>
      <c r="R29" s="42">
        <f>IFERROR(IF(R$4="",0,IF($E29="kWh",VLOOKUP(R$4,'4. Billing Determinants'!$B$19:$R$41,4,0)/'4. Billing Determinants'!$E$41*$D29,IF($E29="kW",VLOOKUP(R$4,'4. Billing Determinants'!$B$19:$R$41,5,0)/'4. Billing Determinants'!$F$41*$D29,IF($E29="Non-RPP kWh",VLOOKUP(R$4,'4. Billing Determinants'!$B$19:$R$41,6,0)/'4. Billing Determinants'!$G$41*$D29,IF($E29="Distribution Rev.",VLOOKUP(R$4,'4. Billing Determinants'!$B$19:$R$41,8,0)/'4. Billing Determinants'!$I$41*$D29, VLOOKUP(R$4,'4. Billing Determinants'!$B$19:$R$41,3,0)/'4. Billing Determinants'!$D$41*$D29))))),0)</f>
        <v>0</v>
      </c>
      <c r="S29" s="42">
        <f>IFERROR(IF(S$4="",0,IF($E29="kWh",VLOOKUP(S$4,'4. Billing Determinants'!$B$19:$R$41,4,0)/'4. Billing Determinants'!$E$41*$D29,IF($E29="kW",VLOOKUP(S$4,'4. Billing Determinants'!$B$19:$R$41,5,0)/'4. Billing Determinants'!$F$41*$D29,IF($E29="Non-RPP kWh",VLOOKUP(S$4,'4. Billing Determinants'!$B$19:$R$41,6,0)/'4. Billing Determinants'!$G$41*$D29,IF($E29="Distribution Rev.",VLOOKUP(S$4,'4. Billing Determinants'!$B$19:$R$41,8,0)/'4. Billing Determinants'!$I$41*$D29, VLOOKUP(S$4,'4. Billing Determinants'!$B$19:$R$41,3,0)/'4. Billing Determinants'!$D$41*$D29))))),0)</f>
        <v>0</v>
      </c>
      <c r="T29" s="42">
        <f>IFERROR(IF(T$4="",0,IF($E29="kWh",VLOOKUP(T$4,'4. Billing Determinants'!$B$19:$R$41,4,0)/'4. Billing Determinants'!$E$41*$D29,IF($E29="kW",VLOOKUP(T$4,'4. Billing Determinants'!$B$19:$R$41,5,0)/'4. Billing Determinants'!$F$41*$D29,IF($E29="Non-RPP kWh",VLOOKUP(T$4,'4. Billing Determinants'!$B$19:$R$41,6,0)/'4. Billing Determinants'!$G$41*$D29,IF($E29="Distribution Rev.",VLOOKUP(T$4,'4. Billing Determinants'!$B$19:$R$41,8,0)/'4. Billing Determinants'!$I$41*$D29, VLOOKUP(T$4,'4. Billing Determinants'!$B$19:$R$41,3,0)/'4. Billing Determinants'!$D$41*$D29))))),0)</f>
        <v>0</v>
      </c>
      <c r="U29" s="42">
        <f>IFERROR(IF(U$4="",0,IF($E29="kWh",VLOOKUP(U$4,'4. Billing Determinants'!$B$19:$R$41,4,0)/'4. Billing Determinants'!$E$41*$D29,IF($E29="kW",VLOOKUP(U$4,'4. Billing Determinants'!$B$19:$R$41,5,0)/'4. Billing Determinants'!$F$41*$D29,IF($E29="Non-RPP kWh",VLOOKUP(U$4,'4. Billing Determinants'!$B$19:$R$41,6,0)/'4. Billing Determinants'!$G$41*$D29,IF($E29="Distribution Rev.",VLOOKUP(U$4,'4. Billing Determinants'!$B$19:$R$41,8,0)/'4. Billing Determinants'!$I$41*$D29, VLOOKUP(U$4,'4. Billing Determinants'!$B$19:$R$41,3,0)/'4. Billing Determinants'!$D$41*$D29))))),0)</f>
        <v>0</v>
      </c>
      <c r="V29" s="42">
        <f>IFERROR(IF(V$4="",0,IF($E29="kWh",VLOOKUP(V$4,'4. Billing Determinants'!$B$19:$R$41,4,0)/'4. Billing Determinants'!$E$41*$D29,IF($E29="kW",VLOOKUP(V$4,'4. Billing Determinants'!$B$19:$R$41,5,0)/'4. Billing Determinants'!$F$41*$D29,IF($E29="Non-RPP kWh",VLOOKUP(V$4,'4. Billing Determinants'!$B$19:$R$41,6,0)/'4. Billing Determinants'!$G$41*$D29,IF($E29="Distribution Rev.",VLOOKUP(V$4,'4. Billing Determinants'!$B$19:$R$41,8,0)/'4. Billing Determinants'!$I$41*$D29, VLOOKUP(V$4,'4. Billing Determinants'!$B$19:$R$41,3,0)/'4. Billing Determinants'!$D$41*$D29))))),0)</f>
        <v>0</v>
      </c>
      <c r="W29" s="42">
        <f>IFERROR(IF(W$4="",0,IF($E29="kWh",VLOOKUP(W$4,'4. Billing Determinants'!$B$19:$R$41,4,0)/'4. Billing Determinants'!$E$41*$D29,IF($E29="kW",VLOOKUP(W$4,'4. Billing Determinants'!$B$19:$R$41,5,0)/'4. Billing Determinants'!$F$41*$D29,IF($E29="Non-RPP kWh",VLOOKUP(W$4,'4. Billing Determinants'!$B$19:$R$41,6,0)/'4. Billing Determinants'!$G$41*$D29,IF($E29="Distribution Rev.",VLOOKUP(W$4,'4. Billing Determinants'!$B$19:$R$41,8,0)/'4. Billing Determinants'!$I$41*$D29, VLOOKUP(W$4,'4. Billing Determinants'!$B$19:$R$41,3,0)/'4. Billing Determinants'!$D$41*$D29))))),0)</f>
        <v>0</v>
      </c>
      <c r="X29" s="42">
        <f>IFERROR(IF(X$4="",0,IF($E29="kWh",VLOOKUP(X$4,'4. Billing Determinants'!$B$19:$R$41,4,0)/'4. Billing Determinants'!$E$41*$D29,IF($E29="kW",VLOOKUP(X$4,'4. Billing Determinants'!$B$19:$R$41,5,0)/'4. Billing Determinants'!$F$41*$D29,IF($E29="Non-RPP kWh",VLOOKUP(X$4,'4. Billing Determinants'!$B$19:$R$41,6,0)/'4. Billing Determinants'!$G$41*$D29,IF($E29="Distribution Rev.",VLOOKUP(X$4,'4. Billing Determinants'!$B$19:$R$41,8,0)/'4. Billing Determinants'!$I$41*$D29, VLOOKUP(X$4,'4. Billing Determinants'!$B$19:$R$41,3,0)/'4. Billing Determinants'!$D$41*$D29))))),0)</f>
        <v>0</v>
      </c>
      <c r="Y29" s="42">
        <f>IFERROR(IF(Y$4="",0,IF($E29="kWh",VLOOKUP(Y$4,'4. Billing Determinants'!$B$19:$R$41,4,0)/'4. Billing Determinants'!$E$41*$D29,IF($E29="kW",VLOOKUP(Y$4,'4. Billing Determinants'!$B$19:$R$41,5,0)/'4. Billing Determinants'!$F$41*$D29,IF($E29="Non-RPP kWh",VLOOKUP(Y$4,'4. Billing Determinants'!$B$19:$R$41,6,0)/'4. Billing Determinants'!$G$41*$D29,IF($E29="Distribution Rev.",VLOOKUP(Y$4,'4. Billing Determinants'!$B$19:$R$41,8,0)/'4. Billing Determinants'!$I$41*$D29, VLOOKUP(Y$4,'4. Billing Determinants'!$B$19:$R$41,3,0)/'4. Billing Determinants'!$D$41*$D29))))),0)</f>
        <v>0</v>
      </c>
    </row>
    <row r="30" spans="1:25" x14ac:dyDescent="0.25">
      <c r="A30" s="146">
        <v>27</v>
      </c>
      <c r="B30" s="40" t="s">
        <v>6</v>
      </c>
      <c r="C30" s="41">
        <v>1574</v>
      </c>
      <c r="D30" s="42">
        <f>'2. 2016 Continuity Schedule'!BT56</f>
        <v>0</v>
      </c>
      <c r="E30" s="74" t="s">
        <v>189</v>
      </c>
      <c r="F30" s="42">
        <f>IFERROR(IF(F$4="",0,IF($E30="kWh",VLOOKUP(F$4,'4. Billing Determinants'!$B$19:$R$41,4,0)/'4. Billing Determinants'!$E$41*$D30,IF($E30="kW",VLOOKUP(F$4,'4. Billing Determinants'!$B$19:$R$41,5,0)/'4. Billing Determinants'!$F$41*$D30,IF($E30="Non-RPP kWh",VLOOKUP(F$4,'4. Billing Determinants'!$B$19:$R$41,6,0)/'4. Billing Determinants'!$G$41*$D30,IF($E30="Distribution Rev.",VLOOKUP(F$4,'4. Billing Determinants'!$B$19:$R$41,8,0)/'4. Billing Determinants'!$I$41*$D30, VLOOKUP(F$4,'4. Billing Determinants'!$B$19:$R$41,3,0)/'4. Billing Determinants'!$D$41*$D30))))),0)</f>
        <v>0</v>
      </c>
      <c r="G30" s="42">
        <f>IFERROR(IF(G$4="",0,IF($E30="kWh",VLOOKUP(G$4,'4. Billing Determinants'!$B$19:$R$41,4,0)/'4. Billing Determinants'!$E$41*$D30,IF($E30="kW",VLOOKUP(G$4,'4. Billing Determinants'!$B$19:$R$41,5,0)/'4. Billing Determinants'!$F$41*$D30,IF($E30="Non-RPP kWh",VLOOKUP(G$4,'4. Billing Determinants'!$B$19:$R$41,6,0)/'4. Billing Determinants'!$G$41*$D30,IF($E30="Distribution Rev.",VLOOKUP(G$4,'4. Billing Determinants'!$B$19:$R$41,8,0)/'4. Billing Determinants'!$I$41*$D30, VLOOKUP(G$4,'4. Billing Determinants'!$B$19:$R$41,3,0)/'4. Billing Determinants'!$D$41*$D30))))),0)</f>
        <v>0</v>
      </c>
      <c r="H30" s="42">
        <f>IFERROR(IF(H$4="",0,IF($E30="kWh",VLOOKUP(H$4,'4. Billing Determinants'!$B$19:$R$41,4,0)/'4. Billing Determinants'!$E$41*$D30,IF($E30="kW",VLOOKUP(H$4,'4. Billing Determinants'!$B$19:$R$41,5,0)/'4. Billing Determinants'!$F$41*$D30,IF($E30="Non-RPP kWh",VLOOKUP(H$4,'4. Billing Determinants'!$B$19:$R$41,6,0)/'4. Billing Determinants'!$G$41*$D30,IF($E30="Distribution Rev.",VLOOKUP(H$4,'4. Billing Determinants'!$B$19:$R$41,8,0)/'4. Billing Determinants'!$I$41*$D30, VLOOKUP(H$4,'4. Billing Determinants'!$B$19:$R$41,3,0)/'4. Billing Determinants'!$D$41*$D30))))),0)</f>
        <v>0</v>
      </c>
      <c r="I30" s="42">
        <f>IFERROR(IF(I$4="",0,IF($E30="kWh",VLOOKUP(I$4,'4. Billing Determinants'!$B$19:$R$41,4,0)/'4. Billing Determinants'!$E$41*$D30,IF($E30="kW",VLOOKUP(I$4,'4. Billing Determinants'!$B$19:$R$41,5,0)/'4. Billing Determinants'!$F$41*$D30,IF($E30="Non-RPP kWh",VLOOKUP(I$4,'4. Billing Determinants'!$B$19:$R$41,6,0)/'4. Billing Determinants'!$G$41*$D30,IF($E30="Distribution Rev.",VLOOKUP(I$4,'4. Billing Determinants'!$B$19:$R$41,8,0)/'4. Billing Determinants'!$I$41*$D30, VLOOKUP(I$4,'4. Billing Determinants'!$B$19:$R$41,3,0)/'4. Billing Determinants'!$D$41*$D30))))),0)</f>
        <v>0</v>
      </c>
      <c r="J30" s="42">
        <f>IFERROR(IF(J$4="",0,IF($E30="kWh",VLOOKUP(J$4,'4. Billing Determinants'!$B$19:$R$41,4,0)/'4. Billing Determinants'!$E$41*$D30,IF($E30="kW",VLOOKUP(J$4,'4. Billing Determinants'!$B$19:$R$41,5,0)/'4. Billing Determinants'!$F$41*$D30,IF($E30="Non-RPP kWh",VLOOKUP(J$4,'4. Billing Determinants'!$B$19:$R$41,6,0)/'4. Billing Determinants'!$G$41*$D30,IF($E30="Distribution Rev.",VLOOKUP(J$4,'4. Billing Determinants'!$B$19:$R$41,8,0)/'4. Billing Determinants'!$I$41*$D30, VLOOKUP(J$4,'4. Billing Determinants'!$B$19:$R$41,3,0)/'4. Billing Determinants'!$D$41*$D30))))),0)</f>
        <v>0</v>
      </c>
      <c r="K30" s="42">
        <f>IFERROR(IF(K$4="",0,IF($E30="kWh",VLOOKUP(K$4,'4. Billing Determinants'!$B$19:$R$41,4,0)/'4. Billing Determinants'!$E$41*$D30,IF($E30="kW",VLOOKUP(K$4,'4. Billing Determinants'!$B$19:$R$41,5,0)/'4. Billing Determinants'!$F$41*$D30,IF($E30="Non-RPP kWh",VLOOKUP(K$4,'4. Billing Determinants'!$B$19:$R$41,6,0)/'4. Billing Determinants'!$G$41*$D30,IF($E30="Distribution Rev.",VLOOKUP(K$4,'4. Billing Determinants'!$B$19:$R$41,8,0)/'4. Billing Determinants'!$I$41*$D30, VLOOKUP(K$4,'4. Billing Determinants'!$B$19:$R$41,3,0)/'4. Billing Determinants'!$D$41*$D30))))),0)</f>
        <v>0</v>
      </c>
      <c r="L30" s="42">
        <f>IFERROR(IF(L$4="",0,IF($E30="kWh",VLOOKUP(L$4,'4. Billing Determinants'!$B$19:$R$41,4,0)/'4. Billing Determinants'!$E$41*$D30,IF($E30="kW",VLOOKUP(L$4,'4. Billing Determinants'!$B$19:$R$41,5,0)/'4. Billing Determinants'!$F$41*$D30,IF($E30="Non-RPP kWh",VLOOKUP(L$4,'4. Billing Determinants'!$B$19:$R$41,6,0)/'4. Billing Determinants'!$G$41*$D30,IF($E30="Distribution Rev.",VLOOKUP(L$4,'4. Billing Determinants'!$B$19:$R$41,8,0)/'4. Billing Determinants'!$I$41*$D30, VLOOKUP(L$4,'4. Billing Determinants'!$B$19:$R$41,3,0)/'4. Billing Determinants'!$D$41*$D30))))),0)</f>
        <v>0</v>
      </c>
      <c r="M30" s="42">
        <f>IFERROR(IF(M$4="",0,IF($E30="kWh",VLOOKUP(M$4,'4. Billing Determinants'!$B$19:$R$41,4,0)/'4. Billing Determinants'!$E$41*$D30,IF($E30="kW",VLOOKUP(M$4,'4. Billing Determinants'!$B$19:$R$41,5,0)/'4. Billing Determinants'!$F$41*$D30,IF($E30="Non-RPP kWh",VLOOKUP(M$4,'4. Billing Determinants'!$B$19:$R$41,6,0)/'4. Billing Determinants'!$G$41*$D30,IF($E30="Distribution Rev.",VLOOKUP(M$4,'4. Billing Determinants'!$B$19:$R$41,8,0)/'4. Billing Determinants'!$I$41*$D30, VLOOKUP(M$4,'4. Billing Determinants'!$B$19:$R$41,3,0)/'4. Billing Determinants'!$D$41*$D30))))),0)</f>
        <v>0</v>
      </c>
      <c r="N30" s="42">
        <f>IFERROR(IF(N$4="",0,IF($E30="kWh",VLOOKUP(N$4,'4. Billing Determinants'!$B$19:$R$41,4,0)/'4. Billing Determinants'!$E$41*$D30,IF($E30="kW",VLOOKUP(N$4,'4. Billing Determinants'!$B$19:$R$41,5,0)/'4. Billing Determinants'!$F$41*$D30,IF($E30="Non-RPP kWh",VLOOKUP(N$4,'4. Billing Determinants'!$B$19:$R$41,6,0)/'4. Billing Determinants'!$G$41*$D30,IF($E30="Distribution Rev.",VLOOKUP(N$4,'4. Billing Determinants'!$B$19:$R$41,8,0)/'4. Billing Determinants'!$I$41*$D30, VLOOKUP(N$4,'4. Billing Determinants'!$B$19:$R$41,3,0)/'4. Billing Determinants'!$D$41*$D30))))),0)</f>
        <v>0</v>
      </c>
      <c r="O30" s="42">
        <f>IFERROR(IF(O$4="",0,IF($E30="kWh",VLOOKUP(O$4,'4. Billing Determinants'!$B$19:$R$41,4,0)/'4. Billing Determinants'!$E$41*$D30,IF($E30="kW",VLOOKUP(O$4,'4. Billing Determinants'!$B$19:$R$41,5,0)/'4. Billing Determinants'!$F$41*$D30,IF($E30="Non-RPP kWh",VLOOKUP(O$4,'4. Billing Determinants'!$B$19:$R$41,6,0)/'4. Billing Determinants'!$G$41*$D30,IF($E30="Distribution Rev.",VLOOKUP(O$4,'4. Billing Determinants'!$B$19:$R$41,8,0)/'4. Billing Determinants'!$I$41*$D30, VLOOKUP(O$4,'4. Billing Determinants'!$B$19:$R$41,3,0)/'4. Billing Determinants'!$D$41*$D30))))),0)</f>
        <v>0</v>
      </c>
      <c r="P30" s="42">
        <f>IFERROR(IF(P$4="",0,IF($E30="kWh",VLOOKUP(P$4,'4. Billing Determinants'!$B$19:$R$41,4,0)/'4. Billing Determinants'!$E$41*$D30,IF($E30="kW",VLOOKUP(P$4,'4. Billing Determinants'!$B$19:$R$41,5,0)/'4. Billing Determinants'!$F$41*$D30,IF($E30="Non-RPP kWh",VLOOKUP(P$4,'4. Billing Determinants'!$B$19:$R$41,6,0)/'4. Billing Determinants'!$G$41*$D30,IF($E30="Distribution Rev.",VLOOKUP(P$4,'4. Billing Determinants'!$B$19:$R$41,8,0)/'4. Billing Determinants'!$I$41*$D30, VLOOKUP(P$4,'4. Billing Determinants'!$B$19:$R$41,3,0)/'4. Billing Determinants'!$D$41*$D30))))),0)</f>
        <v>0</v>
      </c>
      <c r="Q30" s="42">
        <f>IFERROR(IF(Q$4="",0,IF($E30="kWh",VLOOKUP(Q$4,'4. Billing Determinants'!$B$19:$R$41,4,0)/'4. Billing Determinants'!$E$41*$D30,IF($E30="kW",VLOOKUP(Q$4,'4. Billing Determinants'!$B$19:$R$41,5,0)/'4. Billing Determinants'!$F$41*$D30,IF($E30="Non-RPP kWh",VLOOKUP(Q$4,'4. Billing Determinants'!$B$19:$R$41,6,0)/'4. Billing Determinants'!$G$41*$D30,IF($E30="Distribution Rev.",VLOOKUP(Q$4,'4. Billing Determinants'!$B$19:$R$41,8,0)/'4. Billing Determinants'!$I$41*$D30, VLOOKUP(Q$4,'4. Billing Determinants'!$B$19:$R$41,3,0)/'4. Billing Determinants'!$D$41*$D30))))),0)</f>
        <v>0</v>
      </c>
      <c r="R30" s="42">
        <f>IFERROR(IF(R$4="",0,IF($E30="kWh",VLOOKUP(R$4,'4. Billing Determinants'!$B$19:$R$41,4,0)/'4. Billing Determinants'!$E$41*$D30,IF($E30="kW",VLOOKUP(R$4,'4. Billing Determinants'!$B$19:$R$41,5,0)/'4. Billing Determinants'!$F$41*$D30,IF($E30="Non-RPP kWh",VLOOKUP(R$4,'4. Billing Determinants'!$B$19:$R$41,6,0)/'4. Billing Determinants'!$G$41*$D30,IF($E30="Distribution Rev.",VLOOKUP(R$4,'4. Billing Determinants'!$B$19:$R$41,8,0)/'4. Billing Determinants'!$I$41*$D30, VLOOKUP(R$4,'4. Billing Determinants'!$B$19:$R$41,3,0)/'4. Billing Determinants'!$D$41*$D30))))),0)</f>
        <v>0</v>
      </c>
      <c r="S30" s="42">
        <f>IFERROR(IF(S$4="",0,IF($E30="kWh",VLOOKUP(S$4,'4. Billing Determinants'!$B$19:$R$41,4,0)/'4. Billing Determinants'!$E$41*$D30,IF($E30="kW",VLOOKUP(S$4,'4. Billing Determinants'!$B$19:$R$41,5,0)/'4. Billing Determinants'!$F$41*$D30,IF($E30="Non-RPP kWh",VLOOKUP(S$4,'4. Billing Determinants'!$B$19:$R$41,6,0)/'4. Billing Determinants'!$G$41*$D30,IF($E30="Distribution Rev.",VLOOKUP(S$4,'4. Billing Determinants'!$B$19:$R$41,8,0)/'4. Billing Determinants'!$I$41*$D30, VLOOKUP(S$4,'4. Billing Determinants'!$B$19:$R$41,3,0)/'4. Billing Determinants'!$D$41*$D30))))),0)</f>
        <v>0</v>
      </c>
      <c r="T30" s="42">
        <f>IFERROR(IF(T$4="",0,IF($E30="kWh",VLOOKUP(T$4,'4. Billing Determinants'!$B$19:$R$41,4,0)/'4. Billing Determinants'!$E$41*$D30,IF($E30="kW",VLOOKUP(T$4,'4. Billing Determinants'!$B$19:$R$41,5,0)/'4. Billing Determinants'!$F$41*$D30,IF($E30="Non-RPP kWh",VLOOKUP(T$4,'4. Billing Determinants'!$B$19:$R$41,6,0)/'4. Billing Determinants'!$G$41*$D30,IF($E30="Distribution Rev.",VLOOKUP(T$4,'4. Billing Determinants'!$B$19:$R$41,8,0)/'4. Billing Determinants'!$I$41*$D30, VLOOKUP(T$4,'4. Billing Determinants'!$B$19:$R$41,3,0)/'4. Billing Determinants'!$D$41*$D30))))),0)</f>
        <v>0</v>
      </c>
      <c r="U30" s="42">
        <f>IFERROR(IF(U$4="",0,IF($E30="kWh",VLOOKUP(U$4,'4. Billing Determinants'!$B$19:$R$41,4,0)/'4. Billing Determinants'!$E$41*$D30,IF($E30="kW",VLOOKUP(U$4,'4. Billing Determinants'!$B$19:$R$41,5,0)/'4. Billing Determinants'!$F$41*$D30,IF($E30="Non-RPP kWh",VLOOKUP(U$4,'4. Billing Determinants'!$B$19:$R$41,6,0)/'4. Billing Determinants'!$G$41*$D30,IF($E30="Distribution Rev.",VLOOKUP(U$4,'4. Billing Determinants'!$B$19:$R$41,8,0)/'4. Billing Determinants'!$I$41*$D30, VLOOKUP(U$4,'4. Billing Determinants'!$B$19:$R$41,3,0)/'4. Billing Determinants'!$D$41*$D30))))),0)</f>
        <v>0</v>
      </c>
      <c r="V30" s="42">
        <f>IFERROR(IF(V$4="",0,IF($E30="kWh",VLOOKUP(V$4,'4. Billing Determinants'!$B$19:$R$41,4,0)/'4. Billing Determinants'!$E$41*$D30,IF($E30="kW",VLOOKUP(V$4,'4. Billing Determinants'!$B$19:$R$41,5,0)/'4. Billing Determinants'!$F$41*$D30,IF($E30="Non-RPP kWh",VLOOKUP(V$4,'4. Billing Determinants'!$B$19:$R$41,6,0)/'4. Billing Determinants'!$G$41*$D30,IF($E30="Distribution Rev.",VLOOKUP(V$4,'4. Billing Determinants'!$B$19:$R$41,8,0)/'4. Billing Determinants'!$I$41*$D30, VLOOKUP(V$4,'4. Billing Determinants'!$B$19:$R$41,3,0)/'4. Billing Determinants'!$D$41*$D30))))),0)</f>
        <v>0</v>
      </c>
      <c r="W30" s="42">
        <f>IFERROR(IF(W$4="",0,IF($E30="kWh",VLOOKUP(W$4,'4. Billing Determinants'!$B$19:$R$41,4,0)/'4. Billing Determinants'!$E$41*$D30,IF($E30="kW",VLOOKUP(W$4,'4. Billing Determinants'!$B$19:$R$41,5,0)/'4. Billing Determinants'!$F$41*$D30,IF($E30="Non-RPP kWh",VLOOKUP(W$4,'4. Billing Determinants'!$B$19:$R$41,6,0)/'4. Billing Determinants'!$G$41*$D30,IF($E30="Distribution Rev.",VLOOKUP(W$4,'4. Billing Determinants'!$B$19:$R$41,8,0)/'4. Billing Determinants'!$I$41*$D30, VLOOKUP(W$4,'4. Billing Determinants'!$B$19:$R$41,3,0)/'4. Billing Determinants'!$D$41*$D30))))),0)</f>
        <v>0</v>
      </c>
      <c r="X30" s="42">
        <f>IFERROR(IF(X$4="",0,IF($E30="kWh",VLOOKUP(X$4,'4. Billing Determinants'!$B$19:$R$41,4,0)/'4. Billing Determinants'!$E$41*$D30,IF($E30="kW",VLOOKUP(X$4,'4. Billing Determinants'!$B$19:$R$41,5,0)/'4. Billing Determinants'!$F$41*$D30,IF($E30="Non-RPP kWh",VLOOKUP(X$4,'4. Billing Determinants'!$B$19:$R$41,6,0)/'4. Billing Determinants'!$G$41*$D30,IF($E30="Distribution Rev.",VLOOKUP(X$4,'4. Billing Determinants'!$B$19:$R$41,8,0)/'4. Billing Determinants'!$I$41*$D30, VLOOKUP(X$4,'4. Billing Determinants'!$B$19:$R$41,3,0)/'4. Billing Determinants'!$D$41*$D30))))),0)</f>
        <v>0</v>
      </c>
      <c r="Y30" s="42">
        <f>IFERROR(IF(Y$4="",0,IF($E30="kWh",VLOOKUP(Y$4,'4. Billing Determinants'!$B$19:$R$41,4,0)/'4. Billing Determinants'!$E$41*$D30,IF($E30="kW",VLOOKUP(Y$4,'4. Billing Determinants'!$B$19:$R$41,5,0)/'4. Billing Determinants'!$F$41*$D30,IF($E30="Non-RPP kWh",VLOOKUP(Y$4,'4. Billing Determinants'!$B$19:$R$41,6,0)/'4. Billing Determinants'!$G$41*$D30,IF($E30="Distribution Rev.",VLOOKUP(Y$4,'4. Billing Determinants'!$B$19:$R$41,8,0)/'4. Billing Determinants'!$I$41*$D30, VLOOKUP(Y$4,'4. Billing Determinants'!$B$19:$R$41,3,0)/'4. Billing Determinants'!$D$41*$D30))))),0)</f>
        <v>0</v>
      </c>
    </row>
    <row r="31" spans="1:25" x14ac:dyDescent="0.25">
      <c r="A31" s="327">
        <v>28</v>
      </c>
      <c r="B31" s="40" t="s">
        <v>29</v>
      </c>
      <c r="C31" s="41">
        <v>1582</v>
      </c>
      <c r="D31" s="42">
        <f>'2. 2016 Continuity Schedule'!BT57</f>
        <v>-0.44000000000596629</v>
      </c>
      <c r="E31" s="74" t="s">
        <v>189</v>
      </c>
      <c r="F31" s="42">
        <f>IFERROR(IF(F$4="",0,IF($E31="kWh",VLOOKUP(F$4,'4. Billing Determinants'!$B$19:$R$41,4,0)/'4. Billing Determinants'!$E$41*$D31,IF($E31="kW",VLOOKUP(F$4,'4. Billing Determinants'!$B$19:$R$41,5,0)/'4. Billing Determinants'!$F$41*$D31,IF($E31="Non-RPP kWh",VLOOKUP(F$4,'4. Billing Determinants'!$B$19:$R$41,6,0)/'4. Billing Determinants'!$G$41*$D31,IF($E31="Distribution Rev.",VLOOKUP(F$4,'4. Billing Determinants'!$B$19:$R$41,8,0)/'4. Billing Determinants'!$I$41*$D31, VLOOKUP(F$4,'4. Billing Determinants'!$B$19:$R$41,3,0)/'4. Billing Determinants'!$D$41*$D31))))),0)</f>
        <v>-0.26436948682842448</v>
      </c>
      <c r="G31" s="42">
        <f>IFERROR(IF(G$4="",0,IF($E31="kWh",VLOOKUP(G$4,'4. Billing Determinants'!$B$19:$R$41,4,0)/'4. Billing Determinants'!$E$41*$D31,IF($E31="kW",VLOOKUP(G$4,'4. Billing Determinants'!$B$19:$R$41,5,0)/'4. Billing Determinants'!$F$41*$D31,IF($E31="Non-RPP kWh",VLOOKUP(G$4,'4. Billing Determinants'!$B$19:$R$41,6,0)/'4. Billing Determinants'!$G$41*$D31,IF($E31="Distribution Rev.",VLOOKUP(G$4,'4. Billing Determinants'!$B$19:$R$41,8,0)/'4. Billing Determinants'!$I$41*$D31, VLOOKUP(G$4,'4. Billing Determinants'!$B$19:$R$41,3,0)/'4. Billing Determinants'!$D$41*$D31))))),0)</f>
        <v>-5.7679497569032477E-2</v>
      </c>
      <c r="H31" s="42">
        <f>IFERROR(IF(H$4="",0,IF($E31="kWh",VLOOKUP(H$4,'4. Billing Determinants'!$B$19:$R$41,4,0)/'4. Billing Determinants'!$E$41*$D31,IF($E31="kW",VLOOKUP(H$4,'4. Billing Determinants'!$B$19:$R$41,5,0)/'4. Billing Determinants'!$F$41*$D31,IF($E31="Non-RPP kWh",VLOOKUP(H$4,'4. Billing Determinants'!$B$19:$R$41,6,0)/'4. Billing Determinants'!$G$41*$D31,IF($E31="Distribution Rev.",VLOOKUP(H$4,'4. Billing Determinants'!$B$19:$R$41,8,0)/'4. Billing Determinants'!$I$41*$D31, VLOOKUP(H$4,'4. Billing Determinants'!$B$19:$R$41,3,0)/'4. Billing Determinants'!$D$41*$D31))))),0)</f>
        <v>-0.11588512483778607</v>
      </c>
      <c r="I31" s="42">
        <f>IFERROR(IF(I$4="",0,IF($E31="kWh",VLOOKUP(I$4,'4. Billing Determinants'!$B$19:$R$41,4,0)/'4. Billing Determinants'!$E$41*$D31,IF($E31="kW",VLOOKUP(I$4,'4. Billing Determinants'!$B$19:$R$41,5,0)/'4. Billing Determinants'!$F$41*$D31,IF($E31="Non-RPP kWh",VLOOKUP(I$4,'4. Billing Determinants'!$B$19:$R$41,6,0)/'4. Billing Determinants'!$G$41*$D31,IF($E31="Distribution Rev.",VLOOKUP(I$4,'4. Billing Determinants'!$B$19:$R$41,8,0)/'4. Billing Determinants'!$I$41*$D31, VLOOKUP(I$4,'4. Billing Determinants'!$B$19:$R$41,3,0)/'4. Billing Determinants'!$D$41*$D31))))),0)</f>
        <v>-1.8918984440931947E-4</v>
      </c>
      <c r="J31" s="42">
        <f>IFERROR(IF(J$4="",0,IF($E31="kWh",VLOOKUP(J$4,'4. Billing Determinants'!$B$19:$R$41,4,0)/'4. Billing Determinants'!$E$41*$D31,IF($E31="kW",VLOOKUP(J$4,'4. Billing Determinants'!$B$19:$R$41,5,0)/'4. Billing Determinants'!$F$41*$D31,IF($E31="Non-RPP kWh",VLOOKUP(J$4,'4. Billing Determinants'!$B$19:$R$41,6,0)/'4. Billing Determinants'!$G$41*$D31,IF($E31="Distribution Rev.",VLOOKUP(J$4,'4. Billing Determinants'!$B$19:$R$41,8,0)/'4. Billing Determinants'!$I$41*$D31, VLOOKUP(J$4,'4. Billing Determinants'!$B$19:$R$41,3,0)/'4. Billing Determinants'!$D$41*$D31))))),0)</f>
        <v>-1.030335524165779E-3</v>
      </c>
      <c r="K31" s="42">
        <f>IFERROR(IF(K$4="",0,IF($E31="kWh",VLOOKUP(K$4,'4. Billing Determinants'!$B$19:$R$41,4,0)/'4. Billing Determinants'!$E$41*$D31,IF($E31="kW",VLOOKUP(K$4,'4. Billing Determinants'!$B$19:$R$41,5,0)/'4. Billing Determinants'!$F$41*$D31,IF($E31="Non-RPP kWh",VLOOKUP(K$4,'4. Billing Determinants'!$B$19:$R$41,6,0)/'4. Billing Determinants'!$G$41*$D31,IF($E31="Distribution Rev.",VLOOKUP(K$4,'4. Billing Determinants'!$B$19:$R$41,8,0)/'4. Billing Determinants'!$I$41*$D31, VLOOKUP(K$4,'4. Billing Determinants'!$B$19:$R$41,3,0)/'4. Billing Determinants'!$D$41*$D31))))),0)</f>
        <v>-8.4636540214813399E-4</v>
      </c>
      <c r="L31" s="42">
        <f>IFERROR(IF(L$4="",0,IF($E31="kWh",VLOOKUP(L$4,'4. Billing Determinants'!$B$19:$R$41,4,0)/'4. Billing Determinants'!$E$41*$D31,IF($E31="kW",VLOOKUP(L$4,'4. Billing Determinants'!$B$19:$R$41,5,0)/'4. Billing Determinants'!$F$41*$D31,IF($E31="Non-RPP kWh",VLOOKUP(L$4,'4. Billing Determinants'!$B$19:$R$41,6,0)/'4. Billing Determinants'!$G$41*$D31,IF($E31="Distribution Rev.",VLOOKUP(L$4,'4. Billing Determinants'!$B$19:$R$41,8,0)/'4. Billing Determinants'!$I$41*$D31, VLOOKUP(L$4,'4. Billing Determinants'!$B$19:$R$41,3,0)/'4. Billing Determinants'!$D$41*$D31))))),0)</f>
        <v>0</v>
      </c>
      <c r="M31" s="42">
        <f>IFERROR(IF(M$4="",0,IF($E31="kWh",VLOOKUP(M$4,'4. Billing Determinants'!$B$19:$R$41,4,0)/'4. Billing Determinants'!$E$41*$D31,IF($E31="kW",VLOOKUP(M$4,'4. Billing Determinants'!$B$19:$R$41,5,0)/'4. Billing Determinants'!$F$41*$D31,IF($E31="Non-RPP kWh",VLOOKUP(M$4,'4. Billing Determinants'!$B$19:$R$41,6,0)/'4. Billing Determinants'!$G$41*$D31,IF($E31="Distribution Rev.",VLOOKUP(M$4,'4. Billing Determinants'!$B$19:$R$41,8,0)/'4. Billing Determinants'!$I$41*$D31, VLOOKUP(M$4,'4. Billing Determinants'!$B$19:$R$41,3,0)/'4. Billing Determinants'!$D$41*$D31))))),0)</f>
        <v>0</v>
      </c>
      <c r="N31" s="42">
        <f>IFERROR(IF(N$4="",0,IF($E31="kWh",VLOOKUP(N$4,'4. Billing Determinants'!$B$19:$R$41,4,0)/'4. Billing Determinants'!$E$41*$D31,IF($E31="kW",VLOOKUP(N$4,'4. Billing Determinants'!$B$19:$R$41,5,0)/'4. Billing Determinants'!$F$41*$D31,IF($E31="Non-RPP kWh",VLOOKUP(N$4,'4. Billing Determinants'!$B$19:$R$41,6,0)/'4. Billing Determinants'!$G$41*$D31,IF($E31="Distribution Rev.",VLOOKUP(N$4,'4. Billing Determinants'!$B$19:$R$41,8,0)/'4. Billing Determinants'!$I$41*$D31, VLOOKUP(N$4,'4. Billing Determinants'!$B$19:$R$41,3,0)/'4. Billing Determinants'!$D$41*$D31))))),0)</f>
        <v>0</v>
      </c>
      <c r="O31" s="42">
        <f>IFERROR(IF(O$4="",0,IF($E31="kWh",VLOOKUP(O$4,'4. Billing Determinants'!$B$19:$R$41,4,0)/'4. Billing Determinants'!$E$41*$D31,IF($E31="kW",VLOOKUP(O$4,'4. Billing Determinants'!$B$19:$R$41,5,0)/'4. Billing Determinants'!$F$41*$D31,IF($E31="Non-RPP kWh",VLOOKUP(O$4,'4. Billing Determinants'!$B$19:$R$41,6,0)/'4. Billing Determinants'!$G$41*$D31,IF($E31="Distribution Rev.",VLOOKUP(O$4,'4. Billing Determinants'!$B$19:$R$41,8,0)/'4. Billing Determinants'!$I$41*$D31, VLOOKUP(O$4,'4. Billing Determinants'!$B$19:$R$41,3,0)/'4. Billing Determinants'!$D$41*$D31))))),0)</f>
        <v>0</v>
      </c>
      <c r="P31" s="42">
        <f>IFERROR(IF(P$4="",0,IF($E31="kWh",VLOOKUP(P$4,'4. Billing Determinants'!$B$19:$R$41,4,0)/'4. Billing Determinants'!$E$41*$D31,IF($E31="kW",VLOOKUP(P$4,'4. Billing Determinants'!$B$19:$R$41,5,0)/'4. Billing Determinants'!$F$41*$D31,IF($E31="Non-RPP kWh",VLOOKUP(P$4,'4. Billing Determinants'!$B$19:$R$41,6,0)/'4. Billing Determinants'!$G$41*$D31,IF($E31="Distribution Rev.",VLOOKUP(P$4,'4. Billing Determinants'!$B$19:$R$41,8,0)/'4. Billing Determinants'!$I$41*$D31, VLOOKUP(P$4,'4. Billing Determinants'!$B$19:$R$41,3,0)/'4. Billing Determinants'!$D$41*$D31))))),0)</f>
        <v>0</v>
      </c>
      <c r="Q31" s="42">
        <f>IFERROR(IF(Q$4="",0,IF($E31="kWh",VLOOKUP(Q$4,'4. Billing Determinants'!$B$19:$R$41,4,0)/'4. Billing Determinants'!$E$41*$D31,IF($E31="kW",VLOOKUP(Q$4,'4. Billing Determinants'!$B$19:$R$41,5,0)/'4. Billing Determinants'!$F$41*$D31,IF($E31="Non-RPP kWh",VLOOKUP(Q$4,'4. Billing Determinants'!$B$19:$R$41,6,0)/'4. Billing Determinants'!$G$41*$D31,IF($E31="Distribution Rev.",VLOOKUP(Q$4,'4. Billing Determinants'!$B$19:$R$41,8,0)/'4. Billing Determinants'!$I$41*$D31, VLOOKUP(Q$4,'4. Billing Determinants'!$B$19:$R$41,3,0)/'4. Billing Determinants'!$D$41*$D31))))),0)</f>
        <v>0</v>
      </c>
      <c r="R31" s="42">
        <f>IFERROR(IF(R$4="",0,IF($E31="kWh",VLOOKUP(R$4,'4. Billing Determinants'!$B$19:$R$41,4,0)/'4. Billing Determinants'!$E$41*$D31,IF($E31="kW",VLOOKUP(R$4,'4. Billing Determinants'!$B$19:$R$41,5,0)/'4. Billing Determinants'!$F$41*$D31,IF($E31="Non-RPP kWh",VLOOKUP(R$4,'4. Billing Determinants'!$B$19:$R$41,6,0)/'4. Billing Determinants'!$G$41*$D31,IF($E31="Distribution Rev.",VLOOKUP(R$4,'4. Billing Determinants'!$B$19:$R$41,8,0)/'4. Billing Determinants'!$I$41*$D31, VLOOKUP(R$4,'4. Billing Determinants'!$B$19:$R$41,3,0)/'4. Billing Determinants'!$D$41*$D31))))),0)</f>
        <v>0</v>
      </c>
      <c r="S31" s="42">
        <f>IFERROR(IF(S$4="",0,IF($E31="kWh",VLOOKUP(S$4,'4. Billing Determinants'!$B$19:$R$41,4,0)/'4. Billing Determinants'!$E$41*$D31,IF($E31="kW",VLOOKUP(S$4,'4. Billing Determinants'!$B$19:$R$41,5,0)/'4. Billing Determinants'!$F$41*$D31,IF($E31="Non-RPP kWh",VLOOKUP(S$4,'4. Billing Determinants'!$B$19:$R$41,6,0)/'4. Billing Determinants'!$G$41*$D31,IF($E31="Distribution Rev.",VLOOKUP(S$4,'4. Billing Determinants'!$B$19:$R$41,8,0)/'4. Billing Determinants'!$I$41*$D31, VLOOKUP(S$4,'4. Billing Determinants'!$B$19:$R$41,3,0)/'4. Billing Determinants'!$D$41*$D31))))),0)</f>
        <v>0</v>
      </c>
      <c r="T31" s="42">
        <f>IFERROR(IF(T$4="",0,IF($E31="kWh",VLOOKUP(T$4,'4. Billing Determinants'!$B$19:$R$41,4,0)/'4. Billing Determinants'!$E$41*$D31,IF($E31="kW",VLOOKUP(T$4,'4. Billing Determinants'!$B$19:$R$41,5,0)/'4. Billing Determinants'!$F$41*$D31,IF($E31="Non-RPP kWh",VLOOKUP(T$4,'4. Billing Determinants'!$B$19:$R$41,6,0)/'4. Billing Determinants'!$G$41*$D31,IF($E31="Distribution Rev.",VLOOKUP(T$4,'4. Billing Determinants'!$B$19:$R$41,8,0)/'4. Billing Determinants'!$I$41*$D31, VLOOKUP(T$4,'4. Billing Determinants'!$B$19:$R$41,3,0)/'4. Billing Determinants'!$D$41*$D31))))),0)</f>
        <v>0</v>
      </c>
      <c r="U31" s="42">
        <f>IFERROR(IF(U$4="",0,IF($E31="kWh",VLOOKUP(U$4,'4. Billing Determinants'!$B$19:$R$41,4,0)/'4. Billing Determinants'!$E$41*$D31,IF($E31="kW",VLOOKUP(U$4,'4. Billing Determinants'!$B$19:$R$41,5,0)/'4. Billing Determinants'!$F$41*$D31,IF($E31="Non-RPP kWh",VLOOKUP(U$4,'4. Billing Determinants'!$B$19:$R$41,6,0)/'4. Billing Determinants'!$G$41*$D31,IF($E31="Distribution Rev.",VLOOKUP(U$4,'4. Billing Determinants'!$B$19:$R$41,8,0)/'4. Billing Determinants'!$I$41*$D31, VLOOKUP(U$4,'4. Billing Determinants'!$B$19:$R$41,3,0)/'4. Billing Determinants'!$D$41*$D31))))),0)</f>
        <v>0</v>
      </c>
      <c r="V31" s="42">
        <f>IFERROR(IF(V$4="",0,IF($E31="kWh",VLOOKUP(V$4,'4. Billing Determinants'!$B$19:$R$41,4,0)/'4. Billing Determinants'!$E$41*$D31,IF($E31="kW",VLOOKUP(V$4,'4. Billing Determinants'!$B$19:$R$41,5,0)/'4. Billing Determinants'!$F$41*$D31,IF($E31="Non-RPP kWh",VLOOKUP(V$4,'4. Billing Determinants'!$B$19:$R$41,6,0)/'4. Billing Determinants'!$G$41*$D31,IF($E31="Distribution Rev.",VLOOKUP(V$4,'4. Billing Determinants'!$B$19:$R$41,8,0)/'4. Billing Determinants'!$I$41*$D31, VLOOKUP(V$4,'4. Billing Determinants'!$B$19:$R$41,3,0)/'4. Billing Determinants'!$D$41*$D31))))),0)</f>
        <v>0</v>
      </c>
      <c r="W31" s="42">
        <f>IFERROR(IF(W$4="",0,IF($E31="kWh",VLOOKUP(W$4,'4. Billing Determinants'!$B$19:$R$41,4,0)/'4. Billing Determinants'!$E$41*$D31,IF($E31="kW",VLOOKUP(W$4,'4. Billing Determinants'!$B$19:$R$41,5,0)/'4. Billing Determinants'!$F$41*$D31,IF($E31="Non-RPP kWh",VLOOKUP(W$4,'4. Billing Determinants'!$B$19:$R$41,6,0)/'4. Billing Determinants'!$G$41*$D31,IF($E31="Distribution Rev.",VLOOKUP(W$4,'4. Billing Determinants'!$B$19:$R$41,8,0)/'4. Billing Determinants'!$I$41*$D31, VLOOKUP(W$4,'4. Billing Determinants'!$B$19:$R$41,3,0)/'4. Billing Determinants'!$D$41*$D31))))),0)</f>
        <v>0</v>
      </c>
      <c r="X31" s="42">
        <f>IFERROR(IF(X$4="",0,IF($E31="kWh",VLOOKUP(X$4,'4. Billing Determinants'!$B$19:$R$41,4,0)/'4. Billing Determinants'!$E$41*$D31,IF($E31="kW",VLOOKUP(X$4,'4. Billing Determinants'!$B$19:$R$41,5,0)/'4. Billing Determinants'!$F$41*$D31,IF($E31="Non-RPP kWh",VLOOKUP(X$4,'4. Billing Determinants'!$B$19:$R$41,6,0)/'4. Billing Determinants'!$G$41*$D31,IF($E31="Distribution Rev.",VLOOKUP(X$4,'4. Billing Determinants'!$B$19:$R$41,8,0)/'4. Billing Determinants'!$I$41*$D31, VLOOKUP(X$4,'4. Billing Determinants'!$B$19:$R$41,3,0)/'4. Billing Determinants'!$D$41*$D31))))),0)</f>
        <v>0</v>
      </c>
      <c r="Y31" s="42">
        <f>IFERROR(IF(Y$4="",0,IF($E31="kWh",VLOOKUP(Y$4,'4. Billing Determinants'!$B$19:$R$41,4,0)/'4. Billing Determinants'!$E$41*$D31,IF($E31="kW",VLOOKUP(Y$4,'4. Billing Determinants'!$B$19:$R$41,5,0)/'4. Billing Determinants'!$F$41*$D31,IF($E31="Non-RPP kWh",VLOOKUP(Y$4,'4. Billing Determinants'!$B$19:$R$41,6,0)/'4. Billing Determinants'!$G$41*$D31,IF($E31="Distribution Rev.",VLOOKUP(Y$4,'4. Billing Determinants'!$B$19:$R$41,8,0)/'4. Billing Determinants'!$I$41*$D31, VLOOKUP(Y$4,'4. Billing Determinants'!$B$19:$R$41,3,0)/'4. Billing Determinants'!$D$41*$D31))))),0)</f>
        <v>0</v>
      </c>
    </row>
    <row r="32" spans="1:25" x14ac:dyDescent="0.25">
      <c r="A32" s="146">
        <v>29</v>
      </c>
      <c r="B32" s="43" t="s">
        <v>7</v>
      </c>
      <c r="C32" s="41">
        <v>2425</v>
      </c>
      <c r="D32" s="42">
        <f>'2. 2016 Continuity Schedule'!BT58</f>
        <v>0</v>
      </c>
      <c r="E32" s="74" t="s">
        <v>189</v>
      </c>
      <c r="F32" s="42">
        <f>IFERROR(IF(F$4="",0,IF($E32="kWh",VLOOKUP(F$4,'4. Billing Determinants'!$B$19:$R$41,4,0)/'4. Billing Determinants'!$E$41*$D32,IF($E32="kW",VLOOKUP(F$4,'4. Billing Determinants'!$B$19:$R$41,5,0)/'4. Billing Determinants'!$F$41*$D32,IF($E32="Non-RPP kWh",VLOOKUP(F$4,'4. Billing Determinants'!$B$19:$R$41,6,0)/'4. Billing Determinants'!$G$41*$D32,IF($E32="Distribution Rev.",VLOOKUP(F$4,'4. Billing Determinants'!$B$19:$R$41,8,0)/'4. Billing Determinants'!$I$41*$D32, VLOOKUP(F$4,'4. Billing Determinants'!$B$19:$R$41,3,0)/'4. Billing Determinants'!$D$41*$D32))))),0)</f>
        <v>0</v>
      </c>
      <c r="G32" s="42">
        <f>IFERROR(IF(G$4="",0,IF($E32="kWh",VLOOKUP(G$4,'4. Billing Determinants'!$B$19:$R$41,4,0)/'4. Billing Determinants'!$E$41*$D32,IF($E32="kW",VLOOKUP(G$4,'4. Billing Determinants'!$B$19:$R$41,5,0)/'4. Billing Determinants'!$F$41*$D32,IF($E32="Non-RPP kWh",VLOOKUP(G$4,'4. Billing Determinants'!$B$19:$R$41,6,0)/'4. Billing Determinants'!$G$41*$D32,IF($E32="Distribution Rev.",VLOOKUP(G$4,'4. Billing Determinants'!$B$19:$R$41,8,0)/'4. Billing Determinants'!$I$41*$D32, VLOOKUP(G$4,'4. Billing Determinants'!$B$19:$R$41,3,0)/'4. Billing Determinants'!$D$41*$D32))))),0)</f>
        <v>0</v>
      </c>
      <c r="H32" s="42">
        <f>IFERROR(IF(H$4="",0,IF($E32="kWh",VLOOKUP(H$4,'4. Billing Determinants'!$B$19:$R$41,4,0)/'4. Billing Determinants'!$E$41*$D32,IF($E32="kW",VLOOKUP(H$4,'4. Billing Determinants'!$B$19:$R$41,5,0)/'4. Billing Determinants'!$F$41*$D32,IF($E32="Non-RPP kWh",VLOOKUP(H$4,'4. Billing Determinants'!$B$19:$R$41,6,0)/'4. Billing Determinants'!$G$41*$D32,IF($E32="Distribution Rev.",VLOOKUP(H$4,'4. Billing Determinants'!$B$19:$R$41,8,0)/'4. Billing Determinants'!$I$41*$D32, VLOOKUP(H$4,'4. Billing Determinants'!$B$19:$R$41,3,0)/'4. Billing Determinants'!$D$41*$D32))))),0)</f>
        <v>0</v>
      </c>
      <c r="I32" s="42">
        <f>IFERROR(IF(I$4="",0,IF($E32="kWh",VLOOKUP(I$4,'4. Billing Determinants'!$B$19:$R$41,4,0)/'4. Billing Determinants'!$E$41*$D32,IF($E32="kW",VLOOKUP(I$4,'4. Billing Determinants'!$B$19:$R$41,5,0)/'4. Billing Determinants'!$F$41*$D32,IF($E32="Non-RPP kWh",VLOOKUP(I$4,'4. Billing Determinants'!$B$19:$R$41,6,0)/'4. Billing Determinants'!$G$41*$D32,IF($E32="Distribution Rev.",VLOOKUP(I$4,'4. Billing Determinants'!$B$19:$R$41,8,0)/'4. Billing Determinants'!$I$41*$D32, VLOOKUP(I$4,'4. Billing Determinants'!$B$19:$R$41,3,0)/'4. Billing Determinants'!$D$41*$D32))))),0)</f>
        <v>0</v>
      </c>
      <c r="J32" s="42">
        <f>IFERROR(IF(J$4="",0,IF($E32="kWh",VLOOKUP(J$4,'4. Billing Determinants'!$B$19:$R$41,4,0)/'4. Billing Determinants'!$E$41*$D32,IF($E32="kW",VLOOKUP(J$4,'4. Billing Determinants'!$B$19:$R$41,5,0)/'4. Billing Determinants'!$F$41*$D32,IF($E32="Non-RPP kWh",VLOOKUP(J$4,'4. Billing Determinants'!$B$19:$R$41,6,0)/'4. Billing Determinants'!$G$41*$D32,IF($E32="Distribution Rev.",VLOOKUP(J$4,'4. Billing Determinants'!$B$19:$R$41,8,0)/'4. Billing Determinants'!$I$41*$D32, VLOOKUP(J$4,'4. Billing Determinants'!$B$19:$R$41,3,0)/'4. Billing Determinants'!$D$41*$D32))))),0)</f>
        <v>0</v>
      </c>
      <c r="K32" s="42">
        <f>IFERROR(IF(K$4="",0,IF($E32="kWh",VLOOKUP(K$4,'4. Billing Determinants'!$B$19:$R$41,4,0)/'4. Billing Determinants'!$E$41*$D32,IF($E32="kW",VLOOKUP(K$4,'4. Billing Determinants'!$B$19:$R$41,5,0)/'4. Billing Determinants'!$F$41*$D32,IF($E32="Non-RPP kWh",VLOOKUP(K$4,'4. Billing Determinants'!$B$19:$R$41,6,0)/'4. Billing Determinants'!$G$41*$D32,IF($E32="Distribution Rev.",VLOOKUP(K$4,'4. Billing Determinants'!$B$19:$R$41,8,0)/'4. Billing Determinants'!$I$41*$D32, VLOOKUP(K$4,'4. Billing Determinants'!$B$19:$R$41,3,0)/'4. Billing Determinants'!$D$41*$D32))))),0)</f>
        <v>0</v>
      </c>
      <c r="L32" s="42">
        <f>IFERROR(IF(L$4="",0,IF($E32="kWh",VLOOKUP(L$4,'4. Billing Determinants'!$B$19:$R$41,4,0)/'4. Billing Determinants'!$E$41*$D32,IF($E32="kW",VLOOKUP(L$4,'4. Billing Determinants'!$B$19:$R$41,5,0)/'4. Billing Determinants'!$F$41*$D32,IF($E32="Non-RPP kWh",VLOOKUP(L$4,'4. Billing Determinants'!$B$19:$R$41,6,0)/'4. Billing Determinants'!$G$41*$D32,IF($E32="Distribution Rev.",VLOOKUP(L$4,'4. Billing Determinants'!$B$19:$R$41,8,0)/'4. Billing Determinants'!$I$41*$D32, VLOOKUP(L$4,'4. Billing Determinants'!$B$19:$R$41,3,0)/'4. Billing Determinants'!$D$41*$D32))))),0)</f>
        <v>0</v>
      </c>
      <c r="M32" s="42">
        <f>IFERROR(IF(M$4="",0,IF($E32="kWh",VLOOKUP(M$4,'4. Billing Determinants'!$B$19:$R$41,4,0)/'4. Billing Determinants'!$E$41*$D32,IF($E32="kW",VLOOKUP(M$4,'4. Billing Determinants'!$B$19:$R$41,5,0)/'4. Billing Determinants'!$F$41*$D32,IF($E32="Non-RPP kWh",VLOOKUP(M$4,'4. Billing Determinants'!$B$19:$R$41,6,0)/'4. Billing Determinants'!$G$41*$D32,IF($E32="Distribution Rev.",VLOOKUP(M$4,'4. Billing Determinants'!$B$19:$R$41,8,0)/'4. Billing Determinants'!$I$41*$D32, VLOOKUP(M$4,'4. Billing Determinants'!$B$19:$R$41,3,0)/'4. Billing Determinants'!$D$41*$D32))))),0)</f>
        <v>0</v>
      </c>
      <c r="N32" s="42">
        <f>IFERROR(IF(N$4="",0,IF($E32="kWh",VLOOKUP(N$4,'4. Billing Determinants'!$B$19:$R$41,4,0)/'4. Billing Determinants'!$E$41*$D32,IF($E32="kW",VLOOKUP(N$4,'4. Billing Determinants'!$B$19:$R$41,5,0)/'4. Billing Determinants'!$F$41*$D32,IF($E32="Non-RPP kWh",VLOOKUP(N$4,'4. Billing Determinants'!$B$19:$R$41,6,0)/'4. Billing Determinants'!$G$41*$D32,IF($E32="Distribution Rev.",VLOOKUP(N$4,'4. Billing Determinants'!$B$19:$R$41,8,0)/'4. Billing Determinants'!$I$41*$D32, VLOOKUP(N$4,'4. Billing Determinants'!$B$19:$R$41,3,0)/'4. Billing Determinants'!$D$41*$D32))))),0)</f>
        <v>0</v>
      </c>
      <c r="O32" s="42">
        <f>IFERROR(IF(O$4="",0,IF($E32="kWh",VLOOKUP(O$4,'4. Billing Determinants'!$B$19:$R$41,4,0)/'4. Billing Determinants'!$E$41*$D32,IF($E32="kW",VLOOKUP(O$4,'4. Billing Determinants'!$B$19:$R$41,5,0)/'4. Billing Determinants'!$F$41*$D32,IF($E32="Non-RPP kWh",VLOOKUP(O$4,'4. Billing Determinants'!$B$19:$R$41,6,0)/'4. Billing Determinants'!$G$41*$D32,IF($E32="Distribution Rev.",VLOOKUP(O$4,'4. Billing Determinants'!$B$19:$R$41,8,0)/'4. Billing Determinants'!$I$41*$D32, VLOOKUP(O$4,'4. Billing Determinants'!$B$19:$R$41,3,0)/'4. Billing Determinants'!$D$41*$D32))))),0)</f>
        <v>0</v>
      </c>
      <c r="P32" s="42">
        <f>IFERROR(IF(P$4="",0,IF($E32="kWh",VLOOKUP(P$4,'4. Billing Determinants'!$B$19:$R$41,4,0)/'4. Billing Determinants'!$E$41*$D32,IF($E32="kW",VLOOKUP(P$4,'4. Billing Determinants'!$B$19:$R$41,5,0)/'4. Billing Determinants'!$F$41*$D32,IF($E32="Non-RPP kWh",VLOOKUP(P$4,'4. Billing Determinants'!$B$19:$R$41,6,0)/'4. Billing Determinants'!$G$41*$D32,IF($E32="Distribution Rev.",VLOOKUP(P$4,'4. Billing Determinants'!$B$19:$R$41,8,0)/'4. Billing Determinants'!$I$41*$D32, VLOOKUP(P$4,'4. Billing Determinants'!$B$19:$R$41,3,0)/'4. Billing Determinants'!$D$41*$D32))))),0)</f>
        <v>0</v>
      </c>
      <c r="Q32" s="42">
        <f>IFERROR(IF(Q$4="",0,IF($E32="kWh",VLOOKUP(Q$4,'4. Billing Determinants'!$B$19:$R$41,4,0)/'4. Billing Determinants'!$E$41*$D32,IF($E32="kW",VLOOKUP(Q$4,'4. Billing Determinants'!$B$19:$R$41,5,0)/'4. Billing Determinants'!$F$41*$D32,IF($E32="Non-RPP kWh",VLOOKUP(Q$4,'4. Billing Determinants'!$B$19:$R$41,6,0)/'4. Billing Determinants'!$G$41*$D32,IF($E32="Distribution Rev.",VLOOKUP(Q$4,'4. Billing Determinants'!$B$19:$R$41,8,0)/'4. Billing Determinants'!$I$41*$D32, VLOOKUP(Q$4,'4. Billing Determinants'!$B$19:$R$41,3,0)/'4. Billing Determinants'!$D$41*$D32))))),0)</f>
        <v>0</v>
      </c>
      <c r="R32" s="42">
        <f>IFERROR(IF(R$4="",0,IF($E32="kWh",VLOOKUP(R$4,'4. Billing Determinants'!$B$19:$R$41,4,0)/'4. Billing Determinants'!$E$41*$D32,IF($E32="kW",VLOOKUP(R$4,'4. Billing Determinants'!$B$19:$R$41,5,0)/'4. Billing Determinants'!$F$41*$D32,IF($E32="Non-RPP kWh",VLOOKUP(R$4,'4. Billing Determinants'!$B$19:$R$41,6,0)/'4. Billing Determinants'!$G$41*$D32,IF($E32="Distribution Rev.",VLOOKUP(R$4,'4. Billing Determinants'!$B$19:$R$41,8,0)/'4. Billing Determinants'!$I$41*$D32, VLOOKUP(R$4,'4. Billing Determinants'!$B$19:$R$41,3,0)/'4. Billing Determinants'!$D$41*$D32))))),0)</f>
        <v>0</v>
      </c>
      <c r="S32" s="42">
        <f>IFERROR(IF(S$4="",0,IF($E32="kWh",VLOOKUP(S$4,'4. Billing Determinants'!$B$19:$R$41,4,0)/'4. Billing Determinants'!$E$41*$D32,IF($E32="kW",VLOOKUP(S$4,'4. Billing Determinants'!$B$19:$R$41,5,0)/'4. Billing Determinants'!$F$41*$D32,IF($E32="Non-RPP kWh",VLOOKUP(S$4,'4. Billing Determinants'!$B$19:$R$41,6,0)/'4. Billing Determinants'!$G$41*$D32,IF($E32="Distribution Rev.",VLOOKUP(S$4,'4. Billing Determinants'!$B$19:$R$41,8,0)/'4. Billing Determinants'!$I$41*$D32, VLOOKUP(S$4,'4. Billing Determinants'!$B$19:$R$41,3,0)/'4. Billing Determinants'!$D$41*$D32))))),0)</f>
        <v>0</v>
      </c>
      <c r="T32" s="42">
        <f>IFERROR(IF(T$4="",0,IF($E32="kWh",VLOOKUP(T$4,'4. Billing Determinants'!$B$19:$R$41,4,0)/'4. Billing Determinants'!$E$41*$D32,IF($E32="kW",VLOOKUP(T$4,'4. Billing Determinants'!$B$19:$R$41,5,0)/'4. Billing Determinants'!$F$41*$D32,IF($E32="Non-RPP kWh",VLOOKUP(T$4,'4. Billing Determinants'!$B$19:$R$41,6,0)/'4. Billing Determinants'!$G$41*$D32,IF($E32="Distribution Rev.",VLOOKUP(T$4,'4. Billing Determinants'!$B$19:$R$41,8,0)/'4. Billing Determinants'!$I$41*$D32, VLOOKUP(T$4,'4. Billing Determinants'!$B$19:$R$41,3,0)/'4. Billing Determinants'!$D$41*$D32))))),0)</f>
        <v>0</v>
      </c>
      <c r="U32" s="42">
        <f>IFERROR(IF(U$4="",0,IF($E32="kWh",VLOOKUP(U$4,'4. Billing Determinants'!$B$19:$R$41,4,0)/'4. Billing Determinants'!$E$41*$D32,IF($E32="kW",VLOOKUP(U$4,'4. Billing Determinants'!$B$19:$R$41,5,0)/'4. Billing Determinants'!$F$41*$D32,IF($E32="Non-RPP kWh",VLOOKUP(U$4,'4. Billing Determinants'!$B$19:$R$41,6,0)/'4. Billing Determinants'!$G$41*$D32,IF($E32="Distribution Rev.",VLOOKUP(U$4,'4. Billing Determinants'!$B$19:$R$41,8,0)/'4. Billing Determinants'!$I$41*$D32, VLOOKUP(U$4,'4. Billing Determinants'!$B$19:$R$41,3,0)/'4. Billing Determinants'!$D$41*$D32))))),0)</f>
        <v>0</v>
      </c>
      <c r="V32" s="42">
        <f>IFERROR(IF(V$4="",0,IF($E32="kWh",VLOOKUP(V$4,'4. Billing Determinants'!$B$19:$R$41,4,0)/'4. Billing Determinants'!$E$41*$D32,IF($E32="kW",VLOOKUP(V$4,'4. Billing Determinants'!$B$19:$R$41,5,0)/'4. Billing Determinants'!$F$41*$D32,IF($E32="Non-RPP kWh",VLOOKUP(V$4,'4. Billing Determinants'!$B$19:$R$41,6,0)/'4. Billing Determinants'!$G$41*$D32,IF($E32="Distribution Rev.",VLOOKUP(V$4,'4. Billing Determinants'!$B$19:$R$41,8,0)/'4. Billing Determinants'!$I$41*$D32, VLOOKUP(V$4,'4. Billing Determinants'!$B$19:$R$41,3,0)/'4. Billing Determinants'!$D$41*$D32))))),0)</f>
        <v>0</v>
      </c>
      <c r="W32" s="42">
        <f>IFERROR(IF(W$4="",0,IF($E32="kWh",VLOOKUP(W$4,'4. Billing Determinants'!$B$19:$R$41,4,0)/'4. Billing Determinants'!$E$41*$D32,IF($E32="kW",VLOOKUP(W$4,'4. Billing Determinants'!$B$19:$R$41,5,0)/'4. Billing Determinants'!$F$41*$D32,IF($E32="Non-RPP kWh",VLOOKUP(W$4,'4. Billing Determinants'!$B$19:$R$41,6,0)/'4. Billing Determinants'!$G$41*$D32,IF($E32="Distribution Rev.",VLOOKUP(W$4,'4. Billing Determinants'!$B$19:$R$41,8,0)/'4. Billing Determinants'!$I$41*$D32, VLOOKUP(W$4,'4. Billing Determinants'!$B$19:$R$41,3,0)/'4. Billing Determinants'!$D$41*$D32))))),0)</f>
        <v>0</v>
      </c>
      <c r="X32" s="42">
        <f>IFERROR(IF(X$4="",0,IF($E32="kWh",VLOOKUP(X$4,'4. Billing Determinants'!$B$19:$R$41,4,0)/'4. Billing Determinants'!$E$41*$D32,IF($E32="kW",VLOOKUP(X$4,'4. Billing Determinants'!$B$19:$R$41,5,0)/'4. Billing Determinants'!$F$41*$D32,IF($E32="Non-RPP kWh",VLOOKUP(X$4,'4. Billing Determinants'!$B$19:$R$41,6,0)/'4. Billing Determinants'!$G$41*$D32,IF($E32="Distribution Rev.",VLOOKUP(X$4,'4. Billing Determinants'!$B$19:$R$41,8,0)/'4. Billing Determinants'!$I$41*$D32, VLOOKUP(X$4,'4. Billing Determinants'!$B$19:$R$41,3,0)/'4. Billing Determinants'!$D$41*$D32))))),0)</f>
        <v>0</v>
      </c>
      <c r="Y32" s="42">
        <f>IFERROR(IF(Y$4="",0,IF($E32="kWh",VLOOKUP(Y$4,'4. Billing Determinants'!$B$19:$R$41,4,0)/'4. Billing Determinants'!$E$41*$D32,IF($E32="kW",VLOOKUP(Y$4,'4. Billing Determinants'!$B$19:$R$41,5,0)/'4. Billing Determinants'!$F$41*$D32,IF($E32="Non-RPP kWh",VLOOKUP(Y$4,'4. Billing Determinants'!$B$19:$R$41,6,0)/'4. Billing Determinants'!$G$41*$D32,IF($E32="Distribution Rev.",VLOOKUP(Y$4,'4. Billing Determinants'!$B$19:$R$41,8,0)/'4. Billing Determinants'!$I$41*$D32, VLOOKUP(Y$4,'4. Billing Determinants'!$B$19:$R$41,3,0)/'4. Billing Determinants'!$D$41*$D32))))),0)</f>
        <v>0</v>
      </c>
    </row>
    <row r="33" spans="1:25" s="2" customFormat="1" x14ac:dyDescent="0.25">
      <c r="A33" s="146">
        <v>30</v>
      </c>
      <c r="B33" s="55" t="s">
        <v>70</v>
      </c>
      <c r="C33" s="57"/>
      <c r="D33" s="56">
        <f>SUM(D21:D32)</f>
        <v>101911.63</v>
      </c>
      <c r="E33" s="177"/>
      <c r="F33" s="56">
        <f t="shared" ref="F33:Y33" si="1">SUM(F21:F32)</f>
        <v>61232.557555870299</v>
      </c>
      <c r="G33" s="56">
        <f t="shared" si="1"/>
        <v>13359.571851730523</v>
      </c>
      <c r="H33" s="56">
        <f t="shared" si="1"/>
        <v>26841.004465482096</v>
      </c>
      <c r="I33" s="56">
        <f t="shared" si="1"/>
        <v>43.819648688497018</v>
      </c>
      <c r="J33" s="56">
        <f t="shared" si="1"/>
        <v>238.64357434821616</v>
      </c>
      <c r="K33" s="56">
        <f t="shared" si="1"/>
        <v>196.03290388034603</v>
      </c>
      <c r="L33" s="56">
        <f t="shared" si="1"/>
        <v>0</v>
      </c>
      <c r="M33" s="56">
        <f t="shared" si="1"/>
        <v>0</v>
      </c>
      <c r="N33" s="56">
        <f t="shared" si="1"/>
        <v>0</v>
      </c>
      <c r="O33" s="56">
        <f t="shared" si="1"/>
        <v>0</v>
      </c>
      <c r="P33" s="56">
        <f t="shared" si="1"/>
        <v>0</v>
      </c>
      <c r="Q33" s="56">
        <f t="shared" si="1"/>
        <v>0</v>
      </c>
      <c r="R33" s="56">
        <f t="shared" si="1"/>
        <v>0</v>
      </c>
      <c r="S33" s="56">
        <f t="shared" si="1"/>
        <v>0</v>
      </c>
      <c r="T33" s="56">
        <f t="shared" si="1"/>
        <v>0</v>
      </c>
      <c r="U33" s="56">
        <f t="shared" si="1"/>
        <v>0</v>
      </c>
      <c r="V33" s="56">
        <f t="shared" si="1"/>
        <v>0</v>
      </c>
      <c r="W33" s="56">
        <f t="shared" si="1"/>
        <v>0</v>
      </c>
      <c r="X33" s="56">
        <f t="shared" si="1"/>
        <v>0</v>
      </c>
      <c r="Y33" s="56">
        <f t="shared" si="1"/>
        <v>0</v>
      </c>
    </row>
    <row r="34" spans="1:25" s="51" customFormat="1" x14ac:dyDescent="0.25">
      <c r="A34" s="146">
        <v>31</v>
      </c>
      <c r="B34" s="48"/>
      <c r="C34" s="49"/>
      <c r="D34" s="50"/>
      <c r="E34" s="178"/>
      <c r="F34" s="50"/>
      <c r="G34" s="50"/>
      <c r="H34" s="50"/>
      <c r="I34" s="50"/>
      <c r="J34" s="50"/>
      <c r="K34" s="50"/>
      <c r="L34" s="50"/>
      <c r="M34" s="50"/>
      <c r="N34" s="50"/>
      <c r="O34" s="50"/>
      <c r="P34" s="50"/>
      <c r="Q34" s="50"/>
      <c r="R34" s="50"/>
      <c r="S34" s="50"/>
      <c r="T34" s="50"/>
      <c r="U34" s="50"/>
      <c r="V34" s="50"/>
      <c r="W34" s="50"/>
      <c r="X34" s="50"/>
      <c r="Y34" s="50"/>
    </row>
    <row r="35" spans="1:25" ht="26.4" x14ac:dyDescent="0.25">
      <c r="A35" s="327">
        <v>32</v>
      </c>
      <c r="B35" s="54" t="s">
        <v>73</v>
      </c>
      <c r="C35" s="53">
        <v>1592</v>
      </c>
      <c r="D35" s="42">
        <f>'2. 2016 Continuity Schedule'!BT62</f>
        <v>0</v>
      </c>
      <c r="E35" s="74" t="s">
        <v>189</v>
      </c>
      <c r="F35" s="42">
        <f>IFERROR(IF(F$4="",0,IF($E35="kWh",VLOOKUP(F$4,'4. Billing Determinants'!$B$19:$R$41,4,0)/'4. Billing Determinants'!$E$41*$D35,IF($E35="kW",VLOOKUP(F$4,'4. Billing Determinants'!$B$19:$R$41,5,0)/'4. Billing Determinants'!$F$41*$D35,IF($E35="Non-RPP kWh",VLOOKUP(F$4,'4. Billing Determinants'!$B$19:$R$41,6,0)/'4. Billing Determinants'!$G$41*$D35,IF($E35="Distribution Rev.",VLOOKUP(F$4,'4. Billing Determinants'!$B$19:$R$41,8,0)/'4. Billing Determinants'!$I$41*$D35, VLOOKUP(F$4,'4. Billing Determinants'!$B$19:$R$41,3,0)/'4. Billing Determinants'!$D$41*$D35))))),0)</f>
        <v>0</v>
      </c>
      <c r="G35" s="42">
        <f>IFERROR(IF(G$4="",0,IF($E35="kWh",VLOOKUP(G$4,'4. Billing Determinants'!$B$19:$R$41,4,0)/'4. Billing Determinants'!$E$41*$D35,IF($E35="kW",VLOOKUP(G$4,'4. Billing Determinants'!$B$19:$R$41,5,0)/'4. Billing Determinants'!$F$41*$D35,IF($E35="Non-RPP kWh",VLOOKUP(G$4,'4. Billing Determinants'!$B$19:$R$41,6,0)/'4. Billing Determinants'!$G$41*$D35,IF($E35="Distribution Rev.",VLOOKUP(G$4,'4. Billing Determinants'!$B$19:$R$41,8,0)/'4. Billing Determinants'!$I$41*$D35, VLOOKUP(G$4,'4. Billing Determinants'!$B$19:$R$41,3,0)/'4. Billing Determinants'!$D$41*$D35))))),0)</f>
        <v>0</v>
      </c>
      <c r="H35" s="42">
        <f>IFERROR(IF(H$4="",0,IF($E35="kWh",VLOOKUP(H$4,'4. Billing Determinants'!$B$19:$R$41,4,0)/'4. Billing Determinants'!$E$41*$D35,IF($E35="kW",VLOOKUP(H$4,'4. Billing Determinants'!$B$19:$R$41,5,0)/'4. Billing Determinants'!$F$41*$D35,IF($E35="Non-RPP kWh",VLOOKUP(H$4,'4. Billing Determinants'!$B$19:$R$41,6,0)/'4. Billing Determinants'!$G$41*$D35,IF($E35="Distribution Rev.",VLOOKUP(H$4,'4. Billing Determinants'!$B$19:$R$41,8,0)/'4. Billing Determinants'!$I$41*$D35, VLOOKUP(H$4,'4. Billing Determinants'!$B$19:$R$41,3,0)/'4. Billing Determinants'!$D$41*$D35))))),0)</f>
        <v>0</v>
      </c>
      <c r="I35" s="42">
        <f>IFERROR(IF(I$4="",0,IF($E35="kWh",VLOOKUP(I$4,'4. Billing Determinants'!$B$19:$R$41,4,0)/'4. Billing Determinants'!$E$41*$D35,IF($E35="kW",VLOOKUP(I$4,'4. Billing Determinants'!$B$19:$R$41,5,0)/'4. Billing Determinants'!$F$41*$D35,IF($E35="Non-RPP kWh",VLOOKUP(I$4,'4. Billing Determinants'!$B$19:$R$41,6,0)/'4. Billing Determinants'!$G$41*$D35,IF($E35="Distribution Rev.",VLOOKUP(I$4,'4. Billing Determinants'!$B$19:$R$41,8,0)/'4. Billing Determinants'!$I$41*$D35, VLOOKUP(I$4,'4. Billing Determinants'!$B$19:$R$41,3,0)/'4. Billing Determinants'!$D$41*$D35))))),0)</f>
        <v>0</v>
      </c>
      <c r="J35" s="42">
        <f>IFERROR(IF(J$4="",0,IF($E35="kWh",VLOOKUP(J$4,'4. Billing Determinants'!$B$19:$R$41,4,0)/'4. Billing Determinants'!$E$41*$D35,IF($E35="kW",VLOOKUP(J$4,'4. Billing Determinants'!$B$19:$R$41,5,0)/'4. Billing Determinants'!$F$41*$D35,IF($E35="Non-RPP kWh",VLOOKUP(J$4,'4. Billing Determinants'!$B$19:$R$41,6,0)/'4. Billing Determinants'!$G$41*$D35,IF($E35="Distribution Rev.",VLOOKUP(J$4,'4. Billing Determinants'!$B$19:$R$41,8,0)/'4. Billing Determinants'!$I$41*$D35, VLOOKUP(J$4,'4. Billing Determinants'!$B$19:$R$41,3,0)/'4. Billing Determinants'!$D$41*$D35))))),0)</f>
        <v>0</v>
      </c>
      <c r="K35" s="42">
        <f>IFERROR(IF(K$4="",0,IF($E35="kWh",VLOOKUP(K$4,'4. Billing Determinants'!$B$19:$R$41,4,0)/'4. Billing Determinants'!$E$41*$D35,IF($E35="kW",VLOOKUP(K$4,'4. Billing Determinants'!$B$19:$R$41,5,0)/'4. Billing Determinants'!$F$41*$D35,IF($E35="Non-RPP kWh",VLOOKUP(K$4,'4. Billing Determinants'!$B$19:$R$41,6,0)/'4. Billing Determinants'!$G$41*$D35,IF($E35="Distribution Rev.",VLOOKUP(K$4,'4. Billing Determinants'!$B$19:$R$41,8,0)/'4. Billing Determinants'!$I$41*$D35, VLOOKUP(K$4,'4. Billing Determinants'!$B$19:$R$41,3,0)/'4. Billing Determinants'!$D$41*$D35))))),0)</f>
        <v>0</v>
      </c>
      <c r="L35" s="42">
        <f>IFERROR(IF(L$4="",0,IF($E35="kWh",VLOOKUP(L$4,'4. Billing Determinants'!$B$19:$R$41,4,0)/'4. Billing Determinants'!$E$41*$D35,IF($E35="kW",VLOOKUP(L$4,'4. Billing Determinants'!$B$19:$R$41,5,0)/'4. Billing Determinants'!$F$41*$D35,IF($E35="Non-RPP kWh",VLOOKUP(L$4,'4. Billing Determinants'!$B$19:$R$41,6,0)/'4. Billing Determinants'!$G$41*$D35,IF($E35="Distribution Rev.",VLOOKUP(L$4,'4. Billing Determinants'!$B$19:$R$41,8,0)/'4. Billing Determinants'!$I$41*$D35, VLOOKUP(L$4,'4. Billing Determinants'!$B$19:$R$41,3,0)/'4. Billing Determinants'!$D$41*$D35))))),0)</f>
        <v>0</v>
      </c>
      <c r="M35" s="42">
        <f>IFERROR(IF(M$4="",0,IF($E35="kWh",VLOOKUP(M$4,'4. Billing Determinants'!$B$19:$R$41,4,0)/'4. Billing Determinants'!$E$41*$D35,IF($E35="kW",VLOOKUP(M$4,'4. Billing Determinants'!$B$19:$R$41,5,0)/'4. Billing Determinants'!$F$41*$D35,IF($E35="Non-RPP kWh",VLOOKUP(M$4,'4. Billing Determinants'!$B$19:$R$41,6,0)/'4. Billing Determinants'!$G$41*$D35,IF($E35="Distribution Rev.",VLOOKUP(M$4,'4. Billing Determinants'!$B$19:$R$41,8,0)/'4. Billing Determinants'!$I$41*$D35, VLOOKUP(M$4,'4. Billing Determinants'!$B$19:$R$41,3,0)/'4. Billing Determinants'!$D$41*$D35))))),0)</f>
        <v>0</v>
      </c>
      <c r="N35" s="42">
        <f>IFERROR(IF(N$4="",0,IF($E35="kWh",VLOOKUP(N$4,'4. Billing Determinants'!$B$19:$R$41,4,0)/'4. Billing Determinants'!$E$41*$D35,IF($E35="kW",VLOOKUP(N$4,'4. Billing Determinants'!$B$19:$R$41,5,0)/'4. Billing Determinants'!$F$41*$D35,IF($E35="Non-RPP kWh",VLOOKUP(N$4,'4. Billing Determinants'!$B$19:$R$41,6,0)/'4. Billing Determinants'!$G$41*$D35,IF($E35="Distribution Rev.",VLOOKUP(N$4,'4. Billing Determinants'!$B$19:$R$41,8,0)/'4. Billing Determinants'!$I$41*$D35, VLOOKUP(N$4,'4. Billing Determinants'!$B$19:$R$41,3,0)/'4. Billing Determinants'!$D$41*$D35))))),0)</f>
        <v>0</v>
      </c>
      <c r="O35" s="42">
        <f>IFERROR(IF(O$4="",0,IF($E35="kWh",VLOOKUP(O$4,'4. Billing Determinants'!$B$19:$R$41,4,0)/'4. Billing Determinants'!$E$41*$D35,IF($E35="kW",VLOOKUP(O$4,'4. Billing Determinants'!$B$19:$R$41,5,0)/'4. Billing Determinants'!$F$41*$D35,IF($E35="Non-RPP kWh",VLOOKUP(O$4,'4. Billing Determinants'!$B$19:$R$41,6,0)/'4. Billing Determinants'!$G$41*$D35,IF($E35="Distribution Rev.",VLOOKUP(O$4,'4. Billing Determinants'!$B$19:$R$41,8,0)/'4. Billing Determinants'!$I$41*$D35, VLOOKUP(O$4,'4. Billing Determinants'!$B$19:$R$41,3,0)/'4. Billing Determinants'!$D$41*$D35))))),0)</f>
        <v>0</v>
      </c>
      <c r="P35" s="42">
        <f>IFERROR(IF(P$4="",0,IF($E35="kWh",VLOOKUP(P$4,'4. Billing Determinants'!$B$19:$R$41,4,0)/'4. Billing Determinants'!$E$41*$D35,IF($E35="kW",VLOOKUP(P$4,'4. Billing Determinants'!$B$19:$R$41,5,0)/'4. Billing Determinants'!$F$41*$D35,IF($E35="Non-RPP kWh",VLOOKUP(P$4,'4. Billing Determinants'!$B$19:$R$41,6,0)/'4. Billing Determinants'!$G$41*$D35,IF($E35="Distribution Rev.",VLOOKUP(P$4,'4. Billing Determinants'!$B$19:$R$41,8,0)/'4. Billing Determinants'!$I$41*$D35, VLOOKUP(P$4,'4. Billing Determinants'!$B$19:$R$41,3,0)/'4. Billing Determinants'!$D$41*$D35))))),0)</f>
        <v>0</v>
      </c>
      <c r="Q35" s="42">
        <f>IFERROR(IF(Q$4="",0,IF($E35="kWh",VLOOKUP(Q$4,'4. Billing Determinants'!$B$19:$R$41,4,0)/'4. Billing Determinants'!$E$41*$D35,IF($E35="kW",VLOOKUP(Q$4,'4. Billing Determinants'!$B$19:$R$41,5,0)/'4. Billing Determinants'!$F$41*$D35,IF($E35="Non-RPP kWh",VLOOKUP(Q$4,'4. Billing Determinants'!$B$19:$R$41,6,0)/'4. Billing Determinants'!$G$41*$D35,IF($E35="Distribution Rev.",VLOOKUP(Q$4,'4. Billing Determinants'!$B$19:$R$41,8,0)/'4. Billing Determinants'!$I$41*$D35, VLOOKUP(Q$4,'4. Billing Determinants'!$B$19:$R$41,3,0)/'4. Billing Determinants'!$D$41*$D35))))),0)</f>
        <v>0</v>
      </c>
      <c r="R35" s="42">
        <f>IFERROR(IF(R$4="",0,IF($E35="kWh",VLOOKUP(R$4,'4. Billing Determinants'!$B$19:$R$41,4,0)/'4. Billing Determinants'!$E$41*$D35,IF($E35="kW",VLOOKUP(R$4,'4. Billing Determinants'!$B$19:$R$41,5,0)/'4. Billing Determinants'!$F$41*$D35,IF($E35="Non-RPP kWh",VLOOKUP(R$4,'4. Billing Determinants'!$B$19:$R$41,6,0)/'4. Billing Determinants'!$G$41*$D35,IF($E35="Distribution Rev.",VLOOKUP(R$4,'4. Billing Determinants'!$B$19:$R$41,8,0)/'4. Billing Determinants'!$I$41*$D35, VLOOKUP(R$4,'4. Billing Determinants'!$B$19:$R$41,3,0)/'4. Billing Determinants'!$D$41*$D35))))),0)</f>
        <v>0</v>
      </c>
      <c r="S35" s="42">
        <f>IFERROR(IF(S$4="",0,IF($E35="kWh",VLOOKUP(S$4,'4. Billing Determinants'!$B$19:$R$41,4,0)/'4. Billing Determinants'!$E$41*$D35,IF($E35="kW",VLOOKUP(S$4,'4. Billing Determinants'!$B$19:$R$41,5,0)/'4. Billing Determinants'!$F$41*$D35,IF($E35="Non-RPP kWh",VLOOKUP(S$4,'4. Billing Determinants'!$B$19:$R$41,6,0)/'4. Billing Determinants'!$G$41*$D35,IF($E35="Distribution Rev.",VLOOKUP(S$4,'4. Billing Determinants'!$B$19:$R$41,8,0)/'4. Billing Determinants'!$I$41*$D35, VLOOKUP(S$4,'4. Billing Determinants'!$B$19:$R$41,3,0)/'4. Billing Determinants'!$D$41*$D35))))),0)</f>
        <v>0</v>
      </c>
      <c r="T35" s="42">
        <f>IFERROR(IF(T$4="",0,IF($E35="kWh",VLOOKUP(T$4,'4. Billing Determinants'!$B$19:$R$41,4,0)/'4. Billing Determinants'!$E$41*$D35,IF($E35="kW",VLOOKUP(T$4,'4. Billing Determinants'!$B$19:$R$41,5,0)/'4. Billing Determinants'!$F$41*$D35,IF($E35="Non-RPP kWh",VLOOKUP(T$4,'4. Billing Determinants'!$B$19:$R$41,6,0)/'4. Billing Determinants'!$G$41*$D35,IF($E35="Distribution Rev.",VLOOKUP(T$4,'4. Billing Determinants'!$B$19:$R$41,8,0)/'4. Billing Determinants'!$I$41*$D35, VLOOKUP(T$4,'4. Billing Determinants'!$B$19:$R$41,3,0)/'4. Billing Determinants'!$D$41*$D35))))),0)</f>
        <v>0</v>
      </c>
      <c r="U35" s="42">
        <f>IFERROR(IF(U$4="",0,IF($E35="kWh",VLOOKUP(U$4,'4. Billing Determinants'!$B$19:$R$41,4,0)/'4. Billing Determinants'!$E$41*$D35,IF($E35="kW",VLOOKUP(U$4,'4. Billing Determinants'!$B$19:$R$41,5,0)/'4. Billing Determinants'!$F$41*$D35,IF($E35="Non-RPP kWh",VLOOKUP(U$4,'4. Billing Determinants'!$B$19:$R$41,6,0)/'4. Billing Determinants'!$G$41*$D35,IF($E35="Distribution Rev.",VLOOKUP(U$4,'4. Billing Determinants'!$B$19:$R$41,8,0)/'4. Billing Determinants'!$I$41*$D35, VLOOKUP(U$4,'4. Billing Determinants'!$B$19:$R$41,3,0)/'4. Billing Determinants'!$D$41*$D35))))),0)</f>
        <v>0</v>
      </c>
      <c r="V35" s="42">
        <f>IFERROR(IF(V$4="",0,IF($E35="kWh",VLOOKUP(V$4,'4. Billing Determinants'!$B$19:$R$41,4,0)/'4. Billing Determinants'!$E$41*$D35,IF($E35="kW",VLOOKUP(V$4,'4. Billing Determinants'!$B$19:$R$41,5,0)/'4. Billing Determinants'!$F$41*$D35,IF($E35="Non-RPP kWh",VLOOKUP(V$4,'4. Billing Determinants'!$B$19:$R$41,6,0)/'4. Billing Determinants'!$G$41*$D35,IF($E35="Distribution Rev.",VLOOKUP(V$4,'4. Billing Determinants'!$B$19:$R$41,8,0)/'4. Billing Determinants'!$I$41*$D35, VLOOKUP(V$4,'4. Billing Determinants'!$B$19:$R$41,3,0)/'4. Billing Determinants'!$D$41*$D35))))),0)</f>
        <v>0</v>
      </c>
      <c r="W35" s="42">
        <f>IFERROR(IF(W$4="",0,IF($E35="kWh",VLOOKUP(W$4,'4. Billing Determinants'!$B$19:$R$41,4,0)/'4. Billing Determinants'!$E$41*$D35,IF($E35="kW",VLOOKUP(W$4,'4. Billing Determinants'!$B$19:$R$41,5,0)/'4. Billing Determinants'!$F$41*$D35,IF($E35="Non-RPP kWh",VLOOKUP(W$4,'4. Billing Determinants'!$B$19:$R$41,6,0)/'4. Billing Determinants'!$G$41*$D35,IF($E35="Distribution Rev.",VLOOKUP(W$4,'4. Billing Determinants'!$B$19:$R$41,8,0)/'4. Billing Determinants'!$I$41*$D35, VLOOKUP(W$4,'4. Billing Determinants'!$B$19:$R$41,3,0)/'4. Billing Determinants'!$D$41*$D35))))),0)</f>
        <v>0</v>
      </c>
      <c r="X35" s="42">
        <f>IFERROR(IF(X$4="",0,IF($E35="kWh",VLOOKUP(X$4,'4. Billing Determinants'!$B$19:$R$41,4,0)/'4. Billing Determinants'!$E$41*$D35,IF($E35="kW",VLOOKUP(X$4,'4. Billing Determinants'!$B$19:$R$41,5,0)/'4. Billing Determinants'!$F$41*$D35,IF($E35="Non-RPP kWh",VLOOKUP(X$4,'4. Billing Determinants'!$B$19:$R$41,6,0)/'4. Billing Determinants'!$G$41*$D35,IF($E35="Distribution Rev.",VLOOKUP(X$4,'4. Billing Determinants'!$B$19:$R$41,8,0)/'4. Billing Determinants'!$I$41*$D35, VLOOKUP(X$4,'4. Billing Determinants'!$B$19:$R$41,3,0)/'4. Billing Determinants'!$D$41*$D35))))),0)</f>
        <v>0</v>
      </c>
      <c r="Y35" s="42">
        <f>IFERROR(IF(Y$4="",0,IF($E35="kWh",VLOOKUP(Y$4,'4. Billing Determinants'!$B$19:$R$41,4,0)/'4. Billing Determinants'!$E$41*$D35,IF($E35="kW",VLOOKUP(Y$4,'4. Billing Determinants'!$B$19:$R$41,5,0)/'4. Billing Determinants'!$F$41*$D35,IF($E35="Non-RPP kWh",VLOOKUP(Y$4,'4. Billing Determinants'!$B$19:$R$41,6,0)/'4. Billing Determinants'!$G$41*$D35,IF($E35="Distribution Rev.",VLOOKUP(Y$4,'4. Billing Determinants'!$B$19:$R$41,8,0)/'4. Billing Determinants'!$I$41*$D35, VLOOKUP(Y$4,'4. Billing Determinants'!$B$19:$R$41,3,0)/'4. Billing Determinants'!$D$41*$D35))))),0)</f>
        <v>0</v>
      </c>
    </row>
    <row r="36" spans="1:25" ht="26.4" x14ac:dyDescent="0.25">
      <c r="A36" s="146">
        <v>33</v>
      </c>
      <c r="B36" s="54" t="s">
        <v>68</v>
      </c>
      <c r="C36" s="53">
        <v>1592</v>
      </c>
      <c r="D36" s="42">
        <v>0</v>
      </c>
      <c r="E36" s="74" t="s">
        <v>189</v>
      </c>
      <c r="F36" s="42">
        <f>IFERROR(IF(F$4="",0,IF($E36="kWh",VLOOKUP(F$4,'4. Billing Determinants'!$B$19:$R$41,4,0)/'4. Billing Determinants'!$E$41*$D36,IF($E36="kW",VLOOKUP(F$4,'4. Billing Determinants'!$B$19:$R$41,5,0)/'4. Billing Determinants'!$F$41*$D36,IF($E36="Non-RPP kWh",VLOOKUP(F$4,'4. Billing Determinants'!$B$19:$R$41,6,0)/'4. Billing Determinants'!$G$41*$D36,IF($E36="Distribution Rev.",VLOOKUP(F$4,'4. Billing Determinants'!$B$19:$R$41,8,0)/'4. Billing Determinants'!$I$41*$D36, VLOOKUP(F$4,'4. Billing Determinants'!$B$19:$R$41,3,0)/'4. Billing Determinants'!$D$41*$D36))))),0)</f>
        <v>0</v>
      </c>
      <c r="G36" s="42">
        <f>IFERROR(IF(G$4="",0,IF($E36="kWh",VLOOKUP(G$4,'4. Billing Determinants'!$B$19:$R$41,4,0)/'4. Billing Determinants'!$E$41*$D36,IF($E36="kW",VLOOKUP(G$4,'4. Billing Determinants'!$B$19:$R$41,5,0)/'4. Billing Determinants'!$F$41*$D36,IF($E36="Non-RPP kWh",VLOOKUP(G$4,'4. Billing Determinants'!$B$19:$R$41,6,0)/'4. Billing Determinants'!$G$41*$D36,IF($E36="Distribution Rev.",VLOOKUP(G$4,'4. Billing Determinants'!$B$19:$R$41,8,0)/'4. Billing Determinants'!$I$41*$D36, VLOOKUP(G$4,'4. Billing Determinants'!$B$19:$R$41,3,0)/'4. Billing Determinants'!$D$41*$D36))))),0)</f>
        <v>0</v>
      </c>
      <c r="H36" s="42">
        <f>IFERROR(IF(H$4="",0,IF($E36="kWh",VLOOKUP(H$4,'4. Billing Determinants'!$B$19:$R$41,4,0)/'4. Billing Determinants'!$E$41*$D36,IF($E36="kW",VLOOKUP(H$4,'4. Billing Determinants'!$B$19:$R$41,5,0)/'4. Billing Determinants'!$F$41*$D36,IF($E36="Non-RPP kWh",VLOOKUP(H$4,'4. Billing Determinants'!$B$19:$R$41,6,0)/'4. Billing Determinants'!$G$41*$D36,IF($E36="Distribution Rev.",VLOOKUP(H$4,'4. Billing Determinants'!$B$19:$R$41,8,0)/'4. Billing Determinants'!$I$41*$D36, VLOOKUP(H$4,'4. Billing Determinants'!$B$19:$R$41,3,0)/'4. Billing Determinants'!$D$41*$D36))))),0)</f>
        <v>0</v>
      </c>
      <c r="I36" s="42">
        <f>IFERROR(IF(I$4="",0,IF($E36="kWh",VLOOKUP(I$4,'4. Billing Determinants'!$B$19:$R$41,4,0)/'4. Billing Determinants'!$E$41*$D36,IF($E36="kW",VLOOKUP(I$4,'4. Billing Determinants'!$B$19:$R$41,5,0)/'4. Billing Determinants'!$F$41*$D36,IF($E36="Non-RPP kWh",VLOOKUP(I$4,'4. Billing Determinants'!$B$19:$R$41,6,0)/'4. Billing Determinants'!$G$41*$D36,IF($E36="Distribution Rev.",VLOOKUP(I$4,'4. Billing Determinants'!$B$19:$R$41,8,0)/'4. Billing Determinants'!$I$41*$D36, VLOOKUP(I$4,'4. Billing Determinants'!$B$19:$R$41,3,0)/'4. Billing Determinants'!$D$41*$D36))))),0)</f>
        <v>0</v>
      </c>
      <c r="J36" s="42">
        <f>IFERROR(IF(J$4="",0,IF($E36="kWh",VLOOKUP(J$4,'4. Billing Determinants'!$B$19:$R$41,4,0)/'4. Billing Determinants'!$E$41*$D36,IF($E36="kW",VLOOKUP(J$4,'4. Billing Determinants'!$B$19:$R$41,5,0)/'4. Billing Determinants'!$F$41*$D36,IF($E36="Non-RPP kWh",VLOOKUP(J$4,'4. Billing Determinants'!$B$19:$R$41,6,0)/'4. Billing Determinants'!$G$41*$D36,IF($E36="Distribution Rev.",VLOOKUP(J$4,'4. Billing Determinants'!$B$19:$R$41,8,0)/'4. Billing Determinants'!$I$41*$D36, VLOOKUP(J$4,'4. Billing Determinants'!$B$19:$R$41,3,0)/'4. Billing Determinants'!$D$41*$D36))))),0)</f>
        <v>0</v>
      </c>
      <c r="K36" s="42">
        <f>IFERROR(IF(K$4="",0,IF($E36="kWh",VLOOKUP(K$4,'4. Billing Determinants'!$B$19:$R$41,4,0)/'4. Billing Determinants'!$E$41*$D36,IF($E36="kW",VLOOKUP(K$4,'4. Billing Determinants'!$B$19:$R$41,5,0)/'4. Billing Determinants'!$F$41*$D36,IF($E36="Non-RPP kWh",VLOOKUP(K$4,'4. Billing Determinants'!$B$19:$R$41,6,0)/'4. Billing Determinants'!$G$41*$D36,IF($E36="Distribution Rev.",VLOOKUP(K$4,'4. Billing Determinants'!$B$19:$R$41,8,0)/'4. Billing Determinants'!$I$41*$D36, VLOOKUP(K$4,'4. Billing Determinants'!$B$19:$R$41,3,0)/'4. Billing Determinants'!$D$41*$D36))))),0)</f>
        <v>0</v>
      </c>
      <c r="L36" s="42">
        <f>IFERROR(IF(L$4="",0,IF($E36="kWh",VLOOKUP(L$4,'4. Billing Determinants'!$B$19:$R$41,4,0)/'4. Billing Determinants'!$E$41*$D36,IF($E36="kW",VLOOKUP(L$4,'4. Billing Determinants'!$B$19:$R$41,5,0)/'4. Billing Determinants'!$F$41*$D36,IF($E36="Non-RPP kWh",VLOOKUP(L$4,'4. Billing Determinants'!$B$19:$R$41,6,0)/'4. Billing Determinants'!$G$41*$D36,IF($E36="Distribution Rev.",VLOOKUP(L$4,'4. Billing Determinants'!$B$19:$R$41,8,0)/'4. Billing Determinants'!$I$41*$D36, VLOOKUP(L$4,'4. Billing Determinants'!$B$19:$R$41,3,0)/'4. Billing Determinants'!$D$41*$D36))))),0)</f>
        <v>0</v>
      </c>
      <c r="M36" s="42">
        <f>IFERROR(IF(M$4="",0,IF($E36="kWh",VLOOKUP(M$4,'4. Billing Determinants'!$B$19:$R$41,4,0)/'4. Billing Determinants'!$E$41*$D36,IF($E36="kW",VLOOKUP(M$4,'4. Billing Determinants'!$B$19:$R$41,5,0)/'4. Billing Determinants'!$F$41*$D36,IF($E36="Non-RPP kWh",VLOOKUP(M$4,'4. Billing Determinants'!$B$19:$R$41,6,0)/'4. Billing Determinants'!$G$41*$D36,IF($E36="Distribution Rev.",VLOOKUP(M$4,'4. Billing Determinants'!$B$19:$R$41,8,0)/'4. Billing Determinants'!$I$41*$D36, VLOOKUP(M$4,'4. Billing Determinants'!$B$19:$R$41,3,0)/'4. Billing Determinants'!$D$41*$D36))))),0)</f>
        <v>0</v>
      </c>
      <c r="N36" s="42">
        <f>IFERROR(IF(N$4="",0,IF($E36="kWh",VLOOKUP(N$4,'4. Billing Determinants'!$B$19:$R$41,4,0)/'4. Billing Determinants'!$E$41*$D36,IF($E36="kW",VLOOKUP(N$4,'4. Billing Determinants'!$B$19:$R$41,5,0)/'4. Billing Determinants'!$F$41*$D36,IF($E36="Non-RPP kWh",VLOOKUP(N$4,'4. Billing Determinants'!$B$19:$R$41,6,0)/'4. Billing Determinants'!$G$41*$D36,IF($E36="Distribution Rev.",VLOOKUP(N$4,'4. Billing Determinants'!$B$19:$R$41,8,0)/'4. Billing Determinants'!$I$41*$D36, VLOOKUP(N$4,'4. Billing Determinants'!$B$19:$R$41,3,0)/'4. Billing Determinants'!$D$41*$D36))))),0)</f>
        <v>0</v>
      </c>
      <c r="O36" s="42">
        <f>IFERROR(IF(O$4="",0,IF($E36="kWh",VLOOKUP(O$4,'4. Billing Determinants'!$B$19:$R$41,4,0)/'4. Billing Determinants'!$E$41*$D36,IF($E36="kW",VLOOKUP(O$4,'4. Billing Determinants'!$B$19:$R$41,5,0)/'4. Billing Determinants'!$F$41*$D36,IF($E36="Non-RPP kWh",VLOOKUP(O$4,'4. Billing Determinants'!$B$19:$R$41,6,0)/'4. Billing Determinants'!$G$41*$D36,IF($E36="Distribution Rev.",VLOOKUP(O$4,'4. Billing Determinants'!$B$19:$R$41,8,0)/'4. Billing Determinants'!$I$41*$D36, VLOOKUP(O$4,'4. Billing Determinants'!$B$19:$R$41,3,0)/'4. Billing Determinants'!$D$41*$D36))))),0)</f>
        <v>0</v>
      </c>
      <c r="P36" s="42">
        <f>IFERROR(IF(P$4="",0,IF($E36="kWh",VLOOKUP(P$4,'4. Billing Determinants'!$B$19:$R$41,4,0)/'4. Billing Determinants'!$E$41*$D36,IF($E36="kW",VLOOKUP(P$4,'4. Billing Determinants'!$B$19:$R$41,5,0)/'4. Billing Determinants'!$F$41*$D36,IF($E36="Non-RPP kWh",VLOOKUP(P$4,'4. Billing Determinants'!$B$19:$R$41,6,0)/'4. Billing Determinants'!$G$41*$D36,IF($E36="Distribution Rev.",VLOOKUP(P$4,'4. Billing Determinants'!$B$19:$R$41,8,0)/'4. Billing Determinants'!$I$41*$D36, VLOOKUP(P$4,'4. Billing Determinants'!$B$19:$R$41,3,0)/'4. Billing Determinants'!$D$41*$D36))))),0)</f>
        <v>0</v>
      </c>
      <c r="Q36" s="42">
        <f>IFERROR(IF(Q$4="",0,IF($E36="kWh",VLOOKUP(Q$4,'4. Billing Determinants'!$B$19:$R$41,4,0)/'4. Billing Determinants'!$E$41*$D36,IF($E36="kW",VLOOKUP(Q$4,'4. Billing Determinants'!$B$19:$R$41,5,0)/'4. Billing Determinants'!$F$41*$D36,IF($E36="Non-RPP kWh",VLOOKUP(Q$4,'4. Billing Determinants'!$B$19:$R$41,6,0)/'4. Billing Determinants'!$G$41*$D36,IF($E36="Distribution Rev.",VLOOKUP(Q$4,'4. Billing Determinants'!$B$19:$R$41,8,0)/'4. Billing Determinants'!$I$41*$D36, VLOOKUP(Q$4,'4. Billing Determinants'!$B$19:$R$41,3,0)/'4. Billing Determinants'!$D$41*$D36))))),0)</f>
        <v>0</v>
      </c>
      <c r="R36" s="42">
        <f>IFERROR(IF(R$4="",0,IF($E36="kWh",VLOOKUP(R$4,'4. Billing Determinants'!$B$19:$R$41,4,0)/'4. Billing Determinants'!$E$41*$D36,IF($E36="kW",VLOOKUP(R$4,'4. Billing Determinants'!$B$19:$R$41,5,0)/'4. Billing Determinants'!$F$41*$D36,IF($E36="Non-RPP kWh",VLOOKUP(R$4,'4. Billing Determinants'!$B$19:$R$41,6,0)/'4. Billing Determinants'!$G$41*$D36,IF($E36="Distribution Rev.",VLOOKUP(R$4,'4. Billing Determinants'!$B$19:$R$41,8,0)/'4. Billing Determinants'!$I$41*$D36, VLOOKUP(R$4,'4. Billing Determinants'!$B$19:$R$41,3,0)/'4. Billing Determinants'!$D$41*$D36))))),0)</f>
        <v>0</v>
      </c>
      <c r="S36" s="42">
        <f>IFERROR(IF(S$4="",0,IF($E36="kWh",VLOOKUP(S$4,'4. Billing Determinants'!$B$19:$R$41,4,0)/'4. Billing Determinants'!$E$41*$D36,IF($E36="kW",VLOOKUP(S$4,'4. Billing Determinants'!$B$19:$R$41,5,0)/'4. Billing Determinants'!$F$41*$D36,IF($E36="Non-RPP kWh",VLOOKUP(S$4,'4. Billing Determinants'!$B$19:$R$41,6,0)/'4. Billing Determinants'!$G$41*$D36,IF($E36="Distribution Rev.",VLOOKUP(S$4,'4. Billing Determinants'!$B$19:$R$41,8,0)/'4. Billing Determinants'!$I$41*$D36, VLOOKUP(S$4,'4. Billing Determinants'!$B$19:$R$41,3,0)/'4. Billing Determinants'!$D$41*$D36))))),0)</f>
        <v>0</v>
      </c>
      <c r="T36" s="42">
        <f>IFERROR(IF(T$4="",0,IF($E36="kWh",VLOOKUP(T$4,'4. Billing Determinants'!$B$19:$R$41,4,0)/'4. Billing Determinants'!$E$41*$D36,IF($E36="kW",VLOOKUP(T$4,'4. Billing Determinants'!$B$19:$R$41,5,0)/'4. Billing Determinants'!$F$41*$D36,IF($E36="Non-RPP kWh",VLOOKUP(T$4,'4. Billing Determinants'!$B$19:$R$41,6,0)/'4. Billing Determinants'!$G$41*$D36,IF($E36="Distribution Rev.",VLOOKUP(T$4,'4. Billing Determinants'!$B$19:$R$41,8,0)/'4. Billing Determinants'!$I$41*$D36, VLOOKUP(T$4,'4. Billing Determinants'!$B$19:$R$41,3,0)/'4. Billing Determinants'!$D$41*$D36))))),0)</f>
        <v>0</v>
      </c>
      <c r="U36" s="42">
        <f>IFERROR(IF(U$4="",0,IF($E36="kWh",VLOOKUP(U$4,'4. Billing Determinants'!$B$19:$R$41,4,0)/'4. Billing Determinants'!$E$41*$D36,IF($E36="kW",VLOOKUP(U$4,'4. Billing Determinants'!$B$19:$R$41,5,0)/'4. Billing Determinants'!$F$41*$D36,IF($E36="Non-RPP kWh",VLOOKUP(U$4,'4. Billing Determinants'!$B$19:$R$41,6,0)/'4. Billing Determinants'!$G$41*$D36,IF($E36="Distribution Rev.",VLOOKUP(U$4,'4. Billing Determinants'!$B$19:$R$41,8,0)/'4. Billing Determinants'!$I$41*$D36, VLOOKUP(U$4,'4. Billing Determinants'!$B$19:$R$41,3,0)/'4. Billing Determinants'!$D$41*$D36))))),0)</f>
        <v>0</v>
      </c>
      <c r="V36" s="42">
        <f>IFERROR(IF(V$4="",0,IF($E36="kWh",VLOOKUP(V$4,'4. Billing Determinants'!$B$19:$R$41,4,0)/'4. Billing Determinants'!$E$41*$D36,IF($E36="kW",VLOOKUP(V$4,'4. Billing Determinants'!$B$19:$R$41,5,0)/'4. Billing Determinants'!$F$41*$D36,IF($E36="Non-RPP kWh",VLOOKUP(V$4,'4. Billing Determinants'!$B$19:$R$41,6,0)/'4. Billing Determinants'!$G$41*$D36,IF($E36="Distribution Rev.",VLOOKUP(V$4,'4. Billing Determinants'!$B$19:$R$41,8,0)/'4. Billing Determinants'!$I$41*$D36, VLOOKUP(V$4,'4. Billing Determinants'!$B$19:$R$41,3,0)/'4. Billing Determinants'!$D$41*$D36))))),0)</f>
        <v>0</v>
      </c>
      <c r="W36" s="42">
        <f>IFERROR(IF(W$4="",0,IF($E36="kWh",VLOOKUP(W$4,'4. Billing Determinants'!$B$19:$R$41,4,0)/'4. Billing Determinants'!$E$41*$D36,IF($E36="kW",VLOOKUP(W$4,'4. Billing Determinants'!$B$19:$R$41,5,0)/'4. Billing Determinants'!$F$41*$D36,IF($E36="Non-RPP kWh",VLOOKUP(W$4,'4. Billing Determinants'!$B$19:$R$41,6,0)/'4. Billing Determinants'!$G$41*$D36,IF($E36="Distribution Rev.",VLOOKUP(W$4,'4. Billing Determinants'!$B$19:$R$41,8,0)/'4. Billing Determinants'!$I$41*$D36, VLOOKUP(W$4,'4. Billing Determinants'!$B$19:$R$41,3,0)/'4. Billing Determinants'!$D$41*$D36))))),0)</f>
        <v>0</v>
      </c>
      <c r="X36" s="42">
        <f>IFERROR(IF(X$4="",0,IF($E36="kWh",VLOOKUP(X$4,'4. Billing Determinants'!$B$19:$R$41,4,0)/'4. Billing Determinants'!$E$41*$D36,IF($E36="kW",VLOOKUP(X$4,'4. Billing Determinants'!$B$19:$R$41,5,0)/'4. Billing Determinants'!$F$41*$D36,IF($E36="Non-RPP kWh",VLOOKUP(X$4,'4. Billing Determinants'!$B$19:$R$41,6,0)/'4. Billing Determinants'!$G$41*$D36,IF($E36="Distribution Rev.",VLOOKUP(X$4,'4. Billing Determinants'!$B$19:$R$41,8,0)/'4. Billing Determinants'!$I$41*$D36, VLOOKUP(X$4,'4. Billing Determinants'!$B$19:$R$41,3,0)/'4. Billing Determinants'!$D$41*$D36))))),0)</f>
        <v>0</v>
      </c>
      <c r="Y36" s="42">
        <f>IFERROR(IF(Y$4="",0,IF($E36="kWh",VLOOKUP(Y$4,'4. Billing Determinants'!$B$19:$R$41,4,0)/'4. Billing Determinants'!$E$41*$D36,IF($E36="kW",VLOOKUP(Y$4,'4. Billing Determinants'!$B$19:$R$41,5,0)/'4. Billing Determinants'!$F$41*$D36,IF($E36="Non-RPP kWh",VLOOKUP(Y$4,'4. Billing Determinants'!$B$19:$R$41,6,0)/'4. Billing Determinants'!$G$41*$D36,IF($E36="Distribution Rev.",VLOOKUP(Y$4,'4. Billing Determinants'!$B$19:$R$41,8,0)/'4. Billing Determinants'!$I$41*$D36, VLOOKUP(Y$4,'4. Billing Determinants'!$B$19:$R$41,3,0)/'4. Billing Determinants'!$D$41*$D36))))),0)</f>
        <v>0</v>
      </c>
    </row>
    <row r="37" spans="1:25" s="2" customFormat="1" x14ac:dyDescent="0.25">
      <c r="A37" s="146">
        <v>34</v>
      </c>
      <c r="B37" s="55" t="s">
        <v>329</v>
      </c>
      <c r="C37" s="57"/>
      <c r="D37" s="56">
        <f>SUM(D35:D36)</f>
        <v>0</v>
      </c>
      <c r="E37" s="57"/>
      <c r="F37" s="56">
        <f t="shared" ref="F37:Y37" si="2">SUM(F35:F36)</f>
        <v>0</v>
      </c>
      <c r="G37" s="56">
        <f t="shared" si="2"/>
        <v>0</v>
      </c>
      <c r="H37" s="56">
        <f t="shared" si="2"/>
        <v>0</v>
      </c>
      <c r="I37" s="56">
        <f t="shared" si="2"/>
        <v>0</v>
      </c>
      <c r="J37" s="56">
        <f t="shared" si="2"/>
        <v>0</v>
      </c>
      <c r="K37" s="56">
        <f t="shared" si="2"/>
        <v>0</v>
      </c>
      <c r="L37" s="56">
        <f t="shared" si="2"/>
        <v>0</v>
      </c>
      <c r="M37" s="56">
        <f t="shared" si="2"/>
        <v>0</v>
      </c>
      <c r="N37" s="56">
        <f t="shared" si="2"/>
        <v>0</v>
      </c>
      <c r="O37" s="56">
        <f t="shared" si="2"/>
        <v>0</v>
      </c>
      <c r="P37" s="56">
        <f t="shared" si="2"/>
        <v>0</v>
      </c>
      <c r="Q37" s="56">
        <f t="shared" si="2"/>
        <v>0</v>
      </c>
      <c r="R37" s="56">
        <f t="shared" si="2"/>
        <v>0</v>
      </c>
      <c r="S37" s="56">
        <f t="shared" si="2"/>
        <v>0</v>
      </c>
      <c r="T37" s="56">
        <f t="shared" si="2"/>
        <v>0</v>
      </c>
      <c r="U37" s="56">
        <f t="shared" si="2"/>
        <v>0</v>
      </c>
      <c r="V37" s="56">
        <f t="shared" si="2"/>
        <v>0</v>
      </c>
      <c r="W37" s="56">
        <f t="shared" si="2"/>
        <v>0</v>
      </c>
      <c r="X37" s="56">
        <f t="shared" si="2"/>
        <v>0</v>
      </c>
      <c r="Y37" s="56">
        <f t="shared" si="2"/>
        <v>0</v>
      </c>
    </row>
    <row r="38" spans="1:25" x14ac:dyDescent="0.25">
      <c r="A38" s="146">
        <v>35</v>
      </c>
      <c r="B38" s="48"/>
      <c r="C38" s="51"/>
      <c r="D38" s="52"/>
      <c r="E38" s="51"/>
    </row>
    <row r="39" spans="1:25" x14ac:dyDescent="0.25">
      <c r="A39" s="327">
        <v>36</v>
      </c>
      <c r="B39" s="54" t="s">
        <v>74</v>
      </c>
      <c r="C39" s="53">
        <v>1568</v>
      </c>
      <c r="D39" s="132">
        <f>'2. 2016 Continuity Schedule'!BT68</f>
        <v>26366</v>
      </c>
      <c r="E39" s="59"/>
      <c r="F39" s="347">
        <f>'4. Billing Determinants'!AB21</f>
        <v>0</v>
      </c>
      <c r="G39" s="347">
        <f>'4. Billing Determinants'!AB22</f>
        <v>0</v>
      </c>
      <c r="H39" s="347">
        <f>'4. Billing Determinants'!AB23</f>
        <v>0</v>
      </c>
      <c r="I39" s="347">
        <f>'4. Billing Determinants'!AB24</f>
        <v>0</v>
      </c>
      <c r="J39" s="347">
        <f>'4. Billing Determinants'!AB25</f>
        <v>0</v>
      </c>
      <c r="K39" s="347">
        <f>'4. Billing Determinants'!AB26</f>
        <v>0</v>
      </c>
      <c r="L39" s="347">
        <f>'4. Billing Determinants'!AB27</f>
        <v>0</v>
      </c>
      <c r="M39" s="347">
        <f>'4. Billing Determinants'!AB28</f>
        <v>0</v>
      </c>
      <c r="N39" s="347">
        <f>'4. Billing Determinants'!AB29</f>
        <v>0</v>
      </c>
      <c r="O39" s="347">
        <f>'4. Billing Determinants'!AB30</f>
        <v>0</v>
      </c>
      <c r="P39" s="347">
        <f>'4. Billing Determinants'!AB31</f>
        <v>0</v>
      </c>
      <c r="Q39" s="347">
        <f>'4. Billing Determinants'!AB32</f>
        <v>0</v>
      </c>
      <c r="R39" s="347">
        <f>'4. Billing Determinants'!AB33</f>
        <v>0</v>
      </c>
      <c r="S39" s="347">
        <f>'4. Billing Determinants'!AB34</f>
        <v>0</v>
      </c>
      <c r="T39" s="347">
        <f>'4. Billing Determinants'!AB35</f>
        <v>0</v>
      </c>
      <c r="U39" s="347">
        <f>'4. Billing Determinants'!AB36</f>
        <v>0</v>
      </c>
      <c r="V39" s="347">
        <f>'4. Billing Determinants'!AB37</f>
        <v>0</v>
      </c>
      <c r="W39" s="347">
        <f>'4. Billing Determinants'!AB38</f>
        <v>0</v>
      </c>
      <c r="X39" s="347">
        <f>'4. Billing Determinants'!AB39</f>
        <v>0</v>
      </c>
      <c r="Y39" s="347">
        <f>'4. Billing Determinants'!AB40</f>
        <v>0</v>
      </c>
    </row>
    <row r="40" spans="1:25" s="51" customFormat="1" x14ac:dyDescent="0.25">
      <c r="A40" s="146">
        <v>37</v>
      </c>
      <c r="B40" s="481" t="s">
        <v>76</v>
      </c>
      <c r="C40" s="481"/>
      <c r="D40" s="168">
        <f>SUM(F39:Y39)</f>
        <v>0</v>
      </c>
    </row>
    <row r="41" spans="1:25" s="51" customFormat="1" x14ac:dyDescent="0.25">
      <c r="A41" s="146">
        <v>38</v>
      </c>
      <c r="B41" s="482" t="s">
        <v>65</v>
      </c>
      <c r="C41" s="482"/>
      <c r="D41" s="132">
        <f>D39-D40</f>
        <v>26366</v>
      </c>
      <c r="E41" s="58"/>
    </row>
    <row r="42" spans="1:25" s="51" customFormat="1" x14ac:dyDescent="0.25">
      <c r="A42" s="146">
        <v>39</v>
      </c>
      <c r="B42" s="324"/>
      <c r="C42" s="324"/>
      <c r="D42" s="325"/>
      <c r="E42" s="58"/>
    </row>
    <row r="43" spans="1:25" s="51" customFormat="1" x14ac:dyDescent="0.25">
      <c r="A43" s="327">
        <v>40</v>
      </c>
      <c r="B43" s="326" t="s">
        <v>31</v>
      </c>
      <c r="C43" s="323">
        <v>1532</v>
      </c>
      <c r="D43" s="132">
        <f>'2. 2016 Continuity Schedule'!BT74</f>
        <v>0</v>
      </c>
      <c r="E43" s="74" t="s">
        <v>189</v>
      </c>
      <c r="F43" s="42">
        <f>IFERROR(IF(F$4="",0,IF($E43="kWh",VLOOKUP(F$4,'4. Billing Determinants'!$B$19:$R$41,4,0)/'4. Billing Determinants'!$E$41*$D43,IF($E43="kW",VLOOKUP(F$4,'4. Billing Determinants'!$B$19:$R$41,5,0)/'4. Billing Determinants'!$F$41*$D43,IF($E43="Non-RPP kWh",VLOOKUP(F$4,'4. Billing Determinants'!$B$19:$R$41,6,0)/'4. Billing Determinants'!$G$41*$D43,IF($E43="Distribution Rev.",VLOOKUP(F$4,'4. Billing Determinants'!$B$19:$R$41,8,0)/'4. Billing Determinants'!$I$41*$D43, VLOOKUP(F$4,'4. Billing Determinants'!$B$19:$R$41,3,0)/'4. Billing Determinants'!$D$41*$D43))))),0)</f>
        <v>0</v>
      </c>
      <c r="G43" s="42">
        <f>IFERROR(IF(G$4="",0,IF($E43="kWh",VLOOKUP(G$4,'4. Billing Determinants'!$B$19:$R$41,4,0)/'4. Billing Determinants'!$E$41*$D43,IF($E43="kW",VLOOKUP(G$4,'4. Billing Determinants'!$B$19:$R$41,5,0)/'4. Billing Determinants'!$F$41*$D43,IF($E43="Non-RPP kWh",VLOOKUP(G$4,'4. Billing Determinants'!$B$19:$R$41,6,0)/'4. Billing Determinants'!$G$41*$D43,IF($E43="Distribution Rev.",VLOOKUP(G$4,'4. Billing Determinants'!$B$19:$R$41,8,0)/'4. Billing Determinants'!$I$41*$D43, VLOOKUP(G$4,'4. Billing Determinants'!$B$19:$R$41,3,0)/'4. Billing Determinants'!$D$41*$D43))))),0)</f>
        <v>0</v>
      </c>
      <c r="H43" s="42">
        <f>IFERROR(IF(H$4="",0,IF($E43="kWh",VLOOKUP(H$4,'4. Billing Determinants'!$B$19:$R$41,4,0)/'4. Billing Determinants'!$E$41*$D43,IF($E43="kW",VLOOKUP(H$4,'4. Billing Determinants'!$B$19:$R$41,5,0)/'4. Billing Determinants'!$F$41*$D43,IF($E43="Non-RPP kWh",VLOOKUP(H$4,'4. Billing Determinants'!$B$19:$R$41,6,0)/'4. Billing Determinants'!$G$41*$D43,IF($E43="Distribution Rev.",VLOOKUP(H$4,'4. Billing Determinants'!$B$19:$R$41,8,0)/'4. Billing Determinants'!$I$41*$D43, VLOOKUP(H$4,'4. Billing Determinants'!$B$19:$R$41,3,0)/'4. Billing Determinants'!$D$41*$D43))))),0)</f>
        <v>0</v>
      </c>
      <c r="I43" s="42">
        <f>IFERROR(IF(I$4="",0,IF($E43="kWh",VLOOKUP(I$4,'4. Billing Determinants'!$B$19:$R$41,4,0)/'4. Billing Determinants'!$E$41*$D43,IF($E43="kW",VLOOKUP(I$4,'4. Billing Determinants'!$B$19:$R$41,5,0)/'4. Billing Determinants'!$F$41*$D43,IF($E43="Non-RPP kWh",VLOOKUP(I$4,'4. Billing Determinants'!$B$19:$R$41,6,0)/'4. Billing Determinants'!$G$41*$D43,IF($E43="Distribution Rev.",VLOOKUP(I$4,'4. Billing Determinants'!$B$19:$R$41,8,0)/'4. Billing Determinants'!$I$41*$D43, VLOOKUP(I$4,'4. Billing Determinants'!$B$19:$R$41,3,0)/'4. Billing Determinants'!$D$41*$D43))))),0)</f>
        <v>0</v>
      </c>
      <c r="J43" s="42">
        <f>IFERROR(IF(J$4="",0,IF($E43="kWh",VLOOKUP(J$4,'4. Billing Determinants'!$B$19:$R$41,4,0)/'4. Billing Determinants'!$E$41*$D43,IF($E43="kW",VLOOKUP(J$4,'4. Billing Determinants'!$B$19:$R$41,5,0)/'4. Billing Determinants'!$F$41*$D43,IF($E43="Non-RPP kWh",VLOOKUP(J$4,'4. Billing Determinants'!$B$19:$R$41,6,0)/'4. Billing Determinants'!$G$41*$D43,IF($E43="Distribution Rev.",VLOOKUP(J$4,'4. Billing Determinants'!$B$19:$R$41,8,0)/'4. Billing Determinants'!$I$41*$D43, VLOOKUP(J$4,'4. Billing Determinants'!$B$19:$R$41,3,0)/'4. Billing Determinants'!$D$41*$D43))))),0)</f>
        <v>0</v>
      </c>
      <c r="K43" s="42">
        <f>IFERROR(IF(K$4="",0,IF($E43="kWh",VLOOKUP(K$4,'4. Billing Determinants'!$B$19:$R$41,4,0)/'4. Billing Determinants'!$E$41*$D43,IF($E43="kW",VLOOKUP(K$4,'4. Billing Determinants'!$B$19:$R$41,5,0)/'4. Billing Determinants'!$F$41*$D43,IF($E43="Non-RPP kWh",VLOOKUP(K$4,'4. Billing Determinants'!$B$19:$R$41,6,0)/'4. Billing Determinants'!$G$41*$D43,IF($E43="Distribution Rev.",VLOOKUP(K$4,'4. Billing Determinants'!$B$19:$R$41,8,0)/'4. Billing Determinants'!$I$41*$D43, VLOOKUP(K$4,'4. Billing Determinants'!$B$19:$R$41,3,0)/'4. Billing Determinants'!$D$41*$D43))))),0)</f>
        <v>0</v>
      </c>
      <c r="L43" s="42">
        <f>IFERROR(IF(L$4="",0,IF($E43="kWh",VLOOKUP(L$4,'4. Billing Determinants'!$B$19:$R$41,4,0)/'4. Billing Determinants'!$E$41*$D43,IF($E43="kW",VLOOKUP(L$4,'4. Billing Determinants'!$B$19:$R$41,5,0)/'4. Billing Determinants'!$F$41*$D43,IF($E43="Non-RPP kWh",VLOOKUP(L$4,'4. Billing Determinants'!$B$19:$R$41,6,0)/'4. Billing Determinants'!$G$41*$D43,IF($E43="Distribution Rev.",VLOOKUP(L$4,'4. Billing Determinants'!$B$19:$R$41,8,0)/'4. Billing Determinants'!$I$41*$D43, VLOOKUP(L$4,'4. Billing Determinants'!$B$19:$R$41,3,0)/'4. Billing Determinants'!$D$41*$D43))))),0)</f>
        <v>0</v>
      </c>
      <c r="M43" s="42">
        <f>IFERROR(IF(M$4="",0,IF($E43="kWh",VLOOKUP(M$4,'4. Billing Determinants'!$B$19:$R$41,4,0)/'4. Billing Determinants'!$E$41*$D43,IF($E43="kW",VLOOKUP(M$4,'4. Billing Determinants'!$B$19:$R$41,5,0)/'4. Billing Determinants'!$F$41*$D43,IF($E43="Non-RPP kWh",VLOOKUP(M$4,'4. Billing Determinants'!$B$19:$R$41,6,0)/'4. Billing Determinants'!$G$41*$D43,IF($E43="Distribution Rev.",VLOOKUP(M$4,'4. Billing Determinants'!$B$19:$R$41,8,0)/'4. Billing Determinants'!$I$41*$D43, VLOOKUP(M$4,'4. Billing Determinants'!$B$19:$R$41,3,0)/'4. Billing Determinants'!$D$41*$D43))))),0)</f>
        <v>0</v>
      </c>
      <c r="N43" s="42">
        <f>IFERROR(IF(N$4="",0,IF($E43="kWh",VLOOKUP(N$4,'4. Billing Determinants'!$B$19:$R$41,4,0)/'4. Billing Determinants'!$E$41*$D43,IF($E43="kW",VLOOKUP(N$4,'4. Billing Determinants'!$B$19:$R$41,5,0)/'4. Billing Determinants'!$F$41*$D43,IF($E43="Non-RPP kWh",VLOOKUP(N$4,'4. Billing Determinants'!$B$19:$R$41,6,0)/'4. Billing Determinants'!$G$41*$D43,IF($E43="Distribution Rev.",VLOOKUP(N$4,'4. Billing Determinants'!$B$19:$R$41,8,0)/'4. Billing Determinants'!$I$41*$D43, VLOOKUP(N$4,'4. Billing Determinants'!$B$19:$R$41,3,0)/'4. Billing Determinants'!$D$41*$D43))))),0)</f>
        <v>0</v>
      </c>
      <c r="O43" s="42">
        <f>IFERROR(IF(O$4="",0,IF($E43="kWh",VLOOKUP(O$4,'4. Billing Determinants'!$B$19:$R$41,4,0)/'4. Billing Determinants'!$E$41*$D43,IF($E43="kW",VLOOKUP(O$4,'4. Billing Determinants'!$B$19:$R$41,5,0)/'4. Billing Determinants'!$F$41*$D43,IF($E43="Non-RPP kWh",VLOOKUP(O$4,'4. Billing Determinants'!$B$19:$R$41,6,0)/'4. Billing Determinants'!$G$41*$D43,IF($E43="Distribution Rev.",VLOOKUP(O$4,'4. Billing Determinants'!$B$19:$R$41,8,0)/'4. Billing Determinants'!$I$41*$D43, VLOOKUP(O$4,'4. Billing Determinants'!$B$19:$R$41,3,0)/'4. Billing Determinants'!$D$41*$D43))))),0)</f>
        <v>0</v>
      </c>
      <c r="P43" s="42">
        <f>IFERROR(IF(P$4="",0,IF($E43="kWh",VLOOKUP(P$4,'4. Billing Determinants'!$B$19:$R$41,4,0)/'4. Billing Determinants'!$E$41*$D43,IF($E43="kW",VLOOKUP(P$4,'4. Billing Determinants'!$B$19:$R$41,5,0)/'4. Billing Determinants'!$F$41*$D43,IF($E43="Non-RPP kWh",VLOOKUP(P$4,'4. Billing Determinants'!$B$19:$R$41,6,0)/'4. Billing Determinants'!$G$41*$D43,IF($E43="Distribution Rev.",VLOOKUP(P$4,'4. Billing Determinants'!$B$19:$R$41,8,0)/'4. Billing Determinants'!$I$41*$D43, VLOOKUP(P$4,'4. Billing Determinants'!$B$19:$R$41,3,0)/'4. Billing Determinants'!$D$41*$D43))))),0)</f>
        <v>0</v>
      </c>
      <c r="Q43" s="42">
        <f>IFERROR(IF(Q$4="",0,IF($E43="kWh",VLOOKUP(Q$4,'4. Billing Determinants'!$B$19:$R$41,4,0)/'4. Billing Determinants'!$E$41*$D43,IF($E43="kW",VLOOKUP(Q$4,'4. Billing Determinants'!$B$19:$R$41,5,0)/'4. Billing Determinants'!$F$41*$D43,IF($E43="Non-RPP kWh",VLOOKUP(Q$4,'4. Billing Determinants'!$B$19:$R$41,6,0)/'4. Billing Determinants'!$G$41*$D43,IF($E43="Distribution Rev.",VLOOKUP(Q$4,'4. Billing Determinants'!$B$19:$R$41,8,0)/'4. Billing Determinants'!$I$41*$D43, VLOOKUP(Q$4,'4. Billing Determinants'!$B$19:$R$41,3,0)/'4. Billing Determinants'!$D$41*$D43))))),0)</f>
        <v>0</v>
      </c>
      <c r="R43" s="42">
        <f>IFERROR(IF(R$4="",0,IF($E43="kWh",VLOOKUP(R$4,'4. Billing Determinants'!$B$19:$R$41,4,0)/'4. Billing Determinants'!$E$41*$D43,IF($E43="kW",VLOOKUP(R$4,'4. Billing Determinants'!$B$19:$R$41,5,0)/'4. Billing Determinants'!$F$41*$D43,IF($E43="Non-RPP kWh",VLOOKUP(R$4,'4. Billing Determinants'!$B$19:$R$41,6,0)/'4. Billing Determinants'!$G$41*$D43,IF($E43="Distribution Rev.",VLOOKUP(R$4,'4. Billing Determinants'!$B$19:$R$41,8,0)/'4. Billing Determinants'!$I$41*$D43, VLOOKUP(R$4,'4. Billing Determinants'!$B$19:$R$41,3,0)/'4. Billing Determinants'!$D$41*$D43))))),0)</f>
        <v>0</v>
      </c>
      <c r="S43" s="42">
        <f>IFERROR(IF(S$4="",0,IF($E43="kWh",VLOOKUP(S$4,'4. Billing Determinants'!$B$19:$R$41,4,0)/'4. Billing Determinants'!$E$41*$D43,IF($E43="kW",VLOOKUP(S$4,'4. Billing Determinants'!$B$19:$R$41,5,0)/'4. Billing Determinants'!$F$41*$D43,IF($E43="Non-RPP kWh",VLOOKUP(S$4,'4. Billing Determinants'!$B$19:$R$41,6,0)/'4. Billing Determinants'!$G$41*$D43,IF($E43="Distribution Rev.",VLOOKUP(S$4,'4. Billing Determinants'!$B$19:$R$41,8,0)/'4. Billing Determinants'!$I$41*$D43, VLOOKUP(S$4,'4. Billing Determinants'!$B$19:$R$41,3,0)/'4. Billing Determinants'!$D$41*$D43))))),0)</f>
        <v>0</v>
      </c>
      <c r="T43" s="42">
        <f>IFERROR(IF(T$4="",0,IF($E43="kWh",VLOOKUP(T$4,'4. Billing Determinants'!$B$19:$R$41,4,0)/'4. Billing Determinants'!$E$41*$D43,IF($E43="kW",VLOOKUP(T$4,'4. Billing Determinants'!$B$19:$R$41,5,0)/'4. Billing Determinants'!$F$41*$D43,IF($E43="Non-RPP kWh",VLOOKUP(T$4,'4. Billing Determinants'!$B$19:$R$41,6,0)/'4. Billing Determinants'!$G$41*$D43,IF($E43="Distribution Rev.",VLOOKUP(T$4,'4. Billing Determinants'!$B$19:$R$41,8,0)/'4. Billing Determinants'!$I$41*$D43, VLOOKUP(T$4,'4. Billing Determinants'!$B$19:$R$41,3,0)/'4. Billing Determinants'!$D$41*$D43))))),0)</f>
        <v>0</v>
      </c>
      <c r="U43" s="42">
        <f>IFERROR(IF(U$4="",0,IF($E43="kWh",VLOOKUP(U$4,'4. Billing Determinants'!$B$19:$R$41,4,0)/'4. Billing Determinants'!$E$41*$D43,IF($E43="kW",VLOOKUP(U$4,'4. Billing Determinants'!$B$19:$R$41,5,0)/'4. Billing Determinants'!$F$41*$D43,IF($E43="Non-RPP kWh",VLOOKUP(U$4,'4. Billing Determinants'!$B$19:$R$41,6,0)/'4. Billing Determinants'!$G$41*$D43,IF($E43="Distribution Rev.",VLOOKUP(U$4,'4. Billing Determinants'!$B$19:$R$41,8,0)/'4. Billing Determinants'!$I$41*$D43, VLOOKUP(U$4,'4. Billing Determinants'!$B$19:$R$41,3,0)/'4. Billing Determinants'!$D$41*$D43))))),0)</f>
        <v>0</v>
      </c>
      <c r="V43" s="42">
        <f>IFERROR(IF(V$4="",0,IF($E43="kWh",VLOOKUP(V$4,'4. Billing Determinants'!$B$19:$R$41,4,0)/'4. Billing Determinants'!$E$41*$D43,IF($E43="kW",VLOOKUP(V$4,'4. Billing Determinants'!$B$19:$R$41,5,0)/'4. Billing Determinants'!$F$41*$D43,IF($E43="Non-RPP kWh",VLOOKUP(V$4,'4. Billing Determinants'!$B$19:$R$41,6,0)/'4. Billing Determinants'!$G$41*$D43,IF($E43="Distribution Rev.",VLOOKUP(V$4,'4. Billing Determinants'!$B$19:$R$41,8,0)/'4. Billing Determinants'!$I$41*$D43, VLOOKUP(V$4,'4. Billing Determinants'!$B$19:$R$41,3,0)/'4. Billing Determinants'!$D$41*$D43))))),0)</f>
        <v>0</v>
      </c>
      <c r="W43" s="42">
        <f>IFERROR(IF(W$4="",0,IF($E43="kWh",VLOOKUP(W$4,'4. Billing Determinants'!$B$19:$R$41,4,0)/'4. Billing Determinants'!$E$41*$D43,IF($E43="kW",VLOOKUP(W$4,'4. Billing Determinants'!$B$19:$R$41,5,0)/'4. Billing Determinants'!$F$41*$D43,IF($E43="Non-RPP kWh",VLOOKUP(W$4,'4. Billing Determinants'!$B$19:$R$41,6,0)/'4. Billing Determinants'!$G$41*$D43,IF($E43="Distribution Rev.",VLOOKUP(W$4,'4. Billing Determinants'!$B$19:$R$41,8,0)/'4. Billing Determinants'!$I$41*$D43, VLOOKUP(W$4,'4. Billing Determinants'!$B$19:$R$41,3,0)/'4. Billing Determinants'!$D$41*$D43))))),0)</f>
        <v>0</v>
      </c>
      <c r="X43" s="42">
        <f>IFERROR(IF(X$4="",0,IF($E43="kWh",VLOOKUP(X$4,'4. Billing Determinants'!$B$19:$R$41,4,0)/'4. Billing Determinants'!$E$41*$D43,IF($E43="kW",VLOOKUP(X$4,'4. Billing Determinants'!$B$19:$R$41,5,0)/'4. Billing Determinants'!$F$41*$D43,IF($E43="Non-RPP kWh",VLOOKUP(X$4,'4. Billing Determinants'!$B$19:$R$41,6,0)/'4. Billing Determinants'!$G$41*$D43,IF($E43="Distribution Rev.",VLOOKUP(X$4,'4. Billing Determinants'!$B$19:$R$41,8,0)/'4. Billing Determinants'!$I$41*$D43, VLOOKUP(X$4,'4. Billing Determinants'!$B$19:$R$41,3,0)/'4. Billing Determinants'!$D$41*$D43))))),0)</f>
        <v>0</v>
      </c>
      <c r="Y43" s="42">
        <f>IFERROR(IF(Y$4="",0,IF($E43="kWh",VLOOKUP(Y$4,'4. Billing Determinants'!$B$19:$R$41,4,0)/'4. Billing Determinants'!$E$41*$D43,IF($E43="kW",VLOOKUP(Y$4,'4. Billing Determinants'!$B$19:$R$41,5,0)/'4. Billing Determinants'!$F$41*$D43,IF($E43="Non-RPP kWh",VLOOKUP(Y$4,'4. Billing Determinants'!$B$19:$R$41,6,0)/'4. Billing Determinants'!$G$41*$D43,IF($E43="Distribution Rev.",VLOOKUP(Y$4,'4. Billing Determinants'!$B$19:$R$41,8,0)/'4. Billing Determinants'!$I$41*$D43, VLOOKUP(Y$4,'4. Billing Determinants'!$B$19:$R$41,3,0)/'4. Billing Determinants'!$D$41*$D43))))),0)</f>
        <v>0</v>
      </c>
    </row>
    <row r="44" spans="1:25" s="51" customFormat="1" x14ac:dyDescent="0.25">
      <c r="A44" s="146">
        <v>41</v>
      </c>
      <c r="B44" s="349"/>
      <c r="C44" s="350"/>
      <c r="D44" s="325"/>
      <c r="E44" s="352"/>
      <c r="F44" s="50"/>
      <c r="G44" s="50"/>
      <c r="H44" s="50"/>
      <c r="I44" s="50"/>
      <c r="J44" s="50"/>
      <c r="K44" s="50"/>
      <c r="L44" s="50"/>
      <c r="M44" s="50"/>
      <c r="N44" s="50"/>
      <c r="O44" s="50"/>
      <c r="P44" s="50"/>
      <c r="Q44" s="50"/>
      <c r="R44" s="50"/>
      <c r="S44" s="50"/>
      <c r="T44" s="50"/>
      <c r="U44" s="50"/>
      <c r="V44" s="50"/>
      <c r="W44" s="50"/>
      <c r="X44" s="50"/>
      <c r="Y44" s="50"/>
    </row>
    <row r="45" spans="1:25" s="51" customFormat="1" x14ac:dyDescent="0.25">
      <c r="A45" s="146">
        <v>42</v>
      </c>
    </row>
    <row r="46" spans="1:25" s="169" customFormat="1" x14ac:dyDescent="0.25">
      <c r="A46" s="146">
        <v>43</v>
      </c>
      <c r="B46" s="479" t="s">
        <v>213</v>
      </c>
      <c r="C46" s="479"/>
      <c r="D46" s="61">
        <f>SUM(F46:Y46)</f>
        <v>786244.8184608001</v>
      </c>
      <c r="E46" s="62"/>
      <c r="F46" s="61">
        <f t="shared" ref="F46:Y46" si="3">SUM(F5,F6,F8,F9,F12:F18)</f>
        <v>477829.98617664154</v>
      </c>
      <c r="G46" s="61">
        <f t="shared" si="3"/>
        <v>103922.20713672094</v>
      </c>
      <c r="H46" s="61">
        <f t="shared" si="3"/>
        <v>201086.13848519739</v>
      </c>
      <c r="I46" s="61">
        <f t="shared" si="3"/>
        <v>269.13027513893377</v>
      </c>
      <c r="J46" s="61">
        <f t="shared" si="3"/>
        <v>1955.8559603326428</v>
      </c>
      <c r="K46" s="61">
        <f t="shared" si="3"/>
        <v>1181.5004267685947</v>
      </c>
      <c r="L46" s="61">
        <f t="shared" si="3"/>
        <v>0</v>
      </c>
      <c r="M46" s="61">
        <f t="shared" si="3"/>
        <v>0</v>
      </c>
      <c r="N46" s="61">
        <f t="shared" si="3"/>
        <v>0</v>
      </c>
      <c r="O46" s="61">
        <f t="shared" si="3"/>
        <v>0</v>
      </c>
      <c r="P46" s="61">
        <f t="shared" si="3"/>
        <v>0</v>
      </c>
      <c r="Q46" s="61">
        <f t="shared" si="3"/>
        <v>0</v>
      </c>
      <c r="R46" s="61">
        <f t="shared" si="3"/>
        <v>0</v>
      </c>
      <c r="S46" s="61">
        <f t="shared" si="3"/>
        <v>0</v>
      </c>
      <c r="T46" s="61">
        <f t="shared" si="3"/>
        <v>0</v>
      </c>
      <c r="U46" s="61">
        <f t="shared" si="3"/>
        <v>0</v>
      </c>
      <c r="V46" s="61">
        <f t="shared" si="3"/>
        <v>0</v>
      </c>
      <c r="W46" s="61">
        <f t="shared" si="3"/>
        <v>0</v>
      </c>
      <c r="X46" s="61">
        <f t="shared" si="3"/>
        <v>0</v>
      </c>
      <c r="Y46" s="61">
        <f t="shared" si="3"/>
        <v>0</v>
      </c>
    </row>
    <row r="47" spans="1:25" s="51" customFormat="1" x14ac:dyDescent="0.25">
      <c r="A47" s="327">
        <v>44</v>
      </c>
      <c r="B47" s="479" t="s">
        <v>215</v>
      </c>
      <c r="C47" s="479"/>
      <c r="D47" s="61">
        <f>SUM(F47:Y47)</f>
        <v>-535257.35</v>
      </c>
      <c r="E47" s="61"/>
      <c r="F47" s="61">
        <f t="shared" ref="F47:Y47" si="4">SUM(F7,F10)</f>
        <v>-321603.88849709905</v>
      </c>
      <c r="G47" s="61">
        <f t="shared" si="4"/>
        <v>-70166.761403893484</v>
      </c>
      <c r="H47" s="61">
        <f t="shared" si="4"/>
        <v>-140973.55641875332</v>
      </c>
      <c r="I47" s="61">
        <f t="shared" si="4"/>
        <v>-230.14830628198072</v>
      </c>
      <c r="J47" s="61">
        <f t="shared" si="4"/>
        <v>-1253.3969597008129</v>
      </c>
      <c r="K47" s="61">
        <f t="shared" si="4"/>
        <v>-1029.5984142712537</v>
      </c>
      <c r="L47" s="61">
        <f t="shared" si="4"/>
        <v>0</v>
      </c>
      <c r="M47" s="61">
        <f t="shared" si="4"/>
        <v>0</v>
      </c>
      <c r="N47" s="61">
        <f t="shared" si="4"/>
        <v>0</v>
      </c>
      <c r="O47" s="61">
        <f t="shared" si="4"/>
        <v>0</v>
      </c>
      <c r="P47" s="61">
        <f t="shared" si="4"/>
        <v>0</v>
      </c>
      <c r="Q47" s="61">
        <f t="shared" si="4"/>
        <v>0</v>
      </c>
      <c r="R47" s="61">
        <f t="shared" si="4"/>
        <v>0</v>
      </c>
      <c r="S47" s="61">
        <f t="shared" si="4"/>
        <v>0</v>
      </c>
      <c r="T47" s="61">
        <f t="shared" si="4"/>
        <v>0</v>
      </c>
      <c r="U47" s="61">
        <f t="shared" si="4"/>
        <v>0</v>
      </c>
      <c r="V47" s="61">
        <f t="shared" si="4"/>
        <v>0</v>
      </c>
      <c r="W47" s="61">
        <f t="shared" si="4"/>
        <v>0</v>
      </c>
      <c r="X47" s="61">
        <f t="shared" si="4"/>
        <v>0</v>
      </c>
      <c r="Y47" s="61">
        <f t="shared" si="4"/>
        <v>0</v>
      </c>
    </row>
    <row r="48" spans="1:25" s="170" customFormat="1" x14ac:dyDescent="0.25">
      <c r="A48" s="146">
        <v>45</v>
      </c>
      <c r="B48" s="479" t="s">
        <v>220</v>
      </c>
      <c r="C48" s="479"/>
      <c r="D48" s="61">
        <f>SUM(F48:Y48)</f>
        <v>0</v>
      </c>
      <c r="E48" s="61"/>
      <c r="F48" s="61">
        <f t="shared" ref="F48:Y48" si="5">F11</f>
        <v>0</v>
      </c>
      <c r="G48" s="61">
        <f t="shared" si="5"/>
        <v>0</v>
      </c>
      <c r="H48" s="61">
        <f t="shared" si="5"/>
        <v>0</v>
      </c>
      <c r="I48" s="61">
        <f t="shared" si="5"/>
        <v>0</v>
      </c>
      <c r="J48" s="61">
        <f t="shared" si="5"/>
        <v>0</v>
      </c>
      <c r="K48" s="61">
        <f t="shared" si="5"/>
        <v>0</v>
      </c>
      <c r="L48" s="61">
        <f t="shared" si="5"/>
        <v>0</v>
      </c>
      <c r="M48" s="61">
        <f t="shared" si="5"/>
        <v>0</v>
      </c>
      <c r="N48" s="61">
        <f t="shared" si="5"/>
        <v>0</v>
      </c>
      <c r="O48" s="61">
        <f t="shared" si="5"/>
        <v>0</v>
      </c>
      <c r="P48" s="61">
        <f t="shared" si="5"/>
        <v>0</v>
      </c>
      <c r="Q48" s="61">
        <f t="shared" si="5"/>
        <v>0</v>
      </c>
      <c r="R48" s="61">
        <f t="shared" si="5"/>
        <v>0</v>
      </c>
      <c r="S48" s="61">
        <f t="shared" si="5"/>
        <v>0</v>
      </c>
      <c r="T48" s="61">
        <f t="shared" si="5"/>
        <v>0</v>
      </c>
      <c r="U48" s="61">
        <f t="shared" si="5"/>
        <v>0</v>
      </c>
      <c r="V48" s="61">
        <f t="shared" si="5"/>
        <v>0</v>
      </c>
      <c r="W48" s="61">
        <f t="shared" si="5"/>
        <v>0</v>
      </c>
      <c r="X48" s="61">
        <f t="shared" si="5"/>
        <v>0</v>
      </c>
      <c r="Y48" s="61">
        <f t="shared" si="5"/>
        <v>0</v>
      </c>
    </row>
    <row r="49" spans="1:25" s="51" customFormat="1" x14ac:dyDescent="0.25">
      <c r="A49" s="146">
        <v>46</v>
      </c>
    </row>
    <row r="50" spans="1:25" s="319" customFormat="1" hidden="1" x14ac:dyDescent="0.25">
      <c r="A50" s="146">
        <v>47</v>
      </c>
      <c r="B50" s="480" t="s">
        <v>218</v>
      </c>
      <c r="C50" s="480"/>
      <c r="D50" s="320">
        <f>SUM(F50:Y50)</f>
        <v>0</v>
      </c>
      <c r="E50" s="320"/>
      <c r="F50" s="320">
        <f>'4. Billing Determinants'!$N21*'2. 2016 Continuity Schedule'!$BT$44</f>
        <v>0</v>
      </c>
      <c r="G50" s="320">
        <f>'4. Billing Determinants'!$N22*'2. 2016 Continuity Schedule'!$BT$44</f>
        <v>0</v>
      </c>
      <c r="H50" s="320">
        <f>'4. Billing Determinants'!$N23*'2. 2016 Continuity Schedule'!$BT$44</f>
        <v>0</v>
      </c>
      <c r="I50" s="320">
        <f>'4. Billing Determinants'!$N24*'2. 2016 Continuity Schedule'!$BT$44</f>
        <v>0</v>
      </c>
      <c r="J50" s="320">
        <f>'4. Billing Determinants'!$N25*'2. 2016 Continuity Schedule'!$BT$44</f>
        <v>0</v>
      </c>
      <c r="K50" s="320">
        <f>'4. Billing Determinants'!$N26*'2. 2016 Continuity Schedule'!$BT$44</f>
        <v>0</v>
      </c>
      <c r="L50" s="320">
        <f>'4. Billing Determinants'!$N27*'2. 2016 Continuity Schedule'!$BT$44</f>
        <v>0</v>
      </c>
      <c r="M50" s="320">
        <f>'4. Billing Determinants'!$N28*'2. 2016 Continuity Schedule'!$BT$44</f>
        <v>0</v>
      </c>
      <c r="N50" s="320">
        <f>'4. Billing Determinants'!$N29*'2. 2016 Continuity Schedule'!$BT$44</f>
        <v>0</v>
      </c>
      <c r="O50" s="320">
        <f>'4. Billing Determinants'!$N30*'2. 2016 Continuity Schedule'!$BT$44</f>
        <v>0</v>
      </c>
      <c r="P50" s="320">
        <f>'4. Billing Determinants'!$N31*'2. 2016 Continuity Schedule'!$BT$44</f>
        <v>0</v>
      </c>
      <c r="Q50" s="320">
        <f>'4. Billing Determinants'!$N32*'2. 2016 Continuity Schedule'!$BT$44</f>
        <v>0</v>
      </c>
      <c r="R50" s="320">
        <f>'4. Billing Determinants'!$N33*'2. 2016 Continuity Schedule'!$BT$44</f>
        <v>0</v>
      </c>
      <c r="S50" s="320">
        <f>'4. Billing Determinants'!$N34*'2. 2016 Continuity Schedule'!$BT$44</f>
        <v>0</v>
      </c>
      <c r="T50" s="320">
        <f>'4. Billing Determinants'!$N35*'2. 2016 Continuity Schedule'!$BT$44</f>
        <v>0</v>
      </c>
      <c r="U50" s="320">
        <f>'4. Billing Determinants'!$N36*'2. 2016 Continuity Schedule'!$BT$44</f>
        <v>0</v>
      </c>
      <c r="V50" s="320">
        <f>'4. Billing Determinants'!$N37*'2. 2016 Continuity Schedule'!$BT$44</f>
        <v>0</v>
      </c>
      <c r="W50" s="320">
        <f>'4. Billing Determinants'!$N38*'2. 2016 Continuity Schedule'!$BT$44</f>
        <v>0</v>
      </c>
      <c r="X50" s="320">
        <f>'4. Billing Determinants'!$N39*'2. 2016 Continuity Schedule'!$BT$44</f>
        <v>0</v>
      </c>
      <c r="Y50" s="320">
        <f>'4. Billing Determinants'!$N40*'2. 2016 Continuity Schedule'!$BT$44</f>
        <v>0</v>
      </c>
    </row>
    <row r="51" spans="1:25" s="51" customFormat="1" hidden="1" x14ac:dyDescent="0.25">
      <c r="A51" s="327">
        <v>48</v>
      </c>
    </row>
    <row r="52" spans="1:25" s="169" customFormat="1" x14ac:dyDescent="0.25">
      <c r="A52" s="146">
        <v>49</v>
      </c>
      <c r="B52" s="479" t="s">
        <v>333</v>
      </c>
      <c r="C52" s="479"/>
      <c r="D52" s="61">
        <f>SUM(F52:Y52)</f>
        <v>101911.62999999998</v>
      </c>
      <c r="E52" s="62"/>
      <c r="F52" s="61">
        <f t="shared" ref="F52:Y52" si="6">SUM(F21:F32)+F37+F43</f>
        <v>61232.557555870299</v>
      </c>
      <c r="G52" s="61">
        <f t="shared" si="6"/>
        <v>13359.571851730523</v>
      </c>
      <c r="H52" s="61">
        <f t="shared" si="6"/>
        <v>26841.004465482096</v>
      </c>
      <c r="I52" s="61">
        <f t="shared" si="6"/>
        <v>43.819648688497018</v>
      </c>
      <c r="J52" s="61">
        <f t="shared" si="6"/>
        <v>238.64357434821616</v>
      </c>
      <c r="K52" s="61">
        <f t="shared" si="6"/>
        <v>196.03290388034603</v>
      </c>
      <c r="L52" s="61">
        <f t="shared" si="6"/>
        <v>0</v>
      </c>
      <c r="M52" s="61">
        <f t="shared" si="6"/>
        <v>0</v>
      </c>
      <c r="N52" s="61">
        <f t="shared" si="6"/>
        <v>0</v>
      </c>
      <c r="O52" s="61">
        <f t="shared" si="6"/>
        <v>0</v>
      </c>
      <c r="P52" s="61">
        <f t="shared" si="6"/>
        <v>0</v>
      </c>
      <c r="Q52" s="61">
        <f t="shared" si="6"/>
        <v>0</v>
      </c>
      <c r="R52" s="61">
        <f t="shared" si="6"/>
        <v>0</v>
      </c>
      <c r="S52" s="61">
        <f t="shared" si="6"/>
        <v>0</v>
      </c>
      <c r="T52" s="61">
        <f t="shared" si="6"/>
        <v>0</v>
      </c>
      <c r="U52" s="61">
        <f t="shared" si="6"/>
        <v>0</v>
      </c>
      <c r="V52" s="61">
        <f t="shared" si="6"/>
        <v>0</v>
      </c>
      <c r="W52" s="61">
        <f t="shared" si="6"/>
        <v>0</v>
      </c>
      <c r="X52" s="61">
        <f t="shared" si="6"/>
        <v>0</v>
      </c>
      <c r="Y52" s="61">
        <f t="shared" si="6"/>
        <v>0</v>
      </c>
    </row>
    <row r="53" spans="1:25" s="51" customFormat="1" x14ac:dyDescent="0.25">
      <c r="A53" s="146">
        <v>50</v>
      </c>
    </row>
    <row r="54" spans="1:25" x14ac:dyDescent="0.25">
      <c r="A54" s="146">
        <v>51</v>
      </c>
      <c r="B54" s="43" t="s">
        <v>167</v>
      </c>
      <c r="C54" s="43">
        <v>1575</v>
      </c>
      <c r="D54" s="42">
        <f>'2. 2016 Continuity Schedule'!BT85</f>
        <v>0</v>
      </c>
      <c r="E54" s="74" t="s">
        <v>189</v>
      </c>
      <c r="F54" s="42">
        <f>IFERROR(IF(F$4="",0,IF($E54="kWh",VLOOKUP(F$4,'4. Billing Determinants'!$B$19:$R$41,4,0)/'4. Billing Determinants'!$E$41*$D54,IF($E54="kW",VLOOKUP(F$4,'4. Billing Determinants'!$B$19:$R$41,5,0)/'4. Billing Determinants'!$F$41*$D54,IF($E54="Non-RPP kWh",VLOOKUP(F$4,'4. Billing Determinants'!$B$19:$R$41,6,0)/'4. Billing Determinants'!$G$41*$D54,IF($E54="Distribution Rev.",VLOOKUP(F$4,'4. Billing Determinants'!$B$19:$R$41,8,0)/'4. Billing Determinants'!$I$41*$D54, VLOOKUP(F$4,'4. Billing Determinants'!$B$19:$R$41,3,0)/'4. Billing Determinants'!$D$41*$D54))))),0)</f>
        <v>0</v>
      </c>
      <c r="G54" s="42">
        <f>IFERROR(IF(G$4="",0,IF($E54="kWh",VLOOKUP(G$4,'4. Billing Determinants'!$B$19:$R$41,4,0)/'4. Billing Determinants'!$E$41*$D54,IF($E54="kW",VLOOKUP(G$4,'4. Billing Determinants'!$B$19:$R$41,5,0)/'4. Billing Determinants'!$F$41*$D54,IF($E54="Non-RPP kWh",VLOOKUP(G$4,'4. Billing Determinants'!$B$19:$R$41,6,0)/'4. Billing Determinants'!$G$41*$D54,IF($E54="Distribution Rev.",VLOOKUP(G$4,'4. Billing Determinants'!$B$19:$R$41,8,0)/'4. Billing Determinants'!$I$41*$D54, VLOOKUP(G$4,'4. Billing Determinants'!$B$19:$R$41,3,0)/'4. Billing Determinants'!$D$41*$D54))))),0)</f>
        <v>0</v>
      </c>
      <c r="H54" s="42">
        <f>IFERROR(IF(H$4="",0,IF($E54="kWh",VLOOKUP(H$4,'4. Billing Determinants'!$B$19:$R$41,4,0)/'4. Billing Determinants'!$E$41*$D54,IF($E54="kW",VLOOKUP(H$4,'4. Billing Determinants'!$B$19:$R$41,5,0)/'4. Billing Determinants'!$F$41*$D54,IF($E54="Non-RPP kWh",VLOOKUP(H$4,'4. Billing Determinants'!$B$19:$R$41,6,0)/'4. Billing Determinants'!$G$41*$D54,IF($E54="Distribution Rev.",VLOOKUP(H$4,'4. Billing Determinants'!$B$19:$R$41,8,0)/'4. Billing Determinants'!$I$41*$D54, VLOOKUP(H$4,'4. Billing Determinants'!$B$19:$R$41,3,0)/'4. Billing Determinants'!$D$41*$D54))))),0)</f>
        <v>0</v>
      </c>
      <c r="I54" s="42">
        <f>IFERROR(IF(I$4="",0,IF($E54="kWh",VLOOKUP(I$4,'4. Billing Determinants'!$B$19:$R$41,4,0)/'4. Billing Determinants'!$E$41*$D54,IF($E54="kW",VLOOKUP(I$4,'4. Billing Determinants'!$B$19:$R$41,5,0)/'4. Billing Determinants'!$F$41*$D54,IF($E54="Non-RPP kWh",VLOOKUP(I$4,'4. Billing Determinants'!$B$19:$R$41,6,0)/'4. Billing Determinants'!$G$41*$D54,IF($E54="Distribution Rev.",VLOOKUP(I$4,'4. Billing Determinants'!$B$19:$R$41,8,0)/'4. Billing Determinants'!$I$41*$D54, VLOOKUP(I$4,'4. Billing Determinants'!$B$19:$R$41,3,0)/'4. Billing Determinants'!$D$41*$D54))))),0)</f>
        <v>0</v>
      </c>
      <c r="J54" s="42">
        <f>IFERROR(IF(J$4="",0,IF($E54="kWh",VLOOKUP(J$4,'4. Billing Determinants'!$B$19:$R$41,4,0)/'4. Billing Determinants'!$E$41*$D54,IF($E54="kW",VLOOKUP(J$4,'4. Billing Determinants'!$B$19:$R$41,5,0)/'4. Billing Determinants'!$F$41*$D54,IF($E54="Non-RPP kWh",VLOOKUP(J$4,'4. Billing Determinants'!$B$19:$R$41,6,0)/'4. Billing Determinants'!$G$41*$D54,IF($E54="Distribution Rev.",VLOOKUP(J$4,'4. Billing Determinants'!$B$19:$R$41,8,0)/'4. Billing Determinants'!$I$41*$D54, VLOOKUP(J$4,'4. Billing Determinants'!$B$19:$R$41,3,0)/'4. Billing Determinants'!$D$41*$D54))))),0)</f>
        <v>0</v>
      </c>
      <c r="K54" s="42">
        <f>IFERROR(IF(K$4="",0,IF($E54="kWh",VLOOKUP(K$4,'4. Billing Determinants'!$B$19:$R$41,4,0)/'4. Billing Determinants'!$E$41*$D54,IF($E54="kW",VLOOKUP(K$4,'4. Billing Determinants'!$B$19:$R$41,5,0)/'4. Billing Determinants'!$F$41*$D54,IF($E54="Non-RPP kWh",VLOOKUP(K$4,'4. Billing Determinants'!$B$19:$R$41,6,0)/'4. Billing Determinants'!$G$41*$D54,IF($E54="Distribution Rev.",VLOOKUP(K$4,'4. Billing Determinants'!$B$19:$R$41,8,0)/'4. Billing Determinants'!$I$41*$D54, VLOOKUP(K$4,'4. Billing Determinants'!$B$19:$R$41,3,0)/'4. Billing Determinants'!$D$41*$D54))))),0)</f>
        <v>0</v>
      </c>
      <c r="L54" s="42">
        <f>IFERROR(IF(L$4="",0,IF($E54="kWh",VLOOKUP(L$4,'4. Billing Determinants'!$B$19:$R$41,4,0)/'4. Billing Determinants'!$E$41*$D54,IF($E54="kW",VLOOKUP(L$4,'4. Billing Determinants'!$B$19:$R$41,5,0)/'4. Billing Determinants'!$F$41*$D54,IF($E54="Non-RPP kWh",VLOOKUP(L$4,'4. Billing Determinants'!$B$19:$R$41,6,0)/'4. Billing Determinants'!$G$41*$D54,IF($E54="Distribution Rev.",VLOOKUP(L$4,'4. Billing Determinants'!$B$19:$R$41,8,0)/'4. Billing Determinants'!$I$41*$D54, VLOOKUP(L$4,'4. Billing Determinants'!$B$19:$R$41,3,0)/'4. Billing Determinants'!$D$41*$D54))))),0)</f>
        <v>0</v>
      </c>
      <c r="M54" s="42">
        <f>IFERROR(IF(M$4="",0,IF($E54="kWh",VLOOKUP(M$4,'4. Billing Determinants'!$B$19:$R$41,4,0)/'4. Billing Determinants'!$E$41*$D54,IF($E54="kW",VLOOKUP(M$4,'4. Billing Determinants'!$B$19:$R$41,5,0)/'4. Billing Determinants'!$F$41*$D54,IF($E54="Non-RPP kWh",VLOOKUP(M$4,'4. Billing Determinants'!$B$19:$R$41,6,0)/'4. Billing Determinants'!$G$41*$D54,IF($E54="Distribution Rev.",VLOOKUP(M$4,'4. Billing Determinants'!$B$19:$R$41,8,0)/'4. Billing Determinants'!$I$41*$D54, VLOOKUP(M$4,'4. Billing Determinants'!$B$19:$R$41,3,0)/'4. Billing Determinants'!$D$41*$D54))))),0)</f>
        <v>0</v>
      </c>
      <c r="N54" s="42">
        <f>IFERROR(IF(N$4="",0,IF($E54="kWh",VLOOKUP(N$4,'4. Billing Determinants'!$B$19:$R$41,4,0)/'4. Billing Determinants'!$E$41*$D54,IF($E54="kW",VLOOKUP(N$4,'4. Billing Determinants'!$B$19:$R$41,5,0)/'4. Billing Determinants'!$F$41*$D54,IF($E54="Non-RPP kWh",VLOOKUP(N$4,'4. Billing Determinants'!$B$19:$R$41,6,0)/'4. Billing Determinants'!$G$41*$D54,IF($E54="Distribution Rev.",VLOOKUP(N$4,'4. Billing Determinants'!$B$19:$R$41,8,0)/'4. Billing Determinants'!$I$41*$D54, VLOOKUP(N$4,'4. Billing Determinants'!$B$19:$R$41,3,0)/'4. Billing Determinants'!$D$41*$D54))))),0)</f>
        <v>0</v>
      </c>
      <c r="O54" s="42">
        <f>IFERROR(IF(O$4="",0,IF($E54="kWh",VLOOKUP(O$4,'4. Billing Determinants'!$B$19:$R$41,4,0)/'4. Billing Determinants'!$E$41*$D54,IF($E54="kW",VLOOKUP(O$4,'4. Billing Determinants'!$B$19:$R$41,5,0)/'4. Billing Determinants'!$F$41*$D54,IF($E54="Non-RPP kWh",VLOOKUP(O$4,'4. Billing Determinants'!$B$19:$R$41,6,0)/'4. Billing Determinants'!$G$41*$D54,IF($E54="Distribution Rev.",VLOOKUP(O$4,'4. Billing Determinants'!$B$19:$R$41,8,0)/'4. Billing Determinants'!$I$41*$D54, VLOOKUP(O$4,'4. Billing Determinants'!$B$19:$R$41,3,0)/'4. Billing Determinants'!$D$41*$D54))))),0)</f>
        <v>0</v>
      </c>
      <c r="P54" s="42">
        <f>IFERROR(IF(P$4="",0,IF($E54="kWh",VLOOKUP(P$4,'4. Billing Determinants'!$B$19:$R$41,4,0)/'4. Billing Determinants'!$E$41*$D54,IF($E54="kW",VLOOKUP(P$4,'4. Billing Determinants'!$B$19:$R$41,5,0)/'4. Billing Determinants'!$F$41*$D54,IF($E54="Non-RPP kWh",VLOOKUP(P$4,'4. Billing Determinants'!$B$19:$R$41,6,0)/'4. Billing Determinants'!$G$41*$D54,IF($E54="Distribution Rev.",VLOOKUP(P$4,'4. Billing Determinants'!$B$19:$R$41,8,0)/'4. Billing Determinants'!$I$41*$D54, VLOOKUP(P$4,'4. Billing Determinants'!$B$19:$R$41,3,0)/'4. Billing Determinants'!$D$41*$D54))))),0)</f>
        <v>0</v>
      </c>
      <c r="Q54" s="42">
        <f>IFERROR(IF(Q$4="",0,IF($E54="kWh",VLOOKUP(Q$4,'4. Billing Determinants'!$B$19:$R$41,4,0)/'4. Billing Determinants'!$E$41*$D54,IF($E54="kW",VLOOKUP(Q$4,'4. Billing Determinants'!$B$19:$R$41,5,0)/'4. Billing Determinants'!$F$41*$D54,IF($E54="Non-RPP kWh",VLOOKUP(Q$4,'4. Billing Determinants'!$B$19:$R$41,6,0)/'4. Billing Determinants'!$G$41*$D54,IF($E54="Distribution Rev.",VLOOKUP(Q$4,'4. Billing Determinants'!$B$19:$R$41,8,0)/'4. Billing Determinants'!$I$41*$D54, VLOOKUP(Q$4,'4. Billing Determinants'!$B$19:$R$41,3,0)/'4. Billing Determinants'!$D$41*$D54))))),0)</f>
        <v>0</v>
      </c>
      <c r="R54" s="42">
        <f>IFERROR(IF(R$4="",0,IF($E54="kWh",VLOOKUP(R$4,'4. Billing Determinants'!$B$19:$R$41,4,0)/'4. Billing Determinants'!$E$41*$D54,IF($E54="kW",VLOOKUP(R$4,'4. Billing Determinants'!$B$19:$R$41,5,0)/'4. Billing Determinants'!$F$41*$D54,IF($E54="Non-RPP kWh",VLOOKUP(R$4,'4. Billing Determinants'!$B$19:$R$41,6,0)/'4. Billing Determinants'!$G$41*$D54,IF($E54="Distribution Rev.",VLOOKUP(R$4,'4. Billing Determinants'!$B$19:$R$41,8,0)/'4. Billing Determinants'!$I$41*$D54, VLOOKUP(R$4,'4. Billing Determinants'!$B$19:$R$41,3,0)/'4. Billing Determinants'!$D$41*$D54))))),0)</f>
        <v>0</v>
      </c>
      <c r="S54" s="42">
        <f>IFERROR(IF(S$4="",0,IF($E54="kWh",VLOOKUP(S$4,'4. Billing Determinants'!$B$19:$R$41,4,0)/'4. Billing Determinants'!$E$41*$D54,IF($E54="kW",VLOOKUP(S$4,'4. Billing Determinants'!$B$19:$R$41,5,0)/'4. Billing Determinants'!$F$41*$D54,IF($E54="Non-RPP kWh",VLOOKUP(S$4,'4. Billing Determinants'!$B$19:$R$41,6,0)/'4. Billing Determinants'!$G$41*$D54,IF($E54="Distribution Rev.",VLOOKUP(S$4,'4. Billing Determinants'!$B$19:$R$41,8,0)/'4. Billing Determinants'!$I$41*$D54, VLOOKUP(S$4,'4. Billing Determinants'!$B$19:$R$41,3,0)/'4. Billing Determinants'!$D$41*$D54))))),0)</f>
        <v>0</v>
      </c>
      <c r="T54" s="42">
        <f>IFERROR(IF(T$4="",0,IF($E54="kWh",VLOOKUP(T$4,'4. Billing Determinants'!$B$19:$R$41,4,0)/'4. Billing Determinants'!$E$41*$D54,IF($E54="kW",VLOOKUP(T$4,'4. Billing Determinants'!$B$19:$R$41,5,0)/'4. Billing Determinants'!$F$41*$D54,IF($E54="Non-RPP kWh",VLOOKUP(T$4,'4. Billing Determinants'!$B$19:$R$41,6,0)/'4. Billing Determinants'!$G$41*$D54,IF($E54="Distribution Rev.",VLOOKUP(T$4,'4. Billing Determinants'!$B$19:$R$41,8,0)/'4. Billing Determinants'!$I$41*$D54, VLOOKUP(T$4,'4. Billing Determinants'!$B$19:$R$41,3,0)/'4. Billing Determinants'!$D$41*$D54))))),0)</f>
        <v>0</v>
      </c>
      <c r="U54" s="42">
        <f>IFERROR(IF(U$4="",0,IF($E54="kWh",VLOOKUP(U$4,'4. Billing Determinants'!$B$19:$R$41,4,0)/'4. Billing Determinants'!$E$41*$D54,IF($E54="kW",VLOOKUP(U$4,'4. Billing Determinants'!$B$19:$R$41,5,0)/'4. Billing Determinants'!$F$41*$D54,IF($E54="Non-RPP kWh",VLOOKUP(U$4,'4. Billing Determinants'!$B$19:$R$41,6,0)/'4. Billing Determinants'!$G$41*$D54,IF($E54="Distribution Rev.",VLOOKUP(U$4,'4. Billing Determinants'!$B$19:$R$41,8,0)/'4. Billing Determinants'!$I$41*$D54, VLOOKUP(U$4,'4. Billing Determinants'!$B$19:$R$41,3,0)/'4. Billing Determinants'!$D$41*$D54))))),0)</f>
        <v>0</v>
      </c>
      <c r="V54" s="42">
        <f>IFERROR(IF(V$4="",0,IF($E54="kWh",VLOOKUP(V$4,'4. Billing Determinants'!$B$19:$R$41,4,0)/'4. Billing Determinants'!$E$41*$D54,IF($E54="kW",VLOOKUP(V$4,'4. Billing Determinants'!$B$19:$R$41,5,0)/'4. Billing Determinants'!$F$41*$D54,IF($E54="Non-RPP kWh",VLOOKUP(V$4,'4. Billing Determinants'!$B$19:$R$41,6,0)/'4. Billing Determinants'!$G$41*$D54,IF($E54="Distribution Rev.",VLOOKUP(V$4,'4. Billing Determinants'!$B$19:$R$41,8,0)/'4. Billing Determinants'!$I$41*$D54, VLOOKUP(V$4,'4. Billing Determinants'!$B$19:$R$41,3,0)/'4. Billing Determinants'!$D$41*$D54))))),0)</f>
        <v>0</v>
      </c>
      <c r="W54" s="42">
        <f>IFERROR(IF(W$4="",0,IF($E54="kWh",VLOOKUP(W$4,'4. Billing Determinants'!$B$19:$R$41,4,0)/'4. Billing Determinants'!$E$41*$D54,IF($E54="kW",VLOOKUP(W$4,'4. Billing Determinants'!$B$19:$R$41,5,0)/'4. Billing Determinants'!$F$41*$D54,IF($E54="Non-RPP kWh",VLOOKUP(W$4,'4. Billing Determinants'!$B$19:$R$41,6,0)/'4. Billing Determinants'!$G$41*$D54,IF($E54="Distribution Rev.",VLOOKUP(W$4,'4. Billing Determinants'!$B$19:$R$41,8,0)/'4. Billing Determinants'!$I$41*$D54, VLOOKUP(W$4,'4. Billing Determinants'!$B$19:$R$41,3,0)/'4. Billing Determinants'!$D$41*$D54))))),0)</f>
        <v>0</v>
      </c>
      <c r="X54" s="42">
        <f>IFERROR(IF(X$4="",0,IF($E54="kWh",VLOOKUP(X$4,'4. Billing Determinants'!$B$19:$R$41,4,0)/'4. Billing Determinants'!$E$41*$D54,IF($E54="kW",VLOOKUP(X$4,'4. Billing Determinants'!$B$19:$R$41,5,0)/'4. Billing Determinants'!$F$41*$D54,IF($E54="Non-RPP kWh",VLOOKUP(X$4,'4. Billing Determinants'!$B$19:$R$41,6,0)/'4. Billing Determinants'!$G$41*$D54,IF($E54="Distribution Rev.",VLOOKUP(X$4,'4. Billing Determinants'!$B$19:$R$41,8,0)/'4. Billing Determinants'!$I$41*$D54, VLOOKUP(X$4,'4. Billing Determinants'!$B$19:$R$41,3,0)/'4. Billing Determinants'!$D$41*$D54))))),0)</f>
        <v>0</v>
      </c>
      <c r="Y54" s="42">
        <f>IFERROR(IF(Y$4="",0,IF($E54="kWh",VLOOKUP(Y$4,'4. Billing Determinants'!$B$19:$R$41,4,0)/'4. Billing Determinants'!$E$41*$D54,IF($E54="kW",VLOOKUP(Y$4,'4. Billing Determinants'!$B$19:$R$41,5,0)/'4. Billing Determinants'!$F$41*$D54,IF($E54="Non-RPP kWh",VLOOKUP(Y$4,'4. Billing Determinants'!$B$19:$R$41,6,0)/'4. Billing Determinants'!$G$41*$D54,IF($E54="Distribution Rev.",VLOOKUP(Y$4,'4. Billing Determinants'!$B$19:$R$41,8,0)/'4. Billing Determinants'!$I$41*$D54, VLOOKUP(Y$4,'4. Billing Determinants'!$B$19:$R$41,3,0)/'4. Billing Determinants'!$D$41*$D54))))),0)</f>
        <v>0</v>
      </c>
    </row>
    <row r="55" spans="1:25" x14ac:dyDescent="0.25">
      <c r="A55" s="327">
        <v>52</v>
      </c>
      <c r="B55" s="43" t="s">
        <v>168</v>
      </c>
      <c r="C55" s="43">
        <v>1576</v>
      </c>
      <c r="D55" s="42">
        <f>'2. 2016 Continuity Schedule'!BT86</f>
        <v>0</v>
      </c>
      <c r="E55" s="74" t="s">
        <v>189</v>
      </c>
      <c r="F55" s="42">
        <f>IFERROR(IF(F$4="",0,IF($E55="kWh",VLOOKUP(F$4,'4. Billing Determinants'!$B$19:$R$41,4,0)/'4. Billing Determinants'!$E$41*$D55,IF($E55="kW",VLOOKUP(F$4,'4. Billing Determinants'!$B$19:$R$41,5,0)/'4. Billing Determinants'!$F$41*$D55,IF($E55="Non-RPP kWh",VLOOKUP(F$4,'4. Billing Determinants'!$B$19:$R$41,6,0)/'4. Billing Determinants'!$G$41*$D55,IF($E55="Distribution Rev.",VLOOKUP(F$4,'4. Billing Determinants'!$B$19:$R$41,8,0)/'4. Billing Determinants'!$I$41*$D55, VLOOKUP(F$4,'4. Billing Determinants'!$B$19:$R$41,3,0)/'4. Billing Determinants'!$D$41*$D55))))),0)</f>
        <v>0</v>
      </c>
      <c r="G55" s="42">
        <f>IFERROR(IF(G$4="",0,IF($E55="kWh",VLOOKUP(G$4,'4. Billing Determinants'!$B$19:$R$41,4,0)/'4. Billing Determinants'!$E$41*$D55,IF($E55="kW",VLOOKUP(G$4,'4. Billing Determinants'!$B$19:$R$41,5,0)/'4. Billing Determinants'!$F$41*$D55,IF($E55="Non-RPP kWh",VLOOKUP(G$4,'4. Billing Determinants'!$B$19:$R$41,6,0)/'4. Billing Determinants'!$G$41*$D55,IF($E55="Distribution Rev.",VLOOKUP(G$4,'4. Billing Determinants'!$B$19:$R$41,8,0)/'4. Billing Determinants'!$I$41*$D55, VLOOKUP(G$4,'4. Billing Determinants'!$B$19:$R$41,3,0)/'4. Billing Determinants'!$D$41*$D55))))),0)</f>
        <v>0</v>
      </c>
      <c r="H55" s="42">
        <f>IFERROR(IF(H$4="",0,IF($E55="kWh",VLOOKUP(H$4,'4. Billing Determinants'!$B$19:$R$41,4,0)/'4. Billing Determinants'!$E$41*$D55,IF($E55="kW",VLOOKUP(H$4,'4. Billing Determinants'!$B$19:$R$41,5,0)/'4. Billing Determinants'!$F$41*$D55,IF($E55="Non-RPP kWh",VLOOKUP(H$4,'4. Billing Determinants'!$B$19:$R$41,6,0)/'4. Billing Determinants'!$G$41*$D55,IF($E55="Distribution Rev.",VLOOKUP(H$4,'4. Billing Determinants'!$B$19:$R$41,8,0)/'4. Billing Determinants'!$I$41*$D55, VLOOKUP(H$4,'4. Billing Determinants'!$B$19:$R$41,3,0)/'4. Billing Determinants'!$D$41*$D55))))),0)</f>
        <v>0</v>
      </c>
      <c r="I55" s="42">
        <f>IFERROR(IF(I$4="",0,IF($E55="kWh",VLOOKUP(I$4,'4. Billing Determinants'!$B$19:$R$41,4,0)/'4. Billing Determinants'!$E$41*$D55,IF($E55="kW",VLOOKUP(I$4,'4. Billing Determinants'!$B$19:$R$41,5,0)/'4. Billing Determinants'!$F$41*$D55,IF($E55="Non-RPP kWh",VLOOKUP(I$4,'4. Billing Determinants'!$B$19:$R$41,6,0)/'4. Billing Determinants'!$G$41*$D55,IF($E55="Distribution Rev.",VLOOKUP(I$4,'4. Billing Determinants'!$B$19:$R$41,8,0)/'4. Billing Determinants'!$I$41*$D55, VLOOKUP(I$4,'4. Billing Determinants'!$B$19:$R$41,3,0)/'4. Billing Determinants'!$D$41*$D55))))),0)</f>
        <v>0</v>
      </c>
      <c r="J55" s="42">
        <f>IFERROR(IF(J$4="",0,IF($E55="kWh",VLOOKUP(J$4,'4. Billing Determinants'!$B$19:$R$41,4,0)/'4. Billing Determinants'!$E$41*$D55,IF($E55="kW",VLOOKUP(J$4,'4. Billing Determinants'!$B$19:$R$41,5,0)/'4. Billing Determinants'!$F$41*$D55,IF($E55="Non-RPP kWh",VLOOKUP(J$4,'4. Billing Determinants'!$B$19:$R$41,6,0)/'4. Billing Determinants'!$G$41*$D55,IF($E55="Distribution Rev.",VLOOKUP(J$4,'4. Billing Determinants'!$B$19:$R$41,8,0)/'4. Billing Determinants'!$I$41*$D55, VLOOKUP(J$4,'4. Billing Determinants'!$B$19:$R$41,3,0)/'4. Billing Determinants'!$D$41*$D55))))),0)</f>
        <v>0</v>
      </c>
      <c r="K55" s="42">
        <f>IFERROR(IF(K$4="",0,IF($E55="kWh",VLOOKUP(K$4,'4. Billing Determinants'!$B$19:$R$41,4,0)/'4. Billing Determinants'!$E$41*$D55,IF($E55="kW",VLOOKUP(K$4,'4. Billing Determinants'!$B$19:$R$41,5,0)/'4. Billing Determinants'!$F$41*$D55,IF($E55="Non-RPP kWh",VLOOKUP(K$4,'4. Billing Determinants'!$B$19:$R$41,6,0)/'4. Billing Determinants'!$G$41*$D55,IF($E55="Distribution Rev.",VLOOKUP(K$4,'4. Billing Determinants'!$B$19:$R$41,8,0)/'4. Billing Determinants'!$I$41*$D55, VLOOKUP(K$4,'4. Billing Determinants'!$B$19:$R$41,3,0)/'4. Billing Determinants'!$D$41*$D55))))),0)</f>
        <v>0</v>
      </c>
      <c r="L55" s="42">
        <f>IFERROR(IF(L$4="",0,IF($E55="kWh",VLOOKUP(L$4,'4. Billing Determinants'!$B$19:$R$41,4,0)/'4. Billing Determinants'!$E$41*$D55,IF($E55="kW",VLOOKUP(L$4,'4. Billing Determinants'!$B$19:$R$41,5,0)/'4. Billing Determinants'!$F$41*$D55,IF($E55="Non-RPP kWh",VLOOKUP(L$4,'4. Billing Determinants'!$B$19:$R$41,6,0)/'4. Billing Determinants'!$G$41*$D55,IF($E55="Distribution Rev.",VLOOKUP(L$4,'4. Billing Determinants'!$B$19:$R$41,8,0)/'4. Billing Determinants'!$I$41*$D55, VLOOKUP(L$4,'4. Billing Determinants'!$B$19:$R$41,3,0)/'4. Billing Determinants'!$D$41*$D55))))),0)</f>
        <v>0</v>
      </c>
      <c r="M55" s="42">
        <f>IFERROR(IF(M$4="",0,IF($E55="kWh",VLOOKUP(M$4,'4. Billing Determinants'!$B$19:$R$41,4,0)/'4. Billing Determinants'!$E$41*$D55,IF($E55="kW",VLOOKUP(M$4,'4. Billing Determinants'!$B$19:$R$41,5,0)/'4. Billing Determinants'!$F$41*$D55,IF($E55="Non-RPP kWh",VLOOKUP(M$4,'4. Billing Determinants'!$B$19:$R$41,6,0)/'4. Billing Determinants'!$G$41*$D55,IF($E55="Distribution Rev.",VLOOKUP(M$4,'4. Billing Determinants'!$B$19:$R$41,8,0)/'4. Billing Determinants'!$I$41*$D55, VLOOKUP(M$4,'4. Billing Determinants'!$B$19:$R$41,3,0)/'4. Billing Determinants'!$D$41*$D55))))),0)</f>
        <v>0</v>
      </c>
      <c r="N55" s="42">
        <f>IFERROR(IF(N$4="",0,IF($E55="kWh",VLOOKUP(N$4,'4. Billing Determinants'!$B$19:$R$41,4,0)/'4. Billing Determinants'!$E$41*$D55,IF($E55="kW",VLOOKUP(N$4,'4. Billing Determinants'!$B$19:$R$41,5,0)/'4. Billing Determinants'!$F$41*$D55,IF($E55="Non-RPP kWh",VLOOKUP(N$4,'4. Billing Determinants'!$B$19:$R$41,6,0)/'4. Billing Determinants'!$G$41*$D55,IF($E55="Distribution Rev.",VLOOKUP(N$4,'4. Billing Determinants'!$B$19:$R$41,8,0)/'4. Billing Determinants'!$I$41*$D55, VLOOKUP(N$4,'4. Billing Determinants'!$B$19:$R$41,3,0)/'4. Billing Determinants'!$D$41*$D55))))),0)</f>
        <v>0</v>
      </c>
      <c r="O55" s="42">
        <f>IFERROR(IF(O$4="",0,IF($E55="kWh",VLOOKUP(O$4,'4. Billing Determinants'!$B$19:$R$41,4,0)/'4. Billing Determinants'!$E$41*$D55,IF($E55="kW",VLOOKUP(O$4,'4. Billing Determinants'!$B$19:$R$41,5,0)/'4. Billing Determinants'!$F$41*$D55,IF($E55="Non-RPP kWh",VLOOKUP(O$4,'4. Billing Determinants'!$B$19:$R$41,6,0)/'4. Billing Determinants'!$G$41*$D55,IF($E55="Distribution Rev.",VLOOKUP(O$4,'4. Billing Determinants'!$B$19:$R$41,8,0)/'4. Billing Determinants'!$I$41*$D55, VLOOKUP(O$4,'4. Billing Determinants'!$B$19:$R$41,3,0)/'4. Billing Determinants'!$D$41*$D55))))),0)</f>
        <v>0</v>
      </c>
      <c r="P55" s="42">
        <f>IFERROR(IF(P$4="",0,IF($E55="kWh",VLOOKUP(P$4,'4. Billing Determinants'!$B$19:$R$41,4,0)/'4. Billing Determinants'!$E$41*$D55,IF($E55="kW",VLOOKUP(P$4,'4. Billing Determinants'!$B$19:$R$41,5,0)/'4. Billing Determinants'!$F$41*$D55,IF($E55="Non-RPP kWh",VLOOKUP(P$4,'4. Billing Determinants'!$B$19:$R$41,6,0)/'4. Billing Determinants'!$G$41*$D55,IF($E55="Distribution Rev.",VLOOKUP(P$4,'4. Billing Determinants'!$B$19:$R$41,8,0)/'4. Billing Determinants'!$I$41*$D55, VLOOKUP(P$4,'4. Billing Determinants'!$B$19:$R$41,3,0)/'4. Billing Determinants'!$D$41*$D55))))),0)</f>
        <v>0</v>
      </c>
      <c r="Q55" s="42">
        <f>IFERROR(IF(Q$4="",0,IF($E55="kWh",VLOOKUP(Q$4,'4. Billing Determinants'!$B$19:$R$41,4,0)/'4. Billing Determinants'!$E$41*$D55,IF($E55="kW",VLOOKUP(Q$4,'4. Billing Determinants'!$B$19:$R$41,5,0)/'4. Billing Determinants'!$F$41*$D55,IF($E55="Non-RPP kWh",VLOOKUP(Q$4,'4. Billing Determinants'!$B$19:$R$41,6,0)/'4. Billing Determinants'!$G$41*$D55,IF($E55="Distribution Rev.",VLOOKUP(Q$4,'4. Billing Determinants'!$B$19:$R$41,8,0)/'4. Billing Determinants'!$I$41*$D55, VLOOKUP(Q$4,'4. Billing Determinants'!$B$19:$R$41,3,0)/'4. Billing Determinants'!$D$41*$D55))))),0)</f>
        <v>0</v>
      </c>
      <c r="R55" s="42">
        <f>IFERROR(IF(R$4="",0,IF($E55="kWh",VLOOKUP(R$4,'4. Billing Determinants'!$B$19:$R$41,4,0)/'4. Billing Determinants'!$E$41*$D55,IF($E55="kW",VLOOKUP(R$4,'4. Billing Determinants'!$B$19:$R$41,5,0)/'4. Billing Determinants'!$F$41*$D55,IF($E55="Non-RPP kWh",VLOOKUP(R$4,'4. Billing Determinants'!$B$19:$R$41,6,0)/'4. Billing Determinants'!$G$41*$D55,IF($E55="Distribution Rev.",VLOOKUP(R$4,'4. Billing Determinants'!$B$19:$R$41,8,0)/'4. Billing Determinants'!$I$41*$D55, VLOOKUP(R$4,'4. Billing Determinants'!$B$19:$R$41,3,0)/'4. Billing Determinants'!$D$41*$D55))))),0)</f>
        <v>0</v>
      </c>
      <c r="S55" s="42">
        <f>IFERROR(IF(S$4="",0,IF($E55="kWh",VLOOKUP(S$4,'4. Billing Determinants'!$B$19:$R$41,4,0)/'4. Billing Determinants'!$E$41*$D55,IF($E55="kW",VLOOKUP(S$4,'4. Billing Determinants'!$B$19:$R$41,5,0)/'4. Billing Determinants'!$F$41*$D55,IF($E55="Non-RPP kWh",VLOOKUP(S$4,'4. Billing Determinants'!$B$19:$R$41,6,0)/'4. Billing Determinants'!$G$41*$D55,IF($E55="Distribution Rev.",VLOOKUP(S$4,'4. Billing Determinants'!$B$19:$R$41,8,0)/'4. Billing Determinants'!$I$41*$D55, VLOOKUP(S$4,'4. Billing Determinants'!$B$19:$R$41,3,0)/'4. Billing Determinants'!$D$41*$D55))))),0)</f>
        <v>0</v>
      </c>
      <c r="T55" s="42">
        <f>IFERROR(IF(T$4="",0,IF($E55="kWh",VLOOKUP(T$4,'4. Billing Determinants'!$B$19:$R$41,4,0)/'4. Billing Determinants'!$E$41*$D55,IF($E55="kW",VLOOKUP(T$4,'4. Billing Determinants'!$B$19:$R$41,5,0)/'4. Billing Determinants'!$F$41*$D55,IF($E55="Non-RPP kWh",VLOOKUP(T$4,'4. Billing Determinants'!$B$19:$R$41,6,0)/'4. Billing Determinants'!$G$41*$D55,IF($E55="Distribution Rev.",VLOOKUP(T$4,'4. Billing Determinants'!$B$19:$R$41,8,0)/'4. Billing Determinants'!$I$41*$D55, VLOOKUP(T$4,'4. Billing Determinants'!$B$19:$R$41,3,0)/'4. Billing Determinants'!$D$41*$D55))))),0)</f>
        <v>0</v>
      </c>
      <c r="U55" s="42">
        <f>IFERROR(IF(U$4="",0,IF($E55="kWh",VLOOKUP(U$4,'4. Billing Determinants'!$B$19:$R$41,4,0)/'4. Billing Determinants'!$E$41*$D55,IF($E55="kW",VLOOKUP(U$4,'4. Billing Determinants'!$B$19:$R$41,5,0)/'4. Billing Determinants'!$F$41*$D55,IF($E55="Non-RPP kWh",VLOOKUP(U$4,'4. Billing Determinants'!$B$19:$R$41,6,0)/'4. Billing Determinants'!$G$41*$D55,IF($E55="Distribution Rev.",VLOOKUP(U$4,'4. Billing Determinants'!$B$19:$R$41,8,0)/'4. Billing Determinants'!$I$41*$D55, VLOOKUP(U$4,'4. Billing Determinants'!$B$19:$R$41,3,0)/'4. Billing Determinants'!$D$41*$D55))))),0)</f>
        <v>0</v>
      </c>
      <c r="V55" s="42">
        <f>IFERROR(IF(V$4="",0,IF($E55="kWh",VLOOKUP(V$4,'4. Billing Determinants'!$B$19:$R$41,4,0)/'4. Billing Determinants'!$E$41*$D55,IF($E55="kW",VLOOKUP(V$4,'4. Billing Determinants'!$B$19:$R$41,5,0)/'4. Billing Determinants'!$F$41*$D55,IF($E55="Non-RPP kWh",VLOOKUP(V$4,'4. Billing Determinants'!$B$19:$R$41,6,0)/'4. Billing Determinants'!$G$41*$D55,IF($E55="Distribution Rev.",VLOOKUP(V$4,'4. Billing Determinants'!$B$19:$R$41,8,0)/'4. Billing Determinants'!$I$41*$D55, VLOOKUP(V$4,'4. Billing Determinants'!$B$19:$R$41,3,0)/'4. Billing Determinants'!$D$41*$D55))))),0)</f>
        <v>0</v>
      </c>
      <c r="W55" s="42">
        <f>IFERROR(IF(W$4="",0,IF($E55="kWh",VLOOKUP(W$4,'4. Billing Determinants'!$B$19:$R$41,4,0)/'4. Billing Determinants'!$E$41*$D55,IF($E55="kW",VLOOKUP(W$4,'4. Billing Determinants'!$B$19:$R$41,5,0)/'4. Billing Determinants'!$F$41*$D55,IF($E55="Non-RPP kWh",VLOOKUP(W$4,'4. Billing Determinants'!$B$19:$R$41,6,0)/'4. Billing Determinants'!$G$41*$D55,IF($E55="Distribution Rev.",VLOOKUP(W$4,'4. Billing Determinants'!$B$19:$R$41,8,0)/'4. Billing Determinants'!$I$41*$D55, VLOOKUP(W$4,'4. Billing Determinants'!$B$19:$R$41,3,0)/'4. Billing Determinants'!$D$41*$D55))))),0)</f>
        <v>0</v>
      </c>
      <c r="X55" s="42">
        <f>IFERROR(IF(X$4="",0,IF($E55="kWh",VLOOKUP(X$4,'4. Billing Determinants'!$B$19:$R$41,4,0)/'4. Billing Determinants'!$E$41*$D55,IF($E55="kW",VLOOKUP(X$4,'4. Billing Determinants'!$B$19:$R$41,5,0)/'4. Billing Determinants'!$F$41*$D55,IF($E55="Non-RPP kWh",VLOOKUP(X$4,'4. Billing Determinants'!$B$19:$R$41,6,0)/'4. Billing Determinants'!$G$41*$D55,IF($E55="Distribution Rev.",VLOOKUP(X$4,'4. Billing Determinants'!$B$19:$R$41,8,0)/'4. Billing Determinants'!$I$41*$D55, VLOOKUP(X$4,'4. Billing Determinants'!$B$19:$R$41,3,0)/'4. Billing Determinants'!$D$41*$D55))))),0)</f>
        <v>0</v>
      </c>
      <c r="Y55" s="42">
        <f>IFERROR(IF(Y$4="",0,IF($E55="kWh",VLOOKUP(Y$4,'4. Billing Determinants'!$B$19:$R$41,4,0)/'4. Billing Determinants'!$E$41*$D55,IF($E55="kW",VLOOKUP(Y$4,'4. Billing Determinants'!$B$19:$R$41,5,0)/'4. Billing Determinants'!$F$41*$D55,IF($E55="Non-RPP kWh",VLOOKUP(Y$4,'4. Billing Determinants'!$B$19:$R$41,6,0)/'4. Billing Determinants'!$G$41*$D55,IF($E55="Distribution Rev.",VLOOKUP(Y$4,'4. Billing Determinants'!$B$19:$R$41,8,0)/'4. Billing Determinants'!$I$41*$D55, VLOOKUP(Y$4,'4. Billing Determinants'!$B$19:$R$41,3,0)/'4. Billing Determinants'!$D$41*$D55))))),0)</f>
        <v>0</v>
      </c>
    </row>
    <row r="56" spans="1:25" x14ac:dyDescent="0.25">
      <c r="A56" s="146">
        <v>53</v>
      </c>
      <c r="B56" s="55" t="s">
        <v>97</v>
      </c>
      <c r="C56" s="55"/>
      <c r="D56" s="56">
        <f>SUM(D54:D55)</f>
        <v>0</v>
      </c>
      <c r="E56" s="56"/>
      <c r="F56" s="56">
        <f>SUM(F54:F55)</f>
        <v>0</v>
      </c>
      <c r="G56" s="56">
        <f t="shared" ref="G56:Y56" si="7">SUM(G54:G55)</f>
        <v>0</v>
      </c>
      <c r="H56" s="56">
        <f t="shared" si="7"/>
        <v>0</v>
      </c>
      <c r="I56" s="56">
        <f t="shared" si="7"/>
        <v>0</v>
      </c>
      <c r="J56" s="56">
        <f t="shared" si="7"/>
        <v>0</v>
      </c>
      <c r="K56" s="56">
        <f t="shared" si="7"/>
        <v>0</v>
      </c>
      <c r="L56" s="56">
        <f t="shared" si="7"/>
        <v>0</v>
      </c>
      <c r="M56" s="56">
        <f t="shared" si="7"/>
        <v>0</v>
      </c>
      <c r="N56" s="56">
        <f t="shared" si="7"/>
        <v>0</v>
      </c>
      <c r="O56" s="56">
        <f t="shared" si="7"/>
        <v>0</v>
      </c>
      <c r="P56" s="56">
        <f t="shared" si="7"/>
        <v>0</v>
      </c>
      <c r="Q56" s="56">
        <f t="shared" si="7"/>
        <v>0</v>
      </c>
      <c r="R56" s="56">
        <f t="shared" si="7"/>
        <v>0</v>
      </c>
      <c r="S56" s="56">
        <f t="shared" si="7"/>
        <v>0</v>
      </c>
      <c r="T56" s="56">
        <f t="shared" si="7"/>
        <v>0</v>
      </c>
      <c r="U56" s="56">
        <f t="shared" si="7"/>
        <v>0</v>
      </c>
      <c r="V56" s="56">
        <f t="shared" si="7"/>
        <v>0</v>
      </c>
      <c r="W56" s="56">
        <f t="shared" si="7"/>
        <v>0</v>
      </c>
      <c r="X56" s="56">
        <f t="shared" si="7"/>
        <v>0</v>
      </c>
      <c r="Y56" s="56">
        <f t="shared" si="7"/>
        <v>0</v>
      </c>
    </row>
    <row r="58" spans="1:25" x14ac:dyDescent="0.25">
      <c r="B58" s="171" t="s">
        <v>217</v>
      </c>
      <c r="C58" s="171"/>
    </row>
    <row r="59" spans="1:25" x14ac:dyDescent="0.25">
      <c r="B59" s="172" t="s">
        <v>219</v>
      </c>
      <c r="C59" s="173">
        <f>IF(ISERROR('2. 2016 Continuity Schedule'!BT44/'4. Billing Determinants'!D41), 0, '2. 2016 Continuity Schedule'!BT44/'4. Billing Determinants'!D41)</f>
        <v>18.458454536320705</v>
      </c>
    </row>
    <row r="60" spans="1:25" x14ac:dyDescent="0.25">
      <c r="B60" s="172" t="s">
        <v>216</v>
      </c>
      <c r="C60" s="174">
        <f>IF(ISERROR('2. 2016 Continuity Schedule'!BT44/'4. Billing Determinants'!E41), 0, '2. 2016 Continuity Schedule'!BT44/'4. Billing Determinants'!E41)</f>
        <v>1.5330965049472245E-3</v>
      </c>
    </row>
    <row r="61" spans="1:25" x14ac:dyDescent="0.25">
      <c r="B61" s="170"/>
      <c r="C61" s="170"/>
    </row>
  </sheetData>
  <mergeCells count="7">
    <mergeCell ref="B52:C52"/>
    <mergeCell ref="B50:C50"/>
    <mergeCell ref="B40:C40"/>
    <mergeCell ref="B41:C41"/>
    <mergeCell ref="B48:C48"/>
    <mergeCell ref="B46:C46"/>
    <mergeCell ref="B47:C47"/>
  </mergeCells>
  <dataValidations count="5">
    <dataValidation type="list" allowBlank="1" showInputMessage="1" showErrorMessage="1" sqref="E5 E8:E10">
      <formula1>"kWh, kW, Non-RPP kWh"</formula1>
    </dataValidation>
    <dataValidation type="list" allowBlank="1" showInputMessage="1" showErrorMessage="1" sqref="E33 E54:E55 E35:E37 E43:E44">
      <formula1>"kWh, kW, Non-RPP kWh, Distribution Rev."</formula1>
    </dataValidation>
    <dataValidation type="list" allowBlank="1" showInputMessage="1" showErrorMessage="1" sqref="E12:E18">
      <formula1>"kWh, kW, Non-RPP kWh, %"</formula1>
    </dataValidation>
    <dataValidation type="list" allowBlank="1" showInputMessage="1" showErrorMessage="1" sqref="E7">
      <formula1>"kWh, kW"</formula1>
    </dataValidation>
    <dataValidation type="list" allowBlank="1" showInputMessage="1" showErrorMessage="1" sqref="E21:E32">
      <formula1>"kWh, kW, Non-RPP kWh, Distribution Rev., # of Customers"</formula1>
    </dataValidation>
  </dataValidations>
  <pageMargins left="0.23622047244094491" right="0.23622047244094491" top="0.74803149606299213" bottom="0.74803149606299213" header="0.31496062992125984" footer="0.31496062992125984"/>
  <pageSetup scale="48" orientation="landscape" r:id="rId1"/>
  <colBreaks count="2" manualBreakCount="2">
    <brk id="12" max="1048575" man="1"/>
    <brk id="1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3:N59"/>
  <sheetViews>
    <sheetView showGridLines="0" topLeftCell="A13" zoomScale="90" zoomScaleNormal="90" workbookViewId="0">
      <selection activeCell="D20" sqref="D20"/>
    </sheetView>
  </sheetViews>
  <sheetFormatPr defaultColWidth="9.109375" defaultRowHeight="14.4" x14ac:dyDescent="0.3"/>
  <cols>
    <col min="1" max="1" width="55.88671875" style="361" customWidth="1"/>
    <col min="2" max="2" width="6.5546875" style="361" customWidth="1"/>
    <col min="3" max="3" width="31" style="361" bestFit="1" customWidth="1"/>
    <col min="4" max="4" width="27.44140625" style="361" hidden="1" customWidth="1"/>
    <col min="5" max="5" width="28.5546875" style="361" hidden="1" customWidth="1"/>
    <col min="6" max="6" width="30.33203125" style="361" hidden="1" customWidth="1"/>
    <col min="7" max="7" width="28.33203125" style="361" hidden="1" customWidth="1"/>
    <col min="8" max="8" width="14.109375" style="361" customWidth="1"/>
    <col min="9" max="9" width="30.44140625" style="361" customWidth="1"/>
    <col min="10" max="10" width="24.88671875" style="361" customWidth="1"/>
    <col min="11" max="13" width="9.109375" style="361"/>
    <col min="14" max="14" width="32.33203125" style="361" customWidth="1"/>
    <col min="15" max="16384" width="9.109375" style="361"/>
  </cols>
  <sheetData>
    <row r="13" spans="1:9" ht="18.75" customHeight="1" x14ac:dyDescent="0.3">
      <c r="A13" s="360"/>
      <c r="B13" s="360"/>
      <c r="C13" s="360"/>
      <c r="D13" s="360"/>
      <c r="E13" s="360"/>
    </row>
    <row r="14" spans="1:9" ht="116.25" customHeight="1" x14ac:dyDescent="0.3">
      <c r="A14" s="486" t="s">
        <v>381</v>
      </c>
      <c r="B14" s="486"/>
      <c r="C14" s="486"/>
      <c r="D14" s="487"/>
      <c r="E14" s="487"/>
    </row>
    <row r="15" spans="1:9" x14ac:dyDescent="0.3">
      <c r="A15" s="402" t="s">
        <v>374</v>
      </c>
      <c r="B15" s="402"/>
      <c r="C15" s="402"/>
      <c r="D15" s="403"/>
      <c r="E15" s="403"/>
    </row>
    <row r="16" spans="1:9" ht="48" customHeight="1" x14ac:dyDescent="0.3">
      <c r="A16" s="364" t="s">
        <v>375</v>
      </c>
      <c r="B16" s="401"/>
      <c r="C16" s="488" t="s">
        <v>347</v>
      </c>
      <c r="D16" s="489"/>
      <c r="E16" s="489"/>
      <c r="F16" s="489"/>
      <c r="G16" s="489"/>
      <c r="H16" s="489"/>
      <c r="I16" s="489"/>
    </row>
    <row r="17" spans="1:14" x14ac:dyDescent="0.3">
      <c r="A17" s="402"/>
      <c r="B17" s="362"/>
      <c r="C17" s="362"/>
      <c r="D17" s="363"/>
      <c r="E17" s="363"/>
    </row>
    <row r="18" spans="1:14" ht="34.5" customHeight="1" x14ac:dyDescent="0.3">
      <c r="A18" s="486" t="s">
        <v>348</v>
      </c>
      <c r="B18" s="486"/>
      <c r="C18" s="486"/>
      <c r="D18" s="486"/>
      <c r="E18" s="486"/>
      <c r="H18" s="365"/>
    </row>
    <row r="19" spans="1:14" ht="17.25" customHeight="1" thickBot="1" x14ac:dyDescent="0.35">
      <c r="B19" s="366"/>
      <c r="C19" s="367" t="s">
        <v>63</v>
      </c>
      <c r="D19" s="368">
        <v>2015</v>
      </c>
      <c r="E19" s="368">
        <v>2014</v>
      </c>
      <c r="F19" s="369">
        <v>2013</v>
      </c>
      <c r="G19" s="370">
        <v>2012</v>
      </c>
    </row>
    <row r="20" spans="1:14" s="374" customFormat="1" ht="27.6" thickBot="1" x14ac:dyDescent="0.35">
      <c r="A20" s="371" t="s">
        <v>349</v>
      </c>
      <c r="B20" s="372" t="s">
        <v>350</v>
      </c>
      <c r="C20" s="373">
        <f>SUM(D20:G20)</f>
        <v>0</v>
      </c>
      <c r="D20" s="404"/>
      <c r="E20" s="405"/>
      <c r="F20" s="406"/>
      <c r="G20" s="406"/>
    </row>
    <row r="21" spans="1:14" s="374" customFormat="1" ht="15" thickBot="1" x14ac:dyDescent="0.35">
      <c r="A21" s="371" t="s">
        <v>351</v>
      </c>
      <c r="B21" s="372" t="s">
        <v>352</v>
      </c>
      <c r="C21" s="373">
        <f>SUM(D21:G21)</f>
        <v>0</v>
      </c>
      <c r="D21" s="375">
        <f>D39</f>
        <v>0</v>
      </c>
      <c r="E21" s="375">
        <f>E39</f>
        <v>0</v>
      </c>
      <c r="F21" s="376">
        <f>F39</f>
        <v>0</v>
      </c>
      <c r="G21" s="376">
        <f>G39</f>
        <v>0</v>
      </c>
    </row>
    <row r="22" spans="1:14" s="374" customFormat="1" ht="15" thickBot="1" x14ac:dyDescent="0.35">
      <c r="A22" s="377" t="s">
        <v>353</v>
      </c>
      <c r="B22" s="378" t="s">
        <v>354</v>
      </c>
      <c r="C22" s="379">
        <f>IFERROR(+C21/C20,0)</f>
        <v>0</v>
      </c>
      <c r="D22" s="380"/>
      <c r="E22" s="381"/>
      <c r="F22" s="381"/>
      <c r="G22" s="381"/>
    </row>
    <row r="23" spans="1:14" x14ac:dyDescent="0.3">
      <c r="A23" s="360"/>
      <c r="B23" s="360"/>
      <c r="C23" s="360"/>
      <c r="D23" s="360"/>
      <c r="E23" s="360"/>
    </row>
    <row r="24" spans="1:14" x14ac:dyDescent="0.3">
      <c r="A24" s="360"/>
      <c r="B24" s="360"/>
      <c r="C24" s="382"/>
      <c r="D24" s="383"/>
      <c r="E24" s="382"/>
    </row>
    <row r="25" spans="1:14" x14ac:dyDescent="0.3">
      <c r="A25" s="490" t="s">
        <v>313</v>
      </c>
      <c r="B25" s="490"/>
      <c r="C25" s="490"/>
      <c r="D25" s="360"/>
      <c r="E25" s="384"/>
    </row>
    <row r="26" spans="1:14" ht="15" thickBot="1" x14ac:dyDescent="0.35">
      <c r="A26" s="385"/>
      <c r="B26" s="385"/>
      <c r="C26" s="386"/>
      <c r="D26" s="360"/>
      <c r="E26" s="360"/>
      <c r="N26" s="387"/>
    </row>
    <row r="27" spans="1:14" ht="15" thickBot="1" x14ac:dyDescent="0.35">
      <c r="A27" s="388" t="s">
        <v>314</v>
      </c>
      <c r="B27" s="389" t="s">
        <v>355</v>
      </c>
      <c r="C27" s="390">
        <f>'2. 2016 Continuity Schedule'!BT32</f>
        <v>367433.99599999998</v>
      </c>
      <c r="D27" s="360"/>
      <c r="E27" s="360"/>
    </row>
    <row r="28" spans="1:14" ht="27.6" thickBot="1" x14ac:dyDescent="0.35">
      <c r="A28" s="371" t="s">
        <v>356</v>
      </c>
      <c r="B28" s="391" t="s">
        <v>357</v>
      </c>
      <c r="C28" s="392">
        <f>+C22*C27</f>
        <v>0</v>
      </c>
      <c r="D28" s="393"/>
      <c r="E28" s="360"/>
    </row>
    <row r="29" spans="1:14" ht="15" thickBot="1" x14ac:dyDescent="0.35">
      <c r="A29" s="371" t="s">
        <v>358</v>
      </c>
      <c r="B29" s="391" t="s">
        <v>359</v>
      </c>
      <c r="C29" s="390">
        <f>+C27-C28</f>
        <v>367433.99599999998</v>
      </c>
      <c r="D29" s="360"/>
      <c r="E29" s="360"/>
    </row>
    <row r="30" spans="1:14" x14ac:dyDescent="0.3">
      <c r="A30" s="360"/>
      <c r="B30" s="360"/>
      <c r="C30" s="360"/>
      <c r="D30" s="360"/>
      <c r="E30" s="360"/>
    </row>
    <row r="31" spans="1:14" x14ac:dyDescent="0.3">
      <c r="A31" s="491" t="s">
        <v>315</v>
      </c>
      <c r="B31" s="491"/>
      <c r="C31" s="492"/>
      <c r="D31" s="492"/>
      <c r="E31" s="360"/>
    </row>
    <row r="32" spans="1:14" x14ac:dyDescent="0.3">
      <c r="A32" s="394" t="s">
        <v>360</v>
      </c>
      <c r="B32" s="394"/>
      <c r="C32" s="483"/>
      <c r="D32" s="484"/>
      <c r="E32" s="484"/>
      <c r="F32" s="484"/>
      <c r="G32" s="485"/>
      <c r="H32" s="395"/>
      <c r="I32" s="395"/>
      <c r="J32" s="395"/>
    </row>
    <row r="33" spans="1:10" ht="65.25" customHeight="1" x14ac:dyDescent="0.3">
      <c r="A33" s="397" t="s">
        <v>361</v>
      </c>
      <c r="B33" s="397"/>
      <c r="C33" s="398" t="s">
        <v>362</v>
      </c>
      <c r="D33" s="398" t="s">
        <v>363</v>
      </c>
      <c r="E33" s="398" t="s">
        <v>364</v>
      </c>
      <c r="F33" s="398" t="s">
        <v>365</v>
      </c>
      <c r="G33" s="398" t="s">
        <v>366</v>
      </c>
      <c r="H33" s="399" t="s">
        <v>367</v>
      </c>
      <c r="I33" s="400" t="s">
        <v>368</v>
      </c>
      <c r="J33" s="400" t="s">
        <v>369</v>
      </c>
    </row>
    <row r="34" spans="1:10" s="396" customFormat="1" x14ac:dyDescent="0.3">
      <c r="A34"/>
      <c r="B34"/>
      <c r="C34"/>
      <c r="D34"/>
      <c r="E34"/>
      <c r="F34"/>
      <c r="G34"/>
      <c r="H34"/>
      <c r="I34"/>
      <c r="J34"/>
    </row>
    <row r="35" spans="1:10" s="396" customFormat="1" x14ac:dyDescent="0.3">
      <c r="A35"/>
      <c r="B35"/>
      <c r="C35"/>
      <c r="D35"/>
      <c r="E35"/>
      <c r="F35"/>
      <c r="G35"/>
      <c r="H35"/>
      <c r="I35"/>
      <c r="J35"/>
    </row>
    <row r="36" spans="1:10" s="396" customFormat="1" x14ac:dyDescent="0.3">
      <c r="A36"/>
      <c r="B36"/>
      <c r="C36"/>
      <c r="D36"/>
      <c r="E36"/>
      <c r="F36"/>
      <c r="G36"/>
      <c r="H36"/>
      <c r="I36"/>
      <c r="J36"/>
    </row>
    <row r="37" spans="1:10" s="396" customFormat="1" x14ac:dyDescent="0.3">
      <c r="A37"/>
      <c r="B37"/>
      <c r="C37"/>
      <c r="D37"/>
      <c r="E37"/>
      <c r="F37"/>
      <c r="G37"/>
      <c r="H37"/>
      <c r="I37"/>
      <c r="J37"/>
    </row>
    <row r="38" spans="1:10" s="396" customFormat="1" x14ac:dyDescent="0.3">
      <c r="A38"/>
      <c r="B38"/>
      <c r="C38"/>
      <c r="D38"/>
      <c r="E38"/>
      <c r="F38"/>
      <c r="G38"/>
      <c r="H38"/>
      <c r="I38"/>
      <c r="J38"/>
    </row>
    <row r="39" spans="1:10" s="396" customFormat="1" x14ac:dyDescent="0.3">
      <c r="A39"/>
      <c r="B39"/>
      <c r="C39"/>
      <c r="D39"/>
      <c r="E39"/>
      <c r="F39"/>
      <c r="G39"/>
      <c r="H39"/>
      <c r="I39"/>
      <c r="J39"/>
    </row>
    <row r="40" spans="1:10" s="396" customFormat="1" x14ac:dyDescent="0.3">
      <c r="A40"/>
      <c r="B40"/>
      <c r="C40"/>
      <c r="D40"/>
      <c r="E40"/>
      <c r="F40"/>
      <c r="G40"/>
      <c r="H40"/>
      <c r="I40"/>
      <c r="J40"/>
    </row>
    <row r="41" spans="1:10" s="396" customFormat="1" x14ac:dyDescent="0.3">
      <c r="A41"/>
      <c r="B41"/>
      <c r="C41"/>
      <c r="D41"/>
      <c r="E41"/>
      <c r="F41"/>
      <c r="G41"/>
      <c r="H41"/>
      <c r="I41"/>
      <c r="J41"/>
    </row>
    <row r="42" spans="1:10" s="396" customFormat="1" x14ac:dyDescent="0.3">
      <c r="A42"/>
      <c r="B42"/>
      <c r="C42"/>
      <c r="D42"/>
      <c r="E42"/>
      <c r="F42"/>
      <c r="G42"/>
      <c r="H42"/>
      <c r="I42"/>
      <c r="J42"/>
    </row>
    <row r="43" spans="1:10" x14ac:dyDescent="0.3">
      <c r="A43"/>
      <c r="B43"/>
      <c r="C43"/>
      <c r="D43"/>
      <c r="E43"/>
      <c r="F43"/>
      <c r="G43"/>
      <c r="H43"/>
      <c r="I43"/>
      <c r="J43"/>
    </row>
    <row r="44" spans="1:10" x14ac:dyDescent="0.3">
      <c r="A44"/>
      <c r="B44"/>
      <c r="C44"/>
      <c r="D44"/>
      <c r="E44"/>
      <c r="F44"/>
      <c r="G44"/>
      <c r="H44"/>
      <c r="I44"/>
      <c r="J44"/>
    </row>
    <row r="45" spans="1:10" x14ac:dyDescent="0.3">
      <c r="A45"/>
      <c r="B45"/>
      <c r="C45"/>
      <c r="D45"/>
      <c r="E45"/>
      <c r="F45"/>
      <c r="G45"/>
      <c r="H45"/>
      <c r="I45"/>
      <c r="J45"/>
    </row>
    <row r="46" spans="1:10" x14ac:dyDescent="0.3">
      <c r="A46"/>
      <c r="B46"/>
      <c r="C46"/>
      <c r="D46"/>
      <c r="E46"/>
      <c r="F46"/>
      <c r="G46"/>
      <c r="H46"/>
      <c r="I46"/>
      <c r="J46"/>
    </row>
    <row r="47" spans="1:10" x14ac:dyDescent="0.3">
      <c r="A47"/>
      <c r="B47"/>
      <c r="C47"/>
      <c r="D47"/>
      <c r="E47"/>
      <c r="F47"/>
      <c r="G47"/>
      <c r="H47"/>
      <c r="I47"/>
      <c r="J47"/>
    </row>
    <row r="48" spans="1:10" x14ac:dyDescent="0.3">
      <c r="A48"/>
      <c r="B48"/>
      <c r="C48"/>
      <c r="D48"/>
      <c r="E48"/>
      <c r="F48"/>
      <c r="G48"/>
      <c r="H48"/>
      <c r="I48"/>
      <c r="J48"/>
    </row>
    <row r="49" spans="1:10" x14ac:dyDescent="0.3">
      <c r="A49"/>
      <c r="B49"/>
      <c r="C49"/>
      <c r="D49"/>
      <c r="E49"/>
      <c r="F49"/>
      <c r="G49"/>
      <c r="H49"/>
      <c r="I49"/>
      <c r="J49"/>
    </row>
    <row r="50" spans="1:10" x14ac:dyDescent="0.3">
      <c r="A50"/>
      <c r="B50"/>
      <c r="C50"/>
      <c r="D50"/>
      <c r="E50"/>
      <c r="F50"/>
      <c r="G50"/>
      <c r="H50"/>
      <c r="I50"/>
      <c r="J50"/>
    </row>
    <row r="51" spans="1:10" x14ac:dyDescent="0.3">
      <c r="A51"/>
      <c r="B51"/>
      <c r="C51"/>
      <c r="D51"/>
      <c r="E51"/>
      <c r="F51"/>
      <c r="G51"/>
      <c r="H51"/>
      <c r="I51"/>
      <c r="J51"/>
    </row>
    <row r="52" spans="1:10" x14ac:dyDescent="0.3">
      <c r="A52"/>
      <c r="B52"/>
      <c r="C52"/>
      <c r="D52"/>
      <c r="E52"/>
      <c r="F52"/>
      <c r="G52"/>
      <c r="H52"/>
      <c r="I52"/>
      <c r="J52"/>
    </row>
    <row r="53" spans="1:10" x14ac:dyDescent="0.3">
      <c r="A53"/>
      <c r="B53"/>
      <c r="C53"/>
      <c r="D53"/>
      <c r="E53"/>
      <c r="F53"/>
      <c r="G53"/>
      <c r="H53"/>
      <c r="I53"/>
      <c r="J53"/>
    </row>
    <row r="54" spans="1:10" x14ac:dyDescent="0.3">
      <c r="A54"/>
      <c r="B54"/>
      <c r="C54"/>
      <c r="D54"/>
      <c r="E54"/>
      <c r="F54"/>
      <c r="G54"/>
      <c r="H54"/>
      <c r="I54"/>
      <c r="J54"/>
    </row>
    <row r="55" spans="1:10" x14ac:dyDescent="0.3">
      <c r="A55"/>
      <c r="B55"/>
      <c r="C55"/>
      <c r="D55"/>
      <c r="E55"/>
      <c r="F55"/>
      <c r="G55"/>
      <c r="H55"/>
      <c r="I55"/>
      <c r="J55"/>
    </row>
    <row r="56" spans="1:10" x14ac:dyDescent="0.3">
      <c r="A56"/>
      <c r="B56"/>
      <c r="C56"/>
      <c r="D56"/>
      <c r="E56"/>
      <c r="F56"/>
      <c r="G56"/>
      <c r="H56"/>
      <c r="I56"/>
      <c r="J56"/>
    </row>
    <row r="57" spans="1:10" x14ac:dyDescent="0.3">
      <c r="A57"/>
      <c r="B57"/>
      <c r="C57"/>
      <c r="D57"/>
      <c r="E57"/>
      <c r="F57"/>
      <c r="G57"/>
      <c r="H57"/>
      <c r="I57"/>
      <c r="J57"/>
    </row>
    <row r="58" spans="1:10" x14ac:dyDescent="0.3">
      <c r="A58"/>
      <c r="B58"/>
      <c r="C58"/>
      <c r="D58"/>
      <c r="E58"/>
      <c r="F58"/>
      <c r="G58"/>
      <c r="H58"/>
      <c r="I58"/>
      <c r="J58"/>
    </row>
    <row r="59" spans="1:10" x14ac:dyDescent="0.3">
      <c r="A59"/>
      <c r="B59"/>
      <c r="C59"/>
      <c r="D59"/>
      <c r="E59"/>
      <c r="F59"/>
      <c r="G59"/>
      <c r="H59"/>
      <c r="I59"/>
      <c r="J59"/>
    </row>
  </sheetData>
  <sheetProtection formatColumns="0"/>
  <mergeCells count="6">
    <mergeCell ref="C32:G32"/>
    <mergeCell ref="A14:E14"/>
    <mergeCell ref="C16:I16"/>
    <mergeCell ref="A18:E18"/>
    <mergeCell ref="A25:C25"/>
    <mergeCell ref="A31:D31"/>
  </mergeCells>
  <pageMargins left="0.7" right="0.7" top="0.75" bottom="0.75" header="0.3" footer="0.3"/>
  <pageSetup orientation="portrait" verticalDpi="597"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J201"/>
  <sheetViews>
    <sheetView showGridLines="0" topLeftCell="A21" zoomScaleNormal="100" workbookViewId="0">
      <selection activeCell="F22" sqref="F22"/>
    </sheetView>
  </sheetViews>
  <sheetFormatPr defaultColWidth="9.109375" defaultRowHeight="13.2" x14ac:dyDescent="0.25"/>
  <cols>
    <col min="1" max="1" width="9.109375" style="1"/>
    <col min="2" max="2" width="35.6640625" style="1" customWidth="1"/>
    <col min="3" max="3" width="17.44140625" style="1" customWidth="1"/>
    <col min="4" max="4" width="18.88671875" style="1" customWidth="1"/>
    <col min="5" max="5" width="18.33203125" style="1" customWidth="1"/>
    <col min="6" max="6" width="16.6640625" style="1" customWidth="1"/>
    <col min="7" max="7" width="4.5546875" style="1" customWidth="1"/>
    <col min="8" max="8" width="11.33203125" style="1" bestFit="1" customWidth="1"/>
    <col min="9" max="9" width="21" style="1" customWidth="1"/>
    <col min="10" max="10" width="21.33203125" style="1" customWidth="1"/>
    <col min="11" max="16384" width="9.109375" style="1"/>
  </cols>
  <sheetData>
    <row r="13" spans="2:4" x14ac:dyDescent="0.25">
      <c r="B13" s="63" t="s">
        <v>78</v>
      </c>
      <c r="C13" s="64"/>
      <c r="D13" s="65">
        <v>2</v>
      </c>
    </row>
    <row r="16" spans="2:4" ht="17.399999999999999" x14ac:dyDescent="0.3">
      <c r="B16" s="151" t="s">
        <v>80</v>
      </c>
    </row>
    <row r="17" spans="2:9" x14ac:dyDescent="0.25">
      <c r="B17" s="152" t="s">
        <v>225</v>
      </c>
    </row>
    <row r="18" spans="2:9" ht="12.75" customHeight="1" x14ac:dyDescent="0.25">
      <c r="B18" s="467" t="s">
        <v>72</v>
      </c>
      <c r="C18" s="466" t="s">
        <v>62</v>
      </c>
      <c r="D18" s="493" t="s">
        <v>79</v>
      </c>
      <c r="E18" s="493" t="s">
        <v>96</v>
      </c>
      <c r="F18" s="495" t="s">
        <v>77</v>
      </c>
    </row>
    <row r="19" spans="2:9" ht="27" customHeight="1" x14ac:dyDescent="0.25">
      <c r="B19" s="468"/>
      <c r="C19" s="466"/>
      <c r="D19" s="494"/>
      <c r="E19" s="494"/>
      <c r="F19" s="495"/>
    </row>
    <row r="20" spans="2:9" x14ac:dyDescent="0.25">
      <c r="B20" s="153" t="str">
        <f>IF(ISBLANK('4. Billing Determinants'!$B21), "", '4. Billing Determinants'!$B21)</f>
        <v>RESIDENTIAL</v>
      </c>
      <c r="C20" s="74" t="s">
        <v>189</v>
      </c>
      <c r="D20" s="154">
        <f>IF(C20="", 0, IF(C20="kWh", '4. Billing Determinants'!E21, IF(C20="kW", '4. Billing Determinants'!F21, '4. Billing Determinants'!D21)))</f>
        <v>144001990.04708877</v>
      </c>
      <c r="E20" s="155">
        <f>HLOOKUP($B20, '5. Allocation of Balances'!$D$4:$Z$56, 43,FALSE)</f>
        <v>477829.98617664154</v>
      </c>
      <c r="F20" s="156">
        <f>IF(ISERROR(E20/D20), 0, IF(C20="# of Customers", E20/D20/12/$D$13, E20/D20/$D$13))</f>
        <v>1.6591089679399247E-3</v>
      </c>
      <c r="G20" s="157" t="str">
        <f>IF(C20="", "", IF(C20="# of Customers", "per customer per month", "$/"&amp;C20))</f>
        <v>$/kWh</v>
      </c>
      <c r="I20" s="298"/>
    </row>
    <row r="21" spans="2:9" x14ac:dyDescent="0.25">
      <c r="B21" s="153" t="str">
        <f>IF(ISBLANK('4. Billing Determinants'!$B22), "", '4. Billing Determinants'!$B22)</f>
        <v>GENERAL SERVICE &lt; 50 KW</v>
      </c>
      <c r="C21" s="74" t="s">
        <v>189</v>
      </c>
      <c r="D21" s="154">
        <f>IF(C21="", 0, IF(C21="kWh", '4. Billing Determinants'!E22, IF(C21="kW", '4. Billing Determinants'!F22, '4. Billing Determinants'!D22)))</f>
        <v>31418007.178141017</v>
      </c>
      <c r="E21" s="155">
        <f>HLOOKUP($B21, '5. Allocation of Balances'!$D$4:$Z$56, 43,FALSE)</f>
        <v>103922.20713672094</v>
      </c>
      <c r="F21" s="156">
        <f t="shared" ref="F21:F39" si="0">IF(ISERROR(E21/D21), 0, IF(C21="# of Customers", E21/D21/12/$D$13, E21/D21/$D$13))</f>
        <v>1.6538637627058744E-3</v>
      </c>
      <c r="G21" s="157" t="str">
        <f t="shared" ref="G21:G39" si="1">IF(C21="", "", IF(C21="# of Customers", "per customer per month", "$/"&amp;C21))</f>
        <v>$/kWh</v>
      </c>
      <c r="I21" s="298"/>
    </row>
    <row r="22" spans="2:9" x14ac:dyDescent="0.25">
      <c r="B22" s="153" t="str">
        <f>IF(ISBLANK('4. Billing Determinants'!$B23), "", '4. Billing Determinants'!$B23)</f>
        <v>GENERAL SERVICE &gt; 50 KW TO 4,999 KW</v>
      </c>
      <c r="C22" s="74" t="s">
        <v>299</v>
      </c>
      <c r="D22" s="154">
        <f>IF(C22="", 0, IF(C22="kWh", '4. Billing Determinants'!E23, IF(C22="kW", '4. Billing Determinants'!F23, '4. Billing Determinants'!D23)))</f>
        <v>174966.34292758067</v>
      </c>
      <c r="E22" s="155">
        <f>HLOOKUP($B22, '5. Allocation of Balances'!$D$4:$Z$56, 43,FALSE)</f>
        <v>201086.13848519739</v>
      </c>
      <c r="F22" s="156">
        <f t="shared" si="0"/>
        <v>0.57464234298029482</v>
      </c>
      <c r="G22" s="157" t="str">
        <f t="shared" si="1"/>
        <v>$/kW</v>
      </c>
    </row>
    <row r="23" spans="2:9" x14ac:dyDescent="0.25">
      <c r="B23" s="153" t="str">
        <f>IF(ISBLANK('4. Billing Determinants'!$B24), "", '4. Billing Determinants'!$B24)</f>
        <v>SENTINEL LIGHTING</v>
      </c>
      <c r="C23" s="74" t="s">
        <v>299</v>
      </c>
      <c r="D23" s="154">
        <f>IF(C23="", 0, IF(C23="kWh", '4. Billing Determinants'!E24, IF(C23="kW", '4. Billing Determinants'!F24, '4. Billing Determinants'!D24)))</f>
        <v>286.28122226821648</v>
      </c>
      <c r="E23" s="155">
        <f>HLOOKUP($B23, '5. Allocation of Balances'!$D$4:$Z$56, 43,FALSE)</f>
        <v>269.13027513893377</v>
      </c>
      <c r="F23" s="156">
        <f t="shared" si="0"/>
        <v>0.4700452810118052</v>
      </c>
      <c r="G23" s="157" t="str">
        <f t="shared" si="1"/>
        <v>$/kW</v>
      </c>
    </row>
    <row r="24" spans="2:9" x14ac:dyDescent="0.25">
      <c r="B24" s="153" t="str">
        <f>IF(ISBLANK('4. Billing Determinants'!$B25), "", '4. Billing Determinants'!$B25)</f>
        <v>STREET LIGHTING</v>
      </c>
      <c r="C24" s="74" t="s">
        <v>299</v>
      </c>
      <c r="D24" s="154">
        <f>IF(C24="", 0, IF(C24="kWh", '4. Billing Determinants'!E25, IF(C24="kW", '4. Billing Determinants'!F25, '4. Billing Determinants'!D25)))</f>
        <v>1598.6472960042561</v>
      </c>
      <c r="E24" s="155">
        <f>HLOOKUP($B24, '5. Allocation of Balances'!$D$4:$Z$56, 43,FALSE)</f>
        <v>1955.8559603326428</v>
      </c>
      <c r="F24" s="156">
        <f t="shared" si="0"/>
        <v>0.61172216198695395</v>
      </c>
      <c r="G24" s="157" t="str">
        <f t="shared" si="1"/>
        <v>$/kW</v>
      </c>
    </row>
    <row r="25" spans="2:9" x14ac:dyDescent="0.25">
      <c r="B25" s="153" t="str">
        <f>IF(ISBLANK('4. Billing Determinants'!$B26), "", '4. Billing Determinants'!$B26)</f>
        <v>UNMETERED SCATTERED LOAD</v>
      </c>
      <c r="C25" s="74" t="s">
        <v>189</v>
      </c>
      <c r="D25" s="154">
        <f>IF(C25="", 0, IF(C25="kWh", '4. Billing Determinants'!E26, IF(C25="kW", '4. Billing Determinants'!F26, '4. Billing Determinants'!D26)))</f>
        <v>461015.01227876113</v>
      </c>
      <c r="E25" s="155">
        <f>HLOOKUP($B25, '5. Allocation of Balances'!$D$4:$Z$56, 43,FALSE)</f>
        <v>1181.5004267685947</v>
      </c>
      <c r="F25" s="156">
        <f t="shared" si="0"/>
        <v>1.2814120964613827E-3</v>
      </c>
      <c r="G25" s="157" t="str">
        <f t="shared" si="1"/>
        <v>$/kWh</v>
      </c>
    </row>
    <row r="26" spans="2:9" x14ac:dyDescent="0.25">
      <c r="B26" s="153" t="str">
        <f>IF(ISBLANK('4. Billing Determinants'!$B27), "", '4. Billing Determinants'!$B27)</f>
        <v/>
      </c>
      <c r="C26" s="74" t="s">
        <v>299</v>
      </c>
      <c r="D26" s="154">
        <f>IF(C26="", 0, IF(C26="kWh", '4. Billing Determinants'!E27, IF(C26="kW", '4. Billing Determinants'!F27, '4. Billing Determinants'!D27)))</f>
        <v>0</v>
      </c>
      <c r="E26" s="155">
        <f>HLOOKUP($B26, '5. Allocation of Balances'!$D$4:$Z$56, 43,FALSE)</f>
        <v>0</v>
      </c>
      <c r="F26" s="156">
        <f t="shared" si="0"/>
        <v>0</v>
      </c>
      <c r="G26" s="157" t="str">
        <f t="shared" si="1"/>
        <v>$/kW</v>
      </c>
    </row>
    <row r="27" spans="2:9" x14ac:dyDescent="0.25">
      <c r="B27" s="153" t="str">
        <f>IF(ISBLANK('4. Billing Determinants'!$B28), "", '4. Billing Determinants'!$B28)</f>
        <v/>
      </c>
      <c r="C27" s="74" t="s">
        <v>299</v>
      </c>
      <c r="D27" s="154">
        <f>IF(C27="", 0, IF(C27="kWh", '4. Billing Determinants'!E28, IF(C27="kW", '4. Billing Determinants'!F28, '4. Billing Determinants'!D28)))</f>
        <v>0</v>
      </c>
      <c r="E27" s="155">
        <f>HLOOKUP($B27, '5. Allocation of Balances'!$D$4:$Z$56, 43,FALSE)</f>
        <v>0</v>
      </c>
      <c r="F27" s="156">
        <f t="shared" si="0"/>
        <v>0</v>
      </c>
      <c r="G27" s="157" t="str">
        <f t="shared" si="1"/>
        <v>$/kW</v>
      </c>
    </row>
    <row r="28" spans="2:9" x14ac:dyDescent="0.25">
      <c r="B28" s="153" t="str">
        <f>IF(ISBLANK('4. Billing Determinants'!$B29), "", '4. Billing Determinants'!$B29)</f>
        <v/>
      </c>
      <c r="C28" s="74" t="str">
        <f>IF(ISBLANK('4. Billing Determinants'!C29), "", '4. Billing Determinants'!C29)</f>
        <v/>
      </c>
      <c r="D28" s="154">
        <f>IF(C28="", 0, IF(C28="kWh", '4. Billing Determinants'!E29, IF(C28="kW", '4. Billing Determinants'!F29, '4. Billing Determinants'!D29)))</f>
        <v>0</v>
      </c>
      <c r="E28" s="155">
        <f>HLOOKUP($B28, '5. Allocation of Balances'!$D$4:$Z$56, 43,FALSE)</f>
        <v>0</v>
      </c>
      <c r="F28" s="156">
        <f t="shared" si="0"/>
        <v>0</v>
      </c>
      <c r="G28" s="157" t="str">
        <f t="shared" si="1"/>
        <v/>
      </c>
    </row>
    <row r="29" spans="2:9" x14ac:dyDescent="0.25">
      <c r="B29" s="153" t="str">
        <f>IF(ISBLANK('4. Billing Determinants'!$B30), "", '4. Billing Determinants'!$B30)</f>
        <v/>
      </c>
      <c r="C29" s="74" t="str">
        <f>IF(ISBLANK('4. Billing Determinants'!C30), "", '4. Billing Determinants'!C30)</f>
        <v/>
      </c>
      <c r="D29" s="154">
        <f>IF(C29="", 0, IF(C29="kWh", '4. Billing Determinants'!E30, IF(C29="kW", '4. Billing Determinants'!F30, '4. Billing Determinants'!D30)))</f>
        <v>0</v>
      </c>
      <c r="E29" s="155">
        <f>HLOOKUP($B29, '5. Allocation of Balances'!$D$4:$Z$56, 43,FALSE)</f>
        <v>0</v>
      </c>
      <c r="F29" s="156">
        <f t="shared" si="0"/>
        <v>0</v>
      </c>
      <c r="G29" s="157" t="str">
        <f t="shared" si="1"/>
        <v/>
      </c>
    </row>
    <row r="30" spans="2:9" x14ac:dyDescent="0.25">
      <c r="B30" s="153" t="str">
        <f>IF(ISBLANK('4. Billing Determinants'!$B31), "", '4. Billing Determinants'!$B31)</f>
        <v/>
      </c>
      <c r="C30" s="74" t="str">
        <f>IF(ISBLANK('4. Billing Determinants'!C31), "", '4. Billing Determinants'!C31)</f>
        <v/>
      </c>
      <c r="D30" s="154">
        <f>IF(C30="", 0, IF(C30="kWh", '4. Billing Determinants'!E31, IF(C30="kW", '4. Billing Determinants'!F31, '4. Billing Determinants'!D31)))</f>
        <v>0</v>
      </c>
      <c r="E30" s="155">
        <f>HLOOKUP($B30, '5. Allocation of Balances'!$D$4:$Z$56, 43,FALSE)</f>
        <v>0</v>
      </c>
      <c r="F30" s="156">
        <f t="shared" si="0"/>
        <v>0</v>
      </c>
      <c r="G30" s="157" t="str">
        <f t="shared" si="1"/>
        <v/>
      </c>
    </row>
    <row r="31" spans="2:9" x14ac:dyDescent="0.25">
      <c r="B31" s="153" t="str">
        <f>IF(ISBLANK('4. Billing Determinants'!$B32), "", '4. Billing Determinants'!$B32)</f>
        <v/>
      </c>
      <c r="C31" s="74" t="str">
        <f>IF(ISBLANK('4. Billing Determinants'!C32), "", '4. Billing Determinants'!C32)</f>
        <v/>
      </c>
      <c r="D31" s="154">
        <f>IF(C31="", 0, IF(C31="kWh", '4. Billing Determinants'!E32, IF(C31="kW", '4. Billing Determinants'!F32, '4. Billing Determinants'!D32)))</f>
        <v>0</v>
      </c>
      <c r="E31" s="155">
        <f>HLOOKUP($B31, '5. Allocation of Balances'!$D$4:$Z$56, 43,FALSE)</f>
        <v>0</v>
      </c>
      <c r="F31" s="156">
        <f t="shared" si="0"/>
        <v>0</v>
      </c>
      <c r="G31" s="157" t="str">
        <f t="shared" si="1"/>
        <v/>
      </c>
    </row>
    <row r="32" spans="2:9" x14ac:dyDescent="0.25">
      <c r="B32" s="153" t="str">
        <f>IF(ISBLANK('4. Billing Determinants'!$B33), "", '4. Billing Determinants'!$B33)</f>
        <v/>
      </c>
      <c r="C32" s="74" t="str">
        <f>IF(ISBLANK('4. Billing Determinants'!C33), "", '4. Billing Determinants'!C33)</f>
        <v/>
      </c>
      <c r="D32" s="154">
        <f>IF(C32="", 0, IF(C32="kWh", '4. Billing Determinants'!E33, IF(C32="kW", '4. Billing Determinants'!F33, '4. Billing Determinants'!D33)))</f>
        <v>0</v>
      </c>
      <c r="E32" s="155">
        <f>HLOOKUP($B32, '5. Allocation of Balances'!$D$4:$Z$56, 43,FALSE)</f>
        <v>0</v>
      </c>
      <c r="F32" s="156">
        <f t="shared" si="0"/>
        <v>0</v>
      </c>
      <c r="G32" s="157" t="str">
        <f t="shared" si="1"/>
        <v/>
      </c>
    </row>
    <row r="33" spans="2:9" x14ac:dyDescent="0.25">
      <c r="B33" s="153" t="str">
        <f>IF(ISBLANK('4. Billing Determinants'!$B34), "", '4. Billing Determinants'!$B34)</f>
        <v/>
      </c>
      <c r="C33" s="74" t="str">
        <f>IF(ISBLANK('4. Billing Determinants'!C34), "", '4. Billing Determinants'!C34)</f>
        <v/>
      </c>
      <c r="D33" s="154">
        <f>IF(C33="", 0, IF(C33="kWh", '4. Billing Determinants'!E34, IF(C33="kW", '4. Billing Determinants'!F34, '4. Billing Determinants'!D34)))</f>
        <v>0</v>
      </c>
      <c r="E33" s="155">
        <f>HLOOKUP($B33, '5. Allocation of Balances'!$D$4:$Z$56, 43,FALSE)</f>
        <v>0</v>
      </c>
      <c r="F33" s="156">
        <f t="shared" si="0"/>
        <v>0</v>
      </c>
      <c r="G33" s="157" t="str">
        <f t="shared" si="1"/>
        <v/>
      </c>
    </row>
    <row r="34" spans="2:9" x14ac:dyDescent="0.25">
      <c r="B34" s="153" t="str">
        <f>IF(ISBLANK('4. Billing Determinants'!$B35), "", '4. Billing Determinants'!$B35)</f>
        <v/>
      </c>
      <c r="C34" s="74" t="str">
        <f>IF(ISBLANK('4. Billing Determinants'!C35), "", '4. Billing Determinants'!C35)</f>
        <v/>
      </c>
      <c r="D34" s="154">
        <f>IF(C34="", 0, IF(C34="kWh", '4. Billing Determinants'!E35, IF(C34="kW", '4. Billing Determinants'!F35, '4. Billing Determinants'!D35)))</f>
        <v>0</v>
      </c>
      <c r="E34" s="155">
        <f>HLOOKUP($B34, '5. Allocation of Balances'!$D$4:$Z$56, 43,FALSE)</f>
        <v>0</v>
      </c>
      <c r="F34" s="156">
        <f t="shared" si="0"/>
        <v>0</v>
      </c>
      <c r="G34" s="157" t="str">
        <f t="shared" si="1"/>
        <v/>
      </c>
    </row>
    <row r="35" spans="2:9" x14ac:dyDescent="0.25">
      <c r="B35" s="153" t="str">
        <f>IF(ISBLANK('4. Billing Determinants'!$B36), "", '4. Billing Determinants'!$B36)</f>
        <v/>
      </c>
      <c r="C35" s="74" t="str">
        <f>IF(ISBLANK('4. Billing Determinants'!C36), "", '4. Billing Determinants'!C36)</f>
        <v/>
      </c>
      <c r="D35" s="154">
        <f>IF(C35="", 0, IF(C35="kWh", '4. Billing Determinants'!E36, IF(C35="kW", '4. Billing Determinants'!F36, '4. Billing Determinants'!D36)))</f>
        <v>0</v>
      </c>
      <c r="E35" s="155">
        <f>HLOOKUP($B35, '5. Allocation of Balances'!$D$4:$Z$56, 43,FALSE)</f>
        <v>0</v>
      </c>
      <c r="F35" s="156">
        <f t="shared" si="0"/>
        <v>0</v>
      </c>
      <c r="G35" s="157" t="str">
        <f t="shared" si="1"/>
        <v/>
      </c>
    </row>
    <row r="36" spans="2:9" x14ac:dyDescent="0.25">
      <c r="B36" s="153" t="str">
        <f>IF(ISBLANK('4. Billing Determinants'!$B37), "", '4. Billing Determinants'!$B37)</f>
        <v/>
      </c>
      <c r="C36" s="74" t="str">
        <f>IF(ISBLANK('4. Billing Determinants'!C37), "", '4. Billing Determinants'!C37)</f>
        <v/>
      </c>
      <c r="D36" s="154">
        <f>IF(C36="", 0, IF(C36="kWh", '4. Billing Determinants'!E37, IF(C36="kW", '4. Billing Determinants'!F37, '4. Billing Determinants'!D37)))</f>
        <v>0</v>
      </c>
      <c r="E36" s="155">
        <f>HLOOKUP($B36, '5. Allocation of Balances'!$D$4:$Z$56, 43,FALSE)</f>
        <v>0</v>
      </c>
      <c r="F36" s="156">
        <f t="shared" si="0"/>
        <v>0</v>
      </c>
      <c r="G36" s="157" t="str">
        <f t="shared" si="1"/>
        <v/>
      </c>
    </row>
    <row r="37" spans="2:9" x14ac:dyDescent="0.25">
      <c r="B37" s="153" t="str">
        <f>IF(ISBLANK('4. Billing Determinants'!$B38), "", '4. Billing Determinants'!$B38)</f>
        <v/>
      </c>
      <c r="C37" s="74" t="str">
        <f>IF(ISBLANK('4. Billing Determinants'!C38), "", '4. Billing Determinants'!C38)</f>
        <v/>
      </c>
      <c r="D37" s="154">
        <f>IF(C37="", 0, IF(C37="kWh", '4. Billing Determinants'!E38, IF(C37="kW", '4. Billing Determinants'!F38, '4. Billing Determinants'!D38)))</f>
        <v>0</v>
      </c>
      <c r="E37" s="155">
        <f>HLOOKUP($B37, '5. Allocation of Balances'!$D$4:$Z$56, 43,FALSE)</f>
        <v>0</v>
      </c>
      <c r="F37" s="156">
        <f t="shared" si="0"/>
        <v>0</v>
      </c>
      <c r="G37" s="157" t="str">
        <f t="shared" si="1"/>
        <v/>
      </c>
    </row>
    <row r="38" spans="2:9" x14ac:dyDescent="0.25">
      <c r="B38" s="153" t="str">
        <f>IF(ISBLANK('4. Billing Determinants'!$B39), "", '4. Billing Determinants'!$B39)</f>
        <v/>
      </c>
      <c r="C38" s="74" t="str">
        <f>IF(ISBLANK('4. Billing Determinants'!C39), "", '4. Billing Determinants'!C39)</f>
        <v/>
      </c>
      <c r="D38" s="154">
        <f>IF(C38="", 0, IF(C38="kWh", '4. Billing Determinants'!E39, IF(C38="kW", '4. Billing Determinants'!F39, '4. Billing Determinants'!D39)))</f>
        <v>0</v>
      </c>
      <c r="E38" s="155">
        <f>HLOOKUP($B38, '5. Allocation of Balances'!$D$4:$Z$56, 43,FALSE)</f>
        <v>0</v>
      </c>
      <c r="F38" s="156">
        <f t="shared" si="0"/>
        <v>0</v>
      </c>
      <c r="G38" s="157" t="str">
        <f t="shared" si="1"/>
        <v/>
      </c>
      <c r="I38" s="158"/>
    </row>
    <row r="39" spans="2:9" x14ac:dyDescent="0.25">
      <c r="B39" s="153" t="str">
        <f>IF(ISBLANK('4. Billing Determinants'!$B40), "", '4. Billing Determinants'!$B40)</f>
        <v/>
      </c>
      <c r="C39" s="74" t="str">
        <f>IF(ISBLANK('4. Billing Determinants'!C40), "", '4. Billing Determinants'!C40)</f>
        <v/>
      </c>
      <c r="D39" s="154">
        <f>IF(C39="", 0, IF(C39="kWh", '4. Billing Determinants'!E40, IF(C39="kW", '4. Billing Determinants'!F40, '4. Billing Determinants'!D40)))</f>
        <v>0</v>
      </c>
      <c r="E39" s="155">
        <f>HLOOKUP($B39, '5. Allocation of Balances'!$D$4:$Z$56, 43,FALSE)</f>
        <v>0</v>
      </c>
      <c r="F39" s="156">
        <f t="shared" si="0"/>
        <v>0</v>
      </c>
      <c r="G39" s="157" t="str">
        <f t="shared" si="1"/>
        <v/>
      </c>
    </row>
    <row r="40" spans="2:9" x14ac:dyDescent="0.25">
      <c r="B40" s="159" t="s">
        <v>63</v>
      </c>
      <c r="C40" s="160"/>
      <c r="D40" s="161"/>
      <c r="E40" s="162">
        <f>SUM(E20:E39)</f>
        <v>786244.8184608001</v>
      </c>
      <c r="F40" s="159"/>
    </row>
    <row r="42" spans="2:9" ht="15.6" x14ac:dyDescent="0.3">
      <c r="B42" s="163" t="s">
        <v>224</v>
      </c>
    </row>
    <row r="43" spans="2:9" x14ac:dyDescent="0.25">
      <c r="B43" s="152" t="s">
        <v>214</v>
      </c>
    </row>
    <row r="44" spans="2:9" ht="12.75" customHeight="1" x14ac:dyDescent="0.25">
      <c r="B44" s="467" t="s">
        <v>72</v>
      </c>
      <c r="C44" s="466" t="s">
        <v>62</v>
      </c>
      <c r="D44" s="493" t="s">
        <v>79</v>
      </c>
      <c r="E44" s="493" t="s">
        <v>96</v>
      </c>
      <c r="F44" s="495" t="s">
        <v>77</v>
      </c>
    </row>
    <row r="45" spans="2:9" ht="27" customHeight="1" x14ac:dyDescent="0.25">
      <c r="B45" s="468"/>
      <c r="C45" s="466"/>
      <c r="D45" s="494"/>
      <c r="E45" s="494"/>
      <c r="F45" s="495"/>
    </row>
    <row r="46" spans="2:9" x14ac:dyDescent="0.25">
      <c r="B46" s="153" t="str">
        <f>IF(ISBLANK('4. Billing Determinants'!B21), "", '4. Billing Determinants'!B21)</f>
        <v>RESIDENTIAL</v>
      </c>
      <c r="C46" s="74" t="s">
        <v>189</v>
      </c>
      <c r="D46" s="154">
        <f>IF(C46="", 0, IF(C46="kWh", '4. Billing Determinants'!L21, IF(C46="kW", '4. Billing Determinants'!M21, '4. Billing Determinants'!D21)))</f>
        <v>144001990.04708877</v>
      </c>
      <c r="E46" s="155">
        <f>HLOOKUP($B46, '5. Allocation of Balances'!$D$4:$Z$56, 44,FALSE)</f>
        <v>-321603.88849709905</v>
      </c>
      <c r="F46" s="156">
        <f>IF(ISERROR(E46/D46), 0, IF(C46="# of Customers", E46/D46/12/$D$13, E46/D46/$D$13))</f>
        <v>-1.1166647363412628E-3</v>
      </c>
      <c r="G46" s="157" t="str">
        <f>IF(C46="", "", IF(C46="# of Customers", "per customer per month", "$/"&amp;C46))</f>
        <v>$/kWh</v>
      </c>
    </row>
    <row r="47" spans="2:9" x14ac:dyDescent="0.25">
      <c r="B47" s="153" t="str">
        <f>IF(ISBLANK('4. Billing Determinants'!B22), "", '4. Billing Determinants'!B22)</f>
        <v>GENERAL SERVICE &lt; 50 KW</v>
      </c>
      <c r="C47" s="74" t="s">
        <v>189</v>
      </c>
      <c r="D47" s="154">
        <f>IF(C47="", 0, IF(C47="kWh", '4. Billing Determinants'!L22, IF(C47="kW", '4. Billing Determinants'!M22, '4. Billing Determinants'!D22)))</f>
        <v>31418007.178141017</v>
      </c>
      <c r="E47" s="155">
        <f>HLOOKUP($B47, '5. Allocation of Balances'!$D$4:$Z$56, 44,FALSE)</f>
        <v>-70166.761403893484</v>
      </c>
      <c r="F47" s="156">
        <f t="shared" ref="F47:F65" si="2">IF(ISERROR(E47/D47), 0, IF(C47="# of Customers", E47/D47/12/$D$13, E47/D47/$D$13))</f>
        <v>-1.1166647363412628E-3</v>
      </c>
      <c r="G47" s="157" t="str">
        <f t="shared" ref="G47:G65" si="3">IF(C47="", "", IF(C47="# of Customers", "per customer per month", "$/"&amp;C47))</f>
        <v>$/kWh</v>
      </c>
    </row>
    <row r="48" spans="2:9" x14ac:dyDescent="0.25">
      <c r="B48" s="153" t="str">
        <f>IF(ISBLANK('4. Billing Determinants'!B23), "", '4. Billing Determinants'!B23)</f>
        <v>GENERAL SERVICE &gt; 50 KW TO 4,999 KW</v>
      </c>
      <c r="C48" s="74" t="s">
        <v>299</v>
      </c>
      <c r="D48" s="154">
        <f>IF(C48="", 0, IF(C48="kWh", '4. Billing Determinants'!L23, IF(C48="kW", '4. Billing Determinants'!M23, '4. Billing Determinants'!D23)))</f>
        <v>174966.34292758067</v>
      </c>
      <c r="E48" s="155">
        <f>HLOOKUP($B48, '5. Allocation of Balances'!$D$4:$Z$56, 44,FALSE)</f>
        <v>-140973.55641875332</v>
      </c>
      <c r="F48" s="156">
        <f t="shared" si="2"/>
        <v>-0.40285907009299177</v>
      </c>
      <c r="G48" s="157" t="str">
        <f t="shared" si="3"/>
        <v>$/kW</v>
      </c>
    </row>
    <row r="49" spans="2:9" x14ac:dyDescent="0.25">
      <c r="B49" s="153" t="str">
        <f>IF(ISBLANK('4. Billing Determinants'!B24), "", '4. Billing Determinants'!B24)</f>
        <v>SENTINEL LIGHTING</v>
      </c>
      <c r="C49" s="74" t="s">
        <v>299</v>
      </c>
      <c r="D49" s="154">
        <f>IF(C49="", 0, IF(C49="kWh", '4. Billing Determinants'!L24, IF(C49="kW", '4. Billing Determinants'!M24, '4. Billing Determinants'!D24)))</f>
        <v>286.28122226821648</v>
      </c>
      <c r="E49" s="155">
        <f>HLOOKUP($B49, '5. Allocation of Balances'!$D$4:$Z$56, 44,FALSE)</f>
        <v>-230.14830628198072</v>
      </c>
      <c r="F49" s="156">
        <f t="shared" si="2"/>
        <v>-0.40196193179997514</v>
      </c>
      <c r="G49" s="157" t="str">
        <f t="shared" si="3"/>
        <v>$/kW</v>
      </c>
    </row>
    <row r="50" spans="2:9" x14ac:dyDescent="0.25">
      <c r="B50" s="153" t="str">
        <f>IF(ISBLANK('4. Billing Determinants'!B25), "", '4. Billing Determinants'!B25)</f>
        <v>STREET LIGHTING</v>
      </c>
      <c r="C50" s="74" t="s">
        <v>299</v>
      </c>
      <c r="D50" s="154">
        <f>IF(C50="", 0, IF(C50="kWh", '4. Billing Determinants'!L25, IF(C50="kW", '4. Billing Determinants'!M25, '4. Billing Determinants'!D25)))</f>
        <v>1598.6472960042561</v>
      </c>
      <c r="E50" s="155">
        <f>HLOOKUP($B50, '5. Allocation of Balances'!$D$4:$Z$56, 44,FALSE)</f>
        <v>-1253.3969597008129</v>
      </c>
      <c r="F50" s="156">
        <f t="shared" si="2"/>
        <v>-0.39201797758443024</v>
      </c>
      <c r="G50" s="157" t="str">
        <f t="shared" si="3"/>
        <v>$/kW</v>
      </c>
    </row>
    <row r="51" spans="2:9" x14ac:dyDescent="0.25">
      <c r="B51" s="153" t="str">
        <f>IF(ISBLANK('4. Billing Determinants'!B26), "", '4. Billing Determinants'!B26)</f>
        <v>UNMETERED SCATTERED LOAD</v>
      </c>
      <c r="C51" s="74" t="s">
        <v>189</v>
      </c>
      <c r="D51" s="154">
        <f>IF(C51="", 0, IF(C51="kWh", '4. Billing Determinants'!L26, IF(C51="kW", '4. Billing Determinants'!M26, '4. Billing Determinants'!D26)))</f>
        <v>461015.01227876113</v>
      </c>
      <c r="E51" s="155">
        <f>HLOOKUP($B51, '5. Allocation of Balances'!$D$4:$Z$56, 44,FALSE)</f>
        <v>-1029.5984142712537</v>
      </c>
      <c r="F51" s="156">
        <f t="shared" si="2"/>
        <v>-1.1166647363412628E-3</v>
      </c>
      <c r="G51" s="157" t="str">
        <f t="shared" si="3"/>
        <v>$/kWh</v>
      </c>
    </row>
    <row r="52" spans="2:9" x14ac:dyDescent="0.25">
      <c r="B52" s="153" t="str">
        <f>IF(ISBLANK('4. Billing Determinants'!B27), "", '4. Billing Determinants'!B27)</f>
        <v/>
      </c>
      <c r="C52" s="74" t="s">
        <v>299</v>
      </c>
      <c r="D52" s="154">
        <f>IF(C52="", 0, IF(C52="kWh", '4. Billing Determinants'!L27, IF(C52="kW", '4. Billing Determinants'!M27, '4. Billing Determinants'!D27)))</f>
        <v>0</v>
      </c>
      <c r="E52" s="155">
        <f>HLOOKUP($B52, '5. Allocation of Balances'!$D$4:$Z$56, 44,FALSE)</f>
        <v>0</v>
      </c>
      <c r="F52" s="156">
        <f t="shared" si="2"/>
        <v>0</v>
      </c>
      <c r="G52" s="157" t="str">
        <f t="shared" si="3"/>
        <v>$/kW</v>
      </c>
    </row>
    <row r="53" spans="2:9" x14ac:dyDescent="0.25">
      <c r="B53" s="153" t="str">
        <f>IF(ISBLANK('4. Billing Determinants'!B28), "", '4. Billing Determinants'!B28)</f>
        <v/>
      </c>
      <c r="C53" s="74" t="s">
        <v>299</v>
      </c>
      <c r="D53" s="154">
        <f>IF(C53="", 0, IF(C53="kWh", '4. Billing Determinants'!L28, IF(C53="kW", '4. Billing Determinants'!M28, '4. Billing Determinants'!D28)))</f>
        <v>0</v>
      </c>
      <c r="E53" s="155">
        <f>HLOOKUP($B53, '5. Allocation of Balances'!$D$4:$Z$56, 44,FALSE)</f>
        <v>0</v>
      </c>
      <c r="F53" s="156">
        <f t="shared" si="2"/>
        <v>0</v>
      </c>
      <c r="G53" s="157" t="str">
        <f t="shared" si="3"/>
        <v>$/kW</v>
      </c>
    </row>
    <row r="54" spans="2:9" x14ac:dyDescent="0.25">
      <c r="B54" s="153" t="str">
        <f>IF(ISBLANK('4. Billing Determinants'!B29), "", '4. Billing Determinants'!B29)</f>
        <v/>
      </c>
      <c r="C54" s="74" t="str">
        <f>IF(ISBLANK('4. Billing Determinants'!C29), "", '4. Billing Determinants'!C29)</f>
        <v/>
      </c>
      <c r="D54" s="154">
        <f>IF(C54="", 0, IF(C54="kWh", '4. Billing Determinants'!L29, IF(C54="kW", '4. Billing Determinants'!M29, '4. Billing Determinants'!D29)))</f>
        <v>0</v>
      </c>
      <c r="E54" s="155">
        <f>HLOOKUP($B54, '5. Allocation of Balances'!$D$4:$Z$56, 44,FALSE)</f>
        <v>0</v>
      </c>
      <c r="F54" s="156">
        <f t="shared" si="2"/>
        <v>0</v>
      </c>
      <c r="G54" s="157" t="str">
        <f t="shared" si="3"/>
        <v/>
      </c>
    </row>
    <row r="55" spans="2:9" x14ac:dyDescent="0.25">
      <c r="B55" s="153" t="str">
        <f>IF(ISBLANK('4. Billing Determinants'!B30), "", '4. Billing Determinants'!B30)</f>
        <v/>
      </c>
      <c r="C55" s="74" t="str">
        <f>IF(ISBLANK('4. Billing Determinants'!C30), "", '4. Billing Determinants'!C30)</f>
        <v/>
      </c>
      <c r="D55" s="154">
        <f>IF(C55="", 0, IF(C55="kWh", '4. Billing Determinants'!L30, IF(C55="kW", '4. Billing Determinants'!M30, '4. Billing Determinants'!D30)))</f>
        <v>0</v>
      </c>
      <c r="E55" s="155">
        <f>HLOOKUP($B55, '5. Allocation of Balances'!$D$4:$Z$56, 44,FALSE)</f>
        <v>0</v>
      </c>
      <c r="F55" s="156">
        <f t="shared" si="2"/>
        <v>0</v>
      </c>
      <c r="G55" s="157" t="str">
        <f t="shared" si="3"/>
        <v/>
      </c>
    </row>
    <row r="56" spans="2:9" x14ac:dyDescent="0.25">
      <c r="B56" s="153" t="str">
        <f>IF(ISBLANK('4. Billing Determinants'!B31), "", '4. Billing Determinants'!B31)</f>
        <v/>
      </c>
      <c r="C56" s="74" t="str">
        <f>IF(ISBLANK('4. Billing Determinants'!C31), "", '4. Billing Determinants'!C31)</f>
        <v/>
      </c>
      <c r="D56" s="154">
        <f>IF(C56="", 0, IF(C56="kWh", '4. Billing Determinants'!L31, IF(C56="kW", '4. Billing Determinants'!M31, '4. Billing Determinants'!D31)))</f>
        <v>0</v>
      </c>
      <c r="E56" s="155">
        <f>HLOOKUP($B56, '5. Allocation of Balances'!$D$4:$Z$56, 44,FALSE)</f>
        <v>0</v>
      </c>
      <c r="F56" s="156">
        <f t="shared" si="2"/>
        <v>0</v>
      </c>
      <c r="G56" s="157" t="str">
        <f t="shared" si="3"/>
        <v/>
      </c>
    </row>
    <row r="57" spans="2:9" x14ac:dyDescent="0.25">
      <c r="B57" s="153" t="str">
        <f>IF(ISBLANK('4. Billing Determinants'!B32), "", '4. Billing Determinants'!B32)</f>
        <v/>
      </c>
      <c r="C57" s="74" t="str">
        <f>IF(ISBLANK('4. Billing Determinants'!C32), "", '4. Billing Determinants'!C32)</f>
        <v/>
      </c>
      <c r="D57" s="154">
        <f>IF(C57="", 0, IF(C57="kWh", '4. Billing Determinants'!L32, IF(C57="kW", '4. Billing Determinants'!M32, '4. Billing Determinants'!D32)))</f>
        <v>0</v>
      </c>
      <c r="E57" s="155">
        <f>HLOOKUP($B57, '5. Allocation of Balances'!$D$4:$Z$56, 44,FALSE)</f>
        <v>0</v>
      </c>
      <c r="F57" s="156">
        <f t="shared" si="2"/>
        <v>0</v>
      </c>
      <c r="G57" s="157" t="str">
        <f t="shared" si="3"/>
        <v/>
      </c>
    </row>
    <row r="58" spans="2:9" x14ac:dyDescent="0.25">
      <c r="B58" s="153" t="str">
        <f>IF(ISBLANK('4. Billing Determinants'!B33), "", '4. Billing Determinants'!B33)</f>
        <v/>
      </c>
      <c r="C58" s="74" t="str">
        <f>IF(ISBLANK('4. Billing Determinants'!C33), "", '4. Billing Determinants'!C33)</f>
        <v/>
      </c>
      <c r="D58" s="154">
        <f>IF(C58="", 0, IF(C58="kWh", '4. Billing Determinants'!L33, IF(C58="kW", '4. Billing Determinants'!M33, '4. Billing Determinants'!D33)))</f>
        <v>0</v>
      </c>
      <c r="E58" s="155">
        <f>HLOOKUP($B58, '5. Allocation of Balances'!$D$4:$Z$56, 44,FALSE)</f>
        <v>0</v>
      </c>
      <c r="F58" s="156">
        <f t="shared" si="2"/>
        <v>0</v>
      </c>
      <c r="G58" s="157" t="str">
        <f t="shared" si="3"/>
        <v/>
      </c>
    </row>
    <row r="59" spans="2:9" x14ac:dyDescent="0.25">
      <c r="B59" s="153" t="str">
        <f>IF(ISBLANK('4. Billing Determinants'!B34), "", '4. Billing Determinants'!B34)</f>
        <v/>
      </c>
      <c r="C59" s="74" t="str">
        <f>IF(ISBLANK('4. Billing Determinants'!C34), "", '4. Billing Determinants'!C34)</f>
        <v/>
      </c>
      <c r="D59" s="154">
        <f>IF(C59="", 0, IF(C59="kWh", '4. Billing Determinants'!L34, IF(C59="kW", '4. Billing Determinants'!M34, '4. Billing Determinants'!D34)))</f>
        <v>0</v>
      </c>
      <c r="E59" s="155">
        <f>HLOOKUP($B59, '5. Allocation of Balances'!$D$4:$Z$56, 44,FALSE)</f>
        <v>0</v>
      </c>
      <c r="F59" s="156">
        <f t="shared" si="2"/>
        <v>0</v>
      </c>
      <c r="G59" s="157" t="str">
        <f t="shared" si="3"/>
        <v/>
      </c>
    </row>
    <row r="60" spans="2:9" x14ac:dyDescent="0.25">
      <c r="B60" s="153" t="str">
        <f>IF(ISBLANK('4. Billing Determinants'!B35), "", '4. Billing Determinants'!B35)</f>
        <v/>
      </c>
      <c r="C60" s="74" t="str">
        <f>IF(ISBLANK('4. Billing Determinants'!C35), "", '4. Billing Determinants'!C35)</f>
        <v/>
      </c>
      <c r="D60" s="154">
        <f>IF(C60="", 0, IF(C60="kWh", '4. Billing Determinants'!L35, IF(C60="kW", '4. Billing Determinants'!M35, '4. Billing Determinants'!D35)))</f>
        <v>0</v>
      </c>
      <c r="E60" s="155">
        <f>HLOOKUP($B60, '5. Allocation of Balances'!$D$4:$Z$56, 44,FALSE)</f>
        <v>0</v>
      </c>
      <c r="F60" s="156">
        <f t="shared" si="2"/>
        <v>0</v>
      </c>
      <c r="G60" s="157" t="str">
        <f t="shared" si="3"/>
        <v/>
      </c>
    </row>
    <row r="61" spans="2:9" x14ac:dyDescent="0.25">
      <c r="B61" s="153" t="str">
        <f>IF(ISBLANK('4. Billing Determinants'!B36), "", '4. Billing Determinants'!B36)</f>
        <v/>
      </c>
      <c r="C61" s="74" t="str">
        <f>IF(ISBLANK('4. Billing Determinants'!C36), "", '4. Billing Determinants'!C36)</f>
        <v/>
      </c>
      <c r="D61" s="154">
        <f>IF(C61="", 0, IF(C61="kWh", '4. Billing Determinants'!L36, IF(C61="kW", '4. Billing Determinants'!M36, '4. Billing Determinants'!D36)))</f>
        <v>0</v>
      </c>
      <c r="E61" s="155">
        <f>HLOOKUP($B61, '5. Allocation of Balances'!$D$4:$Z$56, 44,FALSE)</f>
        <v>0</v>
      </c>
      <c r="F61" s="156">
        <f t="shared" si="2"/>
        <v>0</v>
      </c>
      <c r="G61" s="157" t="str">
        <f t="shared" si="3"/>
        <v/>
      </c>
    </row>
    <row r="62" spans="2:9" x14ac:dyDescent="0.25">
      <c r="B62" s="153" t="str">
        <f>IF(ISBLANK('4. Billing Determinants'!B37), "", '4. Billing Determinants'!B37)</f>
        <v/>
      </c>
      <c r="C62" s="74" t="str">
        <f>IF(ISBLANK('4. Billing Determinants'!C37), "", '4. Billing Determinants'!C37)</f>
        <v/>
      </c>
      <c r="D62" s="154">
        <f>IF(C62="", 0, IF(C62="kWh", '4. Billing Determinants'!L37, IF(C62="kW", '4. Billing Determinants'!M37, '4. Billing Determinants'!D37)))</f>
        <v>0</v>
      </c>
      <c r="E62" s="155">
        <f>HLOOKUP($B62, '5. Allocation of Balances'!$D$4:$Z$56, 44,FALSE)</f>
        <v>0</v>
      </c>
      <c r="F62" s="156">
        <f t="shared" si="2"/>
        <v>0</v>
      </c>
      <c r="G62" s="157" t="str">
        <f t="shared" si="3"/>
        <v/>
      </c>
    </row>
    <row r="63" spans="2:9" x14ac:dyDescent="0.25">
      <c r="B63" s="153" t="str">
        <f>IF(ISBLANK('4. Billing Determinants'!B38), "", '4. Billing Determinants'!B38)</f>
        <v/>
      </c>
      <c r="C63" s="74" t="str">
        <f>IF(ISBLANK('4. Billing Determinants'!C38), "", '4. Billing Determinants'!C38)</f>
        <v/>
      </c>
      <c r="D63" s="154">
        <f>IF(C63="", 0, IF(C63="kWh", '4. Billing Determinants'!L38, IF(C63="kW", '4. Billing Determinants'!M38, '4. Billing Determinants'!D38)))</f>
        <v>0</v>
      </c>
      <c r="E63" s="155">
        <f>HLOOKUP($B63, '5. Allocation of Balances'!$D$4:$Z$56, 44,FALSE)</f>
        <v>0</v>
      </c>
      <c r="F63" s="156">
        <f t="shared" si="2"/>
        <v>0</v>
      </c>
      <c r="G63" s="157" t="str">
        <f t="shared" si="3"/>
        <v/>
      </c>
    </row>
    <row r="64" spans="2:9" x14ac:dyDescent="0.25">
      <c r="B64" s="153" t="str">
        <f>IF(ISBLANK('4. Billing Determinants'!B39), "", '4. Billing Determinants'!B39)</f>
        <v/>
      </c>
      <c r="C64" s="74" t="str">
        <f>IF(ISBLANK('4. Billing Determinants'!C39), "", '4. Billing Determinants'!C39)</f>
        <v/>
      </c>
      <c r="D64" s="154">
        <f>IF(C64="", 0, IF(C64="kWh", '4. Billing Determinants'!L39, IF(C64="kW", '4. Billing Determinants'!M39, '4. Billing Determinants'!D39)))</f>
        <v>0</v>
      </c>
      <c r="E64" s="155">
        <f>HLOOKUP($B64, '5. Allocation of Balances'!$D$4:$Z$56, 44,FALSE)</f>
        <v>0</v>
      </c>
      <c r="F64" s="156">
        <f t="shared" si="2"/>
        <v>0</v>
      </c>
      <c r="G64" s="157" t="str">
        <f t="shared" si="3"/>
        <v/>
      </c>
      <c r="I64" s="158"/>
    </row>
    <row r="65" spans="2:10" x14ac:dyDescent="0.25">
      <c r="B65" s="153" t="str">
        <f>IF(ISBLANK('4. Billing Determinants'!B40), "", '4. Billing Determinants'!B40)</f>
        <v/>
      </c>
      <c r="C65" s="74" t="str">
        <f>IF(ISBLANK('4. Billing Determinants'!C40), "", '4. Billing Determinants'!C40)</f>
        <v/>
      </c>
      <c r="D65" s="154">
        <f>IF(C65="", 0, IF(C65="kWh", '4. Billing Determinants'!L40, IF(C65="kW", '4. Billing Determinants'!M40, '4. Billing Determinants'!D40)))</f>
        <v>0</v>
      </c>
      <c r="E65" s="155">
        <f>HLOOKUP($B65, '5. Allocation of Balances'!$D$4:$Z$56, 44,FALSE)</f>
        <v>0</v>
      </c>
      <c r="F65" s="156">
        <f t="shared" si="2"/>
        <v>0</v>
      </c>
      <c r="G65" s="157" t="str">
        <f t="shared" si="3"/>
        <v/>
      </c>
    </row>
    <row r="66" spans="2:10" x14ac:dyDescent="0.25">
      <c r="B66" s="159" t="s">
        <v>63</v>
      </c>
      <c r="C66" s="160"/>
      <c r="D66" s="161"/>
      <c r="E66" s="162">
        <f>SUM(E46:E65)</f>
        <v>-535257.35</v>
      </c>
      <c r="F66" s="159"/>
    </row>
    <row r="68" spans="2:10" ht="17.399999999999999" x14ac:dyDescent="0.3">
      <c r="B68" s="151" t="s">
        <v>169</v>
      </c>
    </row>
    <row r="69" spans="2:10" x14ac:dyDescent="0.25">
      <c r="B69" s="152" t="s">
        <v>220</v>
      </c>
    </row>
    <row r="70" spans="2:10" x14ac:dyDescent="0.25">
      <c r="B70" s="467" t="s">
        <v>72</v>
      </c>
      <c r="C70" s="466" t="s">
        <v>62</v>
      </c>
      <c r="D70" s="493" t="s">
        <v>189</v>
      </c>
      <c r="E70" s="493" t="s">
        <v>170</v>
      </c>
      <c r="F70" s="495" t="s">
        <v>171</v>
      </c>
    </row>
    <row r="71" spans="2:10" ht="54.75" customHeight="1" x14ac:dyDescent="0.25">
      <c r="B71" s="468"/>
      <c r="C71" s="466"/>
      <c r="D71" s="494"/>
      <c r="E71" s="494"/>
      <c r="F71" s="495"/>
      <c r="H71" s="164"/>
      <c r="I71" s="164"/>
    </row>
    <row r="72" spans="2:10" x14ac:dyDescent="0.25">
      <c r="B72" s="153" t="str">
        <f t="shared" ref="B72:B91" si="4">B20</f>
        <v>RESIDENTIAL</v>
      </c>
      <c r="C72" s="351" t="s">
        <v>189</v>
      </c>
      <c r="D72" s="154">
        <f>IF(C72="", 0, IF(C72="kWh", '4. Billing Determinants'!S21, IF(C72="kW", '4. Billing Determinants'!S21, '4. Billing Determinants'!D21)))</f>
        <v>8640119.4028253257</v>
      </c>
      <c r="E72" s="155">
        <f>HLOOKUP($B72, '5. Allocation of Balances'!$D$4:$Z$56, 45,FALSE)</f>
        <v>0</v>
      </c>
      <c r="F72" s="156">
        <f>IF(ISERROR(E72/D72), 0, IF(C72="# of Customers", E72/D72/12/$D$13, E72/D72/$D$13))</f>
        <v>0</v>
      </c>
      <c r="G72" s="157" t="str">
        <f>IF(C72="", "", IF(C72="# of Customers", "per customer per month", "$/"&amp;C72))</f>
        <v>$/kWh</v>
      </c>
      <c r="I72" s="201"/>
      <c r="J72" s="201"/>
    </row>
    <row r="73" spans="2:10" x14ac:dyDescent="0.25">
      <c r="B73" s="153" t="str">
        <f t="shared" si="4"/>
        <v>GENERAL SERVICE &lt; 50 KW</v>
      </c>
      <c r="C73" s="351" t="s">
        <v>189</v>
      </c>
      <c r="D73" s="154">
        <f>IF(C73="", 0, IF(C73="kWh", '4. Billing Determinants'!S22, IF(C73="kW", '4. Billing Determinants'!S22, '4. Billing Determinants'!D22)))</f>
        <v>5341061.220283973</v>
      </c>
      <c r="E73" s="155">
        <f>HLOOKUP($B73, '5. Allocation of Balances'!$D$4:$Z$56, 45,FALSE)</f>
        <v>0</v>
      </c>
      <c r="F73" s="156">
        <f t="shared" ref="F73:F91" si="5">IF(ISERROR(E73/D73), 0, IF(C73="# of Customers", E73/D73/12/$D$13, E73/D73/$D$13))</f>
        <v>0</v>
      </c>
      <c r="G73" s="157" t="str">
        <f t="shared" ref="G73:G91" si="6">IF(C73="", "", IF(C73="# of Customers", "per customer per month", "$/"&amp;C73))</f>
        <v>$/kWh</v>
      </c>
      <c r="I73" s="201"/>
      <c r="J73" s="201"/>
    </row>
    <row r="74" spans="2:10" x14ac:dyDescent="0.25">
      <c r="B74" s="153" t="str">
        <f t="shared" si="4"/>
        <v>GENERAL SERVICE &gt; 50 KW TO 4,999 KW</v>
      </c>
      <c r="C74" s="351" t="s">
        <v>189</v>
      </c>
      <c r="D74" s="154">
        <f>IF(C74="", 0, IF(C74="kWh", '4. Billing Determinants'!S23, IF(C74="kW", '4. Billing Determinants'!S23, '4. Billing Determinants'!D23)))</f>
        <v>60597693.1829267</v>
      </c>
      <c r="E74" s="155">
        <f>HLOOKUP($B74, '5. Allocation of Balances'!$D$4:$Z$56, 45,FALSE)</f>
        <v>0</v>
      </c>
      <c r="F74" s="156">
        <f t="shared" si="5"/>
        <v>0</v>
      </c>
      <c r="G74" s="157" t="str">
        <f t="shared" si="6"/>
        <v>$/kWh</v>
      </c>
      <c r="I74" s="201"/>
      <c r="J74" s="201"/>
    </row>
    <row r="75" spans="2:10" x14ac:dyDescent="0.25">
      <c r="B75" s="153" t="str">
        <f t="shared" si="4"/>
        <v>SENTINEL LIGHTING</v>
      </c>
      <c r="C75" s="351" t="s">
        <v>189</v>
      </c>
      <c r="D75" s="154">
        <f>IF(C75="", 0, IF(C75="kWh", '4. Billing Determinants'!S24, IF(C75="kW", '4. Billing Determinants'!S24, '4. Billing Determinants'!D24)))</f>
        <v>16488.265370396388</v>
      </c>
      <c r="E75" s="155">
        <f>HLOOKUP($B75, '5. Allocation of Balances'!$D$4:$Z$56, 45,FALSE)</f>
        <v>0</v>
      </c>
      <c r="F75" s="156">
        <f t="shared" si="5"/>
        <v>0</v>
      </c>
      <c r="G75" s="157" t="str">
        <f t="shared" si="6"/>
        <v>$/kWh</v>
      </c>
      <c r="I75" s="201"/>
      <c r="J75" s="201"/>
    </row>
    <row r="76" spans="2:10" x14ac:dyDescent="0.25">
      <c r="B76" s="153" t="str">
        <f t="shared" si="4"/>
        <v>STREET LIGHTING</v>
      </c>
      <c r="C76" s="351" t="s">
        <v>189</v>
      </c>
      <c r="D76" s="154">
        <f>IF(C76="", 0, IF(C76="kWh", '4. Billing Determinants'!S25, IF(C76="kW", '4. Billing Determinants'!S25, '4. Billing Determinants'!D25)))</f>
        <v>561223</v>
      </c>
      <c r="E76" s="155">
        <f>HLOOKUP($B76, '5. Allocation of Balances'!$D$4:$Z$56, 45,FALSE)</f>
        <v>0</v>
      </c>
      <c r="F76" s="156">
        <f t="shared" si="5"/>
        <v>0</v>
      </c>
      <c r="G76" s="157" t="str">
        <f t="shared" si="6"/>
        <v>$/kWh</v>
      </c>
      <c r="I76" s="201"/>
      <c r="J76" s="201"/>
    </row>
    <row r="77" spans="2:10" x14ac:dyDescent="0.25">
      <c r="B77" s="153" t="str">
        <f t="shared" si="4"/>
        <v>UNMETERED SCATTERED LOAD</v>
      </c>
      <c r="C77" s="351" t="s">
        <v>189</v>
      </c>
      <c r="D77" s="154">
        <f>IF(C77="", 0, IF(C77="kWh", '4. Billing Determinants'!S26, IF(C77="kW", '4. Billing Determinants'!S26, '4. Billing Determinants'!D26)))</f>
        <v>27660.900736725667</v>
      </c>
      <c r="E77" s="155">
        <f>HLOOKUP($B77, '5. Allocation of Balances'!$D$4:$Z$56, 45,FALSE)</f>
        <v>0</v>
      </c>
      <c r="F77" s="156">
        <f t="shared" si="5"/>
        <v>0</v>
      </c>
      <c r="G77" s="157" t="str">
        <f t="shared" si="6"/>
        <v>$/kWh</v>
      </c>
      <c r="I77" s="201"/>
      <c r="J77" s="201"/>
    </row>
    <row r="78" spans="2:10" x14ac:dyDescent="0.25">
      <c r="B78" s="153" t="str">
        <f t="shared" si="4"/>
        <v/>
      </c>
      <c r="C78" s="351" t="s">
        <v>189</v>
      </c>
      <c r="D78" s="154">
        <f>IF(C78="", 0, IF(C78="kWh", '4. Billing Determinants'!S27, IF(C78="kW", '4. Billing Determinants'!S27, '4. Billing Determinants'!D27)))</f>
        <v>0</v>
      </c>
      <c r="E78" s="155">
        <f>HLOOKUP($B78, '5. Allocation of Balances'!$D$4:$Z$56, 45,FALSE)</f>
        <v>0</v>
      </c>
      <c r="F78" s="156">
        <f t="shared" si="5"/>
        <v>0</v>
      </c>
      <c r="G78" s="157" t="str">
        <f t="shared" si="6"/>
        <v>$/kWh</v>
      </c>
    </row>
    <row r="79" spans="2:10" x14ac:dyDescent="0.25">
      <c r="B79" s="153" t="str">
        <f t="shared" si="4"/>
        <v/>
      </c>
      <c r="C79" s="351" t="s">
        <v>189</v>
      </c>
      <c r="D79" s="154">
        <f>IF(C79="", 0, IF(C79="kWh", '4. Billing Determinants'!S28, IF(C79="kW", '4. Billing Determinants'!S28, '4. Billing Determinants'!D28)))</f>
        <v>0</v>
      </c>
      <c r="E79" s="155">
        <f>HLOOKUP($B79, '5. Allocation of Balances'!$D$4:$Z$56, 45,FALSE)</f>
        <v>0</v>
      </c>
      <c r="F79" s="156">
        <f t="shared" si="5"/>
        <v>0</v>
      </c>
      <c r="G79" s="157" t="str">
        <f t="shared" si="6"/>
        <v>$/kWh</v>
      </c>
    </row>
    <row r="80" spans="2:10" x14ac:dyDescent="0.25">
      <c r="B80" s="153" t="str">
        <f t="shared" si="4"/>
        <v/>
      </c>
      <c r="C80" s="351" t="s">
        <v>189</v>
      </c>
      <c r="D80" s="154">
        <f>IF(C80="", 0, IF(C80="kWh", '4. Billing Determinants'!S29, IF(C80="kW", '4. Billing Determinants'!S29, '4. Billing Determinants'!D29)))</f>
        <v>0</v>
      </c>
      <c r="E80" s="155">
        <f>HLOOKUP($B80, '5. Allocation of Balances'!$D$4:$Z$56, 45,FALSE)</f>
        <v>0</v>
      </c>
      <c r="F80" s="156">
        <f t="shared" si="5"/>
        <v>0</v>
      </c>
      <c r="G80" s="157" t="str">
        <f t="shared" si="6"/>
        <v>$/kWh</v>
      </c>
    </row>
    <row r="81" spans="1:8" x14ac:dyDescent="0.25">
      <c r="B81" s="153" t="str">
        <f t="shared" si="4"/>
        <v/>
      </c>
      <c r="C81" s="351" t="s">
        <v>189</v>
      </c>
      <c r="D81" s="154">
        <f>IF(C81="", 0, IF(C81="kWh", '4. Billing Determinants'!S30, IF(C81="kW", '4. Billing Determinants'!S30, '4. Billing Determinants'!D30)))</f>
        <v>0</v>
      </c>
      <c r="E81" s="155">
        <f>HLOOKUP($B81, '5. Allocation of Balances'!$D$4:$Z$56, 45,FALSE)</f>
        <v>0</v>
      </c>
      <c r="F81" s="156">
        <f t="shared" si="5"/>
        <v>0</v>
      </c>
      <c r="G81" s="157" t="str">
        <f t="shared" si="6"/>
        <v>$/kWh</v>
      </c>
    </row>
    <row r="82" spans="1:8" x14ac:dyDescent="0.25">
      <c r="B82" s="153" t="str">
        <f t="shared" si="4"/>
        <v/>
      </c>
      <c r="C82" s="351" t="str">
        <f>IF(ISBLANK('4. Billing Determinants'!C31), "", '4. Billing Determinants'!C31)</f>
        <v/>
      </c>
      <c r="D82" s="154">
        <f>IF(C82="", 0, IF(C82="kWh", '4. Billing Determinants'!S31, IF(C82="kW", '4. Billing Determinants'!S31, '4. Billing Determinants'!D31)))</f>
        <v>0</v>
      </c>
      <c r="E82" s="155">
        <f>HLOOKUP($B82, '5. Allocation of Balances'!$D$4:$Z$56, 45,FALSE)</f>
        <v>0</v>
      </c>
      <c r="F82" s="156">
        <f t="shared" si="5"/>
        <v>0</v>
      </c>
      <c r="G82" s="157" t="str">
        <f t="shared" si="6"/>
        <v/>
      </c>
    </row>
    <row r="83" spans="1:8" x14ac:dyDescent="0.25">
      <c r="B83" s="153" t="str">
        <f t="shared" si="4"/>
        <v/>
      </c>
      <c r="C83" s="351" t="str">
        <f>IF(ISBLANK('4. Billing Determinants'!C32), "", '4. Billing Determinants'!C32)</f>
        <v/>
      </c>
      <c r="D83" s="154">
        <f>IF(C83="", 0, IF(C83="kWh", '4. Billing Determinants'!S32, IF(C83="kW", '4. Billing Determinants'!S32, '4. Billing Determinants'!D32)))</f>
        <v>0</v>
      </c>
      <c r="E83" s="155">
        <f>HLOOKUP($B83, '5. Allocation of Balances'!$D$4:$Z$56, 45,FALSE)</f>
        <v>0</v>
      </c>
      <c r="F83" s="156">
        <f t="shared" si="5"/>
        <v>0</v>
      </c>
      <c r="G83" s="157" t="str">
        <f t="shared" si="6"/>
        <v/>
      </c>
    </row>
    <row r="84" spans="1:8" x14ac:dyDescent="0.25">
      <c r="B84" s="153" t="str">
        <f t="shared" si="4"/>
        <v/>
      </c>
      <c r="C84" s="351" t="str">
        <f>IF(ISBLANK('4. Billing Determinants'!C33), "", '4. Billing Determinants'!C33)</f>
        <v/>
      </c>
      <c r="D84" s="154">
        <f>IF(C84="", 0, IF(C84="kWh", '4. Billing Determinants'!S33, IF(C84="kW", '4. Billing Determinants'!S33, '4. Billing Determinants'!D33)))</f>
        <v>0</v>
      </c>
      <c r="E84" s="155">
        <f>HLOOKUP($B84, '5. Allocation of Balances'!$D$4:$Z$56, 45,FALSE)</f>
        <v>0</v>
      </c>
      <c r="F84" s="156">
        <f t="shared" si="5"/>
        <v>0</v>
      </c>
      <c r="G84" s="157" t="str">
        <f t="shared" si="6"/>
        <v/>
      </c>
    </row>
    <row r="85" spans="1:8" x14ac:dyDescent="0.25">
      <c r="B85" s="153" t="str">
        <f t="shared" si="4"/>
        <v/>
      </c>
      <c r="C85" s="351" t="str">
        <f>IF(ISBLANK('4. Billing Determinants'!C34), "", '4. Billing Determinants'!C34)</f>
        <v/>
      </c>
      <c r="D85" s="154">
        <f>IF(C85="", 0, IF(C85="kWh", '4. Billing Determinants'!S34, IF(C85="kW", '4. Billing Determinants'!S34, '4. Billing Determinants'!D34)))</f>
        <v>0</v>
      </c>
      <c r="E85" s="155">
        <f>HLOOKUP($B85, '5. Allocation of Balances'!$D$4:$Z$56, 45,FALSE)</f>
        <v>0</v>
      </c>
      <c r="F85" s="156">
        <f t="shared" si="5"/>
        <v>0</v>
      </c>
      <c r="G85" s="157" t="str">
        <f t="shared" si="6"/>
        <v/>
      </c>
    </row>
    <row r="86" spans="1:8" x14ac:dyDescent="0.25">
      <c r="B86" s="153" t="str">
        <f t="shared" si="4"/>
        <v/>
      </c>
      <c r="C86" s="351" t="str">
        <f>IF(ISBLANK('4. Billing Determinants'!C35), "", '4. Billing Determinants'!C35)</f>
        <v/>
      </c>
      <c r="D86" s="154">
        <f>IF(C86="", 0, IF(C86="kWh", '4. Billing Determinants'!S35, IF(C86="kW", '4. Billing Determinants'!S35, '4. Billing Determinants'!D35)))</f>
        <v>0</v>
      </c>
      <c r="E86" s="155">
        <f>HLOOKUP($B86, '5. Allocation of Balances'!$D$4:$Z$56, 45,FALSE)</f>
        <v>0</v>
      </c>
      <c r="F86" s="156">
        <f t="shared" si="5"/>
        <v>0</v>
      </c>
      <c r="G86" s="157" t="str">
        <f t="shared" si="6"/>
        <v/>
      </c>
    </row>
    <row r="87" spans="1:8" x14ac:dyDescent="0.25">
      <c r="B87" s="153" t="str">
        <f t="shared" si="4"/>
        <v/>
      </c>
      <c r="C87" s="351" t="str">
        <f>IF(ISBLANK('4. Billing Determinants'!C36), "", '4. Billing Determinants'!C36)</f>
        <v/>
      </c>
      <c r="D87" s="154">
        <f>IF(C87="", 0, IF(C87="kWh", '4. Billing Determinants'!S36, IF(C87="kW", '4. Billing Determinants'!S36, '4. Billing Determinants'!D36)))</f>
        <v>0</v>
      </c>
      <c r="E87" s="155">
        <f>HLOOKUP($B87, '5. Allocation of Balances'!$D$4:$Z$56, 45,FALSE)</f>
        <v>0</v>
      </c>
      <c r="F87" s="156">
        <f t="shared" si="5"/>
        <v>0</v>
      </c>
      <c r="G87" s="157" t="str">
        <f t="shared" si="6"/>
        <v/>
      </c>
    </row>
    <row r="88" spans="1:8" x14ac:dyDescent="0.25">
      <c r="B88" s="153" t="str">
        <f t="shared" si="4"/>
        <v/>
      </c>
      <c r="C88" s="351" t="str">
        <f>IF(ISBLANK('4. Billing Determinants'!C37), "", '4. Billing Determinants'!C37)</f>
        <v/>
      </c>
      <c r="D88" s="154">
        <f>IF(C88="", 0, IF(C88="kWh", '4. Billing Determinants'!S37, IF(C88="kW", '4. Billing Determinants'!S37, '4. Billing Determinants'!D37)))</f>
        <v>0</v>
      </c>
      <c r="E88" s="155">
        <f>HLOOKUP($B88, '5. Allocation of Balances'!$D$4:$Z$56, 45,FALSE)</f>
        <v>0</v>
      </c>
      <c r="F88" s="156">
        <f t="shared" si="5"/>
        <v>0</v>
      </c>
      <c r="G88" s="157" t="str">
        <f t="shared" si="6"/>
        <v/>
      </c>
    </row>
    <row r="89" spans="1:8" x14ac:dyDescent="0.25">
      <c r="B89" s="153" t="str">
        <f t="shared" si="4"/>
        <v/>
      </c>
      <c r="C89" s="351" t="str">
        <f>IF(ISBLANK('4. Billing Determinants'!C38), "", '4. Billing Determinants'!C38)</f>
        <v/>
      </c>
      <c r="D89" s="154">
        <f>IF(C89="", 0, IF(C89="kWh", '4. Billing Determinants'!S38, IF(C89="kW", '4. Billing Determinants'!S38, '4. Billing Determinants'!D38)))</f>
        <v>0</v>
      </c>
      <c r="E89" s="155">
        <f>HLOOKUP($B89, '5. Allocation of Balances'!$D$4:$Z$56, 45,FALSE)</f>
        <v>0</v>
      </c>
      <c r="F89" s="156">
        <f t="shared" si="5"/>
        <v>0</v>
      </c>
      <c r="G89" s="157" t="str">
        <f t="shared" si="6"/>
        <v/>
      </c>
    </row>
    <row r="90" spans="1:8" x14ac:dyDescent="0.25">
      <c r="B90" s="153" t="str">
        <f t="shared" si="4"/>
        <v/>
      </c>
      <c r="C90" s="351" t="str">
        <f>IF(ISBLANK('4. Billing Determinants'!C39), "", '4. Billing Determinants'!C39)</f>
        <v/>
      </c>
      <c r="D90" s="154">
        <f>IF(C90="", 0, IF(C90="kWh", '4. Billing Determinants'!S39, IF(C90="kW", '4. Billing Determinants'!S39, '4. Billing Determinants'!D39)))</f>
        <v>0</v>
      </c>
      <c r="E90" s="155">
        <f>HLOOKUP($B90, '5. Allocation of Balances'!$D$4:$Z$56, 45,FALSE)</f>
        <v>0</v>
      </c>
      <c r="F90" s="156">
        <f t="shared" si="5"/>
        <v>0</v>
      </c>
      <c r="G90" s="157" t="str">
        <f t="shared" si="6"/>
        <v/>
      </c>
    </row>
    <row r="91" spans="1:8" x14ac:dyDescent="0.25">
      <c r="B91" s="153" t="str">
        <f t="shared" si="4"/>
        <v/>
      </c>
      <c r="C91" s="351" t="str">
        <f>IF(ISBLANK('4. Billing Determinants'!C40), "", '4. Billing Determinants'!C40)</f>
        <v/>
      </c>
      <c r="D91" s="154">
        <f>IF(C91="", 0, IF(C91="kWh", '4. Billing Determinants'!S40, IF(C91="kW", '4. Billing Determinants'!S40, '4. Billing Determinants'!D40)))</f>
        <v>0</v>
      </c>
      <c r="E91" s="155">
        <f>HLOOKUP($B91, '5. Allocation of Balances'!$D$4:$Z$56, 45,FALSE)</f>
        <v>0</v>
      </c>
      <c r="F91" s="156">
        <f t="shared" si="5"/>
        <v>0</v>
      </c>
      <c r="G91" s="157" t="str">
        <f t="shared" si="6"/>
        <v/>
      </c>
    </row>
    <row r="92" spans="1:8" x14ac:dyDescent="0.25">
      <c r="B92" s="159" t="s">
        <v>63</v>
      </c>
      <c r="C92" s="160"/>
      <c r="D92" s="161"/>
      <c r="E92" s="162">
        <f>SUM(E72:E91)</f>
        <v>0</v>
      </c>
      <c r="F92" s="159"/>
    </row>
    <row r="94" spans="1:8" ht="17.399999999999999" hidden="1" x14ac:dyDescent="0.3">
      <c r="A94" s="295"/>
      <c r="B94" s="307" t="s">
        <v>221</v>
      </c>
      <c r="C94" s="295"/>
      <c r="D94" s="295"/>
      <c r="E94" s="295"/>
      <c r="F94" s="295"/>
      <c r="G94" s="295"/>
      <c r="H94" s="295"/>
    </row>
    <row r="95" spans="1:8" hidden="1" x14ac:dyDescent="0.25">
      <c r="A95" s="295"/>
      <c r="B95" s="308" t="s">
        <v>218</v>
      </c>
      <c r="C95" s="295"/>
      <c r="D95" s="295"/>
      <c r="E95" s="295"/>
      <c r="F95" s="295"/>
      <c r="G95" s="295"/>
      <c r="H95" s="295"/>
    </row>
    <row r="96" spans="1:8" hidden="1" x14ac:dyDescent="0.25">
      <c r="A96" s="295"/>
      <c r="B96" s="496" t="s">
        <v>72</v>
      </c>
      <c r="C96" s="497" t="s">
        <v>62</v>
      </c>
      <c r="D96" s="498" t="s">
        <v>172</v>
      </c>
      <c r="E96" s="498" t="s">
        <v>170</v>
      </c>
      <c r="F96" s="496" t="s">
        <v>171</v>
      </c>
      <c r="G96" s="295"/>
      <c r="H96" s="295"/>
    </row>
    <row r="97" spans="1:9" ht="54.75" hidden="1" customHeight="1" x14ac:dyDescent="0.25">
      <c r="A97" s="295"/>
      <c r="B97" s="497"/>
      <c r="C97" s="497"/>
      <c r="D97" s="499"/>
      <c r="E97" s="499"/>
      <c r="F97" s="496"/>
      <c r="G97" s="295"/>
      <c r="H97" s="309"/>
      <c r="I97" s="164"/>
    </row>
    <row r="98" spans="1:9" hidden="1" x14ac:dyDescent="0.25">
      <c r="A98" s="295"/>
      <c r="B98" s="310"/>
      <c r="C98" s="311"/>
      <c r="D98" s="312"/>
      <c r="E98" s="313"/>
      <c r="F98" s="314"/>
      <c r="G98" s="295" t="str">
        <f>IF(C98="", "", IF(C98="# of Customers", "per customer per month", "$/"&amp;C98))</f>
        <v/>
      </c>
      <c r="H98" s="295"/>
    </row>
    <row r="99" spans="1:9" hidden="1" x14ac:dyDescent="0.25">
      <c r="A99" s="295"/>
      <c r="B99" s="310"/>
      <c r="C99" s="311"/>
      <c r="D99" s="312"/>
      <c r="E99" s="313"/>
      <c r="F99" s="314"/>
      <c r="G99" s="295" t="str">
        <f t="shared" ref="G99:G117" si="7">IF(C99="", "", IF(C99="# of Customers", "per customer per month", "$/"&amp;C99))</f>
        <v/>
      </c>
      <c r="H99" s="295"/>
    </row>
    <row r="100" spans="1:9" hidden="1" x14ac:dyDescent="0.25">
      <c r="A100" s="295"/>
      <c r="B100" s="310"/>
      <c r="C100" s="311"/>
      <c r="D100" s="312"/>
      <c r="E100" s="313"/>
      <c r="F100" s="314"/>
      <c r="G100" s="295" t="str">
        <f t="shared" si="7"/>
        <v/>
      </c>
      <c r="H100" s="295"/>
    </row>
    <row r="101" spans="1:9" hidden="1" x14ac:dyDescent="0.25">
      <c r="A101" s="295"/>
      <c r="B101" s="310"/>
      <c r="C101" s="311"/>
      <c r="D101" s="312"/>
      <c r="E101" s="313"/>
      <c r="F101" s="314"/>
      <c r="G101" s="295" t="str">
        <f t="shared" si="7"/>
        <v/>
      </c>
      <c r="H101" s="295"/>
    </row>
    <row r="102" spans="1:9" hidden="1" x14ac:dyDescent="0.25">
      <c r="A102" s="295"/>
      <c r="B102" s="310"/>
      <c r="C102" s="311"/>
      <c r="D102" s="312"/>
      <c r="E102" s="313"/>
      <c r="F102" s="314"/>
      <c r="G102" s="295" t="str">
        <f t="shared" si="7"/>
        <v/>
      </c>
      <c r="H102" s="295"/>
    </row>
    <row r="103" spans="1:9" hidden="1" x14ac:dyDescent="0.25">
      <c r="A103" s="295"/>
      <c r="B103" s="310"/>
      <c r="C103" s="311"/>
      <c r="D103" s="312"/>
      <c r="E103" s="313"/>
      <c r="F103" s="314"/>
      <c r="G103" s="295" t="str">
        <f t="shared" si="7"/>
        <v/>
      </c>
      <c r="H103" s="295"/>
    </row>
    <row r="104" spans="1:9" hidden="1" x14ac:dyDescent="0.25">
      <c r="A104" s="295"/>
      <c r="B104" s="310"/>
      <c r="C104" s="311"/>
      <c r="D104" s="312"/>
      <c r="E104" s="313"/>
      <c r="F104" s="314"/>
      <c r="G104" s="295" t="str">
        <f t="shared" si="7"/>
        <v/>
      </c>
      <c r="H104" s="295"/>
    </row>
    <row r="105" spans="1:9" hidden="1" x14ac:dyDescent="0.25">
      <c r="A105" s="295"/>
      <c r="B105" s="310"/>
      <c r="C105" s="311"/>
      <c r="D105" s="312"/>
      <c r="E105" s="313"/>
      <c r="F105" s="314"/>
      <c r="G105" s="295" t="str">
        <f t="shared" si="7"/>
        <v/>
      </c>
      <c r="H105" s="295"/>
    </row>
    <row r="106" spans="1:9" hidden="1" x14ac:dyDescent="0.25">
      <c r="A106" s="295"/>
      <c r="B106" s="310"/>
      <c r="C106" s="311"/>
      <c r="D106" s="312"/>
      <c r="E106" s="313"/>
      <c r="F106" s="314"/>
      <c r="G106" s="295" t="str">
        <f t="shared" si="7"/>
        <v/>
      </c>
      <c r="H106" s="295"/>
    </row>
    <row r="107" spans="1:9" hidden="1" x14ac:dyDescent="0.25">
      <c r="A107" s="295"/>
      <c r="B107" s="310" t="str">
        <f t="shared" ref="B107:B117" si="8">B29</f>
        <v/>
      </c>
      <c r="C107" s="311"/>
      <c r="D107" s="312"/>
      <c r="E107" s="313"/>
      <c r="F107" s="314"/>
      <c r="G107" s="295" t="str">
        <f t="shared" si="7"/>
        <v/>
      </c>
      <c r="H107" s="295"/>
    </row>
    <row r="108" spans="1:9" hidden="1" x14ac:dyDescent="0.25">
      <c r="A108" s="295"/>
      <c r="B108" s="310" t="str">
        <f t="shared" si="8"/>
        <v/>
      </c>
      <c r="C108" s="311"/>
      <c r="D108" s="312"/>
      <c r="E108" s="313"/>
      <c r="F108" s="314"/>
      <c r="G108" s="295" t="str">
        <f t="shared" si="7"/>
        <v/>
      </c>
      <c r="H108" s="295"/>
    </row>
    <row r="109" spans="1:9" hidden="1" x14ac:dyDescent="0.25">
      <c r="A109" s="295"/>
      <c r="B109" s="310" t="str">
        <f t="shared" si="8"/>
        <v/>
      </c>
      <c r="C109" s="311" t="str">
        <f>IF(ISBLANK('4. Billing Determinants'!C32), "", '4. Billing Determinants'!C32)</f>
        <v/>
      </c>
      <c r="D109" s="312"/>
      <c r="E109" s="313"/>
      <c r="F109" s="314"/>
      <c r="G109" s="295" t="str">
        <f t="shared" si="7"/>
        <v/>
      </c>
      <c r="H109" s="295"/>
    </row>
    <row r="110" spans="1:9" hidden="1" x14ac:dyDescent="0.25">
      <c r="A110" s="295"/>
      <c r="B110" s="310" t="str">
        <f t="shared" si="8"/>
        <v/>
      </c>
      <c r="C110" s="311" t="str">
        <f>IF(ISBLANK('4. Billing Determinants'!C33), "", '4. Billing Determinants'!C33)</f>
        <v/>
      </c>
      <c r="D110" s="312"/>
      <c r="E110" s="313"/>
      <c r="F110" s="314"/>
      <c r="G110" s="295" t="str">
        <f t="shared" si="7"/>
        <v/>
      </c>
      <c r="H110" s="295"/>
    </row>
    <row r="111" spans="1:9" hidden="1" x14ac:dyDescent="0.25">
      <c r="A111" s="295"/>
      <c r="B111" s="310" t="str">
        <f t="shared" si="8"/>
        <v/>
      </c>
      <c r="C111" s="311" t="str">
        <f>IF(ISBLANK('4. Billing Determinants'!C34), "", '4. Billing Determinants'!C34)</f>
        <v/>
      </c>
      <c r="D111" s="312"/>
      <c r="E111" s="313"/>
      <c r="F111" s="314"/>
      <c r="G111" s="295" t="str">
        <f t="shared" si="7"/>
        <v/>
      </c>
      <c r="H111" s="295"/>
    </row>
    <row r="112" spans="1:9" hidden="1" x14ac:dyDescent="0.25">
      <c r="A112" s="295"/>
      <c r="B112" s="310" t="str">
        <f t="shared" si="8"/>
        <v/>
      </c>
      <c r="C112" s="311" t="str">
        <f>IF(ISBLANK('4. Billing Determinants'!C35), "", '4. Billing Determinants'!C35)</f>
        <v/>
      </c>
      <c r="D112" s="312"/>
      <c r="E112" s="313"/>
      <c r="F112" s="314"/>
      <c r="G112" s="295" t="str">
        <f t="shared" si="7"/>
        <v/>
      </c>
      <c r="H112" s="295"/>
    </row>
    <row r="113" spans="1:9" hidden="1" x14ac:dyDescent="0.25">
      <c r="A113" s="295"/>
      <c r="B113" s="310" t="str">
        <f t="shared" si="8"/>
        <v/>
      </c>
      <c r="C113" s="311" t="str">
        <f>IF(ISBLANK('4. Billing Determinants'!C36), "", '4. Billing Determinants'!C36)</f>
        <v/>
      </c>
      <c r="D113" s="312"/>
      <c r="E113" s="313"/>
      <c r="F113" s="314"/>
      <c r="G113" s="295" t="str">
        <f t="shared" si="7"/>
        <v/>
      </c>
      <c r="H113" s="295"/>
    </row>
    <row r="114" spans="1:9" hidden="1" x14ac:dyDescent="0.25">
      <c r="A114" s="295"/>
      <c r="B114" s="310" t="str">
        <f t="shared" si="8"/>
        <v/>
      </c>
      <c r="C114" s="311" t="str">
        <f>IF(ISBLANK('4. Billing Determinants'!C37), "", '4. Billing Determinants'!C37)</f>
        <v/>
      </c>
      <c r="D114" s="312"/>
      <c r="E114" s="313"/>
      <c r="F114" s="314"/>
      <c r="G114" s="295" t="str">
        <f t="shared" si="7"/>
        <v/>
      </c>
      <c r="H114" s="295"/>
    </row>
    <row r="115" spans="1:9" hidden="1" x14ac:dyDescent="0.25">
      <c r="A115" s="295"/>
      <c r="B115" s="310" t="str">
        <f t="shared" si="8"/>
        <v/>
      </c>
      <c r="C115" s="311" t="str">
        <f>IF(ISBLANK('4. Billing Determinants'!C38), "", '4. Billing Determinants'!C38)</f>
        <v/>
      </c>
      <c r="D115" s="312"/>
      <c r="E115" s="313"/>
      <c r="F115" s="314"/>
      <c r="G115" s="295" t="str">
        <f t="shared" si="7"/>
        <v/>
      </c>
      <c r="H115" s="295"/>
    </row>
    <row r="116" spans="1:9" hidden="1" x14ac:dyDescent="0.25">
      <c r="A116" s="295"/>
      <c r="B116" s="310" t="str">
        <f t="shared" si="8"/>
        <v/>
      </c>
      <c r="C116" s="311" t="str">
        <f>IF(ISBLANK('4. Billing Determinants'!C39), "", '4. Billing Determinants'!C39)</f>
        <v/>
      </c>
      <c r="D116" s="312"/>
      <c r="E116" s="313"/>
      <c r="F116" s="314"/>
      <c r="G116" s="295" t="str">
        <f t="shared" si="7"/>
        <v/>
      </c>
      <c r="H116" s="295"/>
    </row>
    <row r="117" spans="1:9" hidden="1" x14ac:dyDescent="0.25">
      <c r="A117" s="295"/>
      <c r="B117" s="310" t="str">
        <f t="shared" si="8"/>
        <v/>
      </c>
      <c r="C117" s="311" t="str">
        <f>IF(ISBLANK('4. Billing Determinants'!C40), "", '4. Billing Determinants'!C40)</f>
        <v/>
      </c>
      <c r="D117" s="312"/>
      <c r="E117" s="313"/>
      <c r="F117" s="314"/>
      <c r="G117" s="295" t="str">
        <f t="shared" si="7"/>
        <v/>
      </c>
      <c r="H117" s="295"/>
    </row>
    <row r="118" spans="1:9" hidden="1" x14ac:dyDescent="0.25">
      <c r="A118" s="295"/>
      <c r="B118" s="315" t="s">
        <v>63</v>
      </c>
      <c r="C118" s="316"/>
      <c r="D118" s="317"/>
      <c r="E118" s="318"/>
      <c r="F118" s="315"/>
      <c r="G118" s="295"/>
      <c r="H118" s="295"/>
    </row>
    <row r="119" spans="1:9" hidden="1" x14ac:dyDescent="0.25"/>
    <row r="120" spans="1:9" hidden="1" x14ac:dyDescent="0.25"/>
    <row r="121" spans="1:9" ht="17.399999999999999" x14ac:dyDescent="0.3">
      <c r="B121" s="151" t="s">
        <v>222</v>
      </c>
    </row>
    <row r="122" spans="1:9" x14ac:dyDescent="0.25">
      <c r="B122" s="152"/>
    </row>
    <row r="123" spans="1:9" x14ac:dyDescent="0.25">
      <c r="B123" s="467" t="s">
        <v>72</v>
      </c>
      <c r="C123" s="466" t="s">
        <v>62</v>
      </c>
      <c r="D123" s="493" t="s">
        <v>71</v>
      </c>
      <c r="E123" s="493" t="s">
        <v>226</v>
      </c>
      <c r="F123" s="495" t="s">
        <v>171</v>
      </c>
    </row>
    <row r="124" spans="1:9" ht="54.75" customHeight="1" x14ac:dyDescent="0.25">
      <c r="B124" s="468"/>
      <c r="C124" s="466"/>
      <c r="D124" s="494"/>
      <c r="E124" s="494"/>
      <c r="F124" s="495"/>
      <c r="H124" s="164"/>
      <c r="I124" s="164"/>
    </row>
    <row r="125" spans="1:9" x14ac:dyDescent="0.25">
      <c r="B125" s="153" t="str">
        <f>B20</f>
        <v>RESIDENTIAL</v>
      </c>
      <c r="C125" s="74" t="s">
        <v>71</v>
      </c>
      <c r="D125" s="154">
        <f>IF(C125="",0,IF(ISNUMBER(SEARCH("RESIDENTIAL",UPPER(B125),1)),'4. Billing Determinants'!D21, IF(C125="kWh",'4. Billing Determinants'!E21, IF(C125="kW",'4. Billing Determinants'!F21,'4. Billing Determinants'!D21))))</f>
        <v>15554.75</v>
      </c>
      <c r="E125" s="155">
        <f>HLOOKUP($B125, '5. Allocation of Balances'!$D$4:$Z$56, 49,FALSE)</f>
        <v>61232.557555870299</v>
      </c>
      <c r="F125" s="165">
        <f>IF(ISERROR(E125/D125), 0, IF(C125="# of Customers", E125/D125/12/$D$13, E125/D125/$D$13))</f>
        <v>0.16402427328166183</v>
      </c>
      <c r="G125" s="1" t="str">
        <f>IF(C125="", "", IF(C125="# of Customers", "per customer per month", "$/"&amp;C125))</f>
        <v>per customer per month</v>
      </c>
    </row>
    <row r="126" spans="1:9" x14ac:dyDescent="0.25">
      <c r="B126" s="153" t="str">
        <f t="shared" ref="B126:B144" si="9">B21</f>
        <v>GENERAL SERVICE &lt; 50 KW</v>
      </c>
      <c r="C126" s="74" t="s">
        <v>189</v>
      </c>
      <c r="D126" s="154">
        <f>IF(C126="",0,IF(ISNUMBER(SEARCH("RESIDENTIAL",UPPER(B126),1)),'4. Billing Determinants'!D22, IF(C126="kWh",'4. Billing Determinants'!E22, IF(C126="kW",'4. Billing Determinants'!F22,'4. Billing Determinants'!D22))))</f>
        <v>31418007.178141017</v>
      </c>
      <c r="E126" s="155">
        <f>HLOOKUP($B126, '5. Allocation of Balances'!$D$4:$Z$56, 49,FALSE)</f>
        <v>13359.571851730523</v>
      </c>
      <c r="F126" s="200">
        <f t="shared" ref="F126:F144" si="10">IF(ISERROR(E126/D126), 0, IF(C126="# of Customers", E126/D126/12/$D$13, E126/D126/$D$13))</f>
        <v>2.1261010884588195E-4</v>
      </c>
      <c r="G126" s="1" t="str">
        <f t="shared" ref="G126:G144" si="11">IF(C126="", "", IF(C126="# of Customers", "per customer per month", "$/"&amp;C126))</f>
        <v>$/kWh</v>
      </c>
    </row>
    <row r="127" spans="1:9" x14ac:dyDescent="0.25">
      <c r="B127" s="153" t="str">
        <f t="shared" si="9"/>
        <v>GENERAL SERVICE &gt; 50 KW TO 4,999 KW</v>
      </c>
      <c r="C127" s="74" t="s">
        <v>299</v>
      </c>
      <c r="D127" s="154">
        <f>IF(C127="",0,IF(ISNUMBER(SEARCH("RESIDENTIAL",UPPER(B127),1)),'4. Billing Determinants'!D23, IF(C127="kWh",'4. Billing Determinants'!E23, IF(C127="kW",'4. Billing Determinants'!F23,'4. Billing Determinants'!D23))))</f>
        <v>174966.34292758067</v>
      </c>
      <c r="E127" s="155">
        <f>HLOOKUP($B127, '5. Allocation of Balances'!$D$4:$Z$56, 49,FALSE)</f>
        <v>26841.004465482096</v>
      </c>
      <c r="F127" s="200">
        <f t="shared" si="10"/>
        <v>7.6703336242764431E-2</v>
      </c>
      <c r="G127" s="1" t="str">
        <f t="shared" si="11"/>
        <v>$/kW</v>
      </c>
    </row>
    <row r="128" spans="1:9" x14ac:dyDescent="0.25">
      <c r="B128" s="153" t="str">
        <f t="shared" si="9"/>
        <v>SENTINEL LIGHTING</v>
      </c>
      <c r="C128" s="74" t="s">
        <v>299</v>
      </c>
      <c r="D128" s="154">
        <f>IF(C128="",0,IF(ISNUMBER(SEARCH("RESIDENTIAL",UPPER(B128),1)),'4. Billing Determinants'!D24, IF(C128="kWh",'4. Billing Determinants'!E24, IF(C128="kW",'4. Billing Determinants'!F24,'4. Billing Determinants'!D24))))</f>
        <v>286.28122226821648</v>
      </c>
      <c r="E128" s="155">
        <f>HLOOKUP($B128, '5. Allocation of Balances'!$D$4:$Z$56, 49,FALSE)</f>
        <v>43.819648688497018</v>
      </c>
      <c r="F128" s="200">
        <f t="shared" si="10"/>
        <v>7.653252340707567E-2</v>
      </c>
      <c r="G128" s="1" t="str">
        <f t="shared" si="11"/>
        <v>$/kW</v>
      </c>
    </row>
    <row r="129" spans="2:7" x14ac:dyDescent="0.25">
      <c r="B129" s="153" t="str">
        <f t="shared" si="9"/>
        <v>STREET LIGHTING</v>
      </c>
      <c r="C129" s="74" t="s">
        <v>299</v>
      </c>
      <c r="D129" s="154">
        <f>IF(C129="",0,IF(ISNUMBER(SEARCH("RESIDENTIAL",UPPER(B129),1)),'4. Billing Determinants'!D25, IF(C129="kWh",'4. Billing Determinants'!E25, IF(C129="kW",'4. Billing Determinants'!F25,'4. Billing Determinants'!D25))))</f>
        <v>1598.6472960042561</v>
      </c>
      <c r="E129" s="155">
        <f>HLOOKUP($B129, '5. Allocation of Balances'!$D$4:$Z$56, 49,FALSE)</f>
        <v>238.64357434821616</v>
      </c>
      <c r="F129" s="200">
        <f t="shared" si="10"/>
        <v>7.463921996574685E-2</v>
      </c>
      <c r="G129" s="1" t="str">
        <f t="shared" si="11"/>
        <v>$/kW</v>
      </c>
    </row>
    <row r="130" spans="2:7" x14ac:dyDescent="0.25">
      <c r="B130" s="153" t="str">
        <f t="shared" si="9"/>
        <v>UNMETERED SCATTERED LOAD</v>
      </c>
      <c r="C130" s="74" t="s">
        <v>189</v>
      </c>
      <c r="D130" s="154">
        <f>IF(C130="",0,IF(ISNUMBER(SEARCH("RESIDENTIAL",UPPER(B130),1)),'4. Billing Determinants'!D26, IF(C130="kWh",'4. Billing Determinants'!E26, IF(C130="kW",'4. Billing Determinants'!F26,'4. Billing Determinants'!D26))))</f>
        <v>461015.01227876113</v>
      </c>
      <c r="E130" s="155">
        <f>HLOOKUP($B130, '5. Allocation of Balances'!$D$4:$Z$56, 49,FALSE)</f>
        <v>196.03290388034603</v>
      </c>
      <c r="F130" s="200">
        <f t="shared" si="10"/>
        <v>2.1261010884588197E-4</v>
      </c>
      <c r="G130" s="1" t="str">
        <f t="shared" si="11"/>
        <v>$/kWh</v>
      </c>
    </row>
    <row r="131" spans="2:7" x14ac:dyDescent="0.25">
      <c r="B131" s="153" t="str">
        <f t="shared" si="9"/>
        <v/>
      </c>
      <c r="C131" s="74" t="s">
        <v>71</v>
      </c>
      <c r="D131" s="154">
        <f>IF(C131="",0,IF(ISNUMBER(SEARCH("RESIDENTIAL",UPPER(B131),1)),'4. Billing Determinants'!D27, IF(C131="kWh",'4. Billing Determinants'!E27, IF(C131="kW",'4. Billing Determinants'!F27,'4. Billing Determinants'!D27))))</f>
        <v>0</v>
      </c>
      <c r="E131" s="155">
        <f>HLOOKUP($B131, '5. Allocation of Balances'!$D$4:$Z$56, 49,FALSE)</f>
        <v>0</v>
      </c>
      <c r="F131" s="200">
        <f t="shared" si="10"/>
        <v>0</v>
      </c>
      <c r="G131" s="1" t="str">
        <f t="shared" si="11"/>
        <v>per customer per month</v>
      </c>
    </row>
    <row r="132" spans="2:7" x14ac:dyDescent="0.25">
      <c r="B132" s="153" t="str">
        <f t="shared" si="9"/>
        <v/>
      </c>
      <c r="C132" s="74" t="s">
        <v>71</v>
      </c>
      <c r="D132" s="154">
        <f>IF(C132="",0,IF(ISNUMBER(SEARCH("RESIDENTIAL",UPPER(B132),1)),'4. Billing Determinants'!D28, IF(C132="kWh",'4. Billing Determinants'!E28, IF(C132="kW",'4. Billing Determinants'!F28,'4. Billing Determinants'!D28))))</f>
        <v>0</v>
      </c>
      <c r="E132" s="155">
        <f>HLOOKUP($B132, '5. Allocation of Balances'!$D$4:$Z$56, 49,FALSE)</f>
        <v>0</v>
      </c>
      <c r="F132" s="200">
        <f t="shared" si="10"/>
        <v>0</v>
      </c>
      <c r="G132" s="1" t="str">
        <f t="shared" si="11"/>
        <v>per customer per month</v>
      </c>
    </row>
    <row r="133" spans="2:7" x14ac:dyDescent="0.25">
      <c r="B133" s="153" t="str">
        <f t="shared" si="9"/>
        <v/>
      </c>
      <c r="C133" s="74" t="str">
        <f>IF(ISBLANK('4. Billing Determinants'!C55), "", '4. Billing Determinants'!C55)</f>
        <v/>
      </c>
      <c r="D133" s="154">
        <f>IF(C133="",0,IF(ISNUMBER(SEARCH("RESIDENTIAL",UPPER(B133),1)),'4. Billing Determinants'!D29, IF(C133="kWh",'4. Billing Determinants'!E29, IF(C133="kW",'4. Billing Determinants'!F29,'4. Billing Determinants'!D29))))</f>
        <v>0</v>
      </c>
      <c r="E133" s="155">
        <f>HLOOKUP($B133, '5. Allocation of Balances'!$D$4:$Z$56, 49,FALSE)</f>
        <v>0</v>
      </c>
      <c r="F133" s="200">
        <f t="shared" si="10"/>
        <v>0</v>
      </c>
      <c r="G133" s="1" t="str">
        <f t="shared" si="11"/>
        <v/>
      </c>
    </row>
    <row r="134" spans="2:7" x14ac:dyDescent="0.25">
      <c r="B134" s="153" t="str">
        <f t="shared" si="9"/>
        <v/>
      </c>
      <c r="C134" s="74" t="str">
        <f>IF(ISBLANK('4. Billing Determinants'!C56), "", '4. Billing Determinants'!C56)</f>
        <v/>
      </c>
      <c r="D134" s="154">
        <f>IF(C134="",0,IF(ISNUMBER(SEARCH("RESIDENTIAL",UPPER(B134),1)),'4. Billing Determinants'!D30, IF(C134="kWh",'4. Billing Determinants'!E30, IF(C134="kW",'4. Billing Determinants'!F30,'4. Billing Determinants'!D30))))</f>
        <v>0</v>
      </c>
      <c r="E134" s="155">
        <f>HLOOKUP($B134, '5. Allocation of Balances'!$D$4:$Z$56, 49,FALSE)</f>
        <v>0</v>
      </c>
      <c r="F134" s="200">
        <f t="shared" si="10"/>
        <v>0</v>
      </c>
      <c r="G134" s="1" t="str">
        <f t="shared" si="11"/>
        <v/>
      </c>
    </row>
    <row r="135" spans="2:7" x14ac:dyDescent="0.25">
      <c r="B135" s="153" t="str">
        <f t="shared" si="9"/>
        <v/>
      </c>
      <c r="C135" s="74" t="str">
        <f>IF(ISBLANK('4. Billing Determinants'!C57), "", '4. Billing Determinants'!C57)</f>
        <v/>
      </c>
      <c r="D135" s="154">
        <f>IF(C135="",0,IF(ISNUMBER(SEARCH("RESIDENTIAL",UPPER(B135),1)),'4. Billing Determinants'!D31, IF(C135="kWh",'4. Billing Determinants'!E31, IF(C135="kW",'4. Billing Determinants'!F31,'4. Billing Determinants'!D31))))</f>
        <v>0</v>
      </c>
      <c r="E135" s="155">
        <f>HLOOKUP($B135, '5. Allocation of Balances'!$D$4:$Z$56, 49,FALSE)</f>
        <v>0</v>
      </c>
      <c r="F135" s="200">
        <f t="shared" si="10"/>
        <v>0</v>
      </c>
      <c r="G135" s="1" t="str">
        <f t="shared" si="11"/>
        <v/>
      </c>
    </row>
    <row r="136" spans="2:7" x14ac:dyDescent="0.25">
      <c r="B136" s="153" t="str">
        <f t="shared" si="9"/>
        <v/>
      </c>
      <c r="C136" s="74" t="str">
        <f>IF(ISBLANK('4. Billing Determinants'!C58), "", '4. Billing Determinants'!C58)</f>
        <v/>
      </c>
      <c r="D136" s="154">
        <f>IF(C136="",0,IF(ISNUMBER(SEARCH("RESIDENTIAL",UPPER(B136),1)),'4. Billing Determinants'!D32, IF(C136="kWh",'4. Billing Determinants'!E32, IF(C136="kW",'4. Billing Determinants'!F32,'4. Billing Determinants'!D32))))</f>
        <v>0</v>
      </c>
      <c r="E136" s="155">
        <f>HLOOKUP($B136, '5. Allocation of Balances'!$D$4:$Z$56, 49,FALSE)</f>
        <v>0</v>
      </c>
      <c r="F136" s="200">
        <f t="shared" si="10"/>
        <v>0</v>
      </c>
      <c r="G136" s="1" t="str">
        <f t="shared" si="11"/>
        <v/>
      </c>
    </row>
    <row r="137" spans="2:7" x14ac:dyDescent="0.25">
      <c r="B137" s="153" t="str">
        <f t="shared" si="9"/>
        <v/>
      </c>
      <c r="C137" s="74" t="str">
        <f>IF(ISBLANK('4. Billing Determinants'!C59), "", '4. Billing Determinants'!C59)</f>
        <v/>
      </c>
      <c r="D137" s="154">
        <f>IF(C137="",0,IF(ISNUMBER(SEARCH("RESIDENTIAL",UPPER(B137),1)),'4. Billing Determinants'!D33, IF(C137="kWh",'4. Billing Determinants'!E33, IF(C137="kW",'4. Billing Determinants'!F33,'4. Billing Determinants'!D33))))</f>
        <v>0</v>
      </c>
      <c r="E137" s="155">
        <f>HLOOKUP($B137, '5. Allocation of Balances'!$D$4:$Z$56, 49,FALSE)</f>
        <v>0</v>
      </c>
      <c r="F137" s="200">
        <f t="shared" si="10"/>
        <v>0</v>
      </c>
      <c r="G137" s="1" t="str">
        <f t="shared" si="11"/>
        <v/>
      </c>
    </row>
    <row r="138" spans="2:7" x14ac:dyDescent="0.25">
      <c r="B138" s="153" t="str">
        <f t="shared" si="9"/>
        <v/>
      </c>
      <c r="C138" s="74" t="str">
        <f>IF(ISBLANK('4. Billing Determinants'!C60), "", '4. Billing Determinants'!C60)</f>
        <v/>
      </c>
      <c r="D138" s="154">
        <f>IF(C138="",0,IF(ISNUMBER(SEARCH("RESIDENTIAL",UPPER(B138),1)),'4. Billing Determinants'!D34, IF(C138="kWh",'4. Billing Determinants'!E34, IF(C138="kW",'4. Billing Determinants'!F34,'4. Billing Determinants'!D34))))</f>
        <v>0</v>
      </c>
      <c r="E138" s="155">
        <f>HLOOKUP($B138, '5. Allocation of Balances'!$D$4:$Z$56, 49,FALSE)</f>
        <v>0</v>
      </c>
      <c r="F138" s="200">
        <f t="shared" si="10"/>
        <v>0</v>
      </c>
      <c r="G138" s="1" t="str">
        <f t="shared" si="11"/>
        <v/>
      </c>
    </row>
    <row r="139" spans="2:7" x14ac:dyDescent="0.25">
      <c r="B139" s="153" t="str">
        <f t="shared" si="9"/>
        <v/>
      </c>
      <c r="C139" s="74" t="str">
        <f>IF(ISBLANK('4. Billing Determinants'!C61), "", '4. Billing Determinants'!C61)</f>
        <v/>
      </c>
      <c r="D139" s="154">
        <f>IF(C139="",0,IF(ISNUMBER(SEARCH("RESIDENTIAL",UPPER(B139),1)),'4. Billing Determinants'!D35, IF(C139="kWh",'4. Billing Determinants'!E35, IF(C139="kW",'4. Billing Determinants'!F35,'4. Billing Determinants'!D35))))</f>
        <v>0</v>
      </c>
      <c r="E139" s="155">
        <f>HLOOKUP($B139, '5. Allocation of Balances'!$D$4:$Z$56, 49,FALSE)</f>
        <v>0</v>
      </c>
      <c r="F139" s="200">
        <f t="shared" si="10"/>
        <v>0</v>
      </c>
      <c r="G139" s="1" t="str">
        <f t="shared" si="11"/>
        <v/>
      </c>
    </row>
    <row r="140" spans="2:7" x14ac:dyDescent="0.25">
      <c r="B140" s="153" t="str">
        <f t="shared" si="9"/>
        <v/>
      </c>
      <c r="C140" s="74" t="str">
        <f>IF(ISBLANK('4. Billing Determinants'!C62), "", '4. Billing Determinants'!C62)</f>
        <v/>
      </c>
      <c r="D140" s="154">
        <f>IF(C140="",0,IF(ISNUMBER(SEARCH("RESIDENTIAL",UPPER(B140),1)),'4. Billing Determinants'!D36, IF(C140="kWh",'4. Billing Determinants'!E36, IF(C140="kW",'4. Billing Determinants'!F36,'4. Billing Determinants'!D36))))</f>
        <v>0</v>
      </c>
      <c r="E140" s="155">
        <f>HLOOKUP($B140, '5. Allocation of Balances'!$D$4:$Z$56, 49,FALSE)</f>
        <v>0</v>
      </c>
      <c r="F140" s="200">
        <f t="shared" si="10"/>
        <v>0</v>
      </c>
      <c r="G140" s="1" t="str">
        <f t="shared" si="11"/>
        <v/>
      </c>
    </row>
    <row r="141" spans="2:7" x14ac:dyDescent="0.25">
      <c r="B141" s="153" t="str">
        <f t="shared" si="9"/>
        <v/>
      </c>
      <c r="C141" s="74" t="str">
        <f>IF(ISBLANK('4. Billing Determinants'!C63), "", '4. Billing Determinants'!C63)</f>
        <v/>
      </c>
      <c r="D141" s="154">
        <f>IF(C141="",0,IF(ISNUMBER(SEARCH("RESIDENTIAL",UPPER(B141),1)),'4. Billing Determinants'!D37, IF(C141="kWh",'4. Billing Determinants'!E37, IF(C141="kW",'4. Billing Determinants'!F37,'4. Billing Determinants'!D37))))</f>
        <v>0</v>
      </c>
      <c r="E141" s="155">
        <f>HLOOKUP($B141, '5. Allocation of Balances'!$D$4:$Z$56, 49,FALSE)</f>
        <v>0</v>
      </c>
      <c r="F141" s="200">
        <f t="shared" si="10"/>
        <v>0</v>
      </c>
      <c r="G141" s="1" t="str">
        <f t="shared" si="11"/>
        <v/>
      </c>
    </row>
    <row r="142" spans="2:7" x14ac:dyDescent="0.25">
      <c r="B142" s="153" t="str">
        <f t="shared" si="9"/>
        <v/>
      </c>
      <c r="C142" s="74" t="str">
        <f>IF(ISBLANK('4. Billing Determinants'!C64), "", '4. Billing Determinants'!C64)</f>
        <v/>
      </c>
      <c r="D142" s="154">
        <f>IF(C142="",0,IF(ISNUMBER(SEARCH("RESIDENTIAL",UPPER(B142),1)),'4. Billing Determinants'!D38, IF(C142="kWh",'4. Billing Determinants'!E38, IF(C142="kW",'4. Billing Determinants'!F38,'4. Billing Determinants'!D38))))</f>
        <v>0</v>
      </c>
      <c r="E142" s="155">
        <f>HLOOKUP($B142, '5. Allocation of Balances'!$D$4:$Z$56, 49,FALSE)</f>
        <v>0</v>
      </c>
      <c r="F142" s="200">
        <f t="shared" si="10"/>
        <v>0</v>
      </c>
      <c r="G142" s="1" t="str">
        <f t="shared" si="11"/>
        <v/>
      </c>
    </row>
    <row r="143" spans="2:7" x14ac:dyDescent="0.25">
      <c r="B143" s="153" t="str">
        <f t="shared" si="9"/>
        <v/>
      </c>
      <c r="C143" s="74" t="str">
        <f>IF(ISBLANK('4. Billing Determinants'!C65), "", '4. Billing Determinants'!C65)</f>
        <v/>
      </c>
      <c r="D143" s="154">
        <f>IF(C143="",0,IF(ISNUMBER(SEARCH("RESIDENTIAL",UPPER(B143),1)),'4. Billing Determinants'!D39, IF(C143="kWh",'4. Billing Determinants'!E39, IF(C143="kW",'4. Billing Determinants'!F39,'4. Billing Determinants'!D39))))</f>
        <v>0</v>
      </c>
      <c r="E143" s="155">
        <f>HLOOKUP($B143, '5. Allocation of Balances'!$D$4:$Z$56, 49,FALSE)</f>
        <v>0</v>
      </c>
      <c r="F143" s="200">
        <f t="shared" si="10"/>
        <v>0</v>
      </c>
      <c r="G143" s="1" t="str">
        <f t="shared" si="11"/>
        <v/>
      </c>
    </row>
    <row r="144" spans="2:7" x14ac:dyDescent="0.25">
      <c r="B144" s="153" t="str">
        <f t="shared" si="9"/>
        <v/>
      </c>
      <c r="C144" s="74" t="str">
        <f>IF(ISBLANK('4. Billing Determinants'!C66), "", '4. Billing Determinants'!C66)</f>
        <v/>
      </c>
      <c r="D144" s="154">
        <f>IF(C144="",0,IF(ISNUMBER(SEARCH("RESIDENTIAL",UPPER(B144),1)),'4. Billing Determinants'!D40, IF(C144="kWh",'4. Billing Determinants'!E40, IF(C144="kW",'4. Billing Determinants'!F40,'4. Billing Determinants'!D40))))</f>
        <v>0</v>
      </c>
      <c r="E144" s="155">
        <f>HLOOKUP($B144, '5. Allocation of Balances'!$D$4:$Z$56, 49,FALSE)</f>
        <v>0</v>
      </c>
      <c r="F144" s="200">
        <f t="shared" si="10"/>
        <v>0</v>
      </c>
      <c r="G144" s="1" t="str">
        <f t="shared" si="11"/>
        <v/>
      </c>
    </row>
    <row r="145" spans="2:7" x14ac:dyDescent="0.25">
      <c r="B145" s="159" t="s">
        <v>63</v>
      </c>
      <c r="C145" s="160"/>
      <c r="D145" s="161"/>
      <c r="E145" s="162">
        <f>SUM(E125:E144)</f>
        <v>101911.62999999998</v>
      </c>
      <c r="F145" s="159"/>
    </row>
    <row r="147" spans="2:7" ht="17.399999999999999" x14ac:dyDescent="0.3">
      <c r="B147" s="151" t="s">
        <v>98</v>
      </c>
    </row>
    <row r="148" spans="2:7" ht="17.399999999999999" x14ac:dyDescent="0.3">
      <c r="B148" s="151"/>
    </row>
    <row r="149" spans="2:7" x14ac:dyDescent="0.25">
      <c r="B149" s="63" t="s">
        <v>78</v>
      </c>
      <c r="C149" s="64"/>
      <c r="D149" s="65">
        <v>1</v>
      </c>
    </row>
    <row r="150" spans="2:7" ht="12.75" customHeight="1" x14ac:dyDescent="0.25">
      <c r="C150" s="152"/>
    </row>
    <row r="151" spans="2:7" x14ac:dyDescent="0.25">
      <c r="B151" s="467" t="s">
        <v>72</v>
      </c>
      <c r="C151" s="466" t="s">
        <v>62</v>
      </c>
      <c r="D151" s="493" t="s">
        <v>71</v>
      </c>
      <c r="E151" s="493" t="s">
        <v>99</v>
      </c>
      <c r="F151" s="495" t="s">
        <v>100</v>
      </c>
    </row>
    <row r="152" spans="2:7" ht="25.5" customHeight="1" x14ac:dyDescent="0.25">
      <c r="B152" s="468"/>
      <c r="C152" s="466"/>
      <c r="D152" s="494"/>
      <c r="E152" s="494"/>
      <c r="F152" s="495"/>
    </row>
    <row r="153" spans="2:7" x14ac:dyDescent="0.25">
      <c r="B153" s="153" t="str">
        <f t="shared" ref="B153:B172" si="12">B20</f>
        <v>RESIDENTIAL</v>
      </c>
      <c r="C153" s="74" t="s">
        <v>71</v>
      </c>
      <c r="D153" s="154">
        <f>IF(C153="",0, IF(C153="kWh",'4. Billing Determinants'!E21, IF(C153="kW",'4. Billing Determinants'!F21,'4. Billing Determinants'!D21)))</f>
        <v>15554.75</v>
      </c>
      <c r="E153" s="155">
        <f>HLOOKUP($B153, '5. Allocation of Balances'!$C$4:$Y$56, 53,FALSE)</f>
        <v>0</v>
      </c>
      <c r="F153" s="156">
        <f>IF(ISERROR(E153/D153), 0, IF(C153="# of Customers", E153/D153/12/$D$149, E153/D153/$D$149))</f>
        <v>0</v>
      </c>
      <c r="G153" s="1" t="str">
        <f t="shared" ref="G153:G172" si="13">IF(C153="", "", IF(C153="# of Customers", "per customer per month", "$/"&amp;C153))</f>
        <v>per customer per month</v>
      </c>
    </row>
    <row r="154" spans="2:7" x14ac:dyDescent="0.25">
      <c r="B154" s="153" t="str">
        <f t="shared" si="12"/>
        <v>GENERAL SERVICE &lt; 50 KW</v>
      </c>
      <c r="C154" s="74" t="s">
        <v>71</v>
      </c>
      <c r="D154" s="154">
        <f>IF(C154="",0,IF(ISNUMBER(SEARCH("RESIDENTIAL",UPPER(B154),1)),'4. Billing Determinants'!D22, IF(C154="kWh",'4. Billing Determinants'!E22, IF(C154="kW",'4. Billing Determinants'!F22,'4. Billing Determinants'!D22))))</f>
        <v>1034.4166666666667</v>
      </c>
      <c r="E154" s="155">
        <f>HLOOKUP($B154, '5. Allocation of Balances'!$C$4:$Y$56, 53,FALSE)</f>
        <v>0</v>
      </c>
      <c r="F154" s="156">
        <f t="shared" ref="F154:F172" si="14">IF(ISERROR(E154/D154), 0, IF(C154="# of Customers", E154/D154/12/$D$149, E154/D154/$D$149))</f>
        <v>0</v>
      </c>
      <c r="G154" s="1" t="str">
        <f t="shared" si="13"/>
        <v>per customer per month</v>
      </c>
    </row>
    <row r="155" spans="2:7" x14ac:dyDescent="0.25">
      <c r="B155" s="153" t="str">
        <f t="shared" si="12"/>
        <v>GENERAL SERVICE &gt; 50 KW TO 4,999 KW</v>
      </c>
      <c r="C155" s="74" t="s">
        <v>71</v>
      </c>
      <c r="D155" s="154">
        <f>IF(C155="",0,IF(ISNUMBER(SEARCH("RESIDENTIAL",UPPER(B155),1)),'4. Billing Determinants'!D23, IF(C155="kWh",'4. Billing Determinants'!E23, IF(C155="kW",'4. Billing Determinants'!F23,'4. Billing Determinants'!D23))))</f>
        <v>87.5</v>
      </c>
      <c r="E155" s="155">
        <f>HLOOKUP($B155, '5. Allocation of Balances'!$C$4:$Y$56, 53,FALSE)</f>
        <v>0</v>
      </c>
      <c r="F155" s="156">
        <f t="shared" si="14"/>
        <v>0</v>
      </c>
      <c r="G155" s="1" t="str">
        <f t="shared" si="13"/>
        <v>per customer per month</v>
      </c>
    </row>
    <row r="156" spans="2:7" x14ac:dyDescent="0.25">
      <c r="B156" s="153" t="str">
        <f t="shared" si="12"/>
        <v>SENTINEL LIGHTING</v>
      </c>
      <c r="C156" s="74" t="s">
        <v>71</v>
      </c>
      <c r="D156" s="154">
        <f>IF(C156="",0,IF(ISNUMBER(SEARCH("RESIDENTIAL",UPPER(B156),1)),'4. Billing Determinants'!D24, IF(C156="kWh",'4. Billing Determinants'!E24, IF(C156="kW",'4. Billing Determinants'!F24,'4. Billing Determinants'!D24))))</f>
        <v>161</v>
      </c>
      <c r="E156" s="155">
        <f>HLOOKUP($B156, '5. Allocation of Balances'!$C$4:$Y$56, 53,FALSE)</f>
        <v>0</v>
      </c>
      <c r="F156" s="156">
        <f t="shared" si="14"/>
        <v>0</v>
      </c>
      <c r="G156" s="1" t="str">
        <f t="shared" si="13"/>
        <v>per customer per month</v>
      </c>
    </row>
    <row r="157" spans="2:7" x14ac:dyDescent="0.25">
      <c r="B157" s="153" t="str">
        <f t="shared" si="12"/>
        <v>STREET LIGHTING</v>
      </c>
      <c r="C157" s="74" t="s">
        <v>71</v>
      </c>
      <c r="D157" s="154">
        <f>IF(C157="",0,IF(ISNUMBER(SEARCH("RESIDENTIAL",UPPER(B157),1)),'4. Billing Determinants'!D25, IF(C157="kWh",'4. Billing Determinants'!E25, IF(C157="kW",'4. Billing Determinants'!F25,'4. Billing Determinants'!D25))))</f>
        <v>2994.8333333333335</v>
      </c>
      <c r="E157" s="155">
        <f>HLOOKUP($B157, '5. Allocation of Balances'!$C$4:$Y$56, 53,FALSE)</f>
        <v>0</v>
      </c>
      <c r="F157" s="156">
        <f t="shared" si="14"/>
        <v>0</v>
      </c>
      <c r="G157" s="1" t="str">
        <f t="shared" si="13"/>
        <v>per customer per month</v>
      </c>
    </row>
    <row r="158" spans="2:7" x14ac:dyDescent="0.25">
      <c r="B158" s="153" t="str">
        <f t="shared" si="12"/>
        <v>UNMETERED SCATTERED LOAD</v>
      </c>
      <c r="C158" s="74" t="s">
        <v>71</v>
      </c>
      <c r="D158" s="154">
        <f>IF(C158="",0,IF(ISNUMBER(SEARCH("RESIDENTIAL",UPPER(B158),1)),'4. Billing Determinants'!D26, IF(C158="kWh",'4. Billing Determinants'!E26, IF(C158="kW",'4. Billing Determinants'!F26,'4. Billing Determinants'!D26))))</f>
        <v>73.5</v>
      </c>
      <c r="E158" s="155">
        <f>HLOOKUP($B158, '5. Allocation of Balances'!$C$4:$Y$56, 53,FALSE)</f>
        <v>0</v>
      </c>
      <c r="F158" s="156">
        <f t="shared" si="14"/>
        <v>0</v>
      </c>
      <c r="G158" s="1" t="str">
        <f t="shared" si="13"/>
        <v>per customer per month</v>
      </c>
    </row>
    <row r="159" spans="2:7" x14ac:dyDescent="0.25">
      <c r="B159" s="153" t="str">
        <f t="shared" si="12"/>
        <v/>
      </c>
      <c r="C159" s="74" t="s">
        <v>71</v>
      </c>
      <c r="D159" s="154">
        <f>IF(C159="",0,IF(ISNUMBER(SEARCH("RESIDENTIAL",UPPER(B159),1)),'4. Billing Determinants'!D27, IF(C159="kWh",'4. Billing Determinants'!E27, IF(C159="kW",'4. Billing Determinants'!F27,'4. Billing Determinants'!D27))))</f>
        <v>0</v>
      </c>
      <c r="E159" s="155">
        <f>HLOOKUP($B159, '5. Allocation of Balances'!$C$4:$Y$56, 53,FALSE)</f>
        <v>0</v>
      </c>
      <c r="F159" s="156">
        <f t="shared" si="14"/>
        <v>0</v>
      </c>
      <c r="G159" s="1" t="str">
        <f t="shared" si="13"/>
        <v>per customer per month</v>
      </c>
    </row>
    <row r="160" spans="2:7" x14ac:dyDescent="0.25">
      <c r="B160" s="153" t="str">
        <f t="shared" si="12"/>
        <v/>
      </c>
      <c r="C160" s="74" t="s">
        <v>71</v>
      </c>
      <c r="D160" s="154">
        <f>IF(C160="",0,IF(ISNUMBER(SEARCH("RESIDENTIAL",UPPER(B160),1)),'4. Billing Determinants'!D28, IF(C160="kWh",'4. Billing Determinants'!E28, IF(C160="kW",'4. Billing Determinants'!F28,'4. Billing Determinants'!D28))))</f>
        <v>0</v>
      </c>
      <c r="E160" s="155">
        <f>HLOOKUP($B160, '5. Allocation of Balances'!$C$4:$Y$56, 53,FALSE)</f>
        <v>0</v>
      </c>
      <c r="F160" s="156">
        <f t="shared" si="14"/>
        <v>0</v>
      </c>
      <c r="G160" s="1" t="str">
        <f t="shared" si="13"/>
        <v>per customer per month</v>
      </c>
    </row>
    <row r="161" spans="2:7" x14ac:dyDescent="0.25">
      <c r="B161" s="153" t="str">
        <f t="shared" si="12"/>
        <v/>
      </c>
      <c r="C161" s="74" t="str">
        <f>IF(ISBLANK('4. Billing Determinants'!C29), "", '4. Billing Determinants'!C29)</f>
        <v/>
      </c>
      <c r="D161" s="154">
        <f>IF(C161="",0,IF(ISNUMBER(SEARCH("RESIDENTIAL",UPPER(B161),1)),'4. Billing Determinants'!D29, IF(C161="kWh",'4. Billing Determinants'!E29, IF(C161="kW",'4. Billing Determinants'!F29,'4. Billing Determinants'!D29))))</f>
        <v>0</v>
      </c>
      <c r="E161" s="155">
        <f>HLOOKUP($B161, '5. Allocation of Balances'!$C$4:$Y$56, 53,FALSE)</f>
        <v>0</v>
      </c>
      <c r="F161" s="156">
        <f t="shared" si="14"/>
        <v>0</v>
      </c>
      <c r="G161" s="1" t="str">
        <f t="shared" si="13"/>
        <v/>
      </c>
    </row>
    <row r="162" spans="2:7" x14ac:dyDescent="0.25">
      <c r="B162" s="153" t="str">
        <f t="shared" si="12"/>
        <v/>
      </c>
      <c r="C162" s="74" t="str">
        <f>IF(ISBLANK('4. Billing Determinants'!C30), "", '4. Billing Determinants'!C30)</f>
        <v/>
      </c>
      <c r="D162" s="154">
        <f>IF(C162="",0,IF(ISNUMBER(SEARCH("RESIDENTIAL",UPPER(B162),1)),'4. Billing Determinants'!D30, IF(C162="kWh",'4. Billing Determinants'!E30, IF(C162="kW",'4. Billing Determinants'!F30,'4. Billing Determinants'!D30))))</f>
        <v>0</v>
      </c>
      <c r="E162" s="155">
        <f>HLOOKUP($B162, '5. Allocation of Balances'!$C$4:$Y$56, 53,FALSE)</f>
        <v>0</v>
      </c>
      <c r="F162" s="156">
        <f t="shared" si="14"/>
        <v>0</v>
      </c>
      <c r="G162" s="1" t="str">
        <f t="shared" si="13"/>
        <v/>
      </c>
    </row>
    <row r="163" spans="2:7" x14ac:dyDescent="0.25">
      <c r="B163" s="153" t="str">
        <f t="shared" si="12"/>
        <v/>
      </c>
      <c r="C163" s="74" t="str">
        <f>IF(ISBLANK('4. Billing Determinants'!C31), "", '4. Billing Determinants'!C31)</f>
        <v/>
      </c>
      <c r="D163" s="154">
        <f>IF(C163="",0,IF(ISNUMBER(SEARCH("RESIDENTIAL",UPPER(B163),1)),'4. Billing Determinants'!D31, IF(C163="kWh",'4. Billing Determinants'!E31, IF(C163="kW",'4. Billing Determinants'!F31,'4. Billing Determinants'!D31))))</f>
        <v>0</v>
      </c>
      <c r="E163" s="155">
        <f>HLOOKUP($B163, '5. Allocation of Balances'!$C$4:$Y$56, 53,FALSE)</f>
        <v>0</v>
      </c>
      <c r="F163" s="156">
        <f t="shared" si="14"/>
        <v>0</v>
      </c>
      <c r="G163" s="1" t="str">
        <f t="shared" si="13"/>
        <v/>
      </c>
    </row>
    <row r="164" spans="2:7" x14ac:dyDescent="0.25">
      <c r="B164" s="153" t="str">
        <f t="shared" si="12"/>
        <v/>
      </c>
      <c r="C164" s="74" t="str">
        <f>IF(ISBLANK('4. Billing Determinants'!C32), "", '4. Billing Determinants'!C32)</f>
        <v/>
      </c>
      <c r="D164" s="154">
        <f>IF(C164="",0,IF(ISNUMBER(SEARCH("RESIDENTIAL",UPPER(B164),1)),'4. Billing Determinants'!D32, IF(C164="kWh",'4. Billing Determinants'!E32, IF(C164="kW",'4. Billing Determinants'!F32,'4. Billing Determinants'!D32))))</f>
        <v>0</v>
      </c>
      <c r="E164" s="155">
        <f>HLOOKUP($B164, '5. Allocation of Balances'!$C$4:$Y$56, 53,FALSE)</f>
        <v>0</v>
      </c>
      <c r="F164" s="156">
        <f t="shared" si="14"/>
        <v>0</v>
      </c>
      <c r="G164" s="1" t="str">
        <f t="shared" si="13"/>
        <v/>
      </c>
    </row>
    <row r="165" spans="2:7" x14ac:dyDescent="0.25">
      <c r="B165" s="153" t="str">
        <f t="shared" si="12"/>
        <v/>
      </c>
      <c r="C165" s="74" t="str">
        <f>IF(ISBLANK('4. Billing Determinants'!C33), "", '4. Billing Determinants'!C33)</f>
        <v/>
      </c>
      <c r="D165" s="154">
        <f>IF(C165="",0,IF(ISNUMBER(SEARCH("RESIDENTIAL",UPPER(B165),1)),'4. Billing Determinants'!D33, IF(C165="kWh",'4. Billing Determinants'!E33, IF(C165="kW",'4. Billing Determinants'!F33,'4. Billing Determinants'!D33))))</f>
        <v>0</v>
      </c>
      <c r="E165" s="155">
        <f>HLOOKUP($B165, '5. Allocation of Balances'!$C$4:$Y$56, 53,FALSE)</f>
        <v>0</v>
      </c>
      <c r="F165" s="156">
        <f t="shared" si="14"/>
        <v>0</v>
      </c>
      <c r="G165" s="1" t="str">
        <f t="shared" si="13"/>
        <v/>
      </c>
    </row>
    <row r="166" spans="2:7" x14ac:dyDescent="0.25">
      <c r="B166" s="153" t="str">
        <f t="shared" si="12"/>
        <v/>
      </c>
      <c r="C166" s="74" t="str">
        <f>IF(ISBLANK('4. Billing Determinants'!C34), "", '4. Billing Determinants'!C34)</f>
        <v/>
      </c>
      <c r="D166" s="154">
        <f>IF(C166="",0,IF(ISNUMBER(SEARCH("RESIDENTIAL",UPPER(B166),1)),'4. Billing Determinants'!D34, IF(C166="kWh",'4. Billing Determinants'!E34, IF(C166="kW",'4. Billing Determinants'!F34,'4. Billing Determinants'!D34))))</f>
        <v>0</v>
      </c>
      <c r="E166" s="155">
        <f>HLOOKUP($B166, '5. Allocation of Balances'!$C$4:$Y$56, 53,FALSE)</f>
        <v>0</v>
      </c>
      <c r="F166" s="156">
        <f t="shared" si="14"/>
        <v>0</v>
      </c>
      <c r="G166" s="1" t="str">
        <f t="shared" si="13"/>
        <v/>
      </c>
    </row>
    <row r="167" spans="2:7" x14ac:dyDescent="0.25">
      <c r="B167" s="153" t="str">
        <f t="shared" si="12"/>
        <v/>
      </c>
      <c r="C167" s="74" t="str">
        <f>IF(ISBLANK('4. Billing Determinants'!C35), "", '4. Billing Determinants'!C35)</f>
        <v/>
      </c>
      <c r="D167" s="154">
        <f>IF(C167="",0,IF(ISNUMBER(SEARCH("RESIDENTIAL",UPPER(B167),1)),'4. Billing Determinants'!D35, IF(C167="kWh",'4. Billing Determinants'!E35, IF(C167="kW",'4. Billing Determinants'!F35,'4. Billing Determinants'!D35))))</f>
        <v>0</v>
      </c>
      <c r="E167" s="155">
        <f>HLOOKUP($B167, '5. Allocation of Balances'!$C$4:$Y$56, 53,FALSE)</f>
        <v>0</v>
      </c>
      <c r="F167" s="156">
        <f t="shared" si="14"/>
        <v>0</v>
      </c>
      <c r="G167" s="1" t="str">
        <f t="shared" si="13"/>
        <v/>
      </c>
    </row>
    <row r="168" spans="2:7" x14ac:dyDescent="0.25">
      <c r="B168" s="153" t="str">
        <f t="shared" si="12"/>
        <v/>
      </c>
      <c r="C168" s="74" t="str">
        <f>IF(ISBLANK('4. Billing Determinants'!C36), "", '4. Billing Determinants'!C36)</f>
        <v/>
      </c>
      <c r="D168" s="154">
        <f>IF(C168="",0,IF(ISNUMBER(SEARCH("RESIDENTIAL",UPPER(B168),1)),'4. Billing Determinants'!D36, IF(C168="kWh",'4. Billing Determinants'!E36, IF(C168="kW",'4. Billing Determinants'!F36,'4. Billing Determinants'!D36))))</f>
        <v>0</v>
      </c>
      <c r="E168" s="155">
        <f>HLOOKUP($B168, '5. Allocation of Balances'!$C$4:$Y$56, 53,FALSE)</f>
        <v>0</v>
      </c>
      <c r="F168" s="156">
        <f t="shared" si="14"/>
        <v>0</v>
      </c>
      <c r="G168" s="1" t="str">
        <f t="shared" si="13"/>
        <v/>
      </c>
    </row>
    <row r="169" spans="2:7" x14ac:dyDescent="0.25">
      <c r="B169" s="153" t="str">
        <f t="shared" si="12"/>
        <v/>
      </c>
      <c r="C169" s="74" t="str">
        <f>IF(ISBLANK('4. Billing Determinants'!C37), "", '4. Billing Determinants'!C37)</f>
        <v/>
      </c>
      <c r="D169" s="154">
        <f>IF(C169="",0,IF(ISNUMBER(SEARCH("RESIDENTIAL",UPPER(B169),1)),'4. Billing Determinants'!D37, IF(C169="kWh",'4. Billing Determinants'!E37, IF(C169="kW",'4. Billing Determinants'!F37,'4. Billing Determinants'!D37))))</f>
        <v>0</v>
      </c>
      <c r="E169" s="155">
        <f>HLOOKUP($B169, '5. Allocation of Balances'!$C$4:$Y$56, 53,FALSE)</f>
        <v>0</v>
      </c>
      <c r="F169" s="156">
        <f t="shared" si="14"/>
        <v>0</v>
      </c>
      <c r="G169" s="1" t="str">
        <f t="shared" si="13"/>
        <v/>
      </c>
    </row>
    <row r="170" spans="2:7" x14ac:dyDescent="0.25">
      <c r="B170" s="153" t="str">
        <f t="shared" si="12"/>
        <v/>
      </c>
      <c r="C170" s="74" t="str">
        <f>IF(ISBLANK('4. Billing Determinants'!C38), "", '4. Billing Determinants'!C38)</f>
        <v/>
      </c>
      <c r="D170" s="154">
        <f>IF(C170="",0,IF(ISNUMBER(SEARCH("RESIDENTIAL",UPPER(B170),1)),'4. Billing Determinants'!D38, IF(C170="kWh",'4. Billing Determinants'!E38, IF(C170="kW",'4. Billing Determinants'!F38,'4. Billing Determinants'!D38))))</f>
        <v>0</v>
      </c>
      <c r="E170" s="155">
        <f>HLOOKUP($B170, '5. Allocation of Balances'!$C$4:$Y$56, 53,FALSE)</f>
        <v>0</v>
      </c>
      <c r="F170" s="156">
        <f t="shared" si="14"/>
        <v>0</v>
      </c>
      <c r="G170" s="1" t="str">
        <f t="shared" si="13"/>
        <v/>
      </c>
    </row>
    <row r="171" spans="2:7" x14ac:dyDescent="0.25">
      <c r="B171" s="153" t="str">
        <f t="shared" si="12"/>
        <v/>
      </c>
      <c r="C171" s="74" t="str">
        <f>IF(ISBLANK('4. Billing Determinants'!C39), "", '4. Billing Determinants'!C39)</f>
        <v/>
      </c>
      <c r="D171" s="154">
        <f>IF(C171="",0,IF(ISNUMBER(SEARCH("RESIDENTIAL",UPPER(B171),1)),'4. Billing Determinants'!D39, IF(C171="kWh",'4. Billing Determinants'!E39, IF(C171="kW",'4. Billing Determinants'!F39,'4. Billing Determinants'!D39))))</f>
        <v>0</v>
      </c>
      <c r="E171" s="155">
        <f>HLOOKUP($B171, '5. Allocation of Balances'!$C$4:$Y$56, 53,FALSE)</f>
        <v>0</v>
      </c>
      <c r="F171" s="156">
        <f t="shared" si="14"/>
        <v>0</v>
      </c>
      <c r="G171" s="1" t="str">
        <f t="shared" si="13"/>
        <v/>
      </c>
    </row>
    <row r="172" spans="2:7" x14ac:dyDescent="0.25">
      <c r="B172" s="153" t="str">
        <f t="shared" si="12"/>
        <v/>
      </c>
      <c r="C172" s="74" t="str">
        <f>IF(ISBLANK('4. Billing Determinants'!C40), "", '4. Billing Determinants'!C40)</f>
        <v/>
      </c>
      <c r="D172" s="154">
        <f>IF(C172="",0,IF(ISNUMBER(SEARCH("RESIDENTIAL",UPPER(B172),1)),'4. Billing Determinants'!D40, IF(C172="kWh",'4. Billing Determinants'!E40, IF(C172="kW",'4. Billing Determinants'!F40,'4. Billing Determinants'!D40))))</f>
        <v>0</v>
      </c>
      <c r="E172" s="155">
        <f>HLOOKUP($B172, '5. Allocation of Balances'!$C$4:$Y$56, 53,FALSE)</f>
        <v>0</v>
      </c>
      <c r="F172" s="156">
        <f t="shared" si="14"/>
        <v>0</v>
      </c>
      <c r="G172" s="1" t="str">
        <f t="shared" si="13"/>
        <v/>
      </c>
    </row>
    <row r="173" spans="2:7" x14ac:dyDescent="0.25">
      <c r="B173" s="159" t="s">
        <v>63</v>
      </c>
      <c r="C173" s="160"/>
      <c r="D173" s="161"/>
      <c r="E173" s="162">
        <f>SUM(E153:E172)</f>
        <v>0</v>
      </c>
      <c r="F173" s="159"/>
    </row>
    <row r="175" spans="2:7" ht="17.399999999999999" x14ac:dyDescent="0.3">
      <c r="B175" s="151" t="s">
        <v>190</v>
      </c>
    </row>
    <row r="176" spans="2:7" ht="17.399999999999999" x14ac:dyDescent="0.3">
      <c r="B176" s="151"/>
    </row>
    <row r="177" spans="2:7" x14ac:dyDescent="0.25">
      <c r="B177" s="63" t="s">
        <v>78</v>
      </c>
      <c r="C177" s="64"/>
      <c r="D177" s="65">
        <v>1</v>
      </c>
    </row>
    <row r="179" spans="2:7" x14ac:dyDescent="0.25">
      <c r="B179" s="467" t="s">
        <v>72</v>
      </c>
      <c r="C179" s="466" t="s">
        <v>62</v>
      </c>
      <c r="D179" s="493" t="s">
        <v>79</v>
      </c>
      <c r="E179" s="493" t="s">
        <v>191</v>
      </c>
      <c r="F179" s="495" t="s">
        <v>192</v>
      </c>
    </row>
    <row r="180" spans="2:7" x14ac:dyDescent="0.25">
      <c r="B180" s="468"/>
      <c r="C180" s="466"/>
      <c r="D180" s="494"/>
      <c r="E180" s="494"/>
      <c r="F180" s="495"/>
    </row>
    <row r="181" spans="2:7" x14ac:dyDescent="0.25">
      <c r="B181" s="153" t="str">
        <f t="shared" ref="B181:B200" si="15">B20</f>
        <v>RESIDENTIAL</v>
      </c>
      <c r="C181" s="74" t="s">
        <v>189</v>
      </c>
      <c r="D181" s="154">
        <f>IF(C181="",0, IF(C181="kWh",'4. Billing Determinants'!E21, IF(C181="kW",'4. Billing Determinants'!F21,'4. Billing Determinants'!D21)))</f>
        <v>144001990.04708877</v>
      </c>
      <c r="E181" s="155">
        <f>HLOOKUP($B181, '5. Allocation of Balances'!$D$4:$Z$56, 36,FALSE)</f>
        <v>0</v>
      </c>
      <c r="F181" s="156">
        <f t="shared" ref="F181:F200" si="16">IF(ISERROR(E181/D181), 0, IF(C181="# of Customers", E181/D181/12/$D$177, E181/D181/$D$177))</f>
        <v>0</v>
      </c>
      <c r="G181" s="157" t="str">
        <f>IF(C181="", "", IF(C181="# of Customers", "per customer per month", "$/"&amp;C181))</f>
        <v>$/kWh</v>
      </c>
    </row>
    <row r="182" spans="2:7" x14ac:dyDescent="0.25">
      <c r="B182" s="153" t="str">
        <f t="shared" si="15"/>
        <v>GENERAL SERVICE &lt; 50 KW</v>
      </c>
      <c r="C182" s="74" t="s">
        <v>189</v>
      </c>
      <c r="D182" s="154">
        <f>IF(C182="",0, IF(C182="kWh",'4. Billing Determinants'!E22, IF(C182="kW",'4. Billing Determinants'!F22,'4. Billing Determinants'!D22)))</f>
        <v>31418007.178141017</v>
      </c>
      <c r="E182" s="155">
        <f>HLOOKUP($B182, '5. Allocation of Balances'!$D$4:$Z$56, 36,FALSE)</f>
        <v>0</v>
      </c>
      <c r="F182" s="156">
        <f t="shared" si="16"/>
        <v>0</v>
      </c>
      <c r="G182" s="157" t="str">
        <f t="shared" ref="G182:G200" si="17">IF(C182="", "", IF(C182="# of Customers", "per customer per month", "$/"&amp;C182))</f>
        <v>$/kWh</v>
      </c>
    </row>
    <row r="183" spans="2:7" x14ac:dyDescent="0.25">
      <c r="B183" s="153" t="str">
        <f t="shared" si="15"/>
        <v>GENERAL SERVICE &gt; 50 KW TO 4,999 KW</v>
      </c>
      <c r="C183" s="74" t="str">
        <f>IF(ISBLANK('4. Billing Determinants'!C23), "", '4. Billing Determinants'!C23)</f>
        <v>kW</v>
      </c>
      <c r="D183" s="154">
        <f>IF(C183="",0, IF(C183="kWh",'4. Billing Determinants'!E23, IF(C183="kW",'4. Billing Determinants'!F23,'4. Billing Determinants'!D23)))</f>
        <v>174966.34292758067</v>
      </c>
      <c r="E183" s="155">
        <f>HLOOKUP($B183, '5. Allocation of Balances'!$D$4:$Z$56, 36,FALSE)</f>
        <v>0</v>
      </c>
      <c r="F183" s="156">
        <f t="shared" si="16"/>
        <v>0</v>
      </c>
      <c r="G183" s="157" t="str">
        <f t="shared" si="17"/>
        <v>$/kW</v>
      </c>
    </row>
    <row r="184" spans="2:7" x14ac:dyDescent="0.25">
      <c r="B184" s="153" t="str">
        <f t="shared" si="15"/>
        <v>SENTINEL LIGHTING</v>
      </c>
      <c r="C184" s="74" t="str">
        <f>IF(ISBLANK('4. Billing Determinants'!C24), "", '4. Billing Determinants'!C24)</f>
        <v>kW</v>
      </c>
      <c r="D184" s="154">
        <f>IF(C184="",0, IF(C184="kWh",'4. Billing Determinants'!E24, IF(C184="kW",'4. Billing Determinants'!F24,'4. Billing Determinants'!D24)))</f>
        <v>286.28122226821648</v>
      </c>
      <c r="E184" s="155">
        <f>HLOOKUP($B184, '5. Allocation of Balances'!$D$4:$Z$56, 36,FALSE)</f>
        <v>0</v>
      </c>
      <c r="F184" s="156">
        <f t="shared" si="16"/>
        <v>0</v>
      </c>
      <c r="G184" s="157" t="str">
        <f t="shared" si="17"/>
        <v>$/kW</v>
      </c>
    </row>
    <row r="185" spans="2:7" x14ac:dyDescent="0.25">
      <c r="B185" s="153" t="str">
        <f t="shared" si="15"/>
        <v>STREET LIGHTING</v>
      </c>
      <c r="C185" s="74" t="str">
        <f>IF(ISBLANK('4. Billing Determinants'!C25), "", '4. Billing Determinants'!C25)</f>
        <v>kW</v>
      </c>
      <c r="D185" s="154">
        <f>IF(C185="",0, IF(C185="kWh",'4. Billing Determinants'!E25, IF(C185="kW",'4. Billing Determinants'!F25,'4. Billing Determinants'!D25)))</f>
        <v>1598.6472960042561</v>
      </c>
      <c r="E185" s="155">
        <f>HLOOKUP($B185, '5. Allocation of Balances'!$D$4:$Z$56, 36,FALSE)</f>
        <v>0</v>
      </c>
      <c r="F185" s="156">
        <f t="shared" si="16"/>
        <v>0</v>
      </c>
      <c r="G185" s="157" t="str">
        <f t="shared" si="17"/>
        <v>$/kW</v>
      </c>
    </row>
    <row r="186" spans="2:7" x14ac:dyDescent="0.25">
      <c r="B186" s="153" t="str">
        <f t="shared" si="15"/>
        <v>UNMETERED SCATTERED LOAD</v>
      </c>
      <c r="C186" s="74" t="str">
        <f>IF(ISBLANK('4. Billing Determinants'!C26), "", '4. Billing Determinants'!C26)</f>
        <v>kWh</v>
      </c>
      <c r="D186" s="154">
        <f>IF(C186="",0, IF(C186="kWh",'4. Billing Determinants'!E26, IF(C186="kW",'4. Billing Determinants'!F26,'4. Billing Determinants'!D26)))</f>
        <v>461015.01227876113</v>
      </c>
      <c r="E186" s="155">
        <f>HLOOKUP($B186, '5. Allocation of Balances'!$D$4:$Z$56, 36,FALSE)</f>
        <v>0</v>
      </c>
      <c r="F186" s="156">
        <f t="shared" si="16"/>
        <v>0</v>
      </c>
      <c r="G186" s="157" t="str">
        <f t="shared" si="17"/>
        <v>$/kWh</v>
      </c>
    </row>
    <row r="187" spans="2:7" x14ac:dyDescent="0.25">
      <c r="B187" s="153" t="str">
        <f t="shared" si="15"/>
        <v/>
      </c>
      <c r="C187" s="74" t="str">
        <f>IF(ISBLANK('4. Billing Determinants'!C27), "", '4. Billing Determinants'!C27)</f>
        <v/>
      </c>
      <c r="D187" s="154">
        <f>IF(C187="",0, IF(C187="kWh",'4. Billing Determinants'!E27, IF(C187="kW",'4. Billing Determinants'!F27,'4. Billing Determinants'!D27)))</f>
        <v>0</v>
      </c>
      <c r="E187" s="155">
        <f>HLOOKUP($B187, '5. Allocation of Balances'!$D$4:$Z$56, 36,FALSE)</f>
        <v>0</v>
      </c>
      <c r="F187" s="156">
        <f t="shared" si="16"/>
        <v>0</v>
      </c>
      <c r="G187" s="157" t="str">
        <f t="shared" si="17"/>
        <v/>
      </c>
    </row>
    <row r="188" spans="2:7" x14ac:dyDescent="0.25">
      <c r="B188" s="153" t="str">
        <f t="shared" si="15"/>
        <v/>
      </c>
      <c r="C188" s="74" t="str">
        <f>IF(ISBLANK('4. Billing Determinants'!C28), "", '4. Billing Determinants'!C28)</f>
        <v/>
      </c>
      <c r="D188" s="154">
        <f>IF(C188="",0, IF(C188="kWh",'4. Billing Determinants'!E28, IF(C188="kW",'4. Billing Determinants'!F28,'4. Billing Determinants'!D28)))</f>
        <v>0</v>
      </c>
      <c r="E188" s="155">
        <f>HLOOKUP($B188, '5. Allocation of Balances'!$D$4:$Z$56, 36,FALSE)</f>
        <v>0</v>
      </c>
      <c r="F188" s="156">
        <f t="shared" si="16"/>
        <v>0</v>
      </c>
      <c r="G188" s="157" t="str">
        <f t="shared" si="17"/>
        <v/>
      </c>
    </row>
    <row r="189" spans="2:7" x14ac:dyDescent="0.25">
      <c r="B189" s="153" t="str">
        <f t="shared" si="15"/>
        <v/>
      </c>
      <c r="C189" s="74" t="str">
        <f>IF(ISBLANK('4. Billing Determinants'!C29), "", '4. Billing Determinants'!C29)</f>
        <v/>
      </c>
      <c r="D189" s="154">
        <f>IF(C189="",0, IF(C189="kWh",'4. Billing Determinants'!E29, IF(C189="kW",'4. Billing Determinants'!F29,'4. Billing Determinants'!D29)))</f>
        <v>0</v>
      </c>
      <c r="E189" s="155">
        <f>HLOOKUP($B189, '5. Allocation of Balances'!$D$4:$Z$56, 36,FALSE)</f>
        <v>0</v>
      </c>
      <c r="F189" s="156">
        <f t="shared" si="16"/>
        <v>0</v>
      </c>
      <c r="G189" s="157" t="str">
        <f t="shared" si="17"/>
        <v/>
      </c>
    </row>
    <row r="190" spans="2:7" x14ac:dyDescent="0.25">
      <c r="B190" s="153" t="str">
        <f t="shared" si="15"/>
        <v/>
      </c>
      <c r="C190" s="74" t="str">
        <f>IF(ISBLANK('4. Billing Determinants'!C30), "", '4. Billing Determinants'!C30)</f>
        <v/>
      </c>
      <c r="D190" s="154">
        <f>IF(C190="",0, IF(C190="kWh",'4. Billing Determinants'!E30, IF(C190="kW",'4. Billing Determinants'!F30,'4. Billing Determinants'!D30)))</f>
        <v>0</v>
      </c>
      <c r="E190" s="155">
        <f>HLOOKUP($B190, '5. Allocation of Balances'!$D$4:$Z$56, 36,FALSE)</f>
        <v>0</v>
      </c>
      <c r="F190" s="156">
        <f t="shared" si="16"/>
        <v>0</v>
      </c>
      <c r="G190" s="157" t="str">
        <f t="shared" si="17"/>
        <v/>
      </c>
    </row>
    <row r="191" spans="2:7" x14ac:dyDescent="0.25">
      <c r="B191" s="153" t="str">
        <f t="shared" si="15"/>
        <v/>
      </c>
      <c r="C191" s="74" t="str">
        <f>IF(ISBLANK('4. Billing Determinants'!C31), "", '4. Billing Determinants'!C31)</f>
        <v/>
      </c>
      <c r="D191" s="154">
        <f>IF(C191="",0, IF(C191="kWh",'4. Billing Determinants'!E31, IF(C191="kW",'4. Billing Determinants'!F31,'4. Billing Determinants'!D31)))</f>
        <v>0</v>
      </c>
      <c r="E191" s="155">
        <f>HLOOKUP($B191, '5. Allocation of Balances'!$D$4:$Z$56, 36,FALSE)</f>
        <v>0</v>
      </c>
      <c r="F191" s="156">
        <f t="shared" si="16"/>
        <v>0</v>
      </c>
      <c r="G191" s="157" t="str">
        <f t="shared" si="17"/>
        <v/>
      </c>
    </row>
    <row r="192" spans="2:7" x14ac:dyDescent="0.25">
      <c r="B192" s="153" t="str">
        <f t="shared" si="15"/>
        <v/>
      </c>
      <c r="C192" s="74" t="str">
        <f>IF(ISBLANK('4. Billing Determinants'!C32), "", '4. Billing Determinants'!C32)</f>
        <v/>
      </c>
      <c r="D192" s="154">
        <f>IF(C192="",0, IF(C192="kWh",'4. Billing Determinants'!E32, IF(C192="kW",'4. Billing Determinants'!F32,'4. Billing Determinants'!D32)))</f>
        <v>0</v>
      </c>
      <c r="E192" s="155">
        <f>HLOOKUP($B192, '5. Allocation of Balances'!$D$4:$Z$56, 36,FALSE)</f>
        <v>0</v>
      </c>
      <c r="F192" s="156">
        <f t="shared" si="16"/>
        <v>0</v>
      </c>
      <c r="G192" s="157" t="str">
        <f t="shared" si="17"/>
        <v/>
      </c>
    </row>
    <row r="193" spans="2:7" x14ac:dyDescent="0.25">
      <c r="B193" s="153" t="str">
        <f t="shared" si="15"/>
        <v/>
      </c>
      <c r="C193" s="74" t="str">
        <f>IF(ISBLANK('4. Billing Determinants'!C33), "", '4. Billing Determinants'!C33)</f>
        <v/>
      </c>
      <c r="D193" s="154">
        <f>IF(C193="",0, IF(C193="kWh",'4. Billing Determinants'!E33, IF(C193="kW",'4. Billing Determinants'!F33,'4. Billing Determinants'!D33)))</f>
        <v>0</v>
      </c>
      <c r="E193" s="155">
        <f>HLOOKUP($B193, '5. Allocation of Balances'!$D$4:$Z$56, 36,FALSE)</f>
        <v>0</v>
      </c>
      <c r="F193" s="156">
        <f t="shared" si="16"/>
        <v>0</v>
      </c>
      <c r="G193" s="157" t="str">
        <f t="shared" si="17"/>
        <v/>
      </c>
    </row>
    <row r="194" spans="2:7" x14ac:dyDescent="0.25">
      <c r="B194" s="153" t="str">
        <f t="shared" si="15"/>
        <v/>
      </c>
      <c r="C194" s="74" t="str">
        <f>IF(ISBLANK('4. Billing Determinants'!C34), "", '4. Billing Determinants'!C34)</f>
        <v/>
      </c>
      <c r="D194" s="154">
        <f>IF(C194="",0, IF(C194="kWh",'4. Billing Determinants'!E34, IF(C194="kW",'4. Billing Determinants'!F34,'4. Billing Determinants'!D34)))</f>
        <v>0</v>
      </c>
      <c r="E194" s="155">
        <f>HLOOKUP($B194, '5. Allocation of Balances'!$D$4:$Z$56, 36,FALSE)</f>
        <v>0</v>
      </c>
      <c r="F194" s="156">
        <f t="shared" si="16"/>
        <v>0</v>
      </c>
      <c r="G194" s="157" t="str">
        <f t="shared" si="17"/>
        <v/>
      </c>
    </row>
    <row r="195" spans="2:7" x14ac:dyDescent="0.25">
      <c r="B195" s="153" t="str">
        <f t="shared" si="15"/>
        <v/>
      </c>
      <c r="C195" s="74" t="str">
        <f>IF(ISBLANK('4. Billing Determinants'!C35), "", '4. Billing Determinants'!C35)</f>
        <v/>
      </c>
      <c r="D195" s="154">
        <f>IF(C195="",0, IF(C195="kWh",'4. Billing Determinants'!E35, IF(C195="kW",'4. Billing Determinants'!F35,'4. Billing Determinants'!D35)))</f>
        <v>0</v>
      </c>
      <c r="E195" s="155">
        <f>HLOOKUP($B195, '5. Allocation of Balances'!$D$4:$Z$56, 36,FALSE)</f>
        <v>0</v>
      </c>
      <c r="F195" s="156">
        <f t="shared" si="16"/>
        <v>0</v>
      </c>
      <c r="G195" s="157" t="str">
        <f t="shared" si="17"/>
        <v/>
      </c>
    </row>
    <row r="196" spans="2:7" x14ac:dyDescent="0.25">
      <c r="B196" s="153" t="str">
        <f t="shared" si="15"/>
        <v/>
      </c>
      <c r="C196" s="74" t="str">
        <f>IF(ISBLANK('4. Billing Determinants'!C36), "", '4. Billing Determinants'!C36)</f>
        <v/>
      </c>
      <c r="D196" s="154">
        <f>IF(C196="",0, IF(C196="kWh",'4. Billing Determinants'!E36, IF(C196="kW",'4. Billing Determinants'!F36,'4. Billing Determinants'!D36)))</f>
        <v>0</v>
      </c>
      <c r="E196" s="155">
        <f>HLOOKUP($B196, '5. Allocation of Balances'!$D$4:$Z$56, 36,FALSE)</f>
        <v>0</v>
      </c>
      <c r="F196" s="156">
        <f t="shared" si="16"/>
        <v>0</v>
      </c>
      <c r="G196" s="157" t="str">
        <f t="shared" si="17"/>
        <v/>
      </c>
    </row>
    <row r="197" spans="2:7" x14ac:dyDescent="0.25">
      <c r="B197" s="153" t="str">
        <f t="shared" si="15"/>
        <v/>
      </c>
      <c r="C197" s="74" t="str">
        <f>IF(ISBLANK('4. Billing Determinants'!C37), "", '4. Billing Determinants'!C37)</f>
        <v/>
      </c>
      <c r="D197" s="154">
        <f>IF(C197="",0, IF(C197="kWh",'4. Billing Determinants'!E37, IF(C197="kW",'4. Billing Determinants'!F37,'4. Billing Determinants'!D37)))</f>
        <v>0</v>
      </c>
      <c r="E197" s="155">
        <f>HLOOKUP($B197, '5. Allocation of Balances'!$D$4:$Z$56, 36,FALSE)</f>
        <v>0</v>
      </c>
      <c r="F197" s="156">
        <f t="shared" si="16"/>
        <v>0</v>
      </c>
      <c r="G197" s="157" t="str">
        <f t="shared" si="17"/>
        <v/>
      </c>
    </row>
    <row r="198" spans="2:7" x14ac:dyDescent="0.25">
      <c r="B198" s="153" t="str">
        <f t="shared" si="15"/>
        <v/>
      </c>
      <c r="C198" s="74" t="str">
        <f>IF(ISBLANK('4. Billing Determinants'!C38), "", '4. Billing Determinants'!C38)</f>
        <v/>
      </c>
      <c r="D198" s="154">
        <f>IF(C198="",0, IF(C198="kWh",'4. Billing Determinants'!E38, IF(C198="kW",'4. Billing Determinants'!F38,'4. Billing Determinants'!D38)))</f>
        <v>0</v>
      </c>
      <c r="E198" s="155">
        <f>HLOOKUP($B198, '5. Allocation of Balances'!$D$4:$Z$56, 36,FALSE)</f>
        <v>0</v>
      </c>
      <c r="F198" s="156">
        <f t="shared" si="16"/>
        <v>0</v>
      </c>
      <c r="G198" s="157" t="str">
        <f t="shared" si="17"/>
        <v/>
      </c>
    </row>
    <row r="199" spans="2:7" x14ac:dyDescent="0.25">
      <c r="B199" s="153" t="str">
        <f t="shared" si="15"/>
        <v/>
      </c>
      <c r="C199" s="74" t="str">
        <f>IF(ISBLANK('4. Billing Determinants'!C39), "", '4. Billing Determinants'!C39)</f>
        <v/>
      </c>
      <c r="D199" s="154">
        <f>IF(C199="",0, IF(C199="kWh",'4. Billing Determinants'!E39, IF(C199="kW",'4. Billing Determinants'!F39,'4. Billing Determinants'!D39)))</f>
        <v>0</v>
      </c>
      <c r="E199" s="155">
        <f>HLOOKUP($B199, '5. Allocation of Balances'!$D$4:$Z$56, 36,FALSE)</f>
        <v>0</v>
      </c>
      <c r="F199" s="156">
        <f t="shared" si="16"/>
        <v>0</v>
      </c>
      <c r="G199" s="157" t="str">
        <f t="shared" si="17"/>
        <v/>
      </c>
    </row>
    <row r="200" spans="2:7" x14ac:dyDescent="0.25">
      <c r="B200" s="153" t="str">
        <f t="shared" si="15"/>
        <v/>
      </c>
      <c r="C200" s="74" t="str">
        <f>IF(ISBLANK('4. Billing Determinants'!C40), "", '4. Billing Determinants'!C40)</f>
        <v/>
      </c>
      <c r="D200" s="154">
        <f>IF(C200="",0, IF(C200="kWh",'4. Billing Determinants'!E40, IF(C200="kW",'4. Billing Determinants'!F40,'4. Billing Determinants'!D40)))</f>
        <v>0</v>
      </c>
      <c r="E200" s="155">
        <f>HLOOKUP($B200, '5. Allocation of Balances'!$D$4:$Z$56, 36,FALSE)</f>
        <v>0</v>
      </c>
      <c r="F200" s="156">
        <f t="shared" si="16"/>
        <v>0</v>
      </c>
      <c r="G200" s="157" t="str">
        <f t="shared" si="17"/>
        <v/>
      </c>
    </row>
    <row r="201" spans="2:7" x14ac:dyDescent="0.25">
      <c r="B201" s="159" t="s">
        <v>63</v>
      </c>
      <c r="C201" s="160"/>
      <c r="D201" s="161"/>
      <c r="E201" s="162">
        <f>SUM(E181:E200)</f>
        <v>0</v>
      </c>
      <c r="F201" s="159"/>
    </row>
  </sheetData>
  <mergeCells count="35">
    <mergeCell ref="B123:B124"/>
    <mergeCell ref="C123:C124"/>
    <mergeCell ref="D123:D124"/>
    <mergeCell ref="E123:E124"/>
    <mergeCell ref="F123:F124"/>
    <mergeCell ref="B96:B97"/>
    <mergeCell ref="C96:C97"/>
    <mergeCell ref="D96:D97"/>
    <mergeCell ref="E96:E97"/>
    <mergeCell ref="F96:F97"/>
    <mergeCell ref="B179:B180"/>
    <mergeCell ref="C179:C180"/>
    <mergeCell ref="D179:D180"/>
    <mergeCell ref="E179:E180"/>
    <mergeCell ref="F179:F180"/>
    <mergeCell ref="B151:B152"/>
    <mergeCell ref="C151:C152"/>
    <mergeCell ref="D151:D152"/>
    <mergeCell ref="E151:E152"/>
    <mergeCell ref="F151:F152"/>
    <mergeCell ref="B70:B71"/>
    <mergeCell ref="C70:C71"/>
    <mergeCell ref="D18:D19"/>
    <mergeCell ref="E18:E19"/>
    <mergeCell ref="F18:F19"/>
    <mergeCell ref="E70:E71"/>
    <mergeCell ref="F70:F71"/>
    <mergeCell ref="D70:D71"/>
    <mergeCell ref="B18:B19"/>
    <mergeCell ref="C18:C19"/>
    <mergeCell ref="B44:B45"/>
    <mergeCell ref="C44:C45"/>
    <mergeCell ref="D44:D45"/>
    <mergeCell ref="E44:E45"/>
    <mergeCell ref="F44:F45"/>
  </mergeCells>
  <conditionalFormatting sqref="C20:C39">
    <cfRule type="cellIs" dxfId="13" priority="26" operator="equal">
      <formula>"kW"</formula>
    </cfRule>
  </conditionalFormatting>
  <conditionalFormatting sqref="G20:G39">
    <cfRule type="cellIs" dxfId="12" priority="23" operator="equal">
      <formula>"$/kW"</formula>
    </cfRule>
  </conditionalFormatting>
  <conditionalFormatting sqref="G153:G172">
    <cfRule type="cellIs" dxfId="11" priority="18" operator="equal">
      <formula>"$/kW"</formula>
    </cfRule>
  </conditionalFormatting>
  <conditionalFormatting sqref="G98:G117">
    <cfRule type="cellIs" dxfId="10" priority="14" operator="equal">
      <formula>"$/kW"</formula>
    </cfRule>
  </conditionalFormatting>
  <conditionalFormatting sqref="G125:G144">
    <cfRule type="cellIs" dxfId="9" priority="12" operator="equal">
      <formula>"$/kW"</formula>
    </cfRule>
  </conditionalFormatting>
  <conditionalFormatting sqref="G46:G65">
    <cfRule type="cellIs" dxfId="8" priority="10" operator="equal">
      <formula>"$/kW"</formula>
    </cfRule>
  </conditionalFormatting>
  <conditionalFormatting sqref="G72:G91">
    <cfRule type="cellIs" dxfId="7" priority="9" operator="equal">
      <formula>"$/kW"</formula>
    </cfRule>
  </conditionalFormatting>
  <conditionalFormatting sqref="G181:G200">
    <cfRule type="cellIs" dxfId="6" priority="8" operator="equal">
      <formula>"$/kW"</formula>
    </cfRule>
  </conditionalFormatting>
  <conditionalFormatting sqref="C46:C65">
    <cfRule type="cellIs" dxfId="5" priority="7" operator="equal">
      <formula>"kW"</formula>
    </cfRule>
  </conditionalFormatting>
  <conditionalFormatting sqref="C72:C91">
    <cfRule type="cellIs" dxfId="4" priority="6" operator="equal">
      <formula>"kW"</formula>
    </cfRule>
  </conditionalFormatting>
  <conditionalFormatting sqref="C98:C117">
    <cfRule type="cellIs" dxfId="3" priority="5" operator="equal">
      <formula>"kW"</formula>
    </cfRule>
  </conditionalFormatting>
  <conditionalFormatting sqref="C153:C172">
    <cfRule type="cellIs" dxfId="2" priority="4" operator="equal">
      <formula>"kW"</formula>
    </cfRule>
  </conditionalFormatting>
  <conditionalFormatting sqref="C181:C200">
    <cfRule type="cellIs" dxfId="1" priority="3" operator="equal">
      <formula>"kW"</formula>
    </cfRule>
  </conditionalFormatting>
  <conditionalFormatting sqref="C125:C144">
    <cfRule type="cellIs" dxfId="0" priority="1" operator="equal">
      <formula>"kW"</formula>
    </cfRule>
  </conditionalFormatting>
  <dataValidations count="5">
    <dataValidation type="list" allowBlank="1" showInputMessage="1" showErrorMessage="1" sqref="D13">
      <formula1>"1,2,3,4"</formula1>
    </dataValidation>
    <dataValidation type="list" allowBlank="1" showInputMessage="1" showErrorMessage="1" sqref="C20:C39 C46:C65 C181:C200 C98:C117 C125:C144">
      <formula1>"kWh, kW, # of Customers"</formula1>
    </dataValidation>
    <dataValidation type="list" allowBlank="1" showInputMessage="1" showErrorMessage="1" sqref="D149 D177">
      <formula1>"1,2,3,4,5"</formula1>
    </dataValidation>
    <dataValidation type="list" allowBlank="1" showInputMessage="1" showErrorMessage="1" sqref="C72:C91">
      <formula1>"kWh"</formula1>
    </dataValidation>
    <dataValidation type="list" allowBlank="1" showInputMessage="1" showErrorMessage="1" sqref="C153:C172">
      <formula1>"kWh, kW, # of Customers"</formula1>
    </dataValidation>
  </dataValidations>
  <pageMargins left="0.70866141732283472" right="0.70866141732283472" top="0.74803149606299213" bottom="0.74803149606299213" header="0.31496062992125984" footer="0.31496062992125984"/>
  <pageSetup scale="69" fitToHeight="2" orientation="landscape"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2"/>
  <sheetViews>
    <sheetView zoomScaleNormal="100" workbookViewId="0">
      <selection activeCell="E27" sqref="E27"/>
    </sheetView>
  </sheetViews>
  <sheetFormatPr defaultRowHeight="13.2" x14ac:dyDescent="0.25"/>
  <cols>
    <col min="1" max="1" width="69.33203125" customWidth="1"/>
    <col min="3" max="8" width="20.44140625" customWidth="1"/>
    <col min="9" max="11" width="21.109375" customWidth="1"/>
  </cols>
  <sheetData>
    <row r="1" spans="1:10" ht="34.5" customHeight="1" x14ac:dyDescent="0.25">
      <c r="C1" s="500" t="s">
        <v>181</v>
      </c>
      <c r="D1" s="500" t="s">
        <v>182</v>
      </c>
      <c r="E1" s="500" t="s">
        <v>186</v>
      </c>
      <c r="F1" s="500" t="s">
        <v>183</v>
      </c>
      <c r="G1" s="500" t="s">
        <v>185</v>
      </c>
      <c r="H1" s="500" t="s">
        <v>23</v>
      </c>
      <c r="I1" s="500" t="s">
        <v>187</v>
      </c>
      <c r="J1" s="500" t="s">
        <v>184</v>
      </c>
    </row>
    <row r="2" spans="1:10" ht="34.5" customHeight="1" x14ac:dyDescent="0.25">
      <c r="C2" s="501"/>
      <c r="D2" s="501"/>
      <c r="E2" s="501"/>
      <c r="F2" s="500"/>
      <c r="G2" s="500"/>
      <c r="H2" s="500"/>
      <c r="I2" s="500"/>
      <c r="J2" s="500"/>
    </row>
    <row r="3" spans="1:10" ht="34.5" customHeight="1" x14ac:dyDescent="0.25">
      <c r="C3" s="501"/>
      <c r="D3" s="501"/>
      <c r="E3" s="501"/>
      <c r="F3" s="500"/>
      <c r="G3" s="500"/>
      <c r="H3" s="500" t="s">
        <v>12</v>
      </c>
      <c r="I3" s="500"/>
      <c r="J3" s="500"/>
    </row>
    <row r="4" spans="1:10" ht="15" customHeight="1" x14ac:dyDescent="0.25">
      <c r="A4" s="118" t="s">
        <v>33</v>
      </c>
      <c r="B4" s="119">
        <v>1508</v>
      </c>
      <c r="C4" s="60">
        <f>VLOOKUP(A4, '2. 2016 Continuity Schedule'!$C$20:$BV$86, MATCH('2. 2016 Continuity Schedule'!BO$20, '2. 2016 Continuity Schedule'!C$20:BV$20,0),FALSE)</f>
        <v>-318</v>
      </c>
      <c r="D4" s="60">
        <f>VLOOKUP(A4, '2. 2016 Continuity Schedule'!$C$20:$BV$86, MATCH('2. 2016 Continuity Schedule'!BP$20, '2. 2016 Continuity Schedule'!C$20:BV$20,0),FALSE)</f>
        <v>12247</v>
      </c>
      <c r="E4" s="60">
        <f>SUM(C4:D4)</f>
        <v>11929</v>
      </c>
      <c r="F4" s="60">
        <f>VLOOKUP(A4, '2. 2016 Continuity Schedule'!$C$20:$BV$86, MATCH('2. 2016 Continuity Schedule'!BQ$20, '2. 2016 Continuity Schedule'!C$20:BV$20,0),FALSE)</f>
        <v>0</v>
      </c>
      <c r="G4" s="60">
        <f>VLOOKUP(A4, '2. 2016 Continuity Schedule'!$C$20:$BV$86, MATCH('2. 2016 Continuity Schedule'!BR$20, '2. 2016 Continuity Schedule'!C$20:BV$20,0),FALSE)</f>
        <v>0</v>
      </c>
      <c r="H4" s="60">
        <f>SUM(E4:G4)</f>
        <v>11929</v>
      </c>
      <c r="I4" s="60">
        <f>VLOOKUP(A4, '2. 2016 Continuity Schedule'!$C$20:$BV$86, MATCH('2. 2016 Continuity Schedule'!BU$20, '2. 2016 Continuity Schedule'!C$20:BV$20,0),FALSE)</f>
        <v>14492.449999999953</v>
      </c>
      <c r="J4" s="60">
        <f>VLOOKUP(A4, '2. 2016 Continuity Schedule'!$C$20:$BV$86, MATCH('2. 2016 Continuity Schedule'!BV$20, '2. 2016 Continuity Schedule'!C$20:BV$20,0),FALSE)</f>
        <v>2563.4499999999534</v>
      </c>
    </row>
    <row r="5" spans="1:10" ht="13.8" x14ac:dyDescent="0.25">
      <c r="A5" s="118" t="s">
        <v>34</v>
      </c>
      <c r="B5" s="119">
        <v>1508</v>
      </c>
      <c r="C5" s="60">
        <f>VLOOKUP(A5, '2. 2016 Continuity Schedule'!$C$20:$BV$86, MATCH('2. 2016 Continuity Schedule'!BO$20, '2. 2016 Continuity Schedule'!C$20:BV$20,0),FALSE)</f>
        <v>0</v>
      </c>
      <c r="D5" s="60">
        <f>VLOOKUP(A5, '2. 2016 Continuity Schedule'!$C$20:$BV$86, MATCH('2. 2016 Continuity Schedule'!BP$20, '2. 2016 Continuity Schedule'!C$20:BV$20,0),FALSE)</f>
        <v>0</v>
      </c>
      <c r="E5" s="60">
        <f t="shared" ref="E5:E44" si="0">SUM(C5:D5)</f>
        <v>0</v>
      </c>
      <c r="F5" s="60">
        <f>VLOOKUP(A5, '2. 2016 Continuity Schedule'!$C$20:$BV$86, MATCH('2. 2016 Continuity Schedule'!BQ$20, '2. 2016 Continuity Schedule'!C$20:BV$20,0),FALSE)</f>
        <v>0</v>
      </c>
      <c r="G5" s="60">
        <f>VLOOKUP(A5, '2. 2016 Continuity Schedule'!$C$20:$BV$86, MATCH('2. 2016 Continuity Schedule'!BR$20, '2. 2016 Continuity Schedule'!C$20:BV$20,0),FALSE)</f>
        <v>0</v>
      </c>
      <c r="H5" s="60">
        <f t="shared" ref="H5:H44" si="1">SUM(E5:G5)</f>
        <v>0</v>
      </c>
      <c r="I5" s="60">
        <f>VLOOKUP(A5, '2. 2016 Continuity Schedule'!$C$20:$BV$86, MATCH('2. 2016 Continuity Schedule'!BU$20, '2. 2016 Continuity Schedule'!C$20:BV$20,0),FALSE)</f>
        <v>0</v>
      </c>
      <c r="J5" s="60">
        <f>VLOOKUP(A5, '2. 2016 Continuity Schedule'!$C$20:$BV$86, MATCH('2. 2016 Continuity Schedule'!BV$20, '2. 2016 Continuity Schedule'!C$20:BV$20,0),FALSE)</f>
        <v>0</v>
      </c>
    </row>
    <row r="6" spans="1:10" ht="30" x14ac:dyDescent="0.25">
      <c r="A6" s="120" t="s">
        <v>44</v>
      </c>
      <c r="B6" s="119">
        <v>1508</v>
      </c>
      <c r="C6" s="60" t="e">
        <f>VLOOKUP(A6, '2. 2016 Continuity Schedule'!$C$20:$BV$86, MATCH('2. 2016 Continuity Schedule'!BO$20, '2. 2016 Continuity Schedule'!C$20:BV$20,0),FALSE)</f>
        <v>#N/A</v>
      </c>
      <c r="D6" s="60" t="e">
        <f>VLOOKUP(A6, '2. 2016 Continuity Schedule'!$C$20:$BV$86, MATCH('2. 2016 Continuity Schedule'!BP$20, '2. 2016 Continuity Schedule'!C$20:BV$20,0),FALSE)</f>
        <v>#N/A</v>
      </c>
      <c r="E6" s="60" t="e">
        <f t="shared" si="0"/>
        <v>#N/A</v>
      </c>
      <c r="F6" s="60" t="e">
        <f>VLOOKUP(A6, '2. 2016 Continuity Schedule'!$C$20:$BV$86, MATCH('2. 2016 Continuity Schedule'!BQ$20, '2. 2016 Continuity Schedule'!C$20:BV$20,0),FALSE)</f>
        <v>#N/A</v>
      </c>
      <c r="G6" s="60" t="e">
        <f>VLOOKUP(A6, '2. 2016 Continuity Schedule'!$C$20:$BV$86, MATCH('2. 2016 Continuity Schedule'!BR$20, '2. 2016 Continuity Schedule'!C$20:BV$20,0),FALSE)</f>
        <v>#N/A</v>
      </c>
      <c r="H6" s="60" t="e">
        <f t="shared" si="1"/>
        <v>#N/A</v>
      </c>
      <c r="I6" s="60" t="e">
        <f>VLOOKUP(A6, '2. 2016 Continuity Schedule'!$C$20:$BV$86, MATCH('2. 2016 Continuity Schedule'!BU$20, '2. 2016 Continuity Schedule'!C$20:BV$20,0),FALSE)</f>
        <v>#N/A</v>
      </c>
      <c r="J6" s="60" t="e">
        <f>VLOOKUP(A6, '2. 2016 Continuity Schedule'!$C$20:$BV$86, MATCH('2. 2016 Continuity Schedule'!BV$20, '2. 2016 Continuity Schedule'!C$20:BV$20,0),FALSE)</f>
        <v>#N/A</v>
      </c>
    </row>
    <row r="7" spans="1:10" ht="27.6" x14ac:dyDescent="0.25">
      <c r="A7" s="120" t="s">
        <v>42</v>
      </c>
      <c r="B7" s="119">
        <v>1508</v>
      </c>
      <c r="C7" s="60" t="e">
        <f>VLOOKUP(A7, '2. 2016 Continuity Schedule'!$C$20:$BV$86, MATCH('2. 2016 Continuity Schedule'!BO$20, '2. 2016 Continuity Schedule'!C$20:BV$20,0),FALSE)</f>
        <v>#N/A</v>
      </c>
      <c r="D7" s="60" t="e">
        <f>VLOOKUP(A7, '2. 2016 Continuity Schedule'!$C$20:$BV$86, MATCH('2. 2016 Continuity Schedule'!BP$20, '2. 2016 Continuity Schedule'!C$20:BV$20,0),FALSE)</f>
        <v>#N/A</v>
      </c>
      <c r="E7" s="60" t="e">
        <f t="shared" si="0"/>
        <v>#N/A</v>
      </c>
      <c r="F7" s="60" t="e">
        <f>VLOOKUP(A7, '2. 2016 Continuity Schedule'!$C$20:$BV$86, MATCH('2. 2016 Continuity Schedule'!BQ$20, '2. 2016 Continuity Schedule'!C$20:BV$20,0),FALSE)</f>
        <v>#N/A</v>
      </c>
      <c r="G7" s="60" t="e">
        <f>VLOOKUP(A7, '2. 2016 Continuity Schedule'!$C$20:$BV$86, MATCH('2. 2016 Continuity Schedule'!BR$20, '2. 2016 Continuity Schedule'!C$20:BV$20,0),FALSE)</f>
        <v>#N/A</v>
      </c>
      <c r="H7" s="60" t="e">
        <f t="shared" si="1"/>
        <v>#N/A</v>
      </c>
      <c r="I7" s="60" t="e">
        <f>VLOOKUP(A7, '2. 2016 Continuity Schedule'!$C$20:$BV$86, MATCH('2. 2016 Continuity Schedule'!BU$20, '2. 2016 Continuity Schedule'!C$20:BV$20,0),FALSE)</f>
        <v>#N/A</v>
      </c>
      <c r="J7" s="60" t="e">
        <f>VLOOKUP(A7, '2. 2016 Continuity Schedule'!$C$20:$BV$86, MATCH('2. 2016 Continuity Schedule'!BV$20, '2. 2016 Continuity Schedule'!C$20:BV$20,0),FALSE)</f>
        <v>#N/A</v>
      </c>
    </row>
    <row r="8" spans="1:10" ht="16.2" x14ac:dyDescent="0.25">
      <c r="A8" s="118" t="s">
        <v>43</v>
      </c>
      <c r="B8" s="119">
        <v>1508</v>
      </c>
      <c r="C8" s="60">
        <f>VLOOKUP(A8, '2. 2016 Continuity Schedule'!$C$20:$BV$86, MATCH('2. 2016 Continuity Schedule'!BO$20, '2. 2016 Continuity Schedule'!C$20:BV$20,0),FALSE)</f>
        <v>2565.0700000000002</v>
      </c>
      <c r="D8" s="60">
        <f>VLOOKUP(A8, '2. 2016 Continuity Schedule'!$C$20:$BV$86, MATCH('2. 2016 Continuity Schedule'!BP$20, '2. 2016 Continuity Schedule'!C$20:BV$20,0),FALSE)</f>
        <v>0</v>
      </c>
      <c r="E8" s="60">
        <f t="shared" si="0"/>
        <v>2565.0700000000002</v>
      </c>
      <c r="F8" s="60">
        <f>VLOOKUP(A8, '2. 2016 Continuity Schedule'!$C$20:$BV$86, MATCH('2. 2016 Continuity Schedule'!BQ$20, '2. 2016 Continuity Schedule'!C$20:BV$20,0),FALSE)</f>
        <v>0</v>
      </c>
      <c r="G8" s="60">
        <f>VLOOKUP(A8, '2. 2016 Continuity Schedule'!$C$20:$BV$86, MATCH('2. 2016 Continuity Schedule'!BR$20, '2. 2016 Continuity Schedule'!C$20:BV$20,0),FALSE)</f>
        <v>0</v>
      </c>
      <c r="H8" s="60">
        <f t="shared" si="1"/>
        <v>2565.0700000000002</v>
      </c>
      <c r="I8" s="60">
        <f>VLOOKUP(A8, '2. 2016 Continuity Schedule'!$C$20:$BV$86, MATCH('2. 2016 Continuity Schedule'!BU$20, '2. 2016 Continuity Schedule'!C$20:BV$20,0),FALSE)</f>
        <v>0</v>
      </c>
      <c r="J8" s="60">
        <f>VLOOKUP(A8, '2. 2016 Continuity Schedule'!$C$20:$BV$86, MATCH('2. 2016 Continuity Schedule'!BV$20, '2. 2016 Continuity Schedule'!C$20:BV$20,0),FALSE)</f>
        <v>-2565.0700000000002</v>
      </c>
    </row>
    <row r="9" spans="1:10" ht="13.8" x14ac:dyDescent="0.25">
      <c r="A9" s="118" t="s">
        <v>4</v>
      </c>
      <c r="B9" s="119">
        <v>1518</v>
      </c>
      <c r="C9" s="60">
        <f>VLOOKUP(A9, '2. 2016 Continuity Schedule'!$C$20:$BV$86, MATCH('2. 2016 Continuity Schedule'!BO$20, '2. 2016 Continuity Schedule'!C$20:BV$20,0),FALSE)</f>
        <v>59329</v>
      </c>
      <c r="D9" s="60">
        <f>VLOOKUP(A9, '2. 2016 Continuity Schedule'!$C$20:$BV$86, MATCH('2. 2016 Continuity Schedule'!BP$20, '2. 2016 Continuity Schedule'!C$20:BV$20,0),FALSE)</f>
        <v>1842</v>
      </c>
      <c r="E9" s="60">
        <f t="shared" si="0"/>
        <v>61171</v>
      </c>
      <c r="F9" s="60">
        <f>VLOOKUP(A9, '2. 2016 Continuity Schedule'!$C$20:$BV$86, MATCH('2. 2016 Continuity Schedule'!BQ$20, '2. 2016 Continuity Schedule'!C$20:BV$20,0),FALSE)</f>
        <v>0</v>
      </c>
      <c r="G9" s="60">
        <f>VLOOKUP(A9, '2. 2016 Continuity Schedule'!$C$20:$BV$86, MATCH('2. 2016 Continuity Schedule'!BR$20, '2. 2016 Continuity Schedule'!C$20:BV$20,0),FALSE)</f>
        <v>0</v>
      </c>
      <c r="H9" s="60">
        <f t="shared" si="1"/>
        <v>61171</v>
      </c>
      <c r="I9" s="60">
        <f>VLOOKUP(A9, '2. 2016 Continuity Schedule'!$C$20:$BV$86, MATCH('2. 2016 Continuity Schedule'!BU$20, '2. 2016 Continuity Schedule'!C$20:BV$20,0),FALSE)</f>
        <v>61171.35</v>
      </c>
      <c r="J9" s="60">
        <f>VLOOKUP(A9, '2. 2016 Continuity Schedule'!$C$20:$BV$86, MATCH('2. 2016 Continuity Schedule'!BV$20, '2. 2016 Continuity Schedule'!C$20:BV$20,0),FALSE)</f>
        <v>0.34999999999854481</v>
      </c>
    </row>
    <row r="10" spans="1:10" ht="14.25" x14ac:dyDescent="0.2">
      <c r="A10" s="118" t="s">
        <v>9</v>
      </c>
      <c r="B10" s="119">
        <v>1525</v>
      </c>
      <c r="C10" s="60">
        <f>VLOOKUP(A10, '2. 2016 Continuity Schedule'!$C$20:$BV$86, MATCH('2. 2016 Continuity Schedule'!BO$20, '2. 2016 Continuity Schedule'!C$20:BV$20,0),FALSE)</f>
        <v>0</v>
      </c>
      <c r="D10" s="60">
        <f>VLOOKUP(A10, '2. 2016 Continuity Schedule'!$C$20:$BV$86, MATCH('2. 2016 Continuity Schedule'!BP$20, '2. 2016 Continuity Schedule'!C$20:BV$20,0),FALSE)</f>
        <v>0</v>
      </c>
      <c r="E10" s="60">
        <f t="shared" si="0"/>
        <v>0</v>
      </c>
      <c r="F10" s="60">
        <f>VLOOKUP(A10, '2. 2016 Continuity Schedule'!$C$20:$BV$86, MATCH('2. 2016 Continuity Schedule'!BQ$20, '2. 2016 Continuity Schedule'!C$20:BV$20,0),FALSE)</f>
        <v>0</v>
      </c>
      <c r="G10" s="60">
        <f>VLOOKUP(A10, '2. 2016 Continuity Schedule'!$C$20:$BV$86, MATCH('2. 2016 Continuity Schedule'!BR$20, '2. 2016 Continuity Schedule'!C$20:BV$20,0),FALSE)</f>
        <v>0</v>
      </c>
      <c r="H10" s="60">
        <f t="shared" si="1"/>
        <v>0</v>
      </c>
      <c r="I10" s="60">
        <f>VLOOKUP(A10, '2. 2016 Continuity Schedule'!$C$20:$BV$86, MATCH('2. 2016 Continuity Schedule'!BU$20, '2. 2016 Continuity Schedule'!C$20:BV$20,0),FALSE)</f>
        <v>0</v>
      </c>
      <c r="J10" s="60">
        <f>VLOOKUP(A10, '2. 2016 Continuity Schedule'!$C$20:$BV$86, MATCH('2. 2016 Continuity Schedule'!BV$20, '2. 2016 Continuity Schedule'!C$20:BV$20,0),FALSE)</f>
        <v>0</v>
      </c>
    </row>
    <row r="11" spans="1:10" ht="14.25" x14ac:dyDescent="0.2">
      <c r="A11" s="118" t="s">
        <v>30</v>
      </c>
      <c r="B11" s="119">
        <v>1531</v>
      </c>
      <c r="C11" s="60" t="e">
        <f>VLOOKUP(A11, '2. 2016 Continuity Schedule'!$C$20:$BV$86, MATCH('2. 2016 Continuity Schedule'!BO$20, '2. 2016 Continuity Schedule'!C$20:BV$20,0),FALSE)</f>
        <v>#N/A</v>
      </c>
      <c r="D11" s="60" t="e">
        <f>VLOOKUP(A11, '2. 2016 Continuity Schedule'!$C$20:$BV$86, MATCH('2. 2016 Continuity Schedule'!BP$20, '2. 2016 Continuity Schedule'!C$20:BV$20,0),FALSE)</f>
        <v>#N/A</v>
      </c>
      <c r="E11" s="60" t="e">
        <f t="shared" si="0"/>
        <v>#N/A</v>
      </c>
      <c r="F11" s="60" t="e">
        <f>VLOOKUP(A11, '2. 2016 Continuity Schedule'!$C$20:$BV$86, MATCH('2. 2016 Continuity Schedule'!BQ$20, '2. 2016 Continuity Schedule'!C$20:BV$20,0),FALSE)</f>
        <v>#N/A</v>
      </c>
      <c r="G11" s="60" t="e">
        <f>VLOOKUP(A11, '2. 2016 Continuity Schedule'!$C$20:$BV$86, MATCH('2. 2016 Continuity Schedule'!BR$20, '2. 2016 Continuity Schedule'!C$20:BV$20,0),FALSE)</f>
        <v>#N/A</v>
      </c>
      <c r="H11" s="60" t="e">
        <f t="shared" si="1"/>
        <v>#N/A</v>
      </c>
      <c r="I11" s="60" t="e">
        <f>VLOOKUP(A11, '2. 2016 Continuity Schedule'!$C$20:$BV$86, MATCH('2. 2016 Continuity Schedule'!BU$20, '2. 2016 Continuity Schedule'!C$20:BV$20,0),FALSE)</f>
        <v>#N/A</v>
      </c>
      <c r="J11" s="60" t="e">
        <f>VLOOKUP(A11, '2. 2016 Continuity Schedule'!$C$20:$BV$86, MATCH('2. 2016 Continuity Schedule'!BV$20, '2. 2016 Continuity Schedule'!C$20:BV$20,0),FALSE)</f>
        <v>#N/A</v>
      </c>
    </row>
    <row r="12" spans="1:10" ht="14.25" x14ac:dyDescent="0.2">
      <c r="A12" s="118" t="s">
        <v>31</v>
      </c>
      <c r="B12" s="119">
        <v>1532</v>
      </c>
      <c r="C12" s="60" t="e">
        <f>VLOOKUP(A12, '2. 2016 Continuity Schedule'!$C$20:$BV$86, MATCH('2. 2016 Continuity Schedule'!BO$20, '2. 2016 Continuity Schedule'!C$20:BV$20,0),FALSE)</f>
        <v>#N/A</v>
      </c>
      <c r="D12" s="60" t="e">
        <f>VLOOKUP(A12, '2. 2016 Continuity Schedule'!$C$20:$BV$86, MATCH('2. 2016 Continuity Schedule'!BP$20, '2. 2016 Continuity Schedule'!C$20:BV$20,0),FALSE)</f>
        <v>#N/A</v>
      </c>
      <c r="E12" s="60" t="e">
        <f t="shared" si="0"/>
        <v>#N/A</v>
      </c>
      <c r="F12" s="60" t="e">
        <f>VLOOKUP(A12, '2. 2016 Continuity Schedule'!$C$20:$BV$86, MATCH('2. 2016 Continuity Schedule'!BQ$20, '2. 2016 Continuity Schedule'!C$20:BV$20,0),FALSE)</f>
        <v>#N/A</v>
      </c>
      <c r="G12" s="60" t="e">
        <f>VLOOKUP(A12, '2. 2016 Continuity Schedule'!$C$20:$BV$86, MATCH('2. 2016 Continuity Schedule'!BR$20, '2. 2016 Continuity Schedule'!C$20:BV$20,0),FALSE)</f>
        <v>#N/A</v>
      </c>
      <c r="H12" s="60" t="e">
        <f t="shared" si="1"/>
        <v>#N/A</v>
      </c>
      <c r="I12" s="60" t="e">
        <f>VLOOKUP(A12, '2. 2016 Continuity Schedule'!$C$20:$BV$86, MATCH('2. 2016 Continuity Schedule'!BU$20, '2. 2016 Continuity Schedule'!C$20:BV$20,0),FALSE)</f>
        <v>#N/A</v>
      </c>
      <c r="J12" s="60" t="e">
        <f>VLOOKUP(A12, '2. 2016 Continuity Schedule'!$C$20:$BV$86, MATCH('2. 2016 Continuity Schedule'!BV$20, '2. 2016 Continuity Schedule'!C$20:BV$20,0),FALSE)</f>
        <v>#N/A</v>
      </c>
    </row>
    <row r="13" spans="1:10" ht="14.25" x14ac:dyDescent="0.2">
      <c r="A13" s="121" t="s">
        <v>21</v>
      </c>
      <c r="B13" s="119">
        <v>1533</v>
      </c>
      <c r="C13" s="60">
        <f>VLOOKUP(A13, '2. 2016 Continuity Schedule'!$C$20:$BV$86, MATCH('2. 2016 Continuity Schedule'!BO$20, '2. 2016 Continuity Schedule'!C$20:BV$20,0),FALSE)</f>
        <v>0</v>
      </c>
      <c r="D13" s="60">
        <f>VLOOKUP(A13, '2. 2016 Continuity Schedule'!$C$20:$BV$86, MATCH('2. 2016 Continuity Schedule'!BP$20, '2. 2016 Continuity Schedule'!C$20:BV$20,0),FALSE)</f>
        <v>0</v>
      </c>
      <c r="E13" s="60">
        <f t="shared" si="0"/>
        <v>0</v>
      </c>
      <c r="F13" s="60">
        <f>VLOOKUP(A13, '2. 2016 Continuity Schedule'!$C$20:$BV$86, MATCH('2. 2016 Continuity Schedule'!BQ$20, '2. 2016 Continuity Schedule'!C$20:BV$20,0),FALSE)</f>
        <v>0</v>
      </c>
      <c r="G13" s="60">
        <f>VLOOKUP(A13, '2. 2016 Continuity Schedule'!$C$20:$BV$86, MATCH('2. 2016 Continuity Schedule'!BR$20, '2. 2016 Continuity Schedule'!C$20:BV$20,0),FALSE)</f>
        <v>0</v>
      </c>
      <c r="H13" s="60">
        <f t="shared" si="1"/>
        <v>0</v>
      </c>
      <c r="I13" s="60">
        <f>VLOOKUP(A13, '2. 2016 Continuity Schedule'!$C$20:$BV$86, MATCH('2. 2016 Continuity Schedule'!BU$20, '2. 2016 Continuity Schedule'!C$20:BV$20,0),FALSE)</f>
        <v>0</v>
      </c>
      <c r="J13" s="60">
        <f>VLOOKUP(A13, '2. 2016 Continuity Schedule'!$C$20:$BV$86, MATCH('2. 2016 Continuity Schedule'!BV$20, '2. 2016 Continuity Schedule'!C$20:BV$20,0),FALSE)</f>
        <v>0</v>
      </c>
    </row>
    <row r="14" spans="1:10" ht="14.25" x14ac:dyDescent="0.2">
      <c r="A14" s="118" t="s">
        <v>13</v>
      </c>
      <c r="B14" s="119">
        <v>1534</v>
      </c>
      <c r="C14" s="60">
        <f>VLOOKUP(A14, '2. 2016 Continuity Schedule'!$C$20:$BV$86, MATCH('2. 2016 Continuity Schedule'!BO$20, '2. 2016 Continuity Schedule'!C$20:BV$20,0),FALSE)</f>
        <v>0</v>
      </c>
      <c r="D14" s="60">
        <f>VLOOKUP(A14, '2. 2016 Continuity Schedule'!$C$20:$BV$86, MATCH('2. 2016 Continuity Schedule'!BP$20, '2. 2016 Continuity Schedule'!C$20:BV$20,0),FALSE)</f>
        <v>0</v>
      </c>
      <c r="E14" s="60">
        <f t="shared" si="0"/>
        <v>0</v>
      </c>
      <c r="F14" s="60">
        <f>VLOOKUP(A14, '2. 2016 Continuity Schedule'!$C$20:$BV$86, MATCH('2. 2016 Continuity Schedule'!BQ$20, '2. 2016 Continuity Schedule'!C$20:BV$20,0),FALSE)</f>
        <v>0</v>
      </c>
      <c r="G14" s="60">
        <f>VLOOKUP(A14, '2. 2016 Continuity Schedule'!$C$20:$BV$86, MATCH('2. 2016 Continuity Schedule'!BR$20, '2. 2016 Continuity Schedule'!C$20:BV$20,0),FALSE)</f>
        <v>0</v>
      </c>
      <c r="H14" s="60">
        <f t="shared" si="1"/>
        <v>0</v>
      </c>
      <c r="I14" s="60">
        <f>VLOOKUP(A14, '2. 2016 Continuity Schedule'!$C$20:$BV$86, MATCH('2. 2016 Continuity Schedule'!BU$20, '2. 2016 Continuity Schedule'!C$20:BV$20,0),FALSE)</f>
        <v>0</v>
      </c>
      <c r="J14" s="60">
        <f>VLOOKUP(A14, '2. 2016 Continuity Schedule'!$C$20:$BV$86, MATCH('2. 2016 Continuity Schedule'!BV$20, '2. 2016 Continuity Schedule'!C$20:BV$20,0),FALSE)</f>
        <v>0</v>
      </c>
    </row>
    <row r="15" spans="1:10" ht="14.25" x14ac:dyDescent="0.2">
      <c r="A15" s="118" t="s">
        <v>14</v>
      </c>
      <c r="B15" s="119">
        <v>1535</v>
      </c>
      <c r="C15" s="60">
        <f>VLOOKUP(A15, '2. 2016 Continuity Schedule'!$C$20:$BV$86, MATCH('2. 2016 Continuity Schedule'!BO$20, '2. 2016 Continuity Schedule'!C$20:BV$20,0),FALSE)</f>
        <v>0</v>
      </c>
      <c r="D15" s="60">
        <f>VLOOKUP(A15, '2. 2016 Continuity Schedule'!$C$20:$BV$86, MATCH('2. 2016 Continuity Schedule'!BP$20, '2. 2016 Continuity Schedule'!C$20:BV$20,0),FALSE)</f>
        <v>0</v>
      </c>
      <c r="E15" s="60">
        <f t="shared" si="0"/>
        <v>0</v>
      </c>
      <c r="F15" s="60">
        <f>VLOOKUP(A15, '2. 2016 Continuity Schedule'!$C$20:$BV$86, MATCH('2. 2016 Continuity Schedule'!BQ$20, '2. 2016 Continuity Schedule'!C$20:BV$20,0),FALSE)</f>
        <v>0</v>
      </c>
      <c r="G15" s="60">
        <f>VLOOKUP(A15, '2. 2016 Continuity Schedule'!$C$20:$BV$86, MATCH('2. 2016 Continuity Schedule'!BR$20, '2. 2016 Continuity Schedule'!C$20:BV$20,0),FALSE)</f>
        <v>0</v>
      </c>
      <c r="H15" s="60">
        <f t="shared" si="1"/>
        <v>0</v>
      </c>
      <c r="I15" s="60">
        <f>VLOOKUP(A15, '2. 2016 Continuity Schedule'!$C$20:$BV$86, MATCH('2. 2016 Continuity Schedule'!BU$20, '2. 2016 Continuity Schedule'!C$20:BV$20,0),FALSE)</f>
        <v>0</v>
      </c>
      <c r="J15" s="60">
        <f>VLOOKUP(A15, '2. 2016 Continuity Schedule'!$C$20:$BV$86, MATCH('2. 2016 Continuity Schedule'!BV$20, '2. 2016 Continuity Schedule'!C$20:BV$20,0),FALSE)</f>
        <v>0</v>
      </c>
    </row>
    <row r="16" spans="1:10" ht="14.25" x14ac:dyDescent="0.2">
      <c r="A16" s="118" t="s">
        <v>19</v>
      </c>
      <c r="B16" s="119">
        <v>1536</v>
      </c>
      <c r="C16" s="60">
        <f>VLOOKUP(A16, '2. 2016 Continuity Schedule'!$C$20:$BV$86, MATCH('2. 2016 Continuity Schedule'!BO$20, '2. 2016 Continuity Schedule'!C$20:BV$20,0),FALSE)</f>
        <v>0</v>
      </c>
      <c r="D16" s="60">
        <f>VLOOKUP(A16, '2. 2016 Continuity Schedule'!$C$20:$BV$86, MATCH('2. 2016 Continuity Schedule'!BP$20, '2. 2016 Continuity Schedule'!C$20:BV$20,0),FALSE)</f>
        <v>0</v>
      </c>
      <c r="E16" s="60">
        <f t="shared" si="0"/>
        <v>0</v>
      </c>
      <c r="F16" s="60">
        <f>VLOOKUP(A16, '2. 2016 Continuity Schedule'!$C$20:$BV$86, MATCH('2. 2016 Continuity Schedule'!BQ$20, '2. 2016 Continuity Schedule'!C$20:BV$20,0),FALSE)</f>
        <v>0</v>
      </c>
      <c r="G16" s="60">
        <f>VLOOKUP(A16, '2. 2016 Continuity Schedule'!$C$20:$BV$86, MATCH('2. 2016 Continuity Schedule'!BR$20, '2. 2016 Continuity Schedule'!C$20:BV$20,0),FALSE)</f>
        <v>0</v>
      </c>
      <c r="H16" s="60">
        <f t="shared" si="1"/>
        <v>0</v>
      </c>
      <c r="I16" s="60">
        <f>VLOOKUP(A16, '2. 2016 Continuity Schedule'!$C$20:$BV$86, MATCH('2. 2016 Continuity Schedule'!BU$20, '2. 2016 Continuity Schedule'!C$20:BV$20,0),FALSE)</f>
        <v>0</v>
      </c>
      <c r="J16" s="60">
        <f>VLOOKUP(A16, '2. 2016 Continuity Schedule'!$C$20:$BV$86, MATCH('2. 2016 Continuity Schedule'!BV$20, '2. 2016 Continuity Schedule'!C$20:BV$20,0),FALSE)</f>
        <v>0</v>
      </c>
    </row>
    <row r="17" spans="1:10" ht="14.25" x14ac:dyDescent="0.2">
      <c r="A17" s="118" t="s">
        <v>5</v>
      </c>
      <c r="B17" s="119">
        <v>1548</v>
      </c>
      <c r="C17" s="60">
        <f>VLOOKUP(A17, '2. 2016 Continuity Schedule'!$C$20:$BV$86, MATCH('2. 2016 Continuity Schedule'!BO$20, '2. 2016 Continuity Schedule'!C$20:BV$20,0),FALSE)</f>
        <v>25097</v>
      </c>
      <c r="D17" s="60">
        <f>VLOOKUP(A17, '2. 2016 Continuity Schedule'!$C$20:$BV$86, MATCH('2. 2016 Continuity Schedule'!BP$20, '2. 2016 Continuity Schedule'!C$20:BV$20,0),FALSE)</f>
        <v>874</v>
      </c>
      <c r="E17" s="60">
        <f t="shared" si="0"/>
        <v>25971</v>
      </c>
      <c r="F17" s="60">
        <f>VLOOKUP(A17, '2. 2016 Continuity Schedule'!$C$20:$BV$86, MATCH('2. 2016 Continuity Schedule'!BQ$20, '2. 2016 Continuity Schedule'!C$20:BV$20,0),FALSE)</f>
        <v>276</v>
      </c>
      <c r="G17" s="60">
        <f>VLOOKUP(A17, '2. 2016 Continuity Schedule'!$C$20:$BV$86, MATCH('2. 2016 Continuity Schedule'!BR$20, '2. 2016 Continuity Schedule'!C$20:BV$20,0),FALSE)</f>
        <v>0</v>
      </c>
      <c r="H17" s="60">
        <f t="shared" si="1"/>
        <v>26247</v>
      </c>
      <c r="I17" s="60">
        <f>VLOOKUP(A17, '2. 2016 Continuity Schedule'!$C$20:$BV$86, MATCH('2. 2016 Continuity Schedule'!BU$20, '2. 2016 Continuity Schedule'!C$20:BV$20,0),FALSE)</f>
        <v>25971.250000000004</v>
      </c>
      <c r="J17" s="60">
        <f>VLOOKUP(A17, '2. 2016 Continuity Schedule'!$C$20:$BV$86, MATCH('2. 2016 Continuity Schedule'!BV$20, '2. 2016 Continuity Schedule'!C$20:BV$20,0),FALSE)</f>
        <v>0.25000000000363798</v>
      </c>
    </row>
    <row r="18" spans="1:10" ht="14.25" x14ac:dyDescent="0.2">
      <c r="A18" s="118" t="s">
        <v>28</v>
      </c>
      <c r="B18" s="119">
        <v>1550</v>
      </c>
      <c r="C18" s="60">
        <f>VLOOKUP(A18, '2. 2016 Continuity Schedule'!$C$20:$BV$86, MATCH('2. 2016 Continuity Schedule'!BO$20, '2. 2016 Continuity Schedule'!C$20:BV$20,0),FALSE)</f>
        <v>303480</v>
      </c>
      <c r="D18" s="60">
        <f>VLOOKUP(A18, '2. 2016 Continuity Schedule'!$C$20:$BV$86, MATCH('2. 2016 Continuity Schedule'!BP$20, '2. 2016 Continuity Schedule'!C$20:BV$20,0),FALSE)</f>
        <v>911</v>
      </c>
      <c r="E18" s="60">
        <f t="shared" si="0"/>
        <v>304391</v>
      </c>
      <c r="F18" s="60">
        <f>VLOOKUP(A18, '2. 2016 Continuity Schedule'!$C$20:$BV$86, MATCH('2. 2016 Continuity Schedule'!BQ$20, '2. 2016 Continuity Schedule'!C$20:BV$20,0),FALSE)</f>
        <v>3338.2799999999997</v>
      </c>
      <c r="G18" s="60">
        <f>VLOOKUP(A18, '2. 2016 Continuity Schedule'!$C$20:$BV$86, MATCH('2. 2016 Continuity Schedule'!BR$20, '2. 2016 Continuity Schedule'!C$20:BV$20,0),FALSE)</f>
        <v>0</v>
      </c>
      <c r="H18" s="60">
        <f t="shared" si="1"/>
        <v>307729.28000000003</v>
      </c>
      <c r="I18" s="60">
        <f>VLOOKUP(A18, '2. 2016 Continuity Schedule'!$C$20:$BV$86, MATCH('2. 2016 Continuity Schedule'!BU$20, '2. 2016 Continuity Schedule'!C$20:BV$20,0),FALSE)</f>
        <v>408115.48</v>
      </c>
      <c r="J18" s="60">
        <f>VLOOKUP(A18, '2. 2016 Continuity Schedule'!$C$20:$BV$86, MATCH('2. 2016 Continuity Schedule'!BV$20, '2. 2016 Continuity Schedule'!C$20:BV$20,0),FALSE)</f>
        <v>0.47999999998137355</v>
      </c>
    </row>
    <row r="19" spans="1:10" ht="14.25" x14ac:dyDescent="0.2">
      <c r="A19" s="118" t="s">
        <v>175</v>
      </c>
      <c r="B19" s="119">
        <v>1551</v>
      </c>
      <c r="C19" s="60">
        <f>VLOOKUP(A19, '2. 2016 Continuity Schedule'!$C$20:$BV$86, MATCH('2. 2016 Continuity Schedule'!BO$20, '2. 2016 Continuity Schedule'!C$20:BV$20,0),FALSE)</f>
        <v>-5457</v>
      </c>
      <c r="D19" s="60">
        <f>VLOOKUP(A19, '2. 2016 Continuity Schedule'!$C$20:$BV$86, MATCH('2. 2016 Continuity Schedule'!BP$20, '2. 2016 Continuity Schedule'!C$20:BV$20,0),FALSE)</f>
        <v>-15</v>
      </c>
      <c r="E19" s="60">
        <f t="shared" si="0"/>
        <v>-5472</v>
      </c>
      <c r="F19" s="60">
        <f>VLOOKUP(A19, '2. 2016 Continuity Schedule'!$C$20:$BV$86, MATCH('2. 2016 Continuity Schedule'!BQ$20, '2. 2016 Continuity Schedule'!C$20:BV$20,0),FALSE)</f>
        <v>-60.026999999999994</v>
      </c>
      <c r="G19" s="60">
        <f>VLOOKUP(A19, '2. 2016 Continuity Schedule'!$C$20:$BV$86, MATCH('2. 2016 Continuity Schedule'!BR$20, '2. 2016 Continuity Schedule'!C$20:BV$20,0),FALSE)</f>
        <v>0</v>
      </c>
      <c r="H19" s="60">
        <f t="shared" si="1"/>
        <v>-5532.027</v>
      </c>
      <c r="I19" s="60">
        <f>VLOOKUP(A19, '2. 2016 Continuity Schedule'!$C$20:$BV$86, MATCH('2. 2016 Continuity Schedule'!BU$20, '2. 2016 Continuity Schedule'!C$20:BV$20,0),FALSE)</f>
        <v>-10232.220000000001</v>
      </c>
      <c r="J19" s="60">
        <f>VLOOKUP(A19, '2. 2016 Continuity Schedule'!$C$20:$BV$86, MATCH('2. 2016 Continuity Schedule'!BV$20, '2. 2016 Continuity Schedule'!C$20:BV$20,0),FALSE)</f>
        <v>-0.22000000000116415</v>
      </c>
    </row>
    <row r="20" spans="1:10" ht="16.5" x14ac:dyDescent="0.2">
      <c r="A20" s="118" t="s">
        <v>90</v>
      </c>
      <c r="B20" s="119">
        <v>1555</v>
      </c>
      <c r="C20" s="60" t="e">
        <f>VLOOKUP(A20, '2. 2016 Continuity Schedule'!$C$20:$BV$86, MATCH('2. 2016 Continuity Schedule'!BO$20, '2. 2016 Continuity Schedule'!C$20:BV$20,0),FALSE)</f>
        <v>#N/A</v>
      </c>
      <c r="D20" s="60" t="e">
        <f>VLOOKUP(A20, '2. 2016 Continuity Schedule'!$C$20:$BV$86, MATCH('2. 2016 Continuity Schedule'!BP$20, '2. 2016 Continuity Schedule'!C$20:BV$20,0),FALSE)</f>
        <v>#N/A</v>
      </c>
      <c r="E20" s="60" t="e">
        <f t="shared" si="0"/>
        <v>#N/A</v>
      </c>
      <c r="F20" s="60" t="e">
        <f>VLOOKUP(A20, '2. 2016 Continuity Schedule'!$C$20:$BV$86, MATCH('2. 2016 Continuity Schedule'!BQ$20, '2. 2016 Continuity Schedule'!C$20:BV$20,0),FALSE)</f>
        <v>#N/A</v>
      </c>
      <c r="G20" s="60" t="e">
        <f>VLOOKUP(A20, '2. 2016 Continuity Schedule'!$C$20:$BV$86, MATCH('2. 2016 Continuity Schedule'!BR$20, '2. 2016 Continuity Schedule'!C$20:BV$20,0),FALSE)</f>
        <v>#N/A</v>
      </c>
      <c r="H20" s="60" t="e">
        <f t="shared" si="1"/>
        <v>#N/A</v>
      </c>
      <c r="I20" s="60" t="e">
        <f>VLOOKUP(A20, '2. 2016 Continuity Schedule'!$C$20:$BV$86, MATCH('2. 2016 Continuity Schedule'!BU$20, '2. 2016 Continuity Schedule'!C$20:BV$20,0),FALSE)</f>
        <v>#N/A</v>
      </c>
      <c r="J20" s="60" t="e">
        <f>VLOOKUP(A20, '2. 2016 Continuity Schedule'!$C$20:$BV$86, MATCH('2. 2016 Continuity Schedule'!BV$20, '2. 2016 Continuity Schedule'!C$20:BV$20,0),FALSE)</f>
        <v>#N/A</v>
      </c>
    </row>
    <row r="21" spans="1:10" ht="16.5" x14ac:dyDescent="0.2">
      <c r="A21" s="118" t="s">
        <v>91</v>
      </c>
      <c r="B21" s="119">
        <v>1555</v>
      </c>
      <c r="C21" s="60" t="e">
        <f>VLOOKUP(A21, '2. 2016 Continuity Schedule'!$C$20:$BV$86, MATCH('2. 2016 Continuity Schedule'!BO$20, '2. 2016 Continuity Schedule'!C$20:BV$20,0),FALSE)</f>
        <v>#N/A</v>
      </c>
      <c r="D21" s="60" t="e">
        <f>VLOOKUP(A21, '2. 2016 Continuity Schedule'!$C$20:$BV$86, MATCH('2. 2016 Continuity Schedule'!BP$20, '2. 2016 Continuity Schedule'!C$20:BV$20,0),FALSE)</f>
        <v>#N/A</v>
      </c>
      <c r="E21" s="60" t="e">
        <f t="shared" si="0"/>
        <v>#N/A</v>
      </c>
      <c r="F21" s="60" t="e">
        <f>VLOOKUP(A21, '2. 2016 Continuity Schedule'!$C$20:$BV$86, MATCH('2. 2016 Continuity Schedule'!BQ$20, '2. 2016 Continuity Schedule'!C$20:BV$20,0),FALSE)</f>
        <v>#N/A</v>
      </c>
      <c r="G21" s="60" t="e">
        <f>VLOOKUP(A21, '2. 2016 Continuity Schedule'!$C$20:$BV$86, MATCH('2. 2016 Continuity Schedule'!BR$20, '2. 2016 Continuity Schedule'!C$20:BV$20,0),FALSE)</f>
        <v>#N/A</v>
      </c>
      <c r="H21" s="60" t="e">
        <f t="shared" si="1"/>
        <v>#N/A</v>
      </c>
      <c r="I21" s="60" t="e">
        <f>VLOOKUP(A21, '2. 2016 Continuity Schedule'!$C$20:$BV$86, MATCH('2. 2016 Continuity Schedule'!BU$20, '2. 2016 Continuity Schedule'!C$20:BV$20,0),FALSE)</f>
        <v>#N/A</v>
      </c>
      <c r="J21" s="60" t="e">
        <f>VLOOKUP(A21, '2. 2016 Continuity Schedule'!$C$20:$BV$86, MATCH('2. 2016 Continuity Schedule'!BV$20, '2. 2016 Continuity Schedule'!C$20:BV$20,0),FALSE)</f>
        <v>#N/A</v>
      </c>
    </row>
    <row r="22" spans="1:10" ht="16.5" x14ac:dyDescent="0.2">
      <c r="A22" s="118" t="s">
        <v>92</v>
      </c>
      <c r="B22" s="119">
        <v>1555</v>
      </c>
      <c r="C22" s="60" t="e">
        <f>VLOOKUP(A22, '2. 2016 Continuity Schedule'!$C$20:$BV$86, MATCH('2. 2016 Continuity Schedule'!BO$20, '2. 2016 Continuity Schedule'!C$20:BV$20,0),FALSE)</f>
        <v>#N/A</v>
      </c>
      <c r="D22" s="60" t="e">
        <f>VLOOKUP(A22, '2. 2016 Continuity Schedule'!$C$20:$BV$86, MATCH('2. 2016 Continuity Schedule'!BP$20, '2. 2016 Continuity Schedule'!C$20:BV$20,0),FALSE)</f>
        <v>#N/A</v>
      </c>
      <c r="E22" s="60" t="e">
        <f t="shared" si="0"/>
        <v>#N/A</v>
      </c>
      <c r="F22" s="60" t="e">
        <f>VLOOKUP(A22, '2. 2016 Continuity Schedule'!$C$20:$BV$86, MATCH('2. 2016 Continuity Schedule'!BQ$20, '2. 2016 Continuity Schedule'!C$20:BV$20,0),FALSE)</f>
        <v>#N/A</v>
      </c>
      <c r="G22" s="60" t="e">
        <f>VLOOKUP(A22, '2. 2016 Continuity Schedule'!$C$20:$BV$86, MATCH('2. 2016 Continuity Schedule'!BR$20, '2. 2016 Continuity Schedule'!C$20:BV$20,0),FALSE)</f>
        <v>#N/A</v>
      </c>
      <c r="H22" s="60" t="e">
        <f t="shared" si="1"/>
        <v>#N/A</v>
      </c>
      <c r="I22" s="60" t="e">
        <f>VLOOKUP(A22, '2. 2016 Continuity Schedule'!$C$20:$BV$86, MATCH('2. 2016 Continuity Schedule'!BU$20, '2. 2016 Continuity Schedule'!C$20:BV$20,0),FALSE)</f>
        <v>#N/A</v>
      </c>
      <c r="J22" s="60" t="e">
        <f>VLOOKUP(A22, '2. 2016 Continuity Schedule'!$C$20:$BV$86, MATCH('2. 2016 Continuity Schedule'!BV$20, '2. 2016 Continuity Schedule'!C$20:BV$20,0),FALSE)</f>
        <v>#N/A</v>
      </c>
    </row>
    <row r="23" spans="1:10" ht="16.5" x14ac:dyDescent="0.2">
      <c r="A23" s="118" t="s">
        <v>93</v>
      </c>
      <c r="B23" s="119">
        <v>1556</v>
      </c>
      <c r="C23" s="60" t="e">
        <f>VLOOKUP(A23, '2. 2016 Continuity Schedule'!$C$20:$BV$86, MATCH('2. 2016 Continuity Schedule'!BO$20, '2. 2016 Continuity Schedule'!C$20:BV$20,0),FALSE)</f>
        <v>#N/A</v>
      </c>
      <c r="D23" s="60" t="e">
        <f>VLOOKUP(A23, '2. 2016 Continuity Schedule'!$C$20:$BV$86, MATCH('2. 2016 Continuity Schedule'!BP$20, '2. 2016 Continuity Schedule'!C$20:BV$20,0),FALSE)</f>
        <v>#N/A</v>
      </c>
      <c r="E23" s="60" t="e">
        <f t="shared" si="0"/>
        <v>#N/A</v>
      </c>
      <c r="F23" s="60" t="e">
        <f>VLOOKUP(A23, '2. 2016 Continuity Schedule'!$C$20:$BV$86, MATCH('2. 2016 Continuity Schedule'!BQ$20, '2. 2016 Continuity Schedule'!C$20:BV$20,0),FALSE)</f>
        <v>#N/A</v>
      </c>
      <c r="G23" s="60" t="e">
        <f>VLOOKUP(A23, '2. 2016 Continuity Schedule'!$C$20:$BV$86, MATCH('2. 2016 Continuity Schedule'!BR$20, '2. 2016 Continuity Schedule'!C$20:BV$20,0),FALSE)</f>
        <v>#N/A</v>
      </c>
      <c r="H23" s="60" t="e">
        <f t="shared" si="1"/>
        <v>#N/A</v>
      </c>
      <c r="I23" s="60" t="e">
        <f>VLOOKUP(A23, '2. 2016 Continuity Schedule'!$C$20:$BV$86, MATCH('2. 2016 Continuity Schedule'!BU$20, '2. 2016 Continuity Schedule'!C$20:BV$20,0),FALSE)</f>
        <v>#N/A</v>
      </c>
      <c r="J23" s="60" t="e">
        <f>VLOOKUP(A23, '2. 2016 Continuity Schedule'!$C$20:$BV$86, MATCH('2. 2016 Continuity Schedule'!BV$20, '2. 2016 Continuity Schedule'!C$20:BV$20,0),FALSE)</f>
        <v>#N/A</v>
      </c>
    </row>
    <row r="24" spans="1:10" ht="14.25" x14ac:dyDescent="0.2">
      <c r="A24" s="118" t="s">
        <v>8</v>
      </c>
      <c r="B24" s="119">
        <v>1562</v>
      </c>
      <c r="C24" s="60" t="e">
        <f>VLOOKUP(A24, '2. 2016 Continuity Schedule'!$C$20:$BV$86, MATCH('2. 2016 Continuity Schedule'!BO$20, '2. 2016 Continuity Schedule'!C$20:BV$20,0),FALSE)</f>
        <v>#N/A</v>
      </c>
      <c r="D24" s="60" t="e">
        <f>VLOOKUP(A24, '2. 2016 Continuity Schedule'!$C$20:$BV$86, MATCH('2. 2016 Continuity Schedule'!BP$20, '2. 2016 Continuity Schedule'!C$20:BV$20,0),FALSE)</f>
        <v>#N/A</v>
      </c>
      <c r="E24" s="60" t="e">
        <f t="shared" si="0"/>
        <v>#N/A</v>
      </c>
      <c r="F24" s="60" t="e">
        <f>VLOOKUP(A24, '2. 2016 Continuity Schedule'!$C$20:$BV$86, MATCH('2. 2016 Continuity Schedule'!BQ$20, '2. 2016 Continuity Schedule'!C$20:BV$20,0),FALSE)</f>
        <v>#N/A</v>
      </c>
      <c r="G24" s="60" t="e">
        <f>VLOOKUP(A24, '2. 2016 Continuity Schedule'!$C$20:$BV$86, MATCH('2. 2016 Continuity Schedule'!BR$20, '2. 2016 Continuity Schedule'!C$20:BV$20,0),FALSE)</f>
        <v>#N/A</v>
      </c>
      <c r="H24" s="60" t="e">
        <f t="shared" si="1"/>
        <v>#N/A</v>
      </c>
      <c r="I24" s="60" t="e">
        <f>VLOOKUP(A24, '2. 2016 Continuity Schedule'!$C$20:$BV$86, MATCH('2. 2016 Continuity Schedule'!BU$20, '2. 2016 Continuity Schedule'!C$20:BV$20,0),FALSE)</f>
        <v>#N/A</v>
      </c>
      <c r="J24" s="60" t="e">
        <f>VLOOKUP(A24, '2. 2016 Continuity Schedule'!$C$20:$BV$86, MATCH('2. 2016 Continuity Schedule'!BV$20, '2. 2016 Continuity Schedule'!C$20:BV$20,0),FALSE)</f>
        <v>#N/A</v>
      </c>
    </row>
    <row r="25" spans="1:10" ht="14.25" x14ac:dyDescent="0.2">
      <c r="A25" s="118" t="s">
        <v>32</v>
      </c>
      <c r="B25" s="119">
        <v>1567</v>
      </c>
      <c r="C25" s="60">
        <f>VLOOKUP(A25, '2. 2016 Continuity Schedule'!$C$20:$BV$86, MATCH('2. 2016 Continuity Schedule'!BO$20, '2. 2016 Continuity Schedule'!C$20:BV$20,0),FALSE)</f>
        <v>0</v>
      </c>
      <c r="D25" s="60">
        <f>VLOOKUP(A25, '2. 2016 Continuity Schedule'!$C$20:$BV$86, MATCH('2. 2016 Continuity Schedule'!BP$20, '2. 2016 Continuity Schedule'!C$20:BV$20,0),FALSE)</f>
        <v>0</v>
      </c>
      <c r="E25" s="60">
        <f t="shared" si="0"/>
        <v>0</v>
      </c>
      <c r="F25" s="60">
        <f>VLOOKUP(A25, '2. 2016 Continuity Schedule'!$C$20:$BV$86, MATCH('2. 2016 Continuity Schedule'!BQ$20, '2. 2016 Continuity Schedule'!C$20:BV$20,0),FALSE)</f>
        <v>0</v>
      </c>
      <c r="G25" s="60">
        <f>VLOOKUP(A25, '2. 2016 Continuity Schedule'!$C$20:$BV$86, MATCH('2. 2016 Continuity Schedule'!BR$20, '2. 2016 Continuity Schedule'!C$20:BV$20,0),FALSE)</f>
        <v>0</v>
      </c>
      <c r="H25" s="60">
        <f t="shared" si="1"/>
        <v>0</v>
      </c>
      <c r="I25" s="60">
        <f>VLOOKUP(A25, '2. 2016 Continuity Schedule'!$C$20:$BV$86, MATCH('2. 2016 Continuity Schedule'!BU$20, '2. 2016 Continuity Schedule'!C$20:BV$20,0),FALSE)</f>
        <v>0</v>
      </c>
      <c r="J25" s="60">
        <f>VLOOKUP(A25, '2. 2016 Continuity Schedule'!$C$20:$BV$86, MATCH('2. 2016 Continuity Schedule'!BV$20, '2. 2016 Continuity Schedule'!C$20:BV$20,0),FALSE)</f>
        <v>0</v>
      </c>
    </row>
    <row r="26" spans="1:10" ht="14.25" x14ac:dyDescent="0.2">
      <c r="A26" s="118" t="s">
        <v>61</v>
      </c>
      <c r="B26" s="119">
        <v>1568</v>
      </c>
      <c r="C26" s="60" t="e">
        <f>VLOOKUP(A26, '2. 2016 Continuity Schedule'!$C$20:$BV$86, MATCH('2. 2016 Continuity Schedule'!BO$20, '2. 2016 Continuity Schedule'!C$20:BV$20,0),FALSE)</f>
        <v>#N/A</v>
      </c>
      <c r="D26" s="60" t="e">
        <f>VLOOKUP(A26, '2. 2016 Continuity Schedule'!$C$20:$BV$86, MATCH('2. 2016 Continuity Schedule'!BP$20, '2. 2016 Continuity Schedule'!C$20:BV$20,0),FALSE)</f>
        <v>#N/A</v>
      </c>
      <c r="E26" s="60" t="e">
        <f t="shared" si="0"/>
        <v>#N/A</v>
      </c>
      <c r="F26" s="60" t="e">
        <f>VLOOKUP(A26, '2. 2016 Continuity Schedule'!$C$20:$BV$86, MATCH('2. 2016 Continuity Schedule'!BQ$20, '2. 2016 Continuity Schedule'!C$20:BV$20,0),FALSE)</f>
        <v>#N/A</v>
      </c>
      <c r="G26" s="60" t="e">
        <f>VLOOKUP(A26, '2. 2016 Continuity Schedule'!$C$20:$BV$86, MATCH('2. 2016 Continuity Schedule'!BR$20, '2. 2016 Continuity Schedule'!C$20:BV$20,0),FALSE)</f>
        <v>#N/A</v>
      </c>
      <c r="H26" s="60" t="e">
        <f t="shared" si="1"/>
        <v>#N/A</v>
      </c>
      <c r="I26" s="60" t="e">
        <f>VLOOKUP(A26, '2. 2016 Continuity Schedule'!$C$20:$BV$86, MATCH('2. 2016 Continuity Schedule'!BU$20, '2. 2016 Continuity Schedule'!C$20:BV$20,0),FALSE)</f>
        <v>#N/A</v>
      </c>
      <c r="J26" s="60" t="e">
        <f>VLOOKUP(A26, '2. 2016 Continuity Schedule'!$C$20:$BV$86, MATCH('2. 2016 Continuity Schedule'!BV$20, '2. 2016 Continuity Schedule'!C$20:BV$20,0),FALSE)</f>
        <v>#N/A</v>
      </c>
    </row>
    <row r="27" spans="1:10" ht="14.25" x14ac:dyDescent="0.2">
      <c r="A27" s="118" t="s">
        <v>10</v>
      </c>
      <c r="B27" s="119">
        <v>1572</v>
      </c>
      <c r="C27" s="60">
        <f>VLOOKUP(A27, '2. 2016 Continuity Schedule'!$C$20:$BV$86, MATCH('2. 2016 Continuity Schedule'!BO$20, '2. 2016 Continuity Schedule'!C$20:BV$20,0),FALSE)</f>
        <v>0</v>
      </c>
      <c r="D27" s="60">
        <f>VLOOKUP(A27, '2. 2016 Continuity Schedule'!$C$20:$BV$86, MATCH('2. 2016 Continuity Schedule'!BP$20, '2. 2016 Continuity Schedule'!C$20:BV$20,0),FALSE)</f>
        <v>0</v>
      </c>
      <c r="E27" s="60">
        <f t="shared" si="0"/>
        <v>0</v>
      </c>
      <c r="F27" s="60">
        <f>VLOOKUP(A27, '2. 2016 Continuity Schedule'!$C$20:$BV$86, MATCH('2. 2016 Continuity Schedule'!BQ$20, '2. 2016 Continuity Schedule'!C$20:BV$20,0),FALSE)</f>
        <v>0</v>
      </c>
      <c r="G27" s="60">
        <f>VLOOKUP(A27, '2. 2016 Continuity Schedule'!$C$20:$BV$86, MATCH('2. 2016 Continuity Schedule'!BR$20, '2. 2016 Continuity Schedule'!C$20:BV$20,0),FALSE)</f>
        <v>0</v>
      </c>
      <c r="H27" s="60">
        <f t="shared" si="1"/>
        <v>0</v>
      </c>
      <c r="I27" s="60">
        <f>VLOOKUP(A27, '2. 2016 Continuity Schedule'!$C$20:$BV$86, MATCH('2. 2016 Continuity Schedule'!BU$20, '2. 2016 Continuity Schedule'!C$20:BV$20,0),FALSE)</f>
        <v>0</v>
      </c>
      <c r="J27" s="60">
        <f>VLOOKUP(A27, '2. 2016 Continuity Schedule'!$C$20:$BV$86, MATCH('2. 2016 Continuity Schedule'!BV$20, '2. 2016 Continuity Schedule'!C$20:BV$20,0),FALSE)</f>
        <v>0</v>
      </c>
    </row>
    <row r="28" spans="1:10" ht="14.25" x14ac:dyDescent="0.2">
      <c r="A28" s="118" t="s">
        <v>6</v>
      </c>
      <c r="B28" s="119">
        <v>1574</v>
      </c>
      <c r="C28" s="60">
        <f>VLOOKUP(A28, '2. 2016 Continuity Schedule'!$C$20:$BV$86, MATCH('2. 2016 Continuity Schedule'!BO$20, '2. 2016 Continuity Schedule'!C$20:BV$20,0),FALSE)</f>
        <v>0</v>
      </c>
      <c r="D28" s="60">
        <f>VLOOKUP(A28, '2. 2016 Continuity Schedule'!$C$20:$BV$86, MATCH('2. 2016 Continuity Schedule'!BP$20, '2. 2016 Continuity Schedule'!C$20:BV$20,0),FALSE)</f>
        <v>0</v>
      </c>
      <c r="E28" s="60">
        <f t="shared" si="0"/>
        <v>0</v>
      </c>
      <c r="F28" s="60">
        <f>VLOOKUP(A28, '2. 2016 Continuity Schedule'!$C$20:$BV$86, MATCH('2. 2016 Continuity Schedule'!BQ$20, '2. 2016 Continuity Schedule'!C$20:BV$20,0),FALSE)</f>
        <v>0</v>
      </c>
      <c r="G28" s="60">
        <f>VLOOKUP(A28, '2. 2016 Continuity Schedule'!$C$20:$BV$86, MATCH('2. 2016 Continuity Schedule'!BR$20, '2. 2016 Continuity Schedule'!C$20:BV$20,0),FALSE)</f>
        <v>0</v>
      </c>
      <c r="H28" s="60">
        <f t="shared" si="1"/>
        <v>0</v>
      </c>
      <c r="I28" s="60">
        <f>VLOOKUP(A28, '2. 2016 Continuity Schedule'!$C$20:$BV$86, MATCH('2. 2016 Continuity Schedule'!BU$20, '2. 2016 Continuity Schedule'!C$20:BV$20,0),FALSE)</f>
        <v>0</v>
      </c>
      <c r="J28" s="60">
        <f>VLOOKUP(A28, '2. 2016 Continuity Schedule'!$C$20:$BV$86, MATCH('2. 2016 Continuity Schedule'!BV$20, '2. 2016 Continuity Schedule'!C$20:BV$20,0),FALSE)</f>
        <v>0</v>
      </c>
    </row>
    <row r="29" spans="1:10" ht="30.75" x14ac:dyDescent="0.2">
      <c r="A29" s="122" t="s">
        <v>165</v>
      </c>
      <c r="B29" s="123">
        <v>1575</v>
      </c>
      <c r="C29" s="60" t="e">
        <f>VLOOKUP(A29, '2. 2016 Continuity Schedule'!$C$20:$BV$86, MATCH('2. 2016 Continuity Schedule'!BO$20, '2. 2016 Continuity Schedule'!C$20:BV$20,0),FALSE)</f>
        <v>#N/A</v>
      </c>
      <c r="D29" s="60" t="e">
        <f>VLOOKUP(A29, '2. 2016 Continuity Schedule'!$C$20:$BV$86, MATCH('2. 2016 Continuity Schedule'!BP$20, '2. 2016 Continuity Schedule'!C$20:BV$20,0),FALSE)</f>
        <v>#N/A</v>
      </c>
      <c r="E29" s="60" t="e">
        <f t="shared" si="0"/>
        <v>#N/A</v>
      </c>
      <c r="F29" s="60" t="e">
        <f>VLOOKUP(A29, '2. 2016 Continuity Schedule'!$C$20:$BV$86, MATCH('2. 2016 Continuity Schedule'!BQ$20, '2. 2016 Continuity Schedule'!C$20:BV$20,0),FALSE)</f>
        <v>#N/A</v>
      </c>
      <c r="G29" s="60" t="e">
        <f>VLOOKUP(A29, '2. 2016 Continuity Schedule'!$C$20:$BV$86, MATCH('2. 2016 Continuity Schedule'!BR$20, '2. 2016 Continuity Schedule'!C$20:BV$20,0),FALSE)</f>
        <v>#N/A</v>
      </c>
      <c r="H29" s="60" t="e">
        <f t="shared" si="1"/>
        <v>#N/A</v>
      </c>
      <c r="I29" s="60" t="e">
        <f>VLOOKUP(A29, '2. 2016 Continuity Schedule'!$C$20:$BV$86, MATCH('2. 2016 Continuity Schedule'!BU$20, '2. 2016 Continuity Schedule'!C$20:BV$20,0),FALSE)</f>
        <v>#N/A</v>
      </c>
      <c r="J29" s="60" t="e">
        <f>VLOOKUP(A29, '2. 2016 Continuity Schedule'!$C$20:$BV$86, MATCH('2. 2016 Continuity Schedule'!BV$20, '2. 2016 Continuity Schedule'!C$20:BV$20,0),FALSE)</f>
        <v>#N/A</v>
      </c>
    </row>
    <row r="30" spans="1:10" ht="16.5" x14ac:dyDescent="0.2">
      <c r="A30" s="122" t="s">
        <v>166</v>
      </c>
      <c r="B30" s="123">
        <v>1576</v>
      </c>
      <c r="C30" s="60" t="e">
        <f>VLOOKUP(A30, '2. 2016 Continuity Schedule'!$C$20:$BV$86, MATCH('2. 2016 Continuity Schedule'!BO$20, '2. 2016 Continuity Schedule'!C$20:BV$20,0),FALSE)</f>
        <v>#N/A</v>
      </c>
      <c r="D30" s="60" t="e">
        <f>VLOOKUP(A30, '2. 2016 Continuity Schedule'!$C$20:$BV$86, MATCH('2. 2016 Continuity Schedule'!BP$20, '2. 2016 Continuity Schedule'!C$20:BV$20,0),FALSE)</f>
        <v>#N/A</v>
      </c>
      <c r="E30" s="60" t="e">
        <f t="shared" si="0"/>
        <v>#N/A</v>
      </c>
      <c r="F30" s="60" t="e">
        <f>VLOOKUP(A30, '2. 2016 Continuity Schedule'!$C$20:$BV$86, MATCH('2. 2016 Continuity Schedule'!BQ$20, '2. 2016 Continuity Schedule'!C$20:BV$20,0),FALSE)</f>
        <v>#N/A</v>
      </c>
      <c r="G30" s="60" t="e">
        <f>VLOOKUP(A30, '2. 2016 Continuity Schedule'!$C$20:$BV$86, MATCH('2. 2016 Continuity Schedule'!BR$20, '2. 2016 Continuity Schedule'!C$20:BV$20,0),FALSE)</f>
        <v>#N/A</v>
      </c>
      <c r="H30" s="60" t="e">
        <f t="shared" si="1"/>
        <v>#N/A</v>
      </c>
      <c r="I30" s="60" t="e">
        <f>VLOOKUP(A30, '2. 2016 Continuity Schedule'!$C$20:$BV$86, MATCH('2. 2016 Continuity Schedule'!BU$20, '2. 2016 Continuity Schedule'!C$20:BV$20,0),FALSE)</f>
        <v>#N/A</v>
      </c>
      <c r="J30" s="60" t="e">
        <f>VLOOKUP(A30, '2. 2016 Continuity Schedule'!$C$20:$BV$86, MATCH('2. 2016 Continuity Schedule'!BV$20, '2. 2016 Continuity Schedule'!C$20:BV$20,0),FALSE)</f>
        <v>#N/A</v>
      </c>
    </row>
    <row r="31" spans="1:10" ht="14.25" x14ac:dyDescent="0.2">
      <c r="A31" s="121" t="s">
        <v>1</v>
      </c>
      <c r="B31" s="119">
        <v>1580</v>
      </c>
      <c r="C31" s="60" t="e">
        <f>VLOOKUP(A31, '2. 2016 Continuity Schedule'!$C$20:$BV$86, MATCH('2. 2016 Continuity Schedule'!BO$20, '2. 2016 Continuity Schedule'!C$20:BV$20,0),FALSE)</f>
        <v>#N/A</v>
      </c>
      <c r="D31" s="60" t="e">
        <f>VLOOKUP(A31, '2. 2016 Continuity Schedule'!$C$20:$BV$86, MATCH('2. 2016 Continuity Schedule'!BP$20, '2. 2016 Continuity Schedule'!C$20:BV$20,0),FALSE)</f>
        <v>#N/A</v>
      </c>
      <c r="E31" s="60" t="e">
        <f t="shared" si="0"/>
        <v>#N/A</v>
      </c>
      <c r="F31" s="60" t="e">
        <f>VLOOKUP(A31, '2. 2016 Continuity Schedule'!$C$20:$BV$86, MATCH('2. 2016 Continuity Schedule'!BQ$20, '2. 2016 Continuity Schedule'!C$20:BV$20,0),FALSE)</f>
        <v>#N/A</v>
      </c>
      <c r="G31" s="60" t="e">
        <f>VLOOKUP(A31, '2. 2016 Continuity Schedule'!$C$20:$BV$86, MATCH('2. 2016 Continuity Schedule'!BR$20, '2. 2016 Continuity Schedule'!C$20:BV$20,0),FALSE)</f>
        <v>#N/A</v>
      </c>
      <c r="H31" s="60" t="e">
        <f t="shared" si="1"/>
        <v>#N/A</v>
      </c>
      <c r="I31" s="60" t="e">
        <f>VLOOKUP(A31, '2. 2016 Continuity Schedule'!$C$20:$BV$86, MATCH('2. 2016 Continuity Schedule'!BU$20, '2. 2016 Continuity Schedule'!C$20:BV$20,0),FALSE)</f>
        <v>#N/A</v>
      </c>
      <c r="J31" s="60" t="e">
        <f>VLOOKUP(A31, '2. 2016 Continuity Schedule'!$C$20:$BV$86, MATCH('2. 2016 Continuity Schedule'!BV$20, '2. 2016 Continuity Schedule'!C$20:BV$20,0),FALSE)</f>
        <v>#N/A</v>
      </c>
    </row>
    <row r="32" spans="1:10" ht="14.25" x14ac:dyDescent="0.2">
      <c r="A32" s="121" t="s">
        <v>29</v>
      </c>
      <c r="B32" s="119">
        <v>1582</v>
      </c>
      <c r="C32" s="60">
        <f>VLOOKUP(A32, '2. 2016 Continuity Schedule'!$C$20:$BV$86, MATCH('2. 2016 Continuity Schedule'!BO$20, '2. 2016 Continuity Schedule'!C$20:BV$20,0),FALSE)</f>
        <v>-0.35000000000582077</v>
      </c>
      <c r="D32" s="60">
        <f>VLOOKUP(A32, '2. 2016 Continuity Schedule'!$C$20:$BV$86, MATCH('2. 2016 Continuity Schedule'!BP$20, '2. 2016 Continuity Schedule'!C$20:BV$20,0),FALSE)</f>
        <v>-9.0000000000145519E-2</v>
      </c>
      <c r="E32" s="60">
        <f t="shared" si="0"/>
        <v>-0.44000000000596629</v>
      </c>
      <c r="F32" s="60">
        <f>VLOOKUP(A32, '2. 2016 Continuity Schedule'!$C$20:$BV$86, MATCH('2. 2016 Continuity Schedule'!BQ$20, '2. 2016 Continuity Schedule'!C$20:BV$20,0),FALSE)</f>
        <v>0</v>
      </c>
      <c r="G32" s="60">
        <f>VLOOKUP(A32, '2. 2016 Continuity Schedule'!$C$20:$BV$86, MATCH('2. 2016 Continuity Schedule'!BR$20, '2. 2016 Continuity Schedule'!C$20:BV$20,0),FALSE)</f>
        <v>0</v>
      </c>
      <c r="H32" s="60">
        <f t="shared" si="1"/>
        <v>-0.44000000000596629</v>
      </c>
      <c r="I32" s="60">
        <f>VLOOKUP(A32, '2. 2016 Continuity Schedule'!$C$20:$BV$86, MATCH('2. 2016 Continuity Schedule'!BU$20, '2. 2016 Continuity Schedule'!C$20:BV$20,0),FALSE)</f>
        <v>0</v>
      </c>
      <c r="J32" s="60">
        <f>VLOOKUP(A32, '2. 2016 Continuity Schedule'!$C$20:$BV$86, MATCH('2. 2016 Continuity Schedule'!BV$20, '2. 2016 Continuity Schedule'!C$20:BV$20,0),FALSE)</f>
        <v>0.44000000000596629</v>
      </c>
    </row>
    <row r="33" spans="1:10" ht="14.25" x14ac:dyDescent="0.2">
      <c r="A33" s="121" t="s">
        <v>2</v>
      </c>
      <c r="B33" s="119">
        <v>1584</v>
      </c>
      <c r="C33" s="60">
        <f>VLOOKUP(A33, '2. 2016 Continuity Schedule'!$C$20:$BV$86, MATCH('2. 2016 Continuity Schedule'!BO$20, '2. 2016 Continuity Schedule'!C$20:BV$20,0),FALSE)</f>
        <v>92901</v>
      </c>
      <c r="D33" s="60">
        <f>VLOOKUP(A33, '2. 2016 Continuity Schedule'!$C$20:$BV$86, MATCH('2. 2016 Continuity Schedule'!BP$20, '2. 2016 Continuity Schedule'!C$20:BV$20,0),FALSE)</f>
        <v>649</v>
      </c>
      <c r="E33" s="60">
        <f t="shared" si="0"/>
        <v>93550</v>
      </c>
      <c r="F33" s="60">
        <f>VLOOKUP(A33, '2. 2016 Continuity Schedule'!$C$20:$BV$86, MATCH('2. 2016 Continuity Schedule'!BQ$20, '2. 2016 Continuity Schedule'!C$20:BV$20,0),FALSE)</f>
        <v>1021.9109999999999</v>
      </c>
      <c r="G33" s="60">
        <f>VLOOKUP(A33, '2. 2016 Continuity Schedule'!$C$20:$BV$86, MATCH('2. 2016 Continuity Schedule'!BR$20, '2. 2016 Continuity Schedule'!C$20:BV$20,0),FALSE)</f>
        <v>0</v>
      </c>
      <c r="H33" s="60">
        <f t="shared" si="1"/>
        <v>94571.910999999993</v>
      </c>
      <c r="I33" s="60">
        <f>VLOOKUP(A33, '2. 2016 Continuity Schedule'!$C$20:$BV$86, MATCH('2. 2016 Continuity Schedule'!BU$20, '2. 2016 Continuity Schedule'!C$20:BV$20,0),FALSE)</f>
        <v>-5032.24</v>
      </c>
      <c r="J33" s="60">
        <f>VLOOKUP(A33, '2. 2016 Continuity Schedule'!$C$20:$BV$86, MATCH('2. 2016 Continuity Schedule'!BV$20, '2. 2016 Continuity Schedule'!C$20:BV$20,0),FALSE)</f>
        <v>0.76000000000021828</v>
      </c>
    </row>
    <row r="34" spans="1:10" ht="14.25" x14ac:dyDescent="0.2">
      <c r="A34" s="121" t="s">
        <v>3</v>
      </c>
      <c r="B34" s="119">
        <v>1586</v>
      </c>
      <c r="C34" s="60">
        <f>VLOOKUP(A34, '2. 2016 Continuity Schedule'!$C$20:$BV$86, MATCH('2. 2016 Continuity Schedule'!BO$20, '2. 2016 Continuity Schedule'!C$20:BV$20,0),FALSE)</f>
        <v>185312</v>
      </c>
      <c r="D34" s="60">
        <f>VLOOKUP(A34, '2. 2016 Continuity Schedule'!$C$20:$BV$86, MATCH('2. 2016 Continuity Schedule'!BP$20, '2. 2016 Continuity Schedule'!C$20:BV$20,0),FALSE)</f>
        <v>774</v>
      </c>
      <c r="E34" s="60">
        <f t="shared" si="0"/>
        <v>186086</v>
      </c>
      <c r="F34" s="60">
        <f>VLOOKUP(A34, '2. 2016 Continuity Schedule'!$C$20:$BV$86, MATCH('2. 2016 Continuity Schedule'!BQ$20, '2. 2016 Continuity Schedule'!C$20:BV$20,0),FALSE)</f>
        <v>2038.4319999999998</v>
      </c>
      <c r="G34" s="60">
        <f>VLOOKUP(A34, '2. 2016 Continuity Schedule'!$C$20:$BV$86, MATCH('2. 2016 Continuity Schedule'!BR$20, '2. 2016 Continuity Schedule'!C$20:BV$20,0),FALSE)</f>
        <v>0</v>
      </c>
      <c r="H34" s="60">
        <f t="shared" si="1"/>
        <v>188124.432</v>
      </c>
      <c r="I34" s="60">
        <f>VLOOKUP(A34, '2. 2016 Continuity Schedule'!$C$20:$BV$86, MATCH('2. 2016 Continuity Schedule'!BU$20, '2. 2016 Continuity Schedule'!C$20:BV$20,0),FALSE)</f>
        <v>25144.329999999998</v>
      </c>
      <c r="J34" s="60">
        <f>VLOOKUP(A34, '2. 2016 Continuity Schedule'!$C$20:$BV$86, MATCH('2. 2016 Continuity Schedule'!BV$20, '2. 2016 Continuity Schedule'!C$20:BV$20,0),FALSE)</f>
        <v>-0.67000000000189175</v>
      </c>
    </row>
    <row r="35" spans="1:10" ht="14.25" x14ac:dyDescent="0.2">
      <c r="A35" s="121" t="s">
        <v>48</v>
      </c>
      <c r="B35" s="119">
        <v>1588</v>
      </c>
      <c r="C35" s="60">
        <f>VLOOKUP(A35, '2. 2016 Continuity Schedule'!$C$20:$BV$86, MATCH('2. 2016 Continuity Schedule'!BO$20, '2. 2016 Continuity Schedule'!C$20:BV$20,0),FALSE)</f>
        <v>-367829</v>
      </c>
      <c r="D35" s="60">
        <f>VLOOKUP(A35, '2. 2016 Continuity Schedule'!$C$20:$BV$86, MATCH('2. 2016 Continuity Schedule'!BP$20, '2. 2016 Continuity Schedule'!C$20:BV$20,0),FALSE)</f>
        <v>-785</v>
      </c>
      <c r="E35" s="60">
        <f t="shared" si="0"/>
        <v>-368614</v>
      </c>
      <c r="F35" s="60">
        <f>VLOOKUP(A35, '2. 2016 Continuity Schedule'!$C$20:$BV$86, MATCH('2. 2016 Continuity Schedule'!BQ$20, '2. 2016 Continuity Schedule'!C$20:BV$20,0),FALSE)</f>
        <v>-4046.1189999999997</v>
      </c>
      <c r="G35" s="60">
        <f>VLOOKUP(A35, '2. 2016 Continuity Schedule'!$C$20:$BV$86, MATCH('2. 2016 Continuity Schedule'!BR$20, '2. 2016 Continuity Schedule'!C$20:BV$20,0),FALSE)</f>
        <v>0</v>
      </c>
      <c r="H35" s="60">
        <f t="shared" si="1"/>
        <v>-372660.11900000001</v>
      </c>
      <c r="I35" s="60">
        <f>VLOOKUP(A35, '2. 2016 Continuity Schedule'!$C$20:$BV$86, MATCH('2. 2016 Continuity Schedule'!BU$20, '2. 2016 Continuity Schedule'!C$20:BV$20,0),FALSE)</f>
        <v>-325605.25</v>
      </c>
      <c r="J35" s="60">
        <f>VLOOKUP(A35, '2. 2016 Continuity Schedule'!$C$20:$BV$86, MATCH('2. 2016 Continuity Schedule'!BV$20, '2. 2016 Continuity Schedule'!C$20:BV$20,0),FALSE)</f>
        <v>-148379.25</v>
      </c>
    </row>
    <row r="36" spans="1:10" ht="14.25" x14ac:dyDescent="0.2">
      <c r="A36" s="121" t="s">
        <v>81</v>
      </c>
      <c r="B36" s="119">
        <v>1589</v>
      </c>
      <c r="C36" s="60">
        <f>VLOOKUP(A36, '2. 2016 Continuity Schedule'!$C$20:$BV$86, MATCH('2. 2016 Continuity Schedule'!BO$20, '2. 2016 Continuity Schedule'!C$20:BV$20,0),FALSE)</f>
        <v>363636</v>
      </c>
      <c r="D36" s="60">
        <f>VLOOKUP(A36, '2. 2016 Continuity Schedule'!$C$20:$BV$86, MATCH('2. 2016 Continuity Schedule'!BP$20, '2. 2016 Continuity Schedule'!C$20:BV$20,0),FALSE)</f>
        <v>-202</v>
      </c>
      <c r="E36" s="60">
        <f t="shared" si="0"/>
        <v>363434</v>
      </c>
      <c r="F36" s="60">
        <f>VLOOKUP(A36, '2. 2016 Continuity Schedule'!$C$20:$BV$86, MATCH('2. 2016 Continuity Schedule'!BQ$20, '2. 2016 Continuity Schedule'!C$20:BV$20,0),FALSE)</f>
        <v>3999.9959999999996</v>
      </c>
      <c r="G36" s="60">
        <f>VLOOKUP(A36, '2. 2016 Continuity Schedule'!$C$20:$BV$86, MATCH('2. 2016 Continuity Schedule'!BR$20, '2. 2016 Continuity Schedule'!C$20:BV$20,0),FALSE)</f>
        <v>0</v>
      </c>
      <c r="H36" s="60">
        <f t="shared" si="1"/>
        <v>367433.99599999998</v>
      </c>
      <c r="I36" s="60">
        <f>VLOOKUP(A36, '2. 2016 Continuity Schedule'!$C$20:$BV$86, MATCH('2. 2016 Continuity Schedule'!BU$20, '2. 2016 Continuity Schedule'!C$20:BV$20,0),FALSE)</f>
        <v>809216.83000000007</v>
      </c>
      <c r="J36" s="60">
        <f>VLOOKUP(A36, '2. 2016 Continuity Schedule'!$C$20:$BV$86, MATCH('2. 2016 Continuity Schedule'!BV$20, '2. 2016 Continuity Schedule'!C$20:BV$20,0),FALSE)</f>
        <v>0.83000000007450581</v>
      </c>
    </row>
    <row r="37" spans="1:10" ht="28.5" x14ac:dyDescent="0.2">
      <c r="A37" s="122" t="s">
        <v>36</v>
      </c>
      <c r="B37" s="123">
        <v>1592</v>
      </c>
      <c r="C37" s="60">
        <f>VLOOKUP(A37, '2. 2016 Continuity Schedule'!$C$20:$BV$86, MATCH('2. 2016 Continuity Schedule'!BO$20, '2. 2016 Continuity Schedule'!C$20:BV$20,0),FALSE)</f>
        <v>0</v>
      </c>
      <c r="D37" s="60">
        <f>VLOOKUP(A37, '2. 2016 Continuity Schedule'!$C$20:$BV$86, MATCH('2. 2016 Continuity Schedule'!BP$20, '2. 2016 Continuity Schedule'!C$20:BV$20,0),FALSE)</f>
        <v>0</v>
      </c>
      <c r="E37" s="60">
        <f t="shared" si="0"/>
        <v>0</v>
      </c>
      <c r="F37" s="60">
        <f>VLOOKUP(A37, '2. 2016 Continuity Schedule'!$C$20:$BV$86, MATCH('2. 2016 Continuity Schedule'!BQ$20, '2. 2016 Continuity Schedule'!C$20:BV$20,0),FALSE)</f>
        <v>0</v>
      </c>
      <c r="G37" s="60">
        <f>VLOOKUP(A37, '2. 2016 Continuity Schedule'!$C$20:$BV$86, MATCH('2. 2016 Continuity Schedule'!BR$20, '2. 2016 Continuity Schedule'!C$20:BV$20,0),FALSE)</f>
        <v>0</v>
      </c>
      <c r="H37" s="60">
        <f t="shared" si="1"/>
        <v>0</v>
      </c>
      <c r="I37" s="60">
        <f>VLOOKUP(A37, '2. 2016 Continuity Schedule'!$C$20:$BV$86, MATCH('2. 2016 Continuity Schedule'!BU$20, '2. 2016 Continuity Schedule'!C$20:BV$20,0),FALSE)</f>
        <v>0</v>
      </c>
      <c r="J37" s="60">
        <f>VLOOKUP(A37, '2. 2016 Continuity Schedule'!$C$20:$BV$86, MATCH('2. 2016 Continuity Schedule'!BV$20, '2. 2016 Continuity Schedule'!C$20:BV$20,0),FALSE)</f>
        <v>0</v>
      </c>
    </row>
    <row r="38" spans="1:10" ht="28.5" x14ac:dyDescent="0.2">
      <c r="A38" s="122" t="s">
        <v>35</v>
      </c>
      <c r="B38" s="123">
        <v>1592</v>
      </c>
      <c r="C38" s="60" t="e">
        <f>VLOOKUP(A38, '2. 2016 Continuity Schedule'!$C$20:$BV$86, MATCH('2. 2016 Continuity Schedule'!BO$20, '2. 2016 Continuity Schedule'!C$20:BV$20,0),FALSE)</f>
        <v>#N/A</v>
      </c>
      <c r="D38" s="60" t="e">
        <f>VLOOKUP(A38, '2. 2016 Continuity Schedule'!$C$20:$BV$86, MATCH('2. 2016 Continuity Schedule'!BP$20, '2. 2016 Continuity Schedule'!C$20:BV$20,0),FALSE)</f>
        <v>#N/A</v>
      </c>
      <c r="E38" s="60" t="e">
        <f t="shared" si="0"/>
        <v>#N/A</v>
      </c>
      <c r="F38" s="60" t="e">
        <f>VLOOKUP(A38, '2. 2016 Continuity Schedule'!$C$20:$BV$86, MATCH('2. 2016 Continuity Schedule'!BQ$20, '2. 2016 Continuity Schedule'!C$20:BV$20,0),FALSE)</f>
        <v>#N/A</v>
      </c>
      <c r="G38" s="60" t="e">
        <f>VLOOKUP(A38, '2. 2016 Continuity Schedule'!$C$20:$BV$86, MATCH('2. 2016 Continuity Schedule'!BR$20, '2. 2016 Continuity Schedule'!C$20:BV$20,0),FALSE)</f>
        <v>#N/A</v>
      </c>
      <c r="H38" s="60" t="e">
        <f t="shared" si="1"/>
        <v>#N/A</v>
      </c>
      <c r="I38" s="60" t="e">
        <f>VLOOKUP(A38, '2. 2016 Continuity Schedule'!$C$20:$BV$86, MATCH('2. 2016 Continuity Schedule'!BU$20, '2. 2016 Continuity Schedule'!C$20:BV$20,0),FALSE)</f>
        <v>#N/A</v>
      </c>
      <c r="J38" s="60" t="e">
        <f>VLOOKUP(A38, '2. 2016 Continuity Schedule'!$C$20:$BV$86, MATCH('2. 2016 Continuity Schedule'!BV$20, '2. 2016 Continuity Schedule'!C$20:BV$20,0),FALSE)</f>
        <v>#N/A</v>
      </c>
    </row>
    <row r="39" spans="1:10" ht="16.5" x14ac:dyDescent="0.2">
      <c r="A39" s="124" t="s">
        <v>45</v>
      </c>
      <c r="B39" s="119">
        <v>1595</v>
      </c>
      <c r="C39" s="60" t="e">
        <f>VLOOKUP(A39, '2. 2016 Continuity Schedule'!$C$20:$BV$86, MATCH('2. 2016 Continuity Schedule'!BO$20, '2. 2016 Continuity Schedule'!C$20:BV$20,0),FALSE)</f>
        <v>#N/A</v>
      </c>
      <c r="D39" s="60" t="e">
        <f>VLOOKUP(A39, '2. 2016 Continuity Schedule'!$C$20:$BV$86, MATCH('2. 2016 Continuity Schedule'!BP$20, '2. 2016 Continuity Schedule'!C$20:BV$20,0),FALSE)</f>
        <v>#N/A</v>
      </c>
      <c r="E39" s="60" t="e">
        <f t="shared" si="0"/>
        <v>#N/A</v>
      </c>
      <c r="F39" s="60" t="e">
        <f>VLOOKUP(A39, '2. 2016 Continuity Schedule'!$C$20:$BV$86, MATCH('2. 2016 Continuity Schedule'!BQ$20, '2. 2016 Continuity Schedule'!C$20:BV$20,0),FALSE)</f>
        <v>#N/A</v>
      </c>
      <c r="G39" s="60" t="e">
        <f>VLOOKUP(A39, '2. 2016 Continuity Schedule'!$C$20:$BV$86, MATCH('2. 2016 Continuity Schedule'!BR$20, '2. 2016 Continuity Schedule'!C$20:BV$20,0),FALSE)</f>
        <v>#N/A</v>
      </c>
      <c r="H39" s="60" t="e">
        <f t="shared" si="1"/>
        <v>#N/A</v>
      </c>
      <c r="I39" s="60" t="e">
        <f>VLOOKUP(A39, '2. 2016 Continuity Schedule'!$C$20:$BV$86, MATCH('2. 2016 Continuity Schedule'!BU$20, '2. 2016 Continuity Schedule'!C$20:BV$20,0),FALSE)</f>
        <v>#N/A</v>
      </c>
      <c r="J39" s="60" t="e">
        <f>VLOOKUP(A39, '2. 2016 Continuity Schedule'!$C$20:$BV$86, MATCH('2. 2016 Continuity Schedule'!BV$20, '2. 2016 Continuity Schedule'!C$20:BV$20,0),FALSE)</f>
        <v>#N/A</v>
      </c>
    </row>
    <row r="40" spans="1:10" ht="16.5" x14ac:dyDescent="0.2">
      <c r="A40" s="124" t="s">
        <v>46</v>
      </c>
      <c r="B40" s="119">
        <v>1595</v>
      </c>
      <c r="C40" s="60" t="e">
        <f>VLOOKUP(A40, '2. 2016 Continuity Schedule'!$C$20:$BV$86, MATCH('2. 2016 Continuity Schedule'!BO$20, '2. 2016 Continuity Schedule'!C$20:BV$20,0),FALSE)</f>
        <v>#N/A</v>
      </c>
      <c r="D40" s="60" t="e">
        <f>VLOOKUP(A40, '2. 2016 Continuity Schedule'!$C$20:$BV$86, MATCH('2. 2016 Continuity Schedule'!BP$20, '2. 2016 Continuity Schedule'!C$20:BV$20,0),FALSE)</f>
        <v>#N/A</v>
      </c>
      <c r="E40" s="60" t="e">
        <f t="shared" si="0"/>
        <v>#N/A</v>
      </c>
      <c r="F40" s="60" t="e">
        <f>VLOOKUP(A40, '2. 2016 Continuity Schedule'!$C$20:$BV$86, MATCH('2. 2016 Continuity Schedule'!BQ$20, '2. 2016 Continuity Schedule'!C$20:BV$20,0),FALSE)</f>
        <v>#N/A</v>
      </c>
      <c r="G40" s="60" t="e">
        <f>VLOOKUP(A40, '2. 2016 Continuity Schedule'!$C$20:$BV$86, MATCH('2. 2016 Continuity Schedule'!BR$20, '2. 2016 Continuity Schedule'!C$20:BV$20,0),FALSE)</f>
        <v>#N/A</v>
      </c>
      <c r="H40" s="60" t="e">
        <f t="shared" si="1"/>
        <v>#N/A</v>
      </c>
      <c r="I40" s="60" t="e">
        <f>VLOOKUP(A40, '2. 2016 Continuity Schedule'!$C$20:$BV$86, MATCH('2. 2016 Continuity Schedule'!BU$20, '2. 2016 Continuity Schedule'!C$20:BV$20,0),FALSE)</f>
        <v>#N/A</v>
      </c>
      <c r="J40" s="60" t="e">
        <f>VLOOKUP(A40, '2. 2016 Continuity Schedule'!$C$20:$BV$86, MATCH('2. 2016 Continuity Schedule'!BV$20, '2. 2016 Continuity Schedule'!C$20:BV$20,0),FALSE)</f>
        <v>#N/A</v>
      </c>
    </row>
    <row r="41" spans="1:10" ht="16.5" x14ac:dyDescent="0.2">
      <c r="A41" s="124" t="s">
        <v>47</v>
      </c>
      <c r="B41" s="119">
        <v>1595</v>
      </c>
      <c r="C41" s="60" t="e">
        <f>VLOOKUP(A41, '2. 2016 Continuity Schedule'!$C$20:$BV$86, MATCH('2. 2016 Continuity Schedule'!BO$20, '2. 2016 Continuity Schedule'!C$20:BV$20,0),FALSE)</f>
        <v>#N/A</v>
      </c>
      <c r="D41" s="60" t="e">
        <f>VLOOKUP(A41, '2. 2016 Continuity Schedule'!$C$20:$BV$86, MATCH('2. 2016 Continuity Schedule'!BP$20, '2. 2016 Continuity Schedule'!C$20:BV$20,0),FALSE)</f>
        <v>#N/A</v>
      </c>
      <c r="E41" s="60" t="e">
        <f t="shared" si="0"/>
        <v>#N/A</v>
      </c>
      <c r="F41" s="60" t="e">
        <f>VLOOKUP(A41, '2. 2016 Continuity Schedule'!$C$20:$BV$86, MATCH('2. 2016 Continuity Schedule'!BQ$20, '2. 2016 Continuity Schedule'!C$20:BV$20,0),FALSE)</f>
        <v>#N/A</v>
      </c>
      <c r="G41" s="60" t="e">
        <f>VLOOKUP(A41, '2. 2016 Continuity Schedule'!$C$20:$BV$86, MATCH('2. 2016 Continuity Schedule'!BR$20, '2. 2016 Continuity Schedule'!C$20:BV$20,0),FALSE)</f>
        <v>#N/A</v>
      </c>
      <c r="H41" s="60" t="e">
        <f t="shared" si="1"/>
        <v>#N/A</v>
      </c>
      <c r="I41" s="60" t="e">
        <f>VLOOKUP(A41, '2. 2016 Continuity Schedule'!$C$20:$BV$86, MATCH('2. 2016 Continuity Schedule'!BU$20, '2. 2016 Continuity Schedule'!C$20:BV$20,0),FALSE)</f>
        <v>#N/A</v>
      </c>
      <c r="J41" s="60" t="e">
        <f>VLOOKUP(A41, '2. 2016 Continuity Schedule'!$C$20:$BV$86, MATCH('2. 2016 Continuity Schedule'!BV$20, '2. 2016 Continuity Schedule'!C$20:BV$20,0),FALSE)</f>
        <v>#N/A</v>
      </c>
    </row>
    <row r="42" spans="1:10" ht="16.5" x14ac:dyDescent="0.2">
      <c r="A42" s="124" t="s">
        <v>84</v>
      </c>
      <c r="B42" s="119">
        <v>1595</v>
      </c>
      <c r="C42" s="60" t="e">
        <f>VLOOKUP(A42, '2. 2016 Continuity Schedule'!$C$20:$BV$86, MATCH('2. 2016 Continuity Schedule'!BO$20, '2. 2016 Continuity Schedule'!C$20:BV$20,0),FALSE)</f>
        <v>#N/A</v>
      </c>
      <c r="D42" s="60" t="e">
        <f>VLOOKUP(A42, '2. 2016 Continuity Schedule'!$C$20:$BV$86, MATCH('2. 2016 Continuity Schedule'!BP$20, '2. 2016 Continuity Schedule'!C$20:BV$20,0),FALSE)</f>
        <v>#N/A</v>
      </c>
      <c r="E42" s="60" t="e">
        <f t="shared" si="0"/>
        <v>#N/A</v>
      </c>
      <c r="F42" s="60" t="e">
        <f>VLOOKUP(A42, '2. 2016 Continuity Schedule'!$C$20:$BV$86, MATCH('2. 2016 Continuity Schedule'!BQ$20, '2. 2016 Continuity Schedule'!C$20:BV$20,0),FALSE)</f>
        <v>#N/A</v>
      </c>
      <c r="G42" s="60" t="e">
        <f>VLOOKUP(A42, '2. 2016 Continuity Schedule'!$C$20:$BV$86, MATCH('2. 2016 Continuity Schedule'!BR$20, '2. 2016 Continuity Schedule'!C$20:BV$20,0),FALSE)</f>
        <v>#N/A</v>
      </c>
      <c r="H42" s="60" t="e">
        <f t="shared" si="1"/>
        <v>#N/A</v>
      </c>
      <c r="I42" s="60" t="e">
        <f>VLOOKUP(A42, '2. 2016 Continuity Schedule'!$C$20:$BV$86, MATCH('2. 2016 Continuity Schedule'!BU$20, '2. 2016 Continuity Schedule'!C$20:BV$20,0),FALSE)</f>
        <v>#N/A</v>
      </c>
      <c r="J42" s="60" t="e">
        <f>VLOOKUP(A42, '2. 2016 Continuity Schedule'!$C$20:$BV$86, MATCH('2. 2016 Continuity Schedule'!BV$20, '2. 2016 Continuity Schedule'!C$20:BV$20,0),FALSE)</f>
        <v>#N/A</v>
      </c>
    </row>
    <row r="43" spans="1:10" ht="16.5" x14ac:dyDescent="0.2">
      <c r="A43" s="124" t="s">
        <v>174</v>
      </c>
      <c r="B43" s="119">
        <v>1595</v>
      </c>
      <c r="C43" s="60" t="e">
        <f>VLOOKUP(A43, '2. 2016 Continuity Schedule'!$C$20:$BV$86, MATCH('2. 2016 Continuity Schedule'!BO$20, '2. 2016 Continuity Schedule'!C$20:BV$20,0),FALSE)</f>
        <v>#N/A</v>
      </c>
      <c r="D43" s="60" t="e">
        <f>VLOOKUP(A43, '2. 2016 Continuity Schedule'!$C$20:$BV$86, MATCH('2. 2016 Continuity Schedule'!BP$20, '2. 2016 Continuity Schedule'!C$20:BV$20,0),FALSE)</f>
        <v>#N/A</v>
      </c>
      <c r="E43" s="60" t="e">
        <f t="shared" si="0"/>
        <v>#N/A</v>
      </c>
      <c r="F43" s="60" t="e">
        <f>VLOOKUP(A43, '2. 2016 Continuity Schedule'!$C$20:$BV$86, MATCH('2. 2016 Continuity Schedule'!BQ$20, '2. 2016 Continuity Schedule'!C$20:BV$20,0),FALSE)</f>
        <v>#N/A</v>
      </c>
      <c r="G43" s="60" t="e">
        <f>VLOOKUP(A43, '2. 2016 Continuity Schedule'!$C$20:$BV$86, MATCH('2. 2016 Continuity Schedule'!BR$20, '2. 2016 Continuity Schedule'!C$20:BV$20,0),FALSE)</f>
        <v>#N/A</v>
      </c>
      <c r="H43" s="60" t="e">
        <f t="shared" si="1"/>
        <v>#N/A</v>
      </c>
      <c r="I43" s="60" t="e">
        <f>VLOOKUP(A43, '2. 2016 Continuity Schedule'!$C$20:$BV$86, MATCH('2. 2016 Continuity Schedule'!BU$20, '2. 2016 Continuity Schedule'!C$20:BV$20,0),FALSE)</f>
        <v>#N/A</v>
      </c>
      <c r="J43" s="60" t="e">
        <f>VLOOKUP(A43, '2. 2016 Continuity Schedule'!$C$20:$BV$86, MATCH('2. 2016 Continuity Schedule'!BV$20, '2. 2016 Continuity Schedule'!C$20:BV$20,0),FALSE)</f>
        <v>#N/A</v>
      </c>
    </row>
    <row r="44" spans="1:10" ht="14.25" x14ac:dyDescent="0.2">
      <c r="A44" s="118" t="s">
        <v>7</v>
      </c>
      <c r="B44" s="119">
        <v>2425</v>
      </c>
      <c r="C44" s="60">
        <f>VLOOKUP(A44, '2. 2016 Continuity Schedule'!$C$20:$BV$86, MATCH('2. 2016 Continuity Schedule'!BO$20, '2. 2016 Continuity Schedule'!C$20:BV$20,0),FALSE)</f>
        <v>0</v>
      </c>
      <c r="D44" s="60">
        <f>VLOOKUP(A44, '2. 2016 Continuity Schedule'!$C$20:$BV$86, MATCH('2. 2016 Continuity Schedule'!BP$20, '2. 2016 Continuity Schedule'!C$20:BV$20,0),FALSE)</f>
        <v>0</v>
      </c>
      <c r="E44" s="60">
        <f t="shared" si="0"/>
        <v>0</v>
      </c>
      <c r="F44" s="60">
        <f>VLOOKUP(A44, '2. 2016 Continuity Schedule'!$C$20:$BV$86, MATCH('2. 2016 Continuity Schedule'!BQ$20, '2. 2016 Continuity Schedule'!C$20:BV$20,0),FALSE)</f>
        <v>0</v>
      </c>
      <c r="G44" s="60">
        <f>VLOOKUP(A44, '2. 2016 Continuity Schedule'!$C$20:$BV$86, MATCH('2. 2016 Continuity Schedule'!BR$20, '2. 2016 Continuity Schedule'!C$20:BV$20,0),FALSE)</f>
        <v>0</v>
      </c>
      <c r="H44" s="60">
        <f t="shared" si="1"/>
        <v>0</v>
      </c>
      <c r="I44" s="60">
        <f>VLOOKUP(A44, '2. 2016 Continuity Schedule'!$C$20:$BV$86, MATCH('2. 2016 Continuity Schedule'!BU$20, '2. 2016 Continuity Schedule'!C$20:BV$20,0),FALSE)</f>
        <v>0</v>
      </c>
      <c r="J44" s="60">
        <f>VLOOKUP(A44, '2. 2016 Continuity Schedule'!$C$20:$BV$86, MATCH('2. 2016 Continuity Schedule'!BV$20, '2. 2016 Continuity Schedule'!C$20:BV$20,0),FALSE)</f>
        <v>0</v>
      </c>
    </row>
    <row r="45" spans="1:10" ht="14.25" x14ac:dyDescent="0.2">
      <c r="A45" s="4"/>
      <c r="B45" s="4"/>
    </row>
    <row r="46" spans="1:10" ht="15" x14ac:dyDescent="0.25">
      <c r="A46" s="8"/>
      <c r="B46" s="8"/>
    </row>
    <row r="47" spans="1:10" ht="15" x14ac:dyDescent="0.25">
      <c r="A47" s="8"/>
      <c r="B47" s="8"/>
    </row>
    <row r="48" spans="1:10" ht="15" x14ac:dyDescent="0.25">
      <c r="A48" s="9"/>
      <c r="B48" s="10"/>
    </row>
    <row r="49" spans="1:2" ht="15" x14ac:dyDescent="0.25">
      <c r="A49" s="9"/>
      <c r="B49" s="9"/>
    </row>
    <row r="50" spans="1:2" ht="23.25" x14ac:dyDescent="0.25">
      <c r="A50" s="37"/>
      <c r="B50" s="9"/>
    </row>
    <row r="51" spans="1:2" ht="14.25" x14ac:dyDescent="0.2">
      <c r="A51" s="5"/>
      <c r="B51" s="5"/>
    </row>
    <row r="52" spans="1:2" ht="15" x14ac:dyDescent="0.25">
      <c r="A52" s="11"/>
      <c r="B52" s="5"/>
    </row>
    <row r="53" spans="1:2" ht="14.25" x14ac:dyDescent="0.2">
      <c r="A53" s="5"/>
      <c r="B53" s="5"/>
    </row>
    <row r="54" spans="1:2" ht="14.25" x14ac:dyDescent="0.2">
      <c r="A54" s="5"/>
      <c r="B54" s="5"/>
    </row>
    <row r="55" spans="1:2" ht="15" x14ac:dyDescent="0.25">
      <c r="A55" s="11"/>
      <c r="B55" s="5"/>
    </row>
    <row r="56" spans="1:2" ht="14.25" x14ac:dyDescent="0.2">
      <c r="A56" s="12"/>
      <c r="B56" s="12"/>
    </row>
    <row r="57" spans="1:2" ht="14.25" x14ac:dyDescent="0.2">
      <c r="A57" s="12"/>
      <c r="B57" s="12"/>
    </row>
    <row r="58" spans="1:2" ht="15" x14ac:dyDescent="0.25">
      <c r="A58" s="38"/>
      <c r="B58" s="39"/>
    </row>
    <row r="59" spans="1:2" ht="15" x14ac:dyDescent="0.25">
      <c r="A59" s="38"/>
      <c r="B59" s="39"/>
    </row>
    <row r="60" spans="1:2" ht="15" x14ac:dyDescent="0.25">
      <c r="A60" s="13"/>
      <c r="B60" s="12"/>
    </row>
    <row r="61" spans="1:2" ht="14.25" x14ac:dyDescent="0.2">
      <c r="A61" s="12"/>
      <c r="B61" s="12"/>
    </row>
    <row r="62" spans="1:2" ht="14.25" x14ac:dyDescent="0.2">
      <c r="A62" s="4"/>
      <c r="B62" s="7"/>
    </row>
  </sheetData>
  <sortState ref="A1:B59">
    <sortCondition ref="B1:B59"/>
  </sortState>
  <mergeCells count="8">
    <mergeCell ref="I1:I3"/>
    <mergeCell ref="J1:J3"/>
    <mergeCell ref="C1:C3"/>
    <mergeCell ref="D1:D3"/>
    <mergeCell ref="F1:F3"/>
    <mergeCell ref="G1:G3"/>
    <mergeCell ref="H1:H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Information Sheet</vt:lpstr>
      <vt:lpstr>2. 2016 Continuity Schedule</vt:lpstr>
      <vt:lpstr>3. Appendix A</vt:lpstr>
      <vt:lpstr>4. Billing Determinants</vt:lpstr>
      <vt:lpstr>5. Allocation of Balances</vt:lpstr>
      <vt:lpstr>6. Rate Rider Calculations</vt:lpstr>
      <vt:lpstr>Summary Sheet</vt:lpstr>
      <vt:lpstr>'4. Billing Determinants'!_GoBack</vt:lpstr>
      <vt:lpstr>'1. Information Sheet'!Print_Area</vt:lpstr>
      <vt:lpstr>'3. Appendix A'!Print_Area</vt:lpstr>
      <vt:lpstr>'4. Billing Determinants'!Print_Area</vt:lpstr>
      <vt:lpstr>'6. Rate Rider Calculations'!Print_Area</vt:lpstr>
      <vt:lpstr>'2. 2016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_</cp:lastModifiedBy>
  <cp:lastPrinted>2017-08-03T13:46:14Z</cp:lastPrinted>
  <dcterms:created xsi:type="dcterms:W3CDTF">2005-04-25T20:13:02Z</dcterms:created>
  <dcterms:modified xsi:type="dcterms:W3CDTF">2017-10-05T20:30:16Z</dcterms:modified>
</cp:coreProperties>
</file>