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barker\AppData\Local\Microsoft\Windows\INetCache\Content.Outlook\FMCUZ6M0\"/>
    </mc:Choice>
  </mc:AlternateContent>
  <bookViews>
    <workbookView xWindow="0" yWindow="0" windowWidth="28800" windowHeight="12300" activeTab="1"/>
  </bookViews>
  <sheets>
    <sheet name="Instructions" sheetId="2" r:id="rId1"/>
    <sheet name="2016 GA Analysis " sheetId="5" r:id="rId2"/>
    <sheet name="2015 GA Analysis " sheetId="4" r:id="rId3"/>
    <sheet name="2016 Interval Consumption" sheetId="6" r:id="rId4"/>
  </sheets>
  <definedNames>
    <definedName name="GARate" localSheetId="2">#REF!</definedName>
    <definedName name="GARate" localSheetId="1">#REF!</definedName>
    <definedName name="GARate">#REF!</definedName>
    <definedName name="_xlnm.Print_Area" localSheetId="2">'2015 GA Analysis '!$A$12:$K$108</definedName>
    <definedName name="_xlnm.Print_Area" localSheetId="1">'2016 GA Analysis '!$A$12:$K$107</definedName>
    <definedName name="_xlnm.Print_Area" localSheetId="0">Instructions!$A$11:$C$83</definedName>
  </definedNames>
  <calcPr calcId="162913"/>
</workbook>
</file>

<file path=xl/calcChain.xml><?xml version="1.0" encoding="utf-8"?>
<calcChain xmlns="http://schemas.openxmlformats.org/spreadsheetml/2006/main">
  <c r="D70" i="5" l="1"/>
  <c r="D71" i="4"/>
  <c r="D72" i="4"/>
  <c r="D67" i="5" l="1"/>
  <c r="D67" i="4" l="1"/>
  <c r="D23" i="4" l="1"/>
  <c r="D75" i="5" l="1"/>
  <c r="L18" i="6"/>
  <c r="M18" i="6"/>
  <c r="N18" i="6"/>
  <c r="O18" i="6"/>
  <c r="P18" i="6"/>
  <c r="K18" i="6"/>
  <c r="K19" i="6" s="1"/>
  <c r="P17" i="6"/>
  <c r="P19" i="6" s="1"/>
  <c r="O17" i="6"/>
  <c r="N17" i="6"/>
  <c r="M17" i="6"/>
  <c r="M19" i="6" s="1"/>
  <c r="L17" i="6"/>
  <c r="L19" i="6" s="1"/>
  <c r="K17" i="6"/>
  <c r="P16" i="6"/>
  <c r="O16" i="6"/>
  <c r="N16" i="6"/>
  <c r="M16" i="6"/>
  <c r="L16" i="6"/>
  <c r="K16" i="6"/>
  <c r="J16" i="6"/>
  <c r="J17" i="6" s="1"/>
  <c r="J18" i="6" s="1"/>
  <c r="J19" i="6" s="1"/>
  <c r="I16" i="6"/>
  <c r="I17" i="6" s="1"/>
  <c r="I18" i="6" s="1"/>
  <c r="I19" i="6" s="1"/>
  <c r="H16" i="6"/>
  <c r="H17" i="6" s="1"/>
  <c r="H18" i="6" s="1"/>
  <c r="H19" i="6" s="1"/>
  <c r="G16" i="6"/>
  <c r="G17" i="6" s="1"/>
  <c r="G18" i="6" s="1"/>
  <c r="G19" i="6" s="1"/>
  <c r="F16" i="6"/>
  <c r="F17" i="6" s="1"/>
  <c r="F18" i="6" s="1"/>
  <c r="F19" i="6" s="1"/>
  <c r="E16" i="6"/>
  <c r="E17" i="6" s="1"/>
  <c r="E18" i="6" s="1"/>
  <c r="E19" i="6" s="1"/>
  <c r="P13" i="6"/>
  <c r="O13" i="6"/>
  <c r="N13" i="6"/>
  <c r="M13" i="6"/>
  <c r="L13" i="6"/>
  <c r="K13" i="6"/>
  <c r="J13" i="6"/>
  <c r="I13" i="6"/>
  <c r="H13" i="6"/>
  <c r="G13" i="6"/>
  <c r="F13" i="6"/>
  <c r="E13" i="6"/>
  <c r="Q12" i="6"/>
  <c r="Q11" i="6"/>
  <c r="Q10" i="6"/>
  <c r="Q9" i="6"/>
  <c r="Q8" i="6"/>
  <c r="Q13" i="6" s="1"/>
  <c r="D89" i="5"/>
  <c r="E89" i="4"/>
  <c r="E89" i="5" s="1"/>
  <c r="D89" i="4"/>
  <c r="I58" i="4"/>
  <c r="I57" i="4"/>
  <c r="I56" i="4"/>
  <c r="I55" i="4"/>
  <c r="I54" i="4"/>
  <c r="I53" i="4"/>
  <c r="I52" i="4"/>
  <c r="I51" i="4"/>
  <c r="I50" i="4"/>
  <c r="I49" i="4"/>
  <c r="I48" i="4"/>
  <c r="I47" i="4"/>
  <c r="G58" i="4"/>
  <c r="G57" i="4"/>
  <c r="G56" i="4"/>
  <c r="G55" i="4"/>
  <c r="G54" i="4"/>
  <c r="G53" i="4"/>
  <c r="G52" i="4"/>
  <c r="G51" i="4"/>
  <c r="G50" i="4"/>
  <c r="G49" i="4"/>
  <c r="G48" i="4"/>
  <c r="G47" i="4"/>
  <c r="D88" i="5"/>
  <c r="I48" i="5"/>
  <c r="I49" i="5"/>
  <c r="I50" i="5"/>
  <c r="I51" i="5"/>
  <c r="I52" i="5"/>
  <c r="I53" i="5"/>
  <c r="I54" i="5"/>
  <c r="I55" i="5"/>
  <c r="I56" i="5"/>
  <c r="I57" i="5"/>
  <c r="I58" i="5"/>
  <c r="I47" i="5"/>
  <c r="G58" i="5"/>
  <c r="G57" i="5"/>
  <c r="G56" i="5"/>
  <c r="G55" i="5"/>
  <c r="G54" i="5"/>
  <c r="G53" i="5"/>
  <c r="G52" i="5"/>
  <c r="G51" i="5"/>
  <c r="G50" i="5"/>
  <c r="G49" i="5"/>
  <c r="G48" i="5"/>
  <c r="G47" i="5"/>
  <c r="F91" i="5"/>
  <c r="G91" i="5" s="1"/>
  <c r="I91" i="5" s="1"/>
  <c r="F90" i="5"/>
  <c r="G90" i="5" s="1"/>
  <c r="I90" i="5" s="1"/>
  <c r="E59" i="5"/>
  <c r="D59" i="5"/>
  <c r="C59" i="5"/>
  <c r="F58" i="5"/>
  <c r="F57" i="5"/>
  <c r="F56" i="5"/>
  <c r="H56" i="5" s="1"/>
  <c r="F55" i="5"/>
  <c r="F54" i="5"/>
  <c r="F53" i="5"/>
  <c r="F52" i="5"/>
  <c r="J52" i="5" s="1"/>
  <c r="F51" i="5"/>
  <c r="F50" i="5"/>
  <c r="F49" i="5"/>
  <c r="F48" i="5"/>
  <c r="H48" i="5" s="1"/>
  <c r="F47" i="5"/>
  <c r="D24" i="5"/>
  <c r="D22" i="5" s="1"/>
  <c r="F26" i="5" s="1"/>
  <c r="H50" i="5" l="1"/>
  <c r="H53" i="5"/>
  <c r="H57" i="5"/>
  <c r="H49" i="5"/>
  <c r="H58" i="5"/>
  <c r="F59" i="5"/>
  <c r="J50" i="5"/>
  <c r="K50" i="5" s="1"/>
  <c r="J48" i="5"/>
  <c r="K48" i="5" s="1"/>
  <c r="H54" i="5"/>
  <c r="J56" i="5"/>
  <c r="J58" i="5"/>
  <c r="K58" i="5" s="1"/>
  <c r="F89" i="5"/>
  <c r="J54" i="5"/>
  <c r="K54" i="5" s="1"/>
  <c r="O19" i="6"/>
  <c r="N19" i="6"/>
  <c r="Q19" i="6"/>
  <c r="D92" i="5"/>
  <c r="H52" i="5"/>
  <c r="H51" i="5"/>
  <c r="H47" i="5"/>
  <c r="H55" i="5"/>
  <c r="J47" i="5"/>
  <c r="J49" i="5"/>
  <c r="J51" i="5"/>
  <c r="K51" i="5" s="1"/>
  <c r="J53" i="5"/>
  <c r="K53" i="5" s="1"/>
  <c r="J55" i="5"/>
  <c r="J57" i="5"/>
  <c r="K57" i="5" s="1"/>
  <c r="F24" i="5"/>
  <c r="K52" i="5"/>
  <c r="K56" i="5"/>
  <c r="F25" i="5"/>
  <c r="F23" i="5"/>
  <c r="K49" i="5" l="1"/>
  <c r="K47" i="5"/>
  <c r="H59" i="5"/>
  <c r="E88" i="5"/>
  <c r="D79" i="5"/>
  <c r="K55" i="5"/>
  <c r="K59" i="5" s="1"/>
  <c r="J59" i="5"/>
  <c r="H88" i="5" s="1"/>
  <c r="D80" i="5" l="1"/>
  <c r="C88" i="5"/>
  <c r="D81" i="5"/>
  <c r="D82" i="5" s="1"/>
  <c r="E82" i="5" s="1"/>
  <c r="E92" i="5"/>
  <c r="F88" i="5"/>
  <c r="G88" i="5" l="1"/>
  <c r="F92" i="5"/>
  <c r="I88" i="5" l="1"/>
  <c r="G92" i="4" l="1"/>
  <c r="G91" i="4"/>
  <c r="F89" i="4"/>
  <c r="F90" i="4"/>
  <c r="G90" i="4" s="1"/>
  <c r="F91" i="4"/>
  <c r="F92" i="4"/>
  <c r="F47" i="4" l="1"/>
  <c r="H47" i="4" s="1"/>
  <c r="J47" i="4" l="1"/>
  <c r="K47" i="4" s="1"/>
  <c r="D80" i="4"/>
  <c r="F51" i="4" l="1"/>
  <c r="F52" i="4"/>
  <c r="J52" i="4" s="1"/>
  <c r="F53" i="4"/>
  <c r="F54" i="4"/>
  <c r="H54" i="4" s="1"/>
  <c r="F58" i="4"/>
  <c r="F56" i="4"/>
  <c r="J56" i="4" s="1"/>
  <c r="F57" i="4"/>
  <c r="I92" i="4"/>
  <c r="I91" i="4"/>
  <c r="I90" i="4"/>
  <c r="D93" i="4"/>
  <c r="F93"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89" i="4" s="1"/>
  <c r="H89" i="5" s="1"/>
  <c r="H92" i="5" s="1"/>
  <c r="H59" i="4"/>
  <c r="K59" i="4"/>
  <c r="C89" i="4" s="1"/>
  <c r="C89" i="5" l="1"/>
  <c r="G89" i="4"/>
  <c r="C93" i="4"/>
  <c r="D81" i="4"/>
  <c r="D82" i="4" s="1"/>
  <c r="H93" i="4"/>
  <c r="I89" i="4" l="1"/>
  <c r="G93" i="4"/>
  <c r="G89" i="5"/>
  <c r="C92" i="5"/>
  <c r="E93" i="4"/>
  <c r="I89" i="5" l="1"/>
  <c r="G92" i="5"/>
  <c r="D83" i="4"/>
  <c r="E83" i="4" s="1"/>
</calcChain>
</file>

<file path=xl/sharedStrings.xml><?xml version="1.0" encoding="utf-8"?>
<sst xmlns="http://schemas.openxmlformats.org/spreadsheetml/2006/main" count="375" uniqueCount="192">
  <si>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</si>
  <si>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</si>
  <si>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</si>
  <si>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</si>
  <si>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</si>
  <si>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</si>
  <si>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</si>
  <si>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</si>
  <si>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</si>
  <si>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</si>
  <si>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</si>
  <si>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</si>
  <si>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</si>
  <si>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</si>
  <si>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</si>
  <si>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</si>
  <si>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</si>
  <si>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</si>
  <si>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</si>
  <si>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</si>
  <si>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</si>
  <si>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</si>
  <si>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</si>
  <si>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</si>
  <si>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</si>
  <si>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</si>
  <si>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</si>
  <si>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</si>
  <si>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</si>
  <si>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</si>
  <si>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</si>
  <si>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</si>
  <si>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</si>
  <si>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</si>
  <si>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</si>
  <si>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</si>
  <si>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</si>
  <si>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</si>
  <si>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</si>
  <si>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</si>
  <si>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</si>
  <si>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</si>
  <si>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</si>
  <si>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</si>
  <si>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</si>
  <si>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</si>
  <si>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</si>
  <si>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</si>
  <si>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</si>
  <si>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</si>
  <si>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</si>
  <si>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</si>
  <si>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</si>
  <si>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</si>
  <si>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</si>
  <si>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</si>
  <si>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</si>
  <si>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</si>
  <si>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</si>
  <si>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</si>
  <si>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</si>
  <si>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</si>
  <si>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</si>
  <si>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</si>
  <si>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</si>
  <si>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</si>
  <si>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</si>
  <si>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</si>
  <si>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</si>
  <si>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</si>
  <si>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</si>
  <si>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</si>
  <si>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</si>
  <si>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</si>
  <si>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</si>
  <si>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</si>
  <si>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</si>
  <si>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</si>
  <si>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</si>
  <si>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</si>
  <si>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</si>
  <si>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</si>
  <si>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</si>
  <si>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</si>
  <si>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</si>
  <si>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</si>
  <si>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</si>
  <si>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</si>
  <si>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</si>
  <si>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</si>
  <si>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</si>
  <si>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</si>
  <si>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</si>
  <si>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</si>
  <si>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</si>
  <si>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</si>
  <si>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</si>
  <si>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</si>
  <si>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</si>
  <si>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</si>
  <si>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</si>
  <si>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</si>
  <si>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</si>
  <si>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</si>
  <si>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</si>
  <si>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</si>
  <si>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</si>
  <si>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</si>
  <si>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</si>
  <si>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</si>
  <si>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</si>
  <si>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</si>
  <si>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</si>
  <si>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</si>
  <si>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</si>
  <si>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</si>
  <si>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</si>
  <si>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</si>
  <si>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</si>
  <si>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</si>
  <si>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</si>
  <si>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</si>
  <si>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</si>
  <si>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</si>
  <si>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</si>
  <si>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</si>
  <si>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</si>
  <si>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</si>
  <si>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</si>
  <si>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</si>
  <si>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</si>
  <si>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</si>
  <si>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</si>
  <si>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</si>
  <si>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</si>
  <si>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</si>
  <si>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</si>
  <si>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</si>
  <si>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</si>
  <si>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</si>
  <si>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</si>
  <si>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</si>
  <si>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</si>
  <si>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</si>
  <si>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</si>
  <si>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</si>
  <si>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</si>
  <si>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</si>
  <si>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</si>
  <si>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</si>
  <si>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</si>
  <si>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</si>
  <si>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</si>
  <si>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</si>
  <si>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</si>
  <si>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</si>
  <si>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</si>
  <si>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</si>
  <si>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</si>
  <si>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</si>
  <si>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</si>
  <si>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</si>
  <si>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2015 &amp; 2016</t>
  </si>
  <si>
    <t>1st Estimate</t>
  </si>
  <si>
    <t xml:space="preserve">This adjustment is related to a 2015 reclassification entry booked in 2016 between RSVA Global Adjustment and RSVA Power accounts (See 2018 IRM Manager's summary for more discussion and analysis). </t>
  </si>
  <si>
    <t>Interval customers that were billed on final GA rate effective July 1, 2016. Model assumed all billing was done on the first estimate</t>
  </si>
  <si>
    <t>Effective July 1, 2016 STEI started billing our interval customers based on the final Global Adjustment rate. For the period of July through to December 2016, our billed interval consumption was multiplied by the difference between the final GA rate and the GA first estimate.</t>
  </si>
  <si>
    <t>STEI performs monthly 1598 reconciliations a few months after the initial settlement data has been reported. September through to December 2016 reconciliations were performed subsequent to year-end, resulting in a cumulative adjustment of $472,498</t>
  </si>
  <si>
    <t xml:space="preserve">St. Thomas Energy Inc. </t>
  </si>
  <si>
    <t>Interval Consumption billed analysis</t>
  </si>
  <si>
    <t>Total</t>
  </si>
  <si>
    <t>Interval Consumption (Billed kWh) includes losses</t>
  </si>
  <si>
    <t>GS&gt;50</t>
  </si>
  <si>
    <t>50J1 - GS &gt; 50 kW GA</t>
  </si>
  <si>
    <t>50J1 - GS &gt; 50 kW Retailer GA</t>
  </si>
  <si>
    <t>50V1 - GS &gt; 50 kW GA</t>
  </si>
  <si>
    <t>50V1 - GS &gt; 50 kW Retailer GA</t>
  </si>
  <si>
    <t>71S1 - Street Lights  GA</t>
  </si>
  <si>
    <t>Agrees to 2016 Distribution Revenue Summary</t>
  </si>
  <si>
    <t>Interval Consumption</t>
  </si>
  <si>
    <t>Total Adjustment</t>
  </si>
  <si>
    <t>GA First Estimate</t>
  </si>
  <si>
    <t>GA Rate Billed (Jan-June 1st Estimate, July- December actual)</t>
  </si>
  <si>
    <t>Change in GA Rate</t>
  </si>
  <si>
    <t>Adjustment</t>
  </si>
  <si>
    <t>No material impacts were noted</t>
  </si>
  <si>
    <t xml:space="preserve">St. Thomas Energy Inc. has no Class A customers </t>
  </si>
  <si>
    <t>Unbilled revenue is based on actual consumption and billings. STEI uses the effective usage date to allocate the appropriate cost and revenue</t>
  </si>
  <si>
    <t>1c</t>
  </si>
  <si>
    <t>The 2015 reclassification entry was the result of a change in estimated RPP GA consumption. As this work was completed in 2017, it was recorded in 2017.</t>
  </si>
  <si>
    <t>IESO 2015 payable due to the change in RPP consumption booked in subsequent year</t>
  </si>
  <si>
    <t>In 2016, there was no change between actual and estimated long term load transfers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</si>
</sst>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_);_(* \(#,##0\);_(* &quot;-&quot;??_);_(@_)"/>
    <numFmt numFmtId="171" formatCode="[$-409]mmmm\-yy;@"/>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3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9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38" fontId="2" fillId="2" borderId="1" xfId="0" applyNumberFormat="1" applyFont="1" applyFill="1" applyBorder="1"/>
    <xf numFmtId="38" fontId="2" fillId="2" borderId="2" xfId="0" applyNumberFormat="1" applyFont="1" applyFill="1" applyBorder="1"/>
    <xf numFmtId="38" fontId="2" fillId="2" borderId="11" xfId="0" applyNumberFormat="1" applyFont="1" applyFill="1" applyBorder="1"/>
    <xf numFmtId="38" fontId="2" fillId="2" borderId="3" xfId="0" applyNumberFormat="1" applyFont="1" applyFill="1" applyBorder="1"/>
    <xf numFmtId="167" fontId="2" fillId="2" borderId="0" xfId="1" applyNumberFormat="1" applyFont="1" applyFill="1"/>
    <xf numFmtId="170" fontId="2" fillId="2" borderId="2" xfId="0" applyNumberFormat="1" applyFont="1" applyFill="1" applyBorder="1"/>
    <xf numFmtId="0" fontId="16" fillId="0" borderId="0" xfId="0" applyFont="1" applyAlignment="1">
      <alignment horizontal="left"/>
    </xf>
    <xf numFmtId="15" fontId="16" fillId="0" borderId="0" xfId="0" applyNumberFormat="1" applyFont="1" applyAlignment="1">
      <alignment horizontal="left"/>
    </xf>
    <xf numFmtId="171" fontId="16" fillId="5" borderId="0" xfId="0" applyNumberFormat="1" applyFont="1" applyFill="1" applyAlignment="1">
      <alignment horizontal="center"/>
    </xf>
    <xf numFmtId="0" fontId="16" fillId="5" borderId="0" xfId="0" applyFont="1" applyFill="1" applyAlignment="1">
      <alignment horizontal="center"/>
    </xf>
    <xf numFmtId="0" fontId="16" fillId="0" borderId="0" xfId="0" applyFont="1"/>
    <xf numFmtId="165" fontId="0" fillId="0" borderId="0" xfId="5" applyFont="1"/>
    <xf numFmtId="40" fontId="0" fillId="0" borderId="0" xfId="0" applyNumberFormat="1" applyFont="1"/>
    <xf numFmtId="165" fontId="0" fillId="0" borderId="22" xfId="5" applyFont="1" applyBorder="1"/>
    <xf numFmtId="40" fontId="0" fillId="0" borderId="22" xfId="0" applyNumberFormat="1" applyFont="1" applyBorder="1"/>
    <xf numFmtId="0" fontId="16" fillId="5" borderId="0" xfId="0" applyFont="1" applyFill="1"/>
    <xf numFmtId="43" fontId="16" fillId="5" borderId="0" xfId="0" applyNumberFormat="1" applyFont="1" applyFill="1"/>
    <xf numFmtId="0" fontId="0" fillId="0" borderId="0" xfId="0" applyFill="1"/>
    <xf numFmtId="0" fontId="16" fillId="0" borderId="0" xfId="0" applyFont="1" applyFill="1"/>
    <xf numFmtId="0" fontId="16" fillId="0" borderId="0" xfId="0" applyFont="1" applyAlignment="1">
      <alignment horizontal="center"/>
    </xf>
    <xf numFmtId="43" fontId="0" fillId="0" borderId="0" xfId="0" applyNumberFormat="1"/>
    <xf numFmtId="0" fontId="0" fillId="0" borderId="22" xfId="0" applyBorder="1"/>
    <xf numFmtId="43" fontId="0" fillId="0" borderId="22" xfId="0" applyNumberFormat="1" applyBorder="1"/>
    <xf numFmtId="0" fontId="0" fillId="0" borderId="0" xfId="0" applyBorder="1"/>
    <xf numFmtId="43" fontId="0" fillId="0" borderId="0" xfId="0" applyNumberFormat="1" applyBorder="1"/>
    <xf numFmtId="43" fontId="0" fillId="0" borderId="24" xfId="0" applyNumberFormat="1" applyBorder="1"/>
    <xf numFmtId="0" fontId="0" fillId="0" borderId="0" xfId="0" applyFill="1" applyBorder="1"/>
    <xf numFmtId="171" fontId="16" fillId="0" borderId="0" xfId="0" applyNumberFormat="1" applyFont="1" applyFill="1" applyBorder="1" applyAlignment="1">
      <alignment horizontal="center"/>
    </xf>
    <xf numFmtId="0" fontId="16" fillId="0" borderId="26" xfId="0" applyFont="1" applyBorder="1" applyAlignment="1">
      <alignment horizontal="center"/>
    </xf>
    <xf numFmtId="0" fontId="16" fillId="0" borderId="27" xfId="0" applyFont="1" applyBorder="1" applyAlignment="1">
      <alignment horizontal="center"/>
    </xf>
    <xf numFmtId="0" fontId="16" fillId="0" borderId="28" xfId="0" applyFont="1" applyBorder="1" applyAlignment="1">
      <alignment horizontal="center"/>
    </xf>
    <xf numFmtId="43" fontId="0" fillId="0" borderId="0" xfId="0" applyNumberFormat="1" applyFill="1" applyBorder="1"/>
    <xf numFmtId="0" fontId="0" fillId="0" borderId="29" xfId="0" applyBorder="1"/>
    <xf numFmtId="0" fontId="0" fillId="0" borderId="30" xfId="0" applyBorder="1"/>
    <xf numFmtId="0" fontId="0" fillId="0" borderId="31" xfId="0" applyBorder="1"/>
    <xf numFmtId="0" fontId="0" fillId="0" borderId="32" xfId="0"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St.</a:t>
          </a:r>
          <a:r>
            <a:rPr lang="en-CA" sz="1100" baseline="0">
              <a:solidFill>
                <a:schemeClr val="dk1"/>
              </a:solidFill>
              <a:effectLst/>
              <a:latin typeface="+mn-lt"/>
              <a:ea typeface="+mn-ea"/>
              <a:cs typeface="+mn-cs"/>
            </a:rPr>
            <a:t> Thomas Energy</a:t>
          </a:r>
          <a:r>
            <a:rPr lang="en-CA" sz="1100">
              <a:solidFill>
                <a:schemeClr val="dk1"/>
              </a:solidFill>
              <a:effectLst/>
              <a:latin typeface="+mn-lt"/>
              <a:ea typeface="+mn-ea"/>
              <a:cs typeface="+mn-cs"/>
            </a:rPr>
            <a:t> </a:t>
          </a:r>
          <a:r>
            <a:rPr lang="en-CA" sz="1100" baseline="0">
              <a:solidFill>
                <a:schemeClr val="dk1"/>
              </a:solidFill>
              <a:effectLst/>
              <a:latin typeface="+mn-lt"/>
              <a:ea typeface="+mn-ea"/>
              <a:cs typeface="+mn-cs"/>
            </a:rPr>
            <a:t>Inc. ("STEI") bills Global Adjustment "GA" on the First estimate for all Non-RPP customers, with the exception of interval customers.  Effective July 2016, STEI billed interval customers on a final GA rate. Prior to this, they were billed on the first estimate.</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St. Thomas Energy records</a:t>
          </a:r>
          <a:r>
            <a:rPr lang="en-CA" sz="1100" baseline="0">
              <a:solidFill>
                <a:schemeClr val="dk1"/>
              </a:solidFill>
              <a:effectLst/>
              <a:latin typeface="+mn-lt"/>
              <a:ea typeface="+mn-ea"/>
              <a:cs typeface="+mn-cs"/>
            </a:rPr>
            <a:t> unbilled revenue annually</a:t>
          </a:r>
          <a:r>
            <a:rPr lang="en-CA" sz="1100">
              <a:solidFill>
                <a:schemeClr val="dk1"/>
              </a:solidFill>
              <a:effectLst/>
              <a:latin typeface="+mn-lt"/>
              <a:ea typeface="+mn-ea"/>
              <a:cs typeface="+mn-cs"/>
            </a:rPr>
            <a:t>. A true-up entry is recorded between the prior year's unbilled revenue and current year unbilled revenue</a:t>
          </a:r>
          <a:r>
            <a:rPr lang="en-CA" sz="1100" baseline="0">
              <a:solidFill>
                <a:schemeClr val="dk1"/>
              </a:solidFill>
              <a:effectLst/>
              <a:latin typeface="+mn-lt"/>
              <a:ea typeface="+mn-ea"/>
              <a:cs typeface="+mn-cs"/>
            </a:rPr>
            <a:t> at year-end. The opening balance does not get reversed. </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For</a:t>
          </a:r>
          <a:r>
            <a:rPr lang="en-CA" sz="1100" baseline="0">
              <a:solidFill>
                <a:schemeClr val="dk1"/>
              </a:solidFill>
              <a:effectLst/>
              <a:latin typeface="+mn-lt"/>
              <a:ea typeface="+mn-ea"/>
              <a:cs typeface="+mn-cs"/>
            </a:rPr>
            <a:t> the 2015 fiscal year, g</a:t>
          </a:r>
          <a:r>
            <a:rPr lang="en-CA" sz="1100">
              <a:solidFill>
                <a:schemeClr val="dk1"/>
              </a:solidFill>
              <a:effectLst/>
              <a:latin typeface="+mn-lt"/>
              <a:ea typeface="+mn-ea"/>
              <a:cs typeface="+mn-cs"/>
            </a:rPr>
            <a:t>lobal</a:t>
          </a:r>
          <a:r>
            <a:rPr lang="en-CA" sz="1100" baseline="0">
              <a:solidFill>
                <a:schemeClr val="dk1"/>
              </a:solidFill>
              <a:effectLst/>
              <a:latin typeface="+mn-lt"/>
              <a:ea typeface="+mn-ea"/>
              <a:cs typeface="+mn-cs"/>
            </a:rPr>
            <a:t> adjustment was billed on the first estimate.</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St. Thomas Energy records</a:t>
          </a:r>
          <a:r>
            <a:rPr lang="en-CA" sz="1100" baseline="0">
              <a:solidFill>
                <a:schemeClr val="dk1"/>
              </a:solidFill>
              <a:effectLst/>
              <a:latin typeface="+mn-lt"/>
              <a:ea typeface="+mn-ea"/>
              <a:cs typeface="+mn-cs"/>
            </a:rPr>
            <a:t> unbilled revenue annually</a:t>
          </a:r>
          <a:r>
            <a:rPr lang="en-CA" sz="1100">
              <a:solidFill>
                <a:schemeClr val="dk1"/>
              </a:solidFill>
              <a:effectLst/>
              <a:latin typeface="+mn-lt"/>
              <a:ea typeface="+mn-ea"/>
              <a:cs typeface="+mn-cs"/>
            </a:rPr>
            <a:t>. A true-up entry is recorded between the prior year's unbilled revenue and current year unbilled revenue</a:t>
          </a:r>
          <a:r>
            <a:rPr lang="en-CA" sz="1100" baseline="0">
              <a:solidFill>
                <a:schemeClr val="dk1"/>
              </a:solidFill>
              <a:effectLst/>
              <a:latin typeface="+mn-lt"/>
              <a:ea typeface="+mn-ea"/>
              <a:cs typeface="+mn-cs"/>
            </a:rPr>
            <a:t> at year-end. The opening balance does not get reversed. </a:t>
          </a:r>
          <a:endParaRPr lang="en-US">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77" t="s">
        <v>154</v>
      </c>
      <c r="B14" s="177"/>
      <c r="C14" s="177"/>
    </row>
    <row r="16" spans="1:3" ht="15.75" x14ac:dyDescent="0.2">
      <c r="A16" s="44" t="s">
        <v>46</v>
      </c>
    </row>
    <row r="17" spans="1:26" x14ac:dyDescent="0.2">
      <c r="A17" s="42" t="s">
        <v>47</v>
      </c>
    </row>
    <row r="18" spans="1:26" ht="33" customHeight="1" x14ac:dyDescent="0.2">
      <c r="A18" s="178" t="s">
        <v>85</v>
      </c>
      <c r="B18" s="178"/>
      <c r="C18" s="178"/>
    </row>
    <row r="20" spans="1:26" x14ac:dyDescent="0.2">
      <c r="A20" s="42">
        <v>1</v>
      </c>
      <c r="B20" s="180" t="s">
        <v>140</v>
      </c>
      <c r="C20" s="180"/>
    </row>
    <row r="21" spans="1:26" x14ac:dyDescent="0.2">
      <c r="B21" s="134"/>
      <c r="C21" s="134"/>
    </row>
    <row r="23" spans="1:26" ht="31.5" customHeight="1" x14ac:dyDescent="0.2">
      <c r="A23" s="42">
        <v>2</v>
      </c>
      <c r="B23" s="177" t="s">
        <v>86</v>
      </c>
      <c r="C23" s="177"/>
    </row>
    <row r="24" spans="1:26" x14ac:dyDescent="0.2">
      <c r="B24" s="133"/>
      <c r="C24" s="133"/>
    </row>
    <row r="26" spans="1:26" x14ac:dyDescent="0.2">
      <c r="A26" s="42">
        <v>3</v>
      </c>
      <c r="B26" s="179" t="s">
        <v>109</v>
      </c>
      <c r="C26" s="179"/>
    </row>
    <row r="27" spans="1:26" ht="32.25" customHeight="1" x14ac:dyDescent="0.2">
      <c r="B27" s="177" t="s">
        <v>117</v>
      </c>
      <c r="C27" s="177"/>
    </row>
    <row r="28" spans="1:26" ht="63" customHeight="1" x14ac:dyDescent="0.2">
      <c r="B28" s="177" t="s">
        <v>129</v>
      </c>
      <c r="C28" s="177"/>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77" t="s">
        <v>118</v>
      </c>
      <c r="C29" s="177"/>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77" t="s">
        <v>155</v>
      </c>
      <c r="B33" s="177"/>
      <c r="C33" s="177"/>
    </row>
    <row r="34" spans="1:3" x14ac:dyDescent="0.2">
      <c r="B34" s="133"/>
      <c r="C34" s="133"/>
    </row>
    <row r="35" spans="1:3" x14ac:dyDescent="0.2">
      <c r="B35" s="85"/>
    </row>
    <row r="36" spans="1:3" x14ac:dyDescent="0.2">
      <c r="A36" s="42">
        <v>4</v>
      </c>
      <c r="B36" s="179" t="s">
        <v>141</v>
      </c>
      <c r="C36" s="179"/>
    </row>
    <row r="37" spans="1:3" ht="78.75" customHeight="1" x14ac:dyDescent="0.2">
      <c r="B37" s="177" t="s">
        <v>142</v>
      </c>
      <c r="C37" s="177"/>
    </row>
    <row r="38" spans="1:3" ht="65.25" customHeight="1" x14ac:dyDescent="0.2">
      <c r="B38" s="177" t="s">
        <v>124</v>
      </c>
      <c r="C38" s="177"/>
    </row>
    <row r="39" spans="1:3" ht="31.5" customHeight="1" x14ac:dyDescent="0.2">
      <c r="B39" s="177" t="s">
        <v>123</v>
      </c>
      <c r="C39" s="177"/>
    </row>
    <row r="40" spans="1:3" ht="30" customHeight="1" x14ac:dyDescent="0.2">
      <c r="B40" s="177" t="s">
        <v>125</v>
      </c>
      <c r="C40" s="177"/>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77" t="s">
        <v>135</v>
      </c>
      <c r="C49" s="177"/>
    </row>
    <row r="51" spans="2:3" ht="30" customHeight="1" x14ac:dyDescent="0.2">
      <c r="B51" s="177" t="s">
        <v>120</v>
      </c>
      <c r="C51" s="177"/>
    </row>
    <row r="52" spans="2:3" ht="30" customHeight="1" x14ac:dyDescent="0.2">
      <c r="B52" s="177" t="s">
        <v>88</v>
      </c>
      <c r="C52" s="177"/>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78" t="s">
        <v>152</v>
      </c>
      <c r="C78" s="178"/>
    </row>
    <row r="79" spans="1:3" x14ac:dyDescent="0.2">
      <c r="B79" s="87"/>
      <c r="C79" s="133"/>
    </row>
    <row r="81" spans="1:3" ht="30.75" customHeight="1" x14ac:dyDescent="0.2">
      <c r="A81" s="42">
        <v>7</v>
      </c>
      <c r="B81" s="177" t="s">
        <v>153</v>
      </c>
      <c r="C81" s="177"/>
    </row>
    <row r="82" spans="1:3" x14ac:dyDescent="0.2">
      <c r="B82" s="133"/>
      <c r="C82" s="133"/>
    </row>
    <row r="83" spans="1:3" ht="15.75" customHeight="1" x14ac:dyDescent="0.2">
      <c r="B83" s="180" t="s">
        <v>108</v>
      </c>
      <c r="C83" s="180"/>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80" zoomScaleNormal="100" zoomScaleSheetLayoutView="100" workbookViewId="0">
      <selection activeCell="B100" sqref="B100"/>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86" t="s">
        <v>25</v>
      </c>
      <c r="C21" s="186"/>
      <c r="D21" s="24">
        <v>2016</v>
      </c>
      <c r="E21" s="187"/>
      <c r="F21" s="188"/>
      <c r="G21" s="79"/>
      <c r="H21" s="79"/>
      <c r="I21" s="79"/>
      <c r="J21" s="79"/>
      <c r="K21" s="79"/>
      <c r="L21" s="79"/>
      <c r="M21" s="79"/>
      <c r="N21" s="79"/>
      <c r="O21" s="79"/>
      <c r="P21" s="79"/>
      <c r="Q21" s="79"/>
    </row>
    <row r="22" spans="1:24" ht="15" thickBot="1" x14ac:dyDescent="0.25">
      <c r="A22" s="4"/>
      <c r="B22" s="5" t="s">
        <v>3</v>
      </c>
      <c r="C22" s="5" t="s">
        <v>2</v>
      </c>
      <c r="D22" s="117">
        <f>D23+D24</f>
        <v>276311028</v>
      </c>
      <c r="E22" s="6" t="s">
        <v>0</v>
      </c>
      <c r="F22" s="7">
        <v>1</v>
      </c>
      <c r="G22" s="79"/>
      <c r="H22" s="79"/>
      <c r="I22" s="79"/>
      <c r="J22" s="79"/>
      <c r="K22" s="79"/>
      <c r="L22" s="79"/>
      <c r="M22" s="79"/>
      <c r="N22" s="79"/>
      <c r="O22" s="79"/>
      <c r="P22" s="79"/>
      <c r="Q22" s="79"/>
    </row>
    <row r="23" spans="1:24" x14ac:dyDescent="0.2">
      <c r="B23" s="5" t="s">
        <v>7</v>
      </c>
      <c r="C23" s="5" t="s">
        <v>1</v>
      </c>
      <c r="D23" s="118">
        <v>147262245</v>
      </c>
      <c r="E23" s="6" t="s">
        <v>0</v>
      </c>
      <c r="F23" s="8">
        <f>IFERROR(D23/$D$22,0)</f>
        <v>0.53295826107961208</v>
      </c>
    </row>
    <row r="24" spans="1:24" ht="15" thickBot="1" x14ac:dyDescent="0.25">
      <c r="B24" s="5" t="s">
        <v>8</v>
      </c>
      <c r="C24" s="5" t="s">
        <v>6</v>
      </c>
      <c r="D24" s="117">
        <f>D25+D26</f>
        <v>129048783</v>
      </c>
      <c r="E24" s="6" t="s">
        <v>0</v>
      </c>
      <c r="F24" s="8">
        <f>IFERROR(D24/$D$22,0)</f>
        <v>0.46704173892038792</v>
      </c>
    </row>
    <row r="25" spans="1:24" x14ac:dyDescent="0.2">
      <c r="B25" s="5" t="s">
        <v>9</v>
      </c>
      <c r="C25" s="5" t="s">
        <v>4</v>
      </c>
      <c r="D25" s="118">
        <v>0</v>
      </c>
      <c r="E25" s="6" t="s">
        <v>0</v>
      </c>
      <c r="F25" s="8">
        <f>IFERROR(D25/$D$22,0)</f>
        <v>0</v>
      </c>
    </row>
    <row r="26" spans="1:24" x14ac:dyDescent="0.2">
      <c r="B26" s="5" t="s">
        <v>61</v>
      </c>
      <c r="C26" s="5" t="s">
        <v>5</v>
      </c>
      <c r="D26" s="119">
        <v>129048783</v>
      </c>
      <c r="E26" s="6" t="s">
        <v>0</v>
      </c>
      <c r="F26" s="8">
        <f>IFERROR(D26/$D$22,0)</f>
        <v>0.46704173892038792</v>
      </c>
      <c r="G26" s="29"/>
      <c r="H26" s="29"/>
    </row>
    <row r="27" spans="1:24" ht="34.5" customHeight="1" x14ac:dyDescent="0.2">
      <c r="B27" s="189" t="s">
        <v>77</v>
      </c>
      <c r="C27" s="189"/>
      <c r="D27" s="189"/>
      <c r="E27" s="189"/>
      <c r="F27" s="189"/>
      <c r="G27" s="190"/>
      <c r="H27" s="190"/>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163</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85">
        <v>2016</v>
      </c>
      <c r="P45" s="185"/>
      <c r="Q45" s="185"/>
      <c r="R45" s="185">
        <v>2015</v>
      </c>
      <c r="S45" s="185"/>
      <c r="T45" s="185"/>
      <c r="U45" s="185">
        <v>2014</v>
      </c>
      <c r="V45" s="185"/>
      <c r="W45" s="185"/>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12331414.270000003</v>
      </c>
      <c r="D47" s="94"/>
      <c r="E47" s="60"/>
      <c r="F47" s="51">
        <f>C47-D47+E47</f>
        <v>12331414.270000003</v>
      </c>
      <c r="G47" s="111">
        <f>+O47</f>
        <v>8.4229999999999999E-2</v>
      </c>
      <c r="H47" s="15">
        <f>F47*G47</f>
        <v>1038675.0239621003</v>
      </c>
      <c r="I47" s="111">
        <f>+Q47</f>
        <v>9.1789999999999997E-2</v>
      </c>
      <c r="J47" s="17">
        <f>F47*I47</f>
        <v>1131900.5158433001</v>
      </c>
      <c r="K47" s="16">
        <f>J47-H47</f>
        <v>93225.49188119988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11492338.199999999</v>
      </c>
      <c r="D48" s="94"/>
      <c r="E48" s="60"/>
      <c r="F48" s="51">
        <f t="shared" ref="F48:F58" si="0">C48-D48+E48</f>
        <v>11492338.199999999</v>
      </c>
      <c r="G48" s="111">
        <f t="shared" ref="G48:G58" si="1">+O48</f>
        <v>0.10384</v>
      </c>
      <c r="H48" s="15">
        <f t="shared" ref="H48:H58" si="2">F48*G48</f>
        <v>1193364.3986879999</v>
      </c>
      <c r="I48" s="111">
        <f t="shared" ref="I48:I58" si="3">+Q48</f>
        <v>9.851E-2</v>
      </c>
      <c r="J48" s="17">
        <f t="shared" ref="J48:J58" si="4">F48*I48</f>
        <v>1132110.236082</v>
      </c>
      <c r="K48" s="16">
        <f t="shared" ref="K48:K58" si="5">J48-H48</f>
        <v>-61254.162605999969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11403433.960000001</v>
      </c>
      <c r="D49" s="94"/>
      <c r="E49" s="60"/>
      <c r="F49" s="51">
        <f t="shared" si="0"/>
        <v>11403433.960000001</v>
      </c>
      <c r="G49" s="111">
        <f t="shared" si="1"/>
        <v>9.0219999999999995E-2</v>
      </c>
      <c r="H49" s="15">
        <f t="shared" si="2"/>
        <v>1028817.8118712</v>
      </c>
      <c r="I49" s="111">
        <f t="shared" si="3"/>
        <v>0.1061</v>
      </c>
      <c r="J49" s="17">
        <f t="shared" si="4"/>
        <v>1209904.3431560001</v>
      </c>
      <c r="K49" s="16">
        <f t="shared" si="5"/>
        <v>181086.53128480015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11147453.140000001</v>
      </c>
      <c r="D50" s="94"/>
      <c r="E50" s="60"/>
      <c r="F50" s="51">
        <f t="shared" si="0"/>
        <v>11147453.140000001</v>
      </c>
      <c r="G50" s="111">
        <f t="shared" si="1"/>
        <v>0.12114999999999999</v>
      </c>
      <c r="H50" s="15">
        <f t="shared" si="2"/>
        <v>1350513.9479110001</v>
      </c>
      <c r="I50" s="111">
        <f t="shared" si="3"/>
        <v>0.11132</v>
      </c>
      <c r="J50" s="17">
        <f t="shared" si="4"/>
        <v>1240934.4835448002</v>
      </c>
      <c r="K50" s="16">
        <f t="shared" si="5"/>
        <v>-109579.46436619991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10460411.639999999</v>
      </c>
      <c r="D51" s="94"/>
      <c r="E51" s="60"/>
      <c r="F51" s="51">
        <f t="shared" si="0"/>
        <v>10460411.639999999</v>
      </c>
      <c r="G51" s="111">
        <f t="shared" si="1"/>
        <v>0.10405</v>
      </c>
      <c r="H51" s="15">
        <f t="shared" si="2"/>
        <v>1088405.8311419999</v>
      </c>
      <c r="I51" s="111">
        <f t="shared" si="3"/>
        <v>0.10749</v>
      </c>
      <c r="J51" s="17">
        <f t="shared" si="4"/>
        <v>1124389.6471835999</v>
      </c>
      <c r="K51" s="16">
        <f t="shared" si="5"/>
        <v>35983.816041599959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10539460.300000001</v>
      </c>
      <c r="D52" s="94"/>
      <c r="E52" s="60"/>
      <c r="F52" s="51">
        <f t="shared" si="0"/>
        <v>10539460.300000001</v>
      </c>
      <c r="G52" s="111">
        <f t="shared" si="1"/>
        <v>0.11650000000000001</v>
      </c>
      <c r="H52" s="15">
        <f t="shared" si="2"/>
        <v>1227847.1249500001</v>
      </c>
      <c r="I52" s="111">
        <f t="shared" si="3"/>
        <v>9.5449999999999993E-2</v>
      </c>
      <c r="J52" s="17">
        <f t="shared" si="4"/>
        <v>1005991.485635</v>
      </c>
      <c r="K52" s="16">
        <f t="shared" si="5"/>
        <v>-221855.63931500004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11240363.479999999</v>
      </c>
      <c r="D53" s="94"/>
      <c r="E53" s="60"/>
      <c r="F53" s="51">
        <f t="shared" si="0"/>
        <v>11240363.479999999</v>
      </c>
      <c r="G53" s="111">
        <f t="shared" si="1"/>
        <v>7.6670000000000002E-2</v>
      </c>
      <c r="H53" s="15">
        <f t="shared" si="2"/>
        <v>861798.66801159992</v>
      </c>
      <c r="I53" s="111">
        <f t="shared" si="3"/>
        <v>8.3059999999999995E-2</v>
      </c>
      <c r="J53" s="17">
        <f t="shared" si="4"/>
        <v>933624.59064879979</v>
      </c>
      <c r="K53" s="16">
        <f t="shared" si="5"/>
        <v>71825.922637199867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11669820.130000001</v>
      </c>
      <c r="D54" s="94"/>
      <c r="E54" s="60"/>
      <c r="F54" s="51">
        <f t="shared" si="0"/>
        <v>11669820.130000001</v>
      </c>
      <c r="G54" s="111">
        <f t="shared" si="1"/>
        <v>8.5690000000000002E-2</v>
      </c>
      <c r="H54" s="15">
        <f t="shared" si="2"/>
        <v>999986.88693970011</v>
      </c>
      <c r="I54" s="111">
        <f t="shared" si="3"/>
        <v>7.1029999999999996E-2</v>
      </c>
      <c r="J54" s="17">
        <f t="shared" si="4"/>
        <v>828907.32383390004</v>
      </c>
      <c r="K54" s="16">
        <f t="shared" si="5"/>
        <v>-171079.56310580007</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12474211.620000001</v>
      </c>
      <c r="D55" s="94"/>
      <c r="E55" s="60"/>
      <c r="F55" s="51">
        <f t="shared" si="0"/>
        <v>12474211.620000001</v>
      </c>
      <c r="G55" s="111">
        <f t="shared" si="1"/>
        <v>7.0599999999999996E-2</v>
      </c>
      <c r="H55" s="15">
        <f t="shared" si="2"/>
        <v>880679.34037200001</v>
      </c>
      <c r="I55" s="111">
        <f t="shared" si="3"/>
        <v>9.5310000000000006E-2</v>
      </c>
      <c r="J55" s="17">
        <f t="shared" si="4"/>
        <v>1188917.1095022003</v>
      </c>
      <c r="K55" s="16">
        <f t="shared" si="5"/>
        <v>308237.76913020026</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11568293.4</v>
      </c>
      <c r="D56" s="94"/>
      <c r="E56" s="60"/>
      <c r="F56" s="51">
        <f t="shared" si="0"/>
        <v>11568293.4</v>
      </c>
      <c r="G56" s="111">
        <f t="shared" si="1"/>
        <v>9.7199999999999995E-2</v>
      </c>
      <c r="H56" s="15">
        <f t="shared" si="2"/>
        <v>1124438.1184799999</v>
      </c>
      <c r="I56" s="111">
        <f t="shared" si="3"/>
        <v>0.11226</v>
      </c>
      <c r="J56" s="17">
        <f t="shared" si="4"/>
        <v>1298656.617084</v>
      </c>
      <c r="K56" s="16">
        <f t="shared" si="5"/>
        <v>174218.49860400008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10741727.660000004</v>
      </c>
      <c r="D57" s="94"/>
      <c r="E57" s="60"/>
      <c r="F57" s="51">
        <f t="shared" si="0"/>
        <v>10741727.660000004</v>
      </c>
      <c r="G57" s="111">
        <f t="shared" si="1"/>
        <v>0.12271</v>
      </c>
      <c r="H57" s="15">
        <f t="shared" si="2"/>
        <v>1318117.4011586006</v>
      </c>
      <c r="I57" s="111">
        <f t="shared" si="3"/>
        <v>0.11108999999999999</v>
      </c>
      <c r="J57" s="17">
        <f t="shared" si="4"/>
        <v>1193298.5257494003</v>
      </c>
      <c r="K57" s="16">
        <f t="shared" si="5"/>
        <v>-124818.87540920032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10615121.130000001</v>
      </c>
      <c r="D58" s="141">
        <v>13171435.92</v>
      </c>
      <c r="E58" s="144">
        <v>11097573.85</v>
      </c>
      <c r="F58" s="51">
        <f t="shared" si="0"/>
        <v>8541259.0600000005</v>
      </c>
      <c r="G58" s="111">
        <f t="shared" si="1"/>
        <v>0.10594000000000001</v>
      </c>
      <c r="H58" s="15">
        <f t="shared" si="2"/>
        <v>904860.9848164001</v>
      </c>
      <c r="I58" s="111">
        <f t="shared" si="3"/>
        <v>8.7080000000000005E-2</v>
      </c>
      <c r="J58" s="17">
        <f t="shared" si="4"/>
        <v>743772.83894480008</v>
      </c>
      <c r="K58" s="16">
        <f t="shared" si="5"/>
        <v>-161088.14587160002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135684048.93000001</v>
      </c>
      <c r="D59" s="97">
        <f>SUM(D47:D58)</f>
        <v>13171435.92</v>
      </c>
      <c r="E59" s="97">
        <f>SUM(E47:E58)</f>
        <v>11097573.85</v>
      </c>
      <c r="F59" s="97">
        <f>SUM(F47:F58)</f>
        <v>133610186.86000001</v>
      </c>
      <c r="G59" s="37"/>
      <c r="H59" s="38">
        <f>SUM(H47:H58)</f>
        <v>13017505.538302602</v>
      </c>
      <c r="I59" s="37"/>
      <c r="J59" s="38">
        <f>SUM(J47:J58)</f>
        <v>13032407.717207801</v>
      </c>
      <c r="K59" s="39">
        <f>SUM(K47:K58)</f>
        <v>14902.178905199864</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39" t="s">
        <v>45</v>
      </c>
      <c r="C64" s="48" t="s">
        <v>67</v>
      </c>
      <c r="D64" s="48" t="s">
        <v>121</v>
      </c>
      <c r="E64" s="191" t="s">
        <v>44</v>
      </c>
      <c r="F64" s="191"/>
      <c r="G64" s="191"/>
      <c r="H64" s="191"/>
      <c r="I64" s="191"/>
      <c r="K64" s="121"/>
      <c r="O64" s="29"/>
      <c r="P64" s="29"/>
      <c r="Q64" s="29"/>
      <c r="R64" s="29"/>
      <c r="S64" s="29"/>
      <c r="T64" s="29"/>
      <c r="U64" s="29"/>
      <c r="V64" s="29"/>
      <c r="W64" s="29"/>
      <c r="X64" s="29"/>
    </row>
    <row r="65" spans="1:24" ht="30.75" customHeight="1" x14ac:dyDescent="0.25">
      <c r="A65" s="192" t="s">
        <v>134</v>
      </c>
      <c r="B65" s="193"/>
      <c r="C65" s="194"/>
      <c r="D65" s="145">
        <v>-1291251</v>
      </c>
      <c r="E65" s="195"/>
      <c r="F65" s="196"/>
      <c r="G65" s="196"/>
      <c r="H65" s="196"/>
      <c r="I65" s="197"/>
      <c r="K65" s="121"/>
      <c r="O65" s="29"/>
      <c r="P65" s="29"/>
      <c r="Q65" s="29"/>
      <c r="R65" s="29"/>
      <c r="S65" s="29"/>
      <c r="T65" s="29"/>
      <c r="U65" s="29"/>
      <c r="V65" s="29"/>
      <c r="W65" s="29"/>
      <c r="X65" s="29"/>
    </row>
    <row r="66" spans="1:24" ht="28.5" x14ac:dyDescent="0.2">
      <c r="A66" s="70" t="s">
        <v>51</v>
      </c>
      <c r="B66" s="49" t="s">
        <v>62</v>
      </c>
      <c r="C66" s="112"/>
      <c r="D66" s="142">
        <v>1773323</v>
      </c>
      <c r="E66" s="181" t="s">
        <v>164</v>
      </c>
      <c r="F66" s="181"/>
      <c r="G66" s="181"/>
      <c r="H66" s="181"/>
      <c r="I66" s="181"/>
      <c r="K66" s="121"/>
      <c r="O66" s="29"/>
      <c r="P66" s="29"/>
      <c r="Q66" s="29"/>
      <c r="R66" s="29"/>
      <c r="S66" s="29"/>
      <c r="T66" s="29"/>
      <c r="U66" s="29"/>
      <c r="V66" s="29"/>
      <c r="W66" s="29"/>
      <c r="X66" s="29"/>
    </row>
    <row r="67" spans="1:24" ht="50.25" customHeight="1" x14ac:dyDescent="0.2">
      <c r="A67" s="70" t="s">
        <v>52</v>
      </c>
      <c r="B67" s="49" t="s">
        <v>79</v>
      </c>
      <c r="C67" s="113"/>
      <c r="D67" s="114">
        <f>-472498</f>
        <v>-472498</v>
      </c>
      <c r="E67" s="182" t="s">
        <v>167</v>
      </c>
      <c r="F67" s="183"/>
      <c r="G67" s="183"/>
      <c r="H67" s="183"/>
      <c r="I67" s="184"/>
      <c r="J67" s="79"/>
      <c r="K67" s="122"/>
      <c r="L67" s="79"/>
      <c r="M67" s="79"/>
      <c r="N67" s="79"/>
      <c r="O67" s="79"/>
      <c r="P67" s="79"/>
      <c r="Q67" s="79"/>
    </row>
    <row r="68" spans="1:24" ht="28.5" customHeight="1" x14ac:dyDescent="0.2">
      <c r="A68" s="70" t="s">
        <v>65</v>
      </c>
      <c r="B68" s="49" t="s">
        <v>64</v>
      </c>
      <c r="C68" s="112"/>
      <c r="D68" s="114"/>
      <c r="E68" s="181" t="s">
        <v>187</v>
      </c>
      <c r="F68" s="181"/>
      <c r="G68" s="181"/>
      <c r="H68" s="181"/>
      <c r="I68" s="181"/>
      <c r="J68" s="79"/>
      <c r="K68" s="122"/>
      <c r="L68" s="79"/>
      <c r="M68" s="79"/>
      <c r="N68" s="79"/>
      <c r="O68" s="79"/>
      <c r="P68" s="79"/>
      <c r="Q68" s="79"/>
    </row>
    <row r="69" spans="1:24" ht="28.5" customHeight="1" x14ac:dyDescent="0.2">
      <c r="A69" s="70" t="s">
        <v>66</v>
      </c>
      <c r="B69" s="49" t="s">
        <v>63</v>
      </c>
      <c r="C69" s="113"/>
      <c r="D69" s="114"/>
      <c r="E69" s="181" t="s">
        <v>187</v>
      </c>
      <c r="F69" s="181"/>
      <c r="G69" s="181"/>
      <c r="H69" s="181"/>
      <c r="I69" s="181"/>
      <c r="J69" s="79"/>
      <c r="K69" s="125"/>
      <c r="L69" s="79"/>
      <c r="M69" s="79"/>
      <c r="N69" s="79"/>
      <c r="O69" s="79"/>
      <c r="P69" s="79"/>
      <c r="Q69" s="79"/>
    </row>
    <row r="70" spans="1:24" ht="28.5" x14ac:dyDescent="0.2">
      <c r="A70" s="70" t="s">
        <v>69</v>
      </c>
      <c r="B70" s="49" t="s">
        <v>71</v>
      </c>
      <c r="C70" s="112"/>
      <c r="D70" s="98">
        <f>10117.92-10039.34</f>
        <v>78.579999999999927</v>
      </c>
      <c r="E70" s="181"/>
      <c r="F70" s="181"/>
      <c r="G70" s="181"/>
      <c r="H70" s="181"/>
      <c r="I70" s="181"/>
      <c r="J70" s="79"/>
      <c r="K70" s="125"/>
      <c r="L70" s="79"/>
      <c r="M70" s="79"/>
      <c r="N70" s="79"/>
      <c r="O70" s="79"/>
      <c r="P70" s="79"/>
      <c r="Q70" s="79"/>
    </row>
    <row r="71" spans="1:24" ht="28.5" customHeight="1" x14ac:dyDescent="0.2">
      <c r="A71" s="70" t="s">
        <v>70</v>
      </c>
      <c r="B71" s="49" t="s">
        <v>72</v>
      </c>
      <c r="C71" s="112"/>
      <c r="D71" s="98">
        <v>0</v>
      </c>
      <c r="E71" s="181" t="s">
        <v>191</v>
      </c>
      <c r="F71" s="181"/>
      <c r="G71" s="181"/>
      <c r="H71" s="181"/>
      <c r="I71" s="181"/>
      <c r="J71" s="79"/>
      <c r="K71" s="125"/>
      <c r="L71" s="79"/>
      <c r="M71" s="79"/>
      <c r="N71" s="79"/>
      <c r="O71" s="79"/>
      <c r="P71" s="79"/>
      <c r="Q71" s="79"/>
    </row>
    <row r="72" spans="1:24" ht="33.75" customHeight="1" x14ac:dyDescent="0.2">
      <c r="A72" s="70">
        <v>4</v>
      </c>
      <c r="B72" s="49" t="s">
        <v>68</v>
      </c>
      <c r="C72" s="112"/>
      <c r="D72" s="98"/>
      <c r="E72" s="181" t="s">
        <v>186</v>
      </c>
      <c r="F72" s="181"/>
      <c r="G72" s="181"/>
      <c r="H72" s="181"/>
      <c r="I72" s="181"/>
      <c r="J72" s="79"/>
      <c r="K72" s="125"/>
      <c r="L72" s="79"/>
      <c r="M72" s="79"/>
      <c r="N72" s="79"/>
      <c r="O72" s="79"/>
      <c r="P72" s="79"/>
      <c r="Q72" s="79"/>
    </row>
    <row r="73" spans="1:24" ht="42.75" x14ac:dyDescent="0.2">
      <c r="A73" s="70">
        <v>5</v>
      </c>
      <c r="B73" s="49" t="s">
        <v>81</v>
      </c>
      <c r="C73" s="112"/>
      <c r="D73" s="98"/>
      <c r="E73" s="181" t="s">
        <v>185</v>
      </c>
      <c r="F73" s="181"/>
      <c r="G73" s="181"/>
      <c r="H73" s="181"/>
      <c r="I73" s="181"/>
      <c r="J73" s="79"/>
      <c r="K73" s="125"/>
      <c r="L73" s="79"/>
      <c r="M73" s="79"/>
      <c r="N73" s="79"/>
      <c r="O73" s="79"/>
      <c r="P73" s="79"/>
      <c r="Q73" s="79"/>
    </row>
    <row r="74" spans="1:24" ht="28.5" x14ac:dyDescent="0.2">
      <c r="A74" s="54">
        <v>6</v>
      </c>
      <c r="B74" s="129" t="s">
        <v>137</v>
      </c>
      <c r="C74" s="112"/>
      <c r="D74" s="98"/>
      <c r="E74" s="181" t="s">
        <v>185</v>
      </c>
      <c r="F74" s="181"/>
      <c r="G74" s="181"/>
      <c r="H74" s="181"/>
      <c r="I74" s="181"/>
      <c r="K74" s="29"/>
    </row>
    <row r="75" spans="1:24" ht="42.75" x14ac:dyDescent="0.2">
      <c r="A75" s="54">
        <v>7</v>
      </c>
      <c r="B75" s="46" t="s">
        <v>165</v>
      </c>
      <c r="C75" s="10"/>
      <c r="D75" s="146">
        <f>+'2016 Interval Consumption'!Q19</f>
        <v>-30733.011338099968</v>
      </c>
      <c r="E75" s="181" t="s">
        <v>166</v>
      </c>
      <c r="F75" s="181"/>
      <c r="G75" s="181"/>
      <c r="H75" s="181"/>
      <c r="I75" s="181"/>
    </row>
    <row r="76" spans="1:24" x14ac:dyDescent="0.2">
      <c r="A76" s="54">
        <v>8</v>
      </c>
      <c r="B76" s="46"/>
      <c r="C76" s="10"/>
      <c r="D76" s="98"/>
      <c r="E76" s="181"/>
      <c r="F76" s="181"/>
      <c r="G76" s="181"/>
      <c r="H76" s="181"/>
      <c r="I76" s="181"/>
    </row>
    <row r="77" spans="1:24" x14ac:dyDescent="0.2">
      <c r="A77" s="54">
        <v>9</v>
      </c>
      <c r="B77" s="46"/>
      <c r="C77" s="10"/>
      <c r="D77" s="98"/>
      <c r="E77" s="182"/>
      <c r="F77" s="183"/>
      <c r="G77" s="183"/>
      <c r="H77" s="183"/>
      <c r="I77" s="184"/>
    </row>
    <row r="78" spans="1:24" x14ac:dyDescent="0.2">
      <c r="A78" s="54">
        <v>10</v>
      </c>
      <c r="B78" s="46"/>
      <c r="C78" s="10"/>
      <c r="D78" s="98"/>
      <c r="E78" s="181"/>
      <c r="F78" s="181"/>
      <c r="G78" s="181"/>
      <c r="H78" s="181"/>
      <c r="I78" s="181"/>
    </row>
    <row r="79" spans="1:24" ht="15" x14ac:dyDescent="0.25">
      <c r="A79" s="1" t="s">
        <v>150</v>
      </c>
      <c r="B79" s="2" t="s">
        <v>131</v>
      </c>
      <c r="C79" s="2"/>
      <c r="D79" s="99">
        <f>SUM(D65:D78)</f>
        <v>-21080.431338099967</v>
      </c>
      <c r="E79" s="25"/>
      <c r="F79" s="25"/>
      <c r="G79" s="25"/>
      <c r="H79" s="25"/>
    </row>
    <row r="80" spans="1:24" ht="15" x14ac:dyDescent="0.25">
      <c r="B80" s="124" t="s">
        <v>132</v>
      </c>
      <c r="C80" s="71"/>
      <c r="D80" s="99">
        <f>K59</f>
        <v>14902.178905199864</v>
      </c>
      <c r="E80" s="25"/>
      <c r="F80" s="25"/>
      <c r="G80" s="25"/>
      <c r="H80" s="25"/>
    </row>
    <row r="81" spans="1:19" ht="15" x14ac:dyDescent="0.25">
      <c r="B81" s="71" t="s">
        <v>24</v>
      </c>
      <c r="C81" s="71"/>
      <c r="D81" s="100">
        <f>D79-D80</f>
        <v>-35982.61024329983</v>
      </c>
    </row>
    <row r="82" spans="1:19" ht="15.75" thickBot="1" x14ac:dyDescent="0.3">
      <c r="B82" s="135" t="s">
        <v>73</v>
      </c>
      <c r="C82" s="72"/>
      <c r="D82" s="61">
        <f>IF(ISERROR(D81/J59),0,D81/J59)</f>
        <v>-2.7610101697316388E-3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40"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2016</v>
      </c>
      <c r="C88" s="107">
        <f>+K59</f>
        <v>14902.178905199864</v>
      </c>
      <c r="D88" s="107">
        <f>+D65</f>
        <v>-1291251</v>
      </c>
      <c r="E88" s="108">
        <f>SUM(D66:D78)</f>
        <v>1270170.5686619</v>
      </c>
      <c r="F88" s="131">
        <f>SUM(D88:E88)</f>
        <v>-21080.431338099996</v>
      </c>
      <c r="G88" s="109">
        <f>F88-C88</f>
        <v>-35982.61024329986</v>
      </c>
      <c r="H88" s="108">
        <f>+J59</f>
        <v>13032407.717207801</v>
      </c>
      <c r="I88" s="105">
        <f>IF(ISERROR(G88/H88),0,G88/H88)</f>
        <v>-2.761010169731641E-3</v>
      </c>
      <c r="J88" s="79"/>
      <c r="K88" s="79"/>
      <c r="L88" s="35"/>
      <c r="M88" s="35"/>
      <c r="N88" s="35"/>
      <c r="O88" s="35"/>
      <c r="P88" s="35"/>
      <c r="Q88" s="35"/>
      <c r="R88" s="35"/>
      <c r="S88" s="35"/>
    </row>
    <row r="89" spans="1:19" x14ac:dyDescent="0.2">
      <c r="B89" s="116">
        <v>2015</v>
      </c>
      <c r="C89" s="107">
        <f>+'2015 GA Analysis '!C89</f>
        <v>238086.12534639996</v>
      </c>
      <c r="D89" s="107">
        <f>+'2015 GA Analysis '!D89</f>
        <v>2042100</v>
      </c>
      <c r="E89" s="108">
        <f>+'2015 GA Analysis '!E89</f>
        <v>-1829800.9000000001</v>
      </c>
      <c r="F89" s="131">
        <f t="shared" ref="F89:F91" si="6">SUM(D89:E89)</f>
        <v>212299.09999999986</v>
      </c>
      <c r="G89" s="109">
        <f>F89-C89</f>
        <v>-25787.0253464001</v>
      </c>
      <c r="H89" s="108">
        <f>+'2015 GA Analysis '!H89</f>
        <v>10460628.571022199</v>
      </c>
      <c r="I89" s="105">
        <f>IF(ISERROR(G89/H89),0,G89/H89)</f>
        <v>-2.4651506524029296E-3</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252988.30425159982</v>
      </c>
      <c r="D92" s="130">
        <f t="shared" si="7"/>
        <v>750849</v>
      </c>
      <c r="E92" s="130">
        <f t="shared" si="7"/>
        <v>-559630.33133810014</v>
      </c>
      <c r="F92" s="132">
        <f t="shared" si="7"/>
        <v>191218.66866189986</v>
      </c>
      <c r="G92" s="130">
        <f>SUM(G88:G91)</f>
        <v>-61769.635589699959</v>
      </c>
      <c r="H92" s="77">
        <f t="shared" si="7"/>
        <v>23493036.288230002</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4"/>
  <sheetViews>
    <sheetView topLeftCell="A59" zoomScaleNormal="100" zoomScaleSheetLayoutView="100" workbookViewId="0">
      <selection activeCell="D71" sqref="D7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162</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86" t="s">
        <v>25</v>
      </c>
      <c r="C21" s="186"/>
      <c r="D21" s="24"/>
      <c r="E21" s="187"/>
      <c r="F21" s="188"/>
      <c r="G21" s="79"/>
      <c r="H21" s="79"/>
      <c r="I21" s="79"/>
      <c r="J21" s="79"/>
      <c r="K21" s="79"/>
      <c r="L21" s="79"/>
      <c r="M21" s="79"/>
      <c r="N21" s="79"/>
      <c r="O21" s="79"/>
      <c r="P21" s="79"/>
      <c r="Q21" s="79"/>
    </row>
    <row r="22" spans="1:24" ht="15" thickBot="1" x14ac:dyDescent="0.25">
      <c r="A22" s="4"/>
      <c r="B22" s="5" t="s">
        <v>3</v>
      </c>
      <c r="C22" s="5" t="s">
        <v>2</v>
      </c>
      <c r="D22" s="117">
        <f>D23+D24</f>
        <v>266419361.86000001</v>
      </c>
      <c r="E22" s="6" t="s">
        <v>0</v>
      </c>
      <c r="F22" s="7">
        <v>1</v>
      </c>
      <c r="G22" s="79"/>
      <c r="H22" s="79"/>
      <c r="I22" s="79"/>
      <c r="J22" s="79"/>
      <c r="K22" s="79"/>
      <c r="L22" s="79"/>
      <c r="M22" s="79"/>
      <c r="N22" s="79"/>
      <c r="O22" s="79"/>
      <c r="P22" s="79"/>
      <c r="Q22" s="79"/>
    </row>
    <row r="23" spans="1:24" x14ac:dyDescent="0.2">
      <c r="B23" s="5" t="s">
        <v>7</v>
      </c>
      <c r="C23" s="5" t="s">
        <v>1</v>
      </c>
      <c r="D23" s="118">
        <f>142014980-4278550.14</f>
        <v>137736429.86000001</v>
      </c>
      <c r="E23" s="6" t="s">
        <v>0</v>
      </c>
      <c r="F23" s="8">
        <f>IFERROR(D23/$D$22,0)</f>
        <v>0.51699106588348764</v>
      </c>
    </row>
    <row r="24" spans="1:24" ht="15" thickBot="1" x14ac:dyDescent="0.25">
      <c r="B24" s="5" t="s">
        <v>8</v>
      </c>
      <c r="C24" s="5" t="s">
        <v>6</v>
      </c>
      <c r="D24" s="117">
        <f>D25+D26</f>
        <v>128682932</v>
      </c>
      <c r="E24" s="6" t="s">
        <v>0</v>
      </c>
      <c r="F24" s="8">
        <f>IFERROR(D24/$D$22,0)</f>
        <v>0.4830089341165123</v>
      </c>
    </row>
    <row r="25" spans="1:24" x14ac:dyDescent="0.2">
      <c r="B25" s="5" t="s">
        <v>9</v>
      </c>
      <c r="C25" s="5" t="s">
        <v>4</v>
      </c>
      <c r="D25" s="118">
        <v>0</v>
      </c>
      <c r="E25" s="6" t="s">
        <v>0</v>
      </c>
      <c r="F25" s="8">
        <f>IFERROR(D25/$D$22,0)</f>
        <v>0</v>
      </c>
    </row>
    <row r="26" spans="1:24" x14ac:dyDescent="0.2">
      <c r="B26" s="5" t="s">
        <v>61</v>
      </c>
      <c r="C26" s="5" t="s">
        <v>5</v>
      </c>
      <c r="D26" s="119">
        <v>128682932</v>
      </c>
      <c r="E26" s="6" t="s">
        <v>0</v>
      </c>
      <c r="F26" s="8">
        <f>IFERROR(D26/$D$22,0)</f>
        <v>0.4830089341165123</v>
      </c>
      <c r="G26" s="29"/>
      <c r="H26" s="29"/>
    </row>
    <row r="27" spans="1:24" ht="34.5" customHeight="1" x14ac:dyDescent="0.2">
      <c r="B27" s="189" t="s">
        <v>77</v>
      </c>
      <c r="C27" s="189"/>
      <c r="D27" s="189"/>
      <c r="E27" s="189"/>
      <c r="F27" s="189"/>
      <c r="G27" s="190"/>
      <c r="H27" s="190"/>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163</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85">
        <v>2016</v>
      </c>
      <c r="P45" s="185"/>
      <c r="Q45" s="185"/>
      <c r="R45" s="185">
        <v>2015</v>
      </c>
      <c r="S45" s="185"/>
      <c r="T45" s="185"/>
      <c r="U45" s="185">
        <v>2014</v>
      </c>
      <c r="V45" s="185"/>
      <c r="W45" s="185"/>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11176670.83</v>
      </c>
      <c r="D47" s="94"/>
      <c r="E47" s="60"/>
      <c r="F47" s="51">
        <f>C47-D47+E47</f>
        <v>11176670.83</v>
      </c>
      <c r="G47" s="111">
        <f>+R47</f>
        <v>5.5490000000000005E-2</v>
      </c>
      <c r="H47" s="15">
        <f>F47*G47</f>
        <v>620193.46435670007</v>
      </c>
      <c r="I47" s="111">
        <f>+T47</f>
        <v>5.0680000000000003E-2</v>
      </c>
      <c r="J47" s="17">
        <f>F47*I47</f>
        <v>566433.67766440008</v>
      </c>
      <c r="K47" s="16">
        <f>J47-H47</f>
        <v>-53759.786692299997</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11973876.430000002</v>
      </c>
      <c r="D48" s="94"/>
      <c r="E48" s="60"/>
      <c r="F48" s="51">
        <f t="shared" ref="F48:F58" si="0">C48-D48+E48</f>
        <v>11973876.430000002</v>
      </c>
      <c r="G48" s="111">
        <f t="shared" ref="G48:G58" si="1">+R48</f>
        <v>6.9809999999999997E-2</v>
      </c>
      <c r="H48" s="15">
        <f t="shared" ref="H48:H58" si="2">F48*G48</f>
        <v>835896.31357830006</v>
      </c>
      <c r="I48" s="111">
        <f t="shared" ref="I48:I58" si="3">+T48</f>
        <v>3.9609999999999999E-2</v>
      </c>
      <c r="J48" s="17">
        <f t="shared" ref="J48:J58" si="4">F48*I48</f>
        <v>474285.24539230007</v>
      </c>
      <c r="K48" s="16">
        <f t="shared" ref="K48:K58" si="5">J48-H48</f>
        <v>-361611.06818599999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11580115.289999997</v>
      </c>
      <c r="D49" s="94"/>
      <c r="E49" s="60"/>
      <c r="F49" s="51">
        <f t="shared" si="0"/>
        <v>11580115.289999997</v>
      </c>
      <c r="G49" s="111">
        <f t="shared" si="1"/>
        <v>3.6040000000000003E-2</v>
      </c>
      <c r="H49" s="15">
        <f t="shared" si="2"/>
        <v>417347.35505159991</v>
      </c>
      <c r="I49" s="111">
        <f t="shared" si="3"/>
        <v>6.2899999999999998E-2</v>
      </c>
      <c r="J49" s="17">
        <f t="shared" si="4"/>
        <v>728389.25174099975</v>
      </c>
      <c r="K49" s="16">
        <f t="shared" si="5"/>
        <v>311041.89668939984</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11341718.890000001</v>
      </c>
      <c r="D50" s="94"/>
      <c r="E50" s="60"/>
      <c r="F50" s="51">
        <f t="shared" si="0"/>
        <v>11341718.890000001</v>
      </c>
      <c r="G50" s="111">
        <f t="shared" si="1"/>
        <v>6.7049999999999998E-2</v>
      </c>
      <c r="H50" s="15">
        <f t="shared" si="2"/>
        <v>760462.2515745</v>
      </c>
      <c r="I50" s="111">
        <f t="shared" si="3"/>
        <v>9.5590000000000008E-2</v>
      </c>
      <c r="J50" s="17">
        <f t="shared" si="4"/>
        <v>1084154.9086951001</v>
      </c>
      <c r="K50" s="16">
        <f t="shared" si="5"/>
        <v>323692.65712060011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10702326.239999998</v>
      </c>
      <c r="D51" s="94"/>
      <c r="E51" s="60"/>
      <c r="F51" s="51">
        <f t="shared" si="0"/>
        <v>10702326.239999998</v>
      </c>
      <c r="G51" s="111">
        <f t="shared" si="1"/>
        <v>9.4159999999999994E-2</v>
      </c>
      <c r="H51" s="15">
        <f t="shared" si="2"/>
        <v>1007731.0387583998</v>
      </c>
      <c r="I51" s="111">
        <f t="shared" si="3"/>
        <v>9.6680000000000002E-2</v>
      </c>
      <c r="J51" s="17">
        <f t="shared" si="4"/>
        <v>1034700.9008831999</v>
      </c>
      <c r="K51" s="16">
        <f t="shared" si="5"/>
        <v>26969.8621248001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10806004.739999998</v>
      </c>
      <c r="D52" s="94"/>
      <c r="E52" s="60"/>
      <c r="F52" s="51">
        <f t="shared" si="0"/>
        <v>10806004.739999998</v>
      </c>
      <c r="G52" s="111">
        <f t="shared" si="1"/>
        <v>9.2280000000000001E-2</v>
      </c>
      <c r="H52" s="15">
        <f t="shared" si="2"/>
        <v>997178.11740719981</v>
      </c>
      <c r="I52" s="111">
        <f t="shared" si="3"/>
        <v>9.5400000000000013E-2</v>
      </c>
      <c r="J52" s="17">
        <f t="shared" si="4"/>
        <v>1030892.8521959999</v>
      </c>
      <c r="K52" s="16">
        <f t="shared" si="5"/>
        <v>33714.734788800124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10091107.770000001</v>
      </c>
      <c r="D53" s="94"/>
      <c r="E53" s="60"/>
      <c r="F53" s="51">
        <f t="shared" si="0"/>
        <v>10091107.770000001</v>
      </c>
      <c r="G53" s="111">
        <f t="shared" si="1"/>
        <v>8.8880000000000001E-2</v>
      </c>
      <c r="H53" s="15">
        <f t="shared" si="2"/>
        <v>896897.65859760018</v>
      </c>
      <c r="I53" s="111">
        <f t="shared" si="3"/>
        <v>7.8829999999999997E-2</v>
      </c>
      <c r="J53" s="17">
        <f t="shared" si="4"/>
        <v>795482.02550910006</v>
      </c>
      <c r="K53" s="16">
        <f t="shared" si="5"/>
        <v>-101415.63308850012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11365596.220000001</v>
      </c>
      <c r="D54" s="94"/>
      <c r="E54" s="60"/>
      <c r="F54" s="51">
        <f t="shared" si="0"/>
        <v>11365596.220000001</v>
      </c>
      <c r="G54" s="111">
        <f t="shared" si="1"/>
        <v>8.8050000000000003E-2</v>
      </c>
      <c r="H54" s="15">
        <f t="shared" si="2"/>
        <v>1000740.7471710001</v>
      </c>
      <c r="I54" s="111">
        <f t="shared" si="3"/>
        <v>8.0099999999999991E-2</v>
      </c>
      <c r="J54" s="17">
        <f t="shared" si="4"/>
        <v>910384.25722199993</v>
      </c>
      <c r="K54" s="16">
        <f t="shared" si="5"/>
        <v>-90356.489949000184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11784869.530000001</v>
      </c>
      <c r="D55" s="94"/>
      <c r="E55" s="60"/>
      <c r="F55" s="51">
        <f t="shared" si="0"/>
        <v>11784869.530000001</v>
      </c>
      <c r="G55" s="111">
        <f t="shared" si="1"/>
        <v>8.270000000000001E-2</v>
      </c>
      <c r="H55" s="15">
        <f t="shared" si="2"/>
        <v>974608.71013100026</v>
      </c>
      <c r="I55" s="111">
        <f t="shared" si="3"/>
        <v>6.7030000000000006E-2</v>
      </c>
      <c r="J55" s="17">
        <f t="shared" si="4"/>
        <v>789939.80459590012</v>
      </c>
      <c r="K55" s="16">
        <f t="shared" si="5"/>
        <v>-184668.90553510014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11455596.790000003</v>
      </c>
      <c r="D56" s="94"/>
      <c r="E56" s="60"/>
      <c r="F56" s="51">
        <f t="shared" si="0"/>
        <v>11455596.790000003</v>
      </c>
      <c r="G56" s="111">
        <f t="shared" si="1"/>
        <v>6.3710000000000003E-2</v>
      </c>
      <c r="H56" s="15">
        <f t="shared" si="2"/>
        <v>729836.07149090024</v>
      </c>
      <c r="I56" s="111">
        <f t="shared" si="3"/>
        <v>7.5439999999999993E-2</v>
      </c>
      <c r="J56" s="17">
        <f t="shared" si="4"/>
        <v>864210.22183760011</v>
      </c>
      <c r="K56" s="16">
        <f t="shared" si="5"/>
        <v>134374.15034669987</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10840670.380000006</v>
      </c>
      <c r="D57" s="94"/>
      <c r="E57" s="60"/>
      <c r="F57" s="51">
        <f t="shared" si="0"/>
        <v>10840670.380000006</v>
      </c>
      <c r="G57" s="111">
        <f t="shared" si="1"/>
        <v>7.6230000000000006E-2</v>
      </c>
      <c r="H57" s="15">
        <f t="shared" si="2"/>
        <v>826384.30306740059</v>
      </c>
      <c r="I57" s="111">
        <f t="shared" si="3"/>
        <v>0.11320000000000001</v>
      </c>
      <c r="J57" s="17">
        <f t="shared" si="4"/>
        <v>1227163.8870160009</v>
      </c>
      <c r="K57" s="16">
        <f t="shared" si="5"/>
        <v>400779.58394860034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8537210.5500000007</v>
      </c>
      <c r="D58" s="143">
        <v>11629546.710000003</v>
      </c>
      <c r="E58" s="144">
        <v>13171435.92</v>
      </c>
      <c r="F58" s="51">
        <f t="shared" si="0"/>
        <v>10079099.759999998</v>
      </c>
      <c r="G58" s="111">
        <f t="shared" si="1"/>
        <v>0.11462</v>
      </c>
      <c r="H58" s="15">
        <f t="shared" si="2"/>
        <v>1155266.4144911997</v>
      </c>
      <c r="I58" s="111">
        <f t="shared" si="3"/>
        <v>9.4709999999999989E-2</v>
      </c>
      <c r="J58" s="17">
        <f t="shared" si="4"/>
        <v>954591.53826959967</v>
      </c>
      <c r="K58" s="16">
        <f t="shared" si="5"/>
        <v>-200674.87622159999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131655763.66</v>
      </c>
      <c r="D59" s="97">
        <f>SUM(D47:D58)</f>
        <v>11629546.710000003</v>
      </c>
      <c r="E59" s="97">
        <f>SUM(E47:E58)</f>
        <v>13171435.92</v>
      </c>
      <c r="F59" s="97">
        <f>SUM(F47:F58)</f>
        <v>133197652.87</v>
      </c>
      <c r="G59" s="37"/>
      <c r="H59" s="38">
        <f>SUM(H47:H58)</f>
        <v>10222542.445675801</v>
      </c>
      <c r="I59" s="37"/>
      <c r="J59" s="38">
        <f>SUM(J47:J58)</f>
        <v>10460628.571022199</v>
      </c>
      <c r="K59" s="39">
        <f>SUM(K47:K58)</f>
        <v>238086.12534639996</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91" t="s">
        <v>44</v>
      </c>
      <c r="F64" s="191"/>
      <c r="G64" s="191"/>
      <c r="H64" s="191"/>
      <c r="I64" s="191"/>
      <c r="K64" s="121"/>
      <c r="O64" s="29"/>
      <c r="P64" s="29"/>
      <c r="Q64" s="29"/>
      <c r="R64" s="29"/>
      <c r="S64" s="29"/>
      <c r="T64" s="29"/>
      <c r="U64" s="29"/>
      <c r="V64" s="29"/>
      <c r="W64" s="29"/>
      <c r="X64" s="29"/>
    </row>
    <row r="65" spans="1:24" ht="30.75" customHeight="1" x14ac:dyDescent="0.25">
      <c r="A65" s="192" t="s">
        <v>134</v>
      </c>
      <c r="B65" s="193"/>
      <c r="C65" s="194"/>
      <c r="D65" s="127">
        <v>2042100</v>
      </c>
      <c r="E65" s="195"/>
      <c r="F65" s="196"/>
      <c r="G65" s="196"/>
      <c r="H65" s="196"/>
      <c r="I65" s="197"/>
      <c r="K65" s="121"/>
      <c r="O65" s="29"/>
      <c r="P65" s="29"/>
      <c r="Q65" s="29"/>
      <c r="R65" s="29"/>
      <c r="S65" s="29"/>
      <c r="T65" s="29"/>
      <c r="U65" s="29"/>
      <c r="V65" s="29"/>
      <c r="W65" s="29"/>
      <c r="X65" s="29"/>
    </row>
    <row r="66" spans="1:24" ht="28.5" x14ac:dyDescent="0.2">
      <c r="A66" s="70" t="s">
        <v>51</v>
      </c>
      <c r="B66" s="49" t="s">
        <v>62</v>
      </c>
      <c r="C66" s="112"/>
      <c r="D66" s="98">
        <v>0</v>
      </c>
      <c r="E66" s="181" t="s">
        <v>185</v>
      </c>
      <c r="F66" s="181"/>
      <c r="G66" s="181"/>
      <c r="H66" s="181"/>
      <c r="I66" s="181"/>
      <c r="K66" s="121"/>
      <c r="O66" s="29"/>
      <c r="P66" s="29"/>
      <c r="Q66" s="29"/>
      <c r="R66" s="29"/>
      <c r="S66" s="29"/>
      <c r="T66" s="29"/>
      <c r="U66" s="29"/>
      <c r="V66" s="29"/>
      <c r="W66" s="29"/>
      <c r="X66" s="29"/>
    </row>
    <row r="67" spans="1:24" ht="45" customHeight="1" x14ac:dyDescent="0.2">
      <c r="A67" s="70" t="s">
        <v>52</v>
      </c>
      <c r="B67" s="49" t="s">
        <v>79</v>
      </c>
      <c r="C67" s="113"/>
      <c r="D67" s="114">
        <f>-'2016 GA Analysis '!D66</f>
        <v>-1773323</v>
      </c>
      <c r="E67" s="182" t="s">
        <v>164</v>
      </c>
      <c r="F67" s="183"/>
      <c r="G67" s="183"/>
      <c r="H67" s="183"/>
      <c r="I67" s="184"/>
      <c r="J67" s="79"/>
      <c r="K67" s="122"/>
      <c r="L67" s="79"/>
      <c r="M67" s="79"/>
      <c r="N67" s="79"/>
      <c r="O67" s="79"/>
      <c r="P67" s="79"/>
      <c r="Q67" s="79"/>
    </row>
    <row r="68" spans="1:24" ht="45" customHeight="1" x14ac:dyDescent="0.2">
      <c r="A68" s="70" t="s">
        <v>188</v>
      </c>
      <c r="B68" s="49" t="s">
        <v>190</v>
      </c>
      <c r="C68" s="113"/>
      <c r="D68" s="114">
        <v>-57067</v>
      </c>
      <c r="E68" s="182" t="s">
        <v>189</v>
      </c>
      <c r="F68" s="183"/>
      <c r="G68" s="183"/>
      <c r="H68" s="183"/>
      <c r="I68" s="184"/>
      <c r="J68" s="79"/>
      <c r="K68" s="122"/>
      <c r="L68" s="79"/>
      <c r="M68" s="79"/>
      <c r="N68" s="79"/>
      <c r="O68" s="79"/>
      <c r="P68" s="79"/>
      <c r="Q68" s="79"/>
    </row>
    <row r="69" spans="1:24" ht="28.5" x14ac:dyDescent="0.2">
      <c r="A69" s="70" t="s">
        <v>65</v>
      </c>
      <c r="B69" s="49" t="s">
        <v>64</v>
      </c>
      <c r="C69" s="112"/>
      <c r="D69" s="114">
        <v>0</v>
      </c>
      <c r="E69" s="181" t="s">
        <v>187</v>
      </c>
      <c r="F69" s="181"/>
      <c r="G69" s="181"/>
      <c r="H69" s="181"/>
      <c r="I69" s="181"/>
      <c r="J69" s="79"/>
      <c r="K69" s="122"/>
      <c r="L69" s="79"/>
      <c r="M69" s="79"/>
      <c r="N69" s="79"/>
      <c r="O69" s="79"/>
      <c r="P69" s="79"/>
      <c r="Q69" s="79"/>
    </row>
    <row r="70" spans="1:24" ht="28.5" customHeight="1" x14ac:dyDescent="0.2">
      <c r="A70" s="70" t="s">
        <v>66</v>
      </c>
      <c r="B70" s="49" t="s">
        <v>63</v>
      </c>
      <c r="C70" s="113"/>
      <c r="D70" s="114">
        <v>0</v>
      </c>
      <c r="E70" s="181" t="s">
        <v>187</v>
      </c>
      <c r="F70" s="181"/>
      <c r="G70" s="181"/>
      <c r="H70" s="181"/>
      <c r="I70" s="181"/>
      <c r="J70" s="79"/>
      <c r="K70" s="125"/>
      <c r="L70" s="79"/>
      <c r="M70" s="79"/>
      <c r="N70" s="79"/>
      <c r="O70" s="79"/>
      <c r="P70" s="79"/>
      <c r="Q70" s="79"/>
    </row>
    <row r="71" spans="1:24" ht="28.5" customHeight="1" x14ac:dyDescent="0.2">
      <c r="A71" s="70" t="s">
        <v>69</v>
      </c>
      <c r="B71" s="49" t="s">
        <v>71</v>
      </c>
      <c r="C71" s="112"/>
      <c r="D71" s="98">
        <f>6757.12-6089.44</f>
        <v>667.68000000000029</v>
      </c>
      <c r="E71" s="181"/>
      <c r="F71" s="181"/>
      <c r="G71" s="181"/>
      <c r="H71" s="181"/>
      <c r="I71" s="181"/>
      <c r="J71" s="79"/>
      <c r="K71" s="125"/>
      <c r="L71" s="79"/>
      <c r="M71" s="79"/>
      <c r="N71" s="79"/>
      <c r="O71" s="79"/>
      <c r="P71" s="79"/>
      <c r="Q71" s="79"/>
    </row>
    <row r="72" spans="1:24" ht="28.5" customHeight="1" x14ac:dyDescent="0.2">
      <c r="A72" s="70" t="s">
        <v>70</v>
      </c>
      <c r="B72" s="49" t="s">
        <v>72</v>
      </c>
      <c r="C72" s="112"/>
      <c r="D72" s="98">
        <f>10039.34-10117.92</f>
        <v>-78.579999999999927</v>
      </c>
      <c r="E72" s="181"/>
      <c r="F72" s="181"/>
      <c r="G72" s="181"/>
      <c r="H72" s="181"/>
      <c r="I72" s="181"/>
      <c r="J72" s="79"/>
      <c r="K72" s="125"/>
      <c r="L72" s="79"/>
      <c r="M72" s="79"/>
      <c r="N72" s="79"/>
      <c r="O72" s="79"/>
      <c r="P72" s="79"/>
      <c r="Q72" s="79"/>
    </row>
    <row r="73" spans="1:24" ht="33.75" customHeight="1" x14ac:dyDescent="0.2">
      <c r="A73" s="70">
        <v>4</v>
      </c>
      <c r="B73" s="49" t="s">
        <v>68</v>
      </c>
      <c r="C73" s="112"/>
      <c r="D73" s="98">
        <v>0</v>
      </c>
      <c r="E73" s="181" t="s">
        <v>186</v>
      </c>
      <c r="F73" s="181"/>
      <c r="G73" s="181"/>
      <c r="H73" s="181"/>
      <c r="I73" s="181"/>
      <c r="J73" s="79"/>
      <c r="K73" s="125"/>
      <c r="L73" s="79"/>
      <c r="M73" s="79"/>
      <c r="N73" s="79"/>
      <c r="O73" s="79"/>
      <c r="P73" s="79"/>
      <c r="Q73" s="79"/>
    </row>
    <row r="74" spans="1:24" ht="42.75" x14ac:dyDescent="0.2">
      <c r="A74" s="70">
        <v>5</v>
      </c>
      <c r="B74" s="49" t="s">
        <v>81</v>
      </c>
      <c r="C74" s="112"/>
      <c r="D74" s="98">
        <v>0</v>
      </c>
      <c r="E74" s="181" t="s">
        <v>185</v>
      </c>
      <c r="F74" s="181"/>
      <c r="G74" s="181"/>
      <c r="H74" s="181"/>
      <c r="I74" s="181"/>
      <c r="J74" s="79"/>
      <c r="K74" s="125"/>
      <c r="L74" s="79"/>
      <c r="M74" s="79"/>
      <c r="N74" s="79"/>
      <c r="O74" s="79"/>
      <c r="P74" s="79"/>
      <c r="Q74" s="79"/>
    </row>
    <row r="75" spans="1:24" ht="28.5" x14ac:dyDescent="0.2">
      <c r="A75" s="54">
        <v>6</v>
      </c>
      <c r="B75" s="129" t="s">
        <v>137</v>
      </c>
      <c r="C75" s="112"/>
      <c r="D75" s="98">
        <v>0</v>
      </c>
      <c r="E75" s="181" t="s">
        <v>185</v>
      </c>
      <c r="F75" s="181"/>
      <c r="G75" s="181"/>
      <c r="H75" s="181"/>
      <c r="I75" s="181"/>
      <c r="K75" s="29"/>
    </row>
    <row r="76" spans="1:24" x14ac:dyDescent="0.2">
      <c r="A76" s="54">
        <v>7</v>
      </c>
      <c r="B76" s="46"/>
      <c r="C76" s="10"/>
      <c r="D76" s="98"/>
      <c r="E76" s="181"/>
      <c r="F76" s="181"/>
      <c r="G76" s="181"/>
      <c r="H76" s="181"/>
      <c r="I76" s="181"/>
    </row>
    <row r="77" spans="1:24" x14ac:dyDescent="0.2">
      <c r="A77" s="54">
        <v>8</v>
      </c>
      <c r="B77" s="46"/>
      <c r="C77" s="10"/>
      <c r="D77" s="98"/>
      <c r="E77" s="181"/>
      <c r="F77" s="181"/>
      <c r="G77" s="181"/>
      <c r="H77" s="181"/>
      <c r="I77" s="181"/>
    </row>
    <row r="78" spans="1:24" x14ac:dyDescent="0.2">
      <c r="A78" s="54">
        <v>9</v>
      </c>
      <c r="B78" s="46"/>
      <c r="C78" s="10"/>
      <c r="D78" s="98"/>
      <c r="E78" s="182"/>
      <c r="F78" s="183"/>
      <c r="G78" s="183"/>
      <c r="H78" s="183"/>
      <c r="I78" s="184"/>
    </row>
    <row r="79" spans="1:24" x14ac:dyDescent="0.2">
      <c r="A79" s="54">
        <v>10</v>
      </c>
      <c r="B79" s="46"/>
      <c r="C79" s="10"/>
      <c r="D79" s="98"/>
      <c r="E79" s="181"/>
      <c r="F79" s="181"/>
      <c r="G79" s="181"/>
      <c r="H79" s="181"/>
      <c r="I79" s="181"/>
    </row>
    <row r="80" spans="1:24" ht="15" x14ac:dyDescent="0.25">
      <c r="A80" s="1" t="s">
        <v>150</v>
      </c>
      <c r="B80" s="2" t="s">
        <v>131</v>
      </c>
      <c r="C80" s="2"/>
      <c r="D80" s="99">
        <f>SUM(D65:D79)</f>
        <v>212299.1</v>
      </c>
      <c r="E80" s="25"/>
      <c r="F80" s="25"/>
      <c r="G80" s="25"/>
      <c r="H80" s="25"/>
    </row>
    <row r="81" spans="1:19" ht="15" x14ac:dyDescent="0.25">
      <c r="B81" s="124" t="s">
        <v>132</v>
      </c>
      <c r="C81" s="71"/>
      <c r="D81" s="99">
        <f>K59</f>
        <v>238086.12534639996</v>
      </c>
      <c r="E81" s="25"/>
      <c r="F81" s="25"/>
      <c r="G81" s="25"/>
      <c r="H81" s="25"/>
    </row>
    <row r="82" spans="1:19" ht="15" x14ac:dyDescent="0.25">
      <c r="B82" s="71" t="s">
        <v>24</v>
      </c>
      <c r="C82" s="71"/>
      <c r="D82" s="100">
        <f>D80-D81</f>
        <v>-25787.025346399954</v>
      </c>
    </row>
    <row r="83" spans="1:19" ht="15.75" thickBot="1" x14ac:dyDescent="0.3">
      <c r="B83" s="135" t="s">
        <v>73</v>
      </c>
      <c r="C83" s="72"/>
      <c r="D83" s="61">
        <f>IF(ISERROR(D82/J59),0,D82/J59)</f>
        <v>-2.4651506524029157E-3</v>
      </c>
      <c r="E83" s="104" t="str">
        <f>IF(AND(D83&lt;0.01,D83&gt;-0.01),"","Unresolved differences of greater than + or - 1% should be explained")</f>
        <v/>
      </c>
      <c r="G83" s="79"/>
      <c r="H83" s="35"/>
      <c r="I83" s="35"/>
      <c r="J83" s="35"/>
      <c r="K83" s="35"/>
      <c r="L83" s="35"/>
    </row>
    <row r="84" spans="1:19" ht="15.75" thickTop="1" x14ac:dyDescent="0.25">
      <c r="B84" s="2"/>
      <c r="C84" s="56"/>
      <c r="D84" s="59"/>
      <c r="G84" s="79"/>
    </row>
    <row r="85" spans="1:19" ht="15" x14ac:dyDescent="0.25">
      <c r="B85" s="2"/>
      <c r="C85" s="56"/>
      <c r="D85" s="34"/>
    </row>
    <row r="86" spans="1:19" ht="15" x14ac:dyDescent="0.25">
      <c r="A86" s="1" t="s">
        <v>75</v>
      </c>
      <c r="B86" s="73" t="s">
        <v>138</v>
      </c>
      <c r="C86" s="58"/>
      <c r="D86" s="59"/>
    </row>
    <row r="87" spans="1:19" ht="15" x14ac:dyDescent="0.25">
      <c r="B87" s="57"/>
      <c r="C87" s="58"/>
      <c r="D87" s="59"/>
    </row>
    <row r="88" spans="1:19" ht="75" x14ac:dyDescent="0.25">
      <c r="B88" s="103" t="s">
        <v>25</v>
      </c>
      <c r="C88" s="48" t="s">
        <v>157</v>
      </c>
      <c r="D88" s="48" t="s">
        <v>158</v>
      </c>
      <c r="E88" s="48" t="s">
        <v>159</v>
      </c>
      <c r="F88" s="74" t="s">
        <v>131</v>
      </c>
      <c r="G88" s="48" t="s">
        <v>24</v>
      </c>
      <c r="H88" s="76" t="s">
        <v>160</v>
      </c>
      <c r="I88" s="48" t="s">
        <v>73</v>
      </c>
      <c r="J88" s="79"/>
      <c r="K88" s="79"/>
      <c r="L88" s="35"/>
      <c r="M88" s="35"/>
      <c r="N88" s="35"/>
      <c r="O88" s="35"/>
      <c r="P88" s="35"/>
      <c r="Q88" s="35"/>
      <c r="R88" s="35"/>
      <c r="S88" s="35"/>
    </row>
    <row r="89" spans="1:19" x14ac:dyDescent="0.2">
      <c r="B89" s="116">
        <v>2015</v>
      </c>
      <c r="C89" s="107">
        <f>+K59</f>
        <v>238086.12534639996</v>
      </c>
      <c r="D89" s="107">
        <f>+D65</f>
        <v>2042100</v>
      </c>
      <c r="E89" s="108">
        <f>SUM(D66:D79)</f>
        <v>-1829800.9000000001</v>
      </c>
      <c r="F89" s="131">
        <f>SUM(D89:E89)</f>
        <v>212299.09999999986</v>
      </c>
      <c r="G89" s="109">
        <f>F89-C89</f>
        <v>-25787.0253464001</v>
      </c>
      <c r="H89" s="108">
        <f>+J59</f>
        <v>10460628.571022199</v>
      </c>
      <c r="I89" s="105">
        <f>IF(ISERROR(G89/H89),0,G89/H89)</f>
        <v>-2.4651506524029296E-3</v>
      </c>
      <c r="J89" s="79"/>
      <c r="K89" s="79"/>
      <c r="L89" s="35"/>
      <c r="M89" s="35"/>
      <c r="N89" s="35"/>
      <c r="O89" s="35"/>
      <c r="P89" s="35"/>
      <c r="Q89" s="35"/>
      <c r="R89" s="35"/>
      <c r="S89" s="35"/>
    </row>
    <row r="90" spans="1:19" x14ac:dyDescent="0.2">
      <c r="B90" s="116"/>
      <c r="C90" s="107"/>
      <c r="D90" s="107"/>
      <c r="E90" s="108"/>
      <c r="F90" s="131">
        <f t="shared" ref="F90:F92" si="6">SUM(D90:E90)</f>
        <v>0</v>
      </c>
      <c r="G90" s="109">
        <f>F90-C90</f>
        <v>0</v>
      </c>
      <c r="H90" s="108"/>
      <c r="I90" s="105">
        <f>IF(ISERROR(G90/H90),0,G90/H90)</f>
        <v>0</v>
      </c>
      <c r="J90" s="79"/>
      <c r="K90" s="79"/>
      <c r="L90" s="35"/>
      <c r="M90" s="35"/>
      <c r="N90" s="35"/>
      <c r="O90" s="35"/>
      <c r="P90" s="35"/>
      <c r="Q90" s="35"/>
      <c r="R90" s="35"/>
      <c r="S90" s="35"/>
    </row>
    <row r="91" spans="1:19" x14ac:dyDescent="0.2">
      <c r="B91" s="116"/>
      <c r="C91" s="107"/>
      <c r="D91" s="107"/>
      <c r="E91" s="108"/>
      <c r="F91" s="131">
        <f t="shared" si="6"/>
        <v>0</v>
      </c>
      <c r="G91" s="109">
        <f>F91-C91</f>
        <v>0</v>
      </c>
      <c r="H91" s="108"/>
      <c r="I91" s="105">
        <f>IF(ISERROR(G91/H91),0,G91/H91)</f>
        <v>0</v>
      </c>
      <c r="J91" s="79"/>
      <c r="K91" s="79"/>
      <c r="L91" s="35"/>
      <c r="M91" s="35"/>
      <c r="N91" s="35"/>
      <c r="O91" s="35"/>
      <c r="P91" s="35"/>
      <c r="Q91" s="35"/>
      <c r="R91" s="35"/>
      <c r="S91" s="35"/>
    </row>
    <row r="92" spans="1:19" ht="15" thickBot="1" x14ac:dyDescent="0.25">
      <c r="B92" s="116"/>
      <c r="C92" s="110"/>
      <c r="D92" s="110"/>
      <c r="E92" s="110"/>
      <c r="F92" s="131">
        <f t="shared" si="6"/>
        <v>0</v>
      </c>
      <c r="G92" s="109">
        <f>F92-C92</f>
        <v>0</v>
      </c>
      <c r="H92" s="110"/>
      <c r="I92" s="106">
        <f>IF(ISERROR(G92/H92),0,G92/H92)</f>
        <v>0</v>
      </c>
      <c r="J92" s="79"/>
      <c r="K92" s="79"/>
      <c r="L92" s="35"/>
      <c r="M92" s="35"/>
      <c r="N92" s="35"/>
      <c r="O92" s="35"/>
      <c r="P92" s="35"/>
      <c r="Q92" s="35"/>
      <c r="R92" s="35"/>
      <c r="S92" s="35"/>
    </row>
    <row r="93" spans="1:19" ht="15.75" thickBot="1" x14ac:dyDescent="0.3">
      <c r="B93" s="75" t="s">
        <v>74</v>
      </c>
      <c r="C93" s="130">
        <f t="shared" ref="C93:H93" si="7">SUM(C89:C92)</f>
        <v>238086.12534639996</v>
      </c>
      <c r="D93" s="130">
        <f t="shared" si="7"/>
        <v>2042100</v>
      </c>
      <c r="E93" s="130">
        <f t="shared" si="7"/>
        <v>-1829800.9000000001</v>
      </c>
      <c r="F93" s="132">
        <f t="shared" si="7"/>
        <v>212299.09999999986</v>
      </c>
      <c r="G93" s="130">
        <f>SUM(G89:G92)</f>
        <v>-25787.0253464001</v>
      </c>
      <c r="H93" s="77">
        <f t="shared" si="7"/>
        <v>10460628.571022199</v>
      </c>
      <c r="I93" s="78" t="s">
        <v>80</v>
      </c>
      <c r="J93" s="79"/>
      <c r="K93" s="79"/>
      <c r="L93" s="35"/>
      <c r="M93" s="35"/>
      <c r="N93" s="35"/>
      <c r="O93" s="35"/>
      <c r="P93" s="35"/>
      <c r="Q93" s="35"/>
      <c r="R93" s="35"/>
      <c r="S93" s="35"/>
    </row>
    <row r="94" spans="1:19" x14ac:dyDescent="0.2">
      <c r="B94" s="4"/>
      <c r="C94" s="4"/>
      <c r="D94" s="4"/>
      <c r="E94" s="4"/>
      <c r="F94" s="4"/>
      <c r="G94" s="4"/>
      <c r="J94" s="79"/>
      <c r="K94" s="79"/>
      <c r="L94" s="35"/>
      <c r="M94" s="35"/>
      <c r="N94" s="35"/>
      <c r="O94" s="35"/>
      <c r="P94" s="35"/>
      <c r="Q94" s="35"/>
      <c r="R94" s="35"/>
      <c r="S94" s="35"/>
    </row>
    <row r="95" spans="1:19" x14ac:dyDescent="0.2">
      <c r="J95" s="79"/>
      <c r="K95" s="79"/>
      <c r="L95" s="35"/>
      <c r="M95" s="35"/>
      <c r="N95" s="35"/>
      <c r="O95" s="35"/>
      <c r="P95" s="35"/>
      <c r="Q95" s="35"/>
      <c r="R95" s="35"/>
      <c r="S95" s="35"/>
    </row>
    <row r="96" spans="1:19" ht="15" x14ac:dyDescent="0.25">
      <c r="B96" s="3" t="s">
        <v>37</v>
      </c>
      <c r="J96" s="79"/>
      <c r="K96" s="79"/>
    </row>
    <row r="97" spans="2:11" x14ac:dyDescent="0.2">
      <c r="B97" s="53"/>
      <c r="C97" s="53"/>
      <c r="D97" s="53"/>
      <c r="E97" s="53"/>
      <c r="F97" s="53"/>
      <c r="G97" s="53"/>
      <c r="H97" s="53"/>
      <c r="J97" s="79"/>
      <c r="K97" s="79"/>
    </row>
    <row r="98" spans="2:11" x14ac:dyDescent="0.2">
      <c r="B98" s="53"/>
      <c r="C98" s="53"/>
      <c r="D98" s="53"/>
      <c r="E98" s="53"/>
      <c r="F98" s="53"/>
      <c r="G98" s="53"/>
      <c r="H98" s="53"/>
      <c r="J98" s="79"/>
      <c r="K98" s="79"/>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row r="104" spans="2:11" x14ac:dyDescent="0.2">
      <c r="B104" s="53"/>
      <c r="C104" s="53"/>
      <c r="D104" s="53"/>
      <c r="E104" s="53"/>
      <c r="F104" s="53"/>
      <c r="G104" s="53"/>
      <c r="H104" s="53"/>
    </row>
  </sheetData>
  <mergeCells count="23">
    <mergeCell ref="R45:T45"/>
    <mergeCell ref="U45:W45"/>
    <mergeCell ref="E65:I65"/>
    <mergeCell ref="E71:I71"/>
    <mergeCell ref="B21:C21"/>
    <mergeCell ref="E21:F21"/>
    <mergeCell ref="B27:H27"/>
    <mergeCell ref="O45:Q45"/>
    <mergeCell ref="E64:I64"/>
    <mergeCell ref="E66:I66"/>
    <mergeCell ref="E67:I67"/>
    <mergeCell ref="E69:I69"/>
    <mergeCell ref="E70:I70"/>
    <mergeCell ref="A65:C65"/>
    <mergeCell ref="E68:I68"/>
    <mergeCell ref="E78:I78"/>
    <mergeCell ref="E79:I79"/>
    <mergeCell ref="E72:I72"/>
    <mergeCell ref="E73:I73"/>
    <mergeCell ref="E74:I74"/>
    <mergeCell ref="E75:I75"/>
    <mergeCell ref="E76:I76"/>
    <mergeCell ref="E77:I7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workbookViewId="0">
      <selection activeCell="B39" sqref="B39"/>
    </sheetView>
  </sheetViews>
  <sheetFormatPr defaultRowHeight="15" x14ac:dyDescent="0.25"/>
  <cols>
    <col min="1" max="1" width="28.7109375" customWidth="1"/>
    <col min="5" max="10" width="13.28515625" bestFit="1" customWidth="1"/>
    <col min="11" max="11" width="14.28515625" bestFit="1" customWidth="1"/>
    <col min="12" max="12" width="13.28515625" bestFit="1" customWidth="1"/>
    <col min="13" max="13" width="13.7109375" bestFit="1" customWidth="1"/>
    <col min="14" max="14" width="15.7109375" bestFit="1" customWidth="1"/>
    <col min="15" max="16" width="13.28515625" bestFit="1" customWidth="1"/>
    <col min="17" max="17" width="16.5703125" customWidth="1"/>
  </cols>
  <sheetData>
    <row r="1" spans="1:19" x14ac:dyDescent="0.25">
      <c r="A1" s="147" t="s">
        <v>168</v>
      </c>
    </row>
    <row r="2" spans="1:19" x14ac:dyDescent="0.25">
      <c r="A2" s="147" t="s">
        <v>169</v>
      </c>
    </row>
    <row r="3" spans="1:19" x14ac:dyDescent="0.25">
      <c r="A3" s="148">
        <v>42735</v>
      </c>
    </row>
    <row r="5" spans="1:19" x14ac:dyDescent="0.25">
      <c r="E5" s="149">
        <v>42370</v>
      </c>
      <c r="F5" s="149">
        <v>42401</v>
      </c>
      <c r="G5" s="149">
        <v>42430</v>
      </c>
      <c r="H5" s="149">
        <v>42461</v>
      </c>
      <c r="I5" s="149">
        <v>42491</v>
      </c>
      <c r="J5" s="149">
        <v>42522</v>
      </c>
      <c r="K5" s="149">
        <v>42552</v>
      </c>
      <c r="L5" s="149">
        <v>42583</v>
      </c>
      <c r="M5" s="149">
        <v>42614</v>
      </c>
      <c r="N5" s="149">
        <v>42644</v>
      </c>
      <c r="O5" s="149">
        <v>42675</v>
      </c>
      <c r="P5" s="149">
        <v>42705</v>
      </c>
      <c r="Q5" s="150" t="s">
        <v>170</v>
      </c>
    </row>
    <row r="6" spans="1:19" x14ac:dyDescent="0.25">
      <c r="A6" s="151" t="s">
        <v>171</v>
      </c>
    </row>
    <row r="7" spans="1:19" x14ac:dyDescent="0.25">
      <c r="A7" s="151" t="s">
        <v>172</v>
      </c>
    </row>
    <row r="8" spans="1:19" x14ac:dyDescent="0.25">
      <c r="A8" t="s">
        <v>173</v>
      </c>
      <c r="E8" s="152">
        <v>1532866.3900000001</v>
      </c>
      <c r="F8" s="152">
        <v>1783713.2599999998</v>
      </c>
      <c r="G8" s="152">
        <v>1775178.84</v>
      </c>
      <c r="H8" s="152">
        <v>1909644.73</v>
      </c>
      <c r="I8" s="152">
        <v>1840207.65</v>
      </c>
      <c r="J8" s="152">
        <v>1868219.49</v>
      </c>
      <c r="K8" s="152">
        <v>1926204.42</v>
      </c>
      <c r="L8" s="152">
        <v>1833692.17</v>
      </c>
      <c r="M8" s="152">
        <v>2000299.8900000001</v>
      </c>
      <c r="N8" s="152">
        <v>1851564.3499999999</v>
      </c>
      <c r="O8" s="152">
        <v>1770426.69</v>
      </c>
      <c r="P8" s="152">
        <v>1672969.28</v>
      </c>
      <c r="Q8" s="153">
        <f>SUM(E8:P8)</f>
        <v>21764987.160000004</v>
      </c>
    </row>
    <row r="9" spans="1:19" x14ac:dyDescent="0.25">
      <c r="A9" t="s">
        <v>174</v>
      </c>
      <c r="E9" s="152">
        <v>3710905.17</v>
      </c>
      <c r="F9" s="152">
        <v>1767270.7399999998</v>
      </c>
      <c r="G9" s="152">
        <v>1765351.39</v>
      </c>
      <c r="H9" s="152">
        <v>1820562.9</v>
      </c>
      <c r="I9" s="152">
        <v>1884905.96</v>
      </c>
      <c r="J9" s="152">
        <v>1950280.87</v>
      </c>
      <c r="K9" s="152">
        <v>2013164.94</v>
      </c>
      <c r="L9" s="152">
        <v>1994937.2000000002</v>
      </c>
      <c r="M9" s="152">
        <v>2169486.62</v>
      </c>
      <c r="N9" s="152">
        <v>1957562.6600000001</v>
      </c>
      <c r="O9" s="152">
        <v>1895972.6300000001</v>
      </c>
      <c r="P9" s="152">
        <v>1743428.5</v>
      </c>
      <c r="Q9" s="153">
        <f>SUM(E9:P9)</f>
        <v>24673829.580000002</v>
      </c>
    </row>
    <row r="10" spans="1:19" x14ac:dyDescent="0.25">
      <c r="A10" t="s">
        <v>175</v>
      </c>
      <c r="E10" s="152">
        <v>1408752.2</v>
      </c>
      <c r="F10" s="152">
        <v>1468165.1800000002</v>
      </c>
      <c r="G10" s="152">
        <v>1388041.53</v>
      </c>
      <c r="H10" s="152">
        <v>1426816.33</v>
      </c>
      <c r="I10" s="152">
        <v>1366522.07</v>
      </c>
      <c r="J10" s="152">
        <v>1432829.6099999999</v>
      </c>
      <c r="K10" s="152">
        <v>1512352.81</v>
      </c>
      <c r="L10" s="152">
        <v>1514313.69</v>
      </c>
      <c r="M10" s="152">
        <v>1689070.55</v>
      </c>
      <c r="N10" s="152">
        <v>1604214.11</v>
      </c>
      <c r="O10" s="152">
        <v>1553263.3699999999</v>
      </c>
      <c r="P10" s="152">
        <v>1514513.96</v>
      </c>
      <c r="Q10" s="153">
        <f>SUM(E10:P10)</f>
        <v>17878855.41</v>
      </c>
    </row>
    <row r="11" spans="1:19" x14ac:dyDescent="0.25">
      <c r="A11" t="s">
        <v>176</v>
      </c>
      <c r="E11" s="152">
        <v>466277.77999999997</v>
      </c>
      <c r="F11" s="152">
        <v>239403.24999999997</v>
      </c>
      <c r="G11" s="152">
        <v>224854.81</v>
      </c>
      <c r="H11" s="152">
        <v>223848.09999999998</v>
      </c>
      <c r="I11" s="152">
        <v>226881.55000000002</v>
      </c>
      <c r="J11" s="152">
        <v>247375.47999999998</v>
      </c>
      <c r="K11" s="152">
        <v>263428.3</v>
      </c>
      <c r="L11" s="152">
        <v>202487.97999999998</v>
      </c>
      <c r="M11" s="152">
        <v>213486.81</v>
      </c>
      <c r="N11" s="152">
        <v>263399.02</v>
      </c>
      <c r="O11" s="152">
        <v>172207.52</v>
      </c>
      <c r="P11" s="152">
        <v>166098.43</v>
      </c>
      <c r="Q11" s="153">
        <f>SUM(E11:P11)</f>
        <v>2909749.0300000003</v>
      </c>
    </row>
    <row r="12" spans="1:19" ht="15.75" thickBot="1" x14ac:dyDescent="0.3">
      <c r="A12" t="s">
        <v>177</v>
      </c>
      <c r="E12" s="154">
        <v>350065.05</v>
      </c>
      <c r="F12" s="154">
        <v>343530.87</v>
      </c>
      <c r="G12" s="154">
        <v>296457.94</v>
      </c>
      <c r="H12" s="154">
        <v>284594.55</v>
      </c>
      <c r="I12" s="154">
        <v>198733</v>
      </c>
      <c r="J12" s="154">
        <v>134572.83000000002</v>
      </c>
      <c r="K12" s="154">
        <v>121427.79000000001</v>
      </c>
      <c r="L12" s="154">
        <v>94357.939999999988</v>
      </c>
      <c r="M12" s="154">
        <v>104479.67999999999</v>
      </c>
      <c r="N12" s="154">
        <v>116820.6</v>
      </c>
      <c r="O12" s="154">
        <v>129073.96999999999</v>
      </c>
      <c r="P12" s="154">
        <v>184558.26</v>
      </c>
      <c r="Q12" s="155">
        <f>SUM(E12:P12)</f>
        <v>2358672.4800000004</v>
      </c>
    </row>
    <row r="13" spans="1:19" x14ac:dyDescent="0.25">
      <c r="A13" s="156" t="s">
        <v>170</v>
      </c>
      <c r="B13" s="156"/>
      <c r="C13" s="156"/>
      <c r="D13" s="156"/>
      <c r="E13" s="157">
        <f>SUM(E8:E12)</f>
        <v>7468866.5900000008</v>
      </c>
      <c r="F13" s="157">
        <f t="shared" ref="F13:Q13" si="0">SUM(F8:F12)</f>
        <v>5602083.2999999998</v>
      </c>
      <c r="G13" s="157">
        <f t="shared" si="0"/>
        <v>5449884.5099999998</v>
      </c>
      <c r="H13" s="157">
        <f t="shared" si="0"/>
        <v>5665466.6099999994</v>
      </c>
      <c r="I13" s="157">
        <f t="shared" si="0"/>
        <v>5517250.2299999995</v>
      </c>
      <c r="J13" s="157">
        <f t="shared" si="0"/>
        <v>5633278.2800000012</v>
      </c>
      <c r="K13" s="157">
        <f t="shared" si="0"/>
        <v>5836578.2599999998</v>
      </c>
      <c r="L13" s="157">
        <f t="shared" si="0"/>
        <v>5639788.9800000014</v>
      </c>
      <c r="M13" s="157">
        <f t="shared" si="0"/>
        <v>6176823.5499999998</v>
      </c>
      <c r="N13" s="157">
        <f t="shared" si="0"/>
        <v>5793560.7400000002</v>
      </c>
      <c r="O13" s="157">
        <f t="shared" si="0"/>
        <v>5520944.1799999997</v>
      </c>
      <c r="P13" s="157">
        <f t="shared" si="0"/>
        <v>5281568.43</v>
      </c>
      <c r="Q13" s="157">
        <f t="shared" si="0"/>
        <v>69586093.660000011</v>
      </c>
      <c r="R13" s="158" t="s">
        <v>178</v>
      </c>
      <c r="S13" s="159"/>
    </row>
    <row r="15" spans="1:19" x14ac:dyDescent="0.25">
      <c r="A15" s="151" t="s">
        <v>179</v>
      </c>
      <c r="Q15" s="160" t="s">
        <v>180</v>
      </c>
    </row>
    <row r="16" spans="1:19" x14ac:dyDescent="0.25">
      <c r="A16" s="151" t="s">
        <v>181</v>
      </c>
      <c r="E16">
        <f>+M22</f>
        <v>8.4229999999999999E-2</v>
      </c>
      <c r="F16">
        <f>+M23</f>
        <v>0.10384</v>
      </c>
      <c r="G16">
        <f>+M24</f>
        <v>9.0219999999999995E-2</v>
      </c>
      <c r="H16">
        <f>+M25</f>
        <v>0.12114999999999999</v>
      </c>
      <c r="I16">
        <f>+M26</f>
        <v>0.10405</v>
      </c>
      <c r="J16">
        <f>+M27</f>
        <v>0.11650000000000001</v>
      </c>
      <c r="K16">
        <f>+M28</f>
        <v>7.6670000000000002E-2</v>
      </c>
      <c r="L16">
        <f>+M29</f>
        <v>8.5690000000000002E-2</v>
      </c>
      <c r="M16">
        <f>+M30</f>
        <v>7.0599999999999996E-2</v>
      </c>
      <c r="N16">
        <f>+M31</f>
        <v>9.7199999999999995E-2</v>
      </c>
      <c r="O16">
        <f>+M32</f>
        <v>0.12271</v>
      </c>
      <c r="P16">
        <f>+M33</f>
        <v>0.10594000000000001</v>
      </c>
      <c r="Q16" s="161"/>
    </row>
    <row r="17" spans="1:17" ht="15.75" thickBot="1" x14ac:dyDescent="0.3">
      <c r="A17" s="151" t="s">
        <v>182</v>
      </c>
      <c r="E17" s="162">
        <f t="shared" ref="E17:J17" si="1">+E16</f>
        <v>8.4229999999999999E-2</v>
      </c>
      <c r="F17" s="162">
        <f t="shared" si="1"/>
        <v>0.10384</v>
      </c>
      <c r="G17" s="162">
        <f t="shared" si="1"/>
        <v>9.0219999999999995E-2</v>
      </c>
      <c r="H17" s="162">
        <f t="shared" si="1"/>
        <v>0.12114999999999999</v>
      </c>
      <c r="I17" s="162">
        <f t="shared" si="1"/>
        <v>0.10405</v>
      </c>
      <c r="J17" s="162">
        <f t="shared" si="1"/>
        <v>0.11650000000000001</v>
      </c>
      <c r="K17" s="162">
        <f>+O28</f>
        <v>8.3059999999999995E-2</v>
      </c>
      <c r="L17" s="162">
        <f>+O29</f>
        <v>7.1029999999999996E-2</v>
      </c>
      <c r="M17" s="162">
        <f>+O30</f>
        <v>9.5310000000000006E-2</v>
      </c>
      <c r="N17" s="162">
        <f>+O31</f>
        <v>0.11226</v>
      </c>
      <c r="O17" s="162">
        <f>+O32</f>
        <v>0.11108999999999999</v>
      </c>
      <c r="P17" s="162">
        <f>+O33</f>
        <v>8.7080000000000005E-2</v>
      </c>
      <c r="Q17" s="163"/>
    </row>
    <row r="18" spans="1:17" x14ac:dyDescent="0.25">
      <c r="A18" s="151" t="s">
        <v>183</v>
      </c>
      <c r="E18" s="164">
        <f t="shared" ref="E18:J18" si="2">E17-E16</f>
        <v>0</v>
      </c>
      <c r="F18" s="164">
        <f t="shared" si="2"/>
        <v>0</v>
      </c>
      <c r="G18" s="164">
        <f t="shared" si="2"/>
        <v>0</v>
      </c>
      <c r="H18" s="164">
        <f t="shared" si="2"/>
        <v>0</v>
      </c>
      <c r="I18" s="164">
        <f t="shared" si="2"/>
        <v>0</v>
      </c>
      <c r="J18" s="164">
        <f t="shared" si="2"/>
        <v>0</v>
      </c>
      <c r="K18" s="164">
        <f>K16-K17</f>
        <v>-6.3899999999999929E-3</v>
      </c>
      <c r="L18" s="164">
        <f t="shared" ref="L18:P18" si="3">L16-L17</f>
        <v>1.4660000000000006E-2</v>
      </c>
      <c r="M18" s="164">
        <f t="shared" si="3"/>
        <v>-2.471000000000001E-2</v>
      </c>
      <c r="N18" s="164">
        <f t="shared" si="3"/>
        <v>-1.5060000000000004E-2</v>
      </c>
      <c r="O18" s="164">
        <f t="shared" si="3"/>
        <v>1.1620000000000005E-2</v>
      </c>
      <c r="P18" s="164">
        <f t="shared" si="3"/>
        <v>1.8860000000000002E-2</v>
      </c>
      <c r="Q18" s="165"/>
    </row>
    <row r="19" spans="1:17" ht="15.75" thickBot="1" x14ac:dyDescent="0.3">
      <c r="A19" s="151" t="s">
        <v>184</v>
      </c>
      <c r="E19" s="165">
        <f t="shared" ref="E19:P19" si="4">E18*E13</f>
        <v>0</v>
      </c>
      <c r="F19" s="165">
        <f t="shared" si="4"/>
        <v>0</v>
      </c>
      <c r="G19" s="165">
        <f t="shared" si="4"/>
        <v>0</v>
      </c>
      <c r="H19" s="165">
        <f t="shared" si="4"/>
        <v>0</v>
      </c>
      <c r="I19" s="165">
        <f t="shared" si="4"/>
        <v>0</v>
      </c>
      <c r="J19" s="165">
        <f t="shared" si="4"/>
        <v>0</v>
      </c>
      <c r="K19" s="165">
        <f>K18*K13</f>
        <v>-37295.735081399958</v>
      </c>
      <c r="L19" s="165">
        <f t="shared" si="4"/>
        <v>82679.306446800052</v>
      </c>
      <c r="M19" s="165">
        <f t="shared" si="4"/>
        <v>-152629.30992050006</v>
      </c>
      <c r="N19" s="165">
        <f t="shared" si="4"/>
        <v>-87251.024744400027</v>
      </c>
      <c r="O19" s="165">
        <f t="shared" si="4"/>
        <v>64153.371371600027</v>
      </c>
      <c r="P19" s="165">
        <f t="shared" si="4"/>
        <v>99610.380589799999</v>
      </c>
      <c r="Q19" s="166">
        <f>SUM(K19:P19)</f>
        <v>-30733.011338099968</v>
      </c>
    </row>
    <row r="20" spans="1:17" ht="16.5" thickTop="1" thickBot="1" x14ac:dyDescent="0.3">
      <c r="B20" s="167"/>
      <c r="C20" s="167"/>
      <c r="D20" s="167"/>
      <c r="E20" s="167"/>
      <c r="F20" s="167"/>
      <c r="G20" s="167"/>
      <c r="H20" s="167"/>
      <c r="I20" s="167"/>
      <c r="J20" s="167"/>
      <c r="K20" s="167"/>
    </row>
    <row r="21" spans="1:17" x14ac:dyDescent="0.25">
      <c r="B21" s="167"/>
      <c r="C21" s="167"/>
      <c r="D21" s="167"/>
      <c r="E21" s="168"/>
      <c r="F21" s="168"/>
      <c r="G21" s="168"/>
      <c r="H21" s="168"/>
      <c r="I21" s="168"/>
      <c r="J21" s="168"/>
      <c r="K21" s="168"/>
      <c r="L21" s="169" t="s">
        <v>30</v>
      </c>
      <c r="M21" s="170" t="s">
        <v>26</v>
      </c>
      <c r="N21" s="170" t="s">
        <v>27</v>
      </c>
      <c r="O21" s="171" t="s">
        <v>28</v>
      </c>
      <c r="P21" s="164"/>
    </row>
    <row r="22" spans="1:17" x14ac:dyDescent="0.25">
      <c r="B22" s="167"/>
      <c r="C22" s="167"/>
      <c r="D22" s="167"/>
      <c r="E22" s="172"/>
      <c r="F22" s="172"/>
      <c r="G22" s="172"/>
      <c r="H22" s="172"/>
      <c r="I22" s="172"/>
      <c r="J22" s="172"/>
      <c r="K22" s="172"/>
      <c r="L22" s="173" t="s">
        <v>10</v>
      </c>
      <c r="M22" s="164">
        <v>8.4229999999999999E-2</v>
      </c>
      <c r="N22" s="164">
        <v>9.214E-2</v>
      </c>
      <c r="O22" s="174">
        <v>9.1789999999999997E-2</v>
      </c>
      <c r="P22" s="164"/>
    </row>
    <row r="23" spans="1:17" x14ac:dyDescent="0.25">
      <c r="B23" s="167"/>
      <c r="C23" s="167"/>
      <c r="D23" s="167"/>
      <c r="E23" s="167"/>
      <c r="F23" s="167"/>
      <c r="G23" s="167"/>
      <c r="H23" s="167"/>
      <c r="I23" s="167"/>
      <c r="J23" s="167"/>
      <c r="K23" s="172"/>
      <c r="L23" s="173" t="s">
        <v>11</v>
      </c>
      <c r="M23" s="164">
        <v>0.10384</v>
      </c>
      <c r="N23" s="164">
        <v>9.6780000000000005E-2</v>
      </c>
      <c r="O23" s="174">
        <v>9.851E-2</v>
      </c>
      <c r="P23" s="164"/>
    </row>
    <row r="24" spans="1:17" x14ac:dyDescent="0.25">
      <c r="B24" s="167"/>
      <c r="C24" s="167"/>
      <c r="D24" s="167"/>
      <c r="E24" s="167"/>
      <c r="F24" s="167"/>
      <c r="G24" s="167"/>
      <c r="H24" s="167"/>
      <c r="I24" s="167"/>
      <c r="J24" s="167"/>
      <c r="K24" s="172"/>
      <c r="L24" s="173" t="s">
        <v>12</v>
      </c>
      <c r="M24" s="164">
        <v>9.0219999999999995E-2</v>
      </c>
      <c r="N24" s="164">
        <v>0.10299</v>
      </c>
      <c r="O24" s="174">
        <v>0.1061</v>
      </c>
      <c r="P24" s="164"/>
    </row>
    <row r="25" spans="1:17" x14ac:dyDescent="0.25">
      <c r="B25" s="167"/>
      <c r="C25" s="167"/>
      <c r="D25" s="167"/>
      <c r="E25" s="167"/>
      <c r="F25" s="167"/>
      <c r="G25" s="167"/>
      <c r="H25" s="167"/>
      <c r="I25" s="167"/>
      <c r="J25" s="167"/>
      <c r="K25" s="167"/>
      <c r="L25" s="173" t="s">
        <v>13</v>
      </c>
      <c r="M25" s="164">
        <v>0.12114999999999999</v>
      </c>
      <c r="N25" s="164">
        <v>0.11176999999999999</v>
      </c>
      <c r="O25" s="174">
        <v>0.11132</v>
      </c>
      <c r="P25" s="164"/>
    </row>
    <row r="26" spans="1:17" x14ac:dyDescent="0.25">
      <c r="B26" s="167"/>
      <c r="C26" s="167"/>
      <c r="D26" s="167"/>
      <c r="E26" s="172"/>
      <c r="F26" s="172"/>
      <c r="G26" s="172"/>
      <c r="H26" s="172"/>
      <c r="I26" s="172"/>
      <c r="J26" s="172"/>
      <c r="K26" s="172"/>
      <c r="L26" s="173" t="s">
        <v>14</v>
      </c>
      <c r="M26" s="164">
        <v>0.10405</v>
      </c>
      <c r="N26" s="164">
        <v>0.11493</v>
      </c>
      <c r="O26" s="174">
        <v>0.10749</v>
      </c>
      <c r="P26" s="164"/>
    </row>
    <row r="27" spans="1:17" x14ac:dyDescent="0.25">
      <c r="B27" s="167"/>
      <c r="C27" s="167"/>
      <c r="D27" s="167"/>
      <c r="E27" s="167"/>
      <c r="F27" s="167"/>
      <c r="G27" s="167"/>
      <c r="H27" s="167"/>
      <c r="I27" s="167"/>
      <c r="J27" s="167"/>
      <c r="K27" s="167"/>
      <c r="L27" s="173" t="s">
        <v>15</v>
      </c>
      <c r="M27" s="164">
        <v>0.11650000000000001</v>
      </c>
      <c r="N27" s="164">
        <v>9.3600000000000003E-2</v>
      </c>
      <c r="O27" s="174">
        <v>9.5449999999999993E-2</v>
      </c>
      <c r="P27" s="164"/>
    </row>
    <row r="28" spans="1:17" x14ac:dyDescent="0.25">
      <c r="B28" s="167"/>
      <c r="C28" s="167"/>
      <c r="D28" s="167"/>
      <c r="E28" s="167"/>
      <c r="F28" s="167"/>
      <c r="G28" s="167"/>
      <c r="H28" s="167"/>
      <c r="I28" s="167"/>
      <c r="J28" s="167"/>
      <c r="K28" s="167"/>
      <c r="L28" s="173" t="s">
        <v>16</v>
      </c>
      <c r="M28" s="164">
        <v>7.6670000000000002E-2</v>
      </c>
      <c r="N28" s="164">
        <v>8.412E-2</v>
      </c>
      <c r="O28" s="174">
        <v>8.3059999999999995E-2</v>
      </c>
      <c r="P28" s="164"/>
    </row>
    <row r="29" spans="1:17" x14ac:dyDescent="0.25">
      <c r="L29" s="173" t="s">
        <v>17</v>
      </c>
      <c r="M29" s="164">
        <v>8.5690000000000002E-2</v>
      </c>
      <c r="N29" s="164">
        <v>7.0499999999999993E-2</v>
      </c>
      <c r="O29" s="174">
        <v>7.1029999999999996E-2</v>
      </c>
      <c r="P29" s="164"/>
    </row>
    <row r="30" spans="1:17" x14ac:dyDescent="0.25">
      <c r="L30" s="173" t="s">
        <v>18</v>
      </c>
      <c r="M30" s="164">
        <v>7.0599999999999996E-2</v>
      </c>
      <c r="N30" s="164">
        <v>9.1480000000000006E-2</v>
      </c>
      <c r="O30" s="174">
        <v>9.5310000000000006E-2</v>
      </c>
      <c r="P30" s="164"/>
    </row>
    <row r="31" spans="1:17" x14ac:dyDescent="0.25">
      <c r="L31" s="173" t="s">
        <v>19</v>
      </c>
      <c r="M31" s="164">
        <v>9.7199999999999995E-2</v>
      </c>
      <c r="N31" s="164">
        <v>0.1178</v>
      </c>
      <c r="O31" s="174">
        <v>0.11226</v>
      </c>
      <c r="P31" s="164"/>
    </row>
    <row r="32" spans="1:17" x14ac:dyDescent="0.25">
      <c r="L32" s="173" t="s">
        <v>20</v>
      </c>
      <c r="M32" s="164">
        <v>0.12271</v>
      </c>
      <c r="N32" s="164">
        <v>0.115</v>
      </c>
      <c r="O32" s="174">
        <v>0.11108999999999999</v>
      </c>
      <c r="P32" s="164"/>
    </row>
    <row r="33" spans="12:16" ht="15.75" thickBot="1" x14ac:dyDescent="0.3">
      <c r="L33" s="175" t="s">
        <v>21</v>
      </c>
      <c r="M33" s="162">
        <v>0.10594000000000001</v>
      </c>
      <c r="N33" s="162">
        <v>7.8719999999999998E-2</v>
      </c>
      <c r="O33" s="176">
        <v>8.7080000000000005E-2</v>
      </c>
      <c r="P33" s="1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2016 GA Analysis </vt:lpstr>
      <vt:lpstr>2015 GA Analysis </vt:lpstr>
      <vt:lpstr>2016 Interval Consumption</vt:lpstr>
      <vt:lpstr>'2015 GA Analysis '!Print_Area</vt:lpstr>
      <vt:lpstr>'2016 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Lisa Barker</cp:lastModifiedBy>
  <cp:lastPrinted>2017-07-19T17:11:44Z</cp:lastPrinted>
  <dcterms:created xsi:type="dcterms:W3CDTF">2017-05-01T19:29:01Z</dcterms:created>
  <dcterms:modified xsi:type="dcterms:W3CDTF">2017-09-28T15:29:35Z</dcterms:modified>
</cp:coreProperties>
</file>