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585" windowWidth="14640" windowHeight="7290" activeTab="1"/>
  </bookViews>
  <sheets>
    <sheet name="Instructions" sheetId="2" r:id="rId1"/>
    <sheet name="GA Analysis 2016" sheetId="1" r:id="rId2"/>
    <sheet name="GA Analysis 2015" sheetId="8" r:id="rId3"/>
  </sheets>
  <definedNames>
    <definedName name="GARate">#REF!</definedName>
    <definedName name="_xlnm.Print_Area" localSheetId="2">'GA Analysis 2015'!$A$1:$M$125</definedName>
    <definedName name="_xlnm.Print_Area" localSheetId="1">'GA Analysis 2016'!$A$1:$K$125</definedName>
    <definedName name="_xlnm.Print_Area" localSheetId="0">Instructions!$A$1:$C$67</definedName>
  </definedNames>
  <calcPr calcId="145621"/>
</workbook>
</file>

<file path=xl/calcChain.xml><?xml version="1.0" encoding="utf-8"?>
<calcChain xmlns="http://schemas.openxmlformats.org/spreadsheetml/2006/main">
  <c r="G104" i="1" l="1"/>
  <c r="I104" i="1"/>
  <c r="G105" i="1"/>
  <c r="I105" i="1"/>
  <c r="G104" i="8"/>
  <c r="D13" i="8"/>
  <c r="G70" i="8"/>
  <c r="G69" i="8"/>
  <c r="I69" i="8"/>
  <c r="I70" i="8"/>
  <c r="E69" i="8"/>
  <c r="C69" i="8"/>
  <c r="G67" i="8"/>
  <c r="G66" i="8"/>
  <c r="I66" i="8"/>
  <c r="I67" i="8"/>
  <c r="E66" i="8"/>
  <c r="C67" i="8"/>
  <c r="G64" i="8"/>
  <c r="G63" i="8"/>
  <c r="I63" i="8"/>
  <c r="I64" i="8"/>
  <c r="E63" i="8"/>
  <c r="C64" i="8"/>
  <c r="G61" i="8"/>
  <c r="G60" i="8"/>
  <c r="I60" i="8"/>
  <c r="I61" i="8"/>
  <c r="E60" i="8"/>
  <c r="D60" i="8"/>
  <c r="C61" i="8"/>
  <c r="G58" i="8"/>
  <c r="G57" i="8"/>
  <c r="I57" i="8"/>
  <c r="I58" i="8"/>
  <c r="E58" i="8"/>
  <c r="D57" i="8"/>
  <c r="C58" i="8"/>
  <c r="G55" i="8"/>
  <c r="G54" i="8"/>
  <c r="I54" i="8"/>
  <c r="I55" i="8"/>
  <c r="E55" i="8"/>
  <c r="D54" i="8"/>
  <c r="C55" i="8"/>
  <c r="G52" i="8"/>
  <c r="G51" i="8"/>
  <c r="I51" i="8"/>
  <c r="I52" i="8"/>
  <c r="E52" i="8"/>
  <c r="D51" i="8"/>
  <c r="C52" i="8"/>
  <c r="G49" i="8"/>
  <c r="G48" i="8"/>
  <c r="I48" i="8"/>
  <c r="I49" i="8"/>
  <c r="E49" i="8"/>
  <c r="C49" i="8"/>
  <c r="G46" i="8"/>
  <c r="G45" i="8"/>
  <c r="I45" i="8"/>
  <c r="I46" i="8"/>
  <c r="E45" i="8"/>
  <c r="C46" i="8"/>
  <c r="G43" i="8"/>
  <c r="G42" i="8"/>
  <c r="I42" i="8"/>
  <c r="I43" i="8"/>
  <c r="E42" i="8"/>
  <c r="C43" i="8"/>
  <c r="F51" i="8"/>
  <c r="J51" i="8"/>
  <c r="F57" i="8"/>
  <c r="J57" i="8"/>
  <c r="D55" i="8"/>
  <c r="F54" i="8"/>
  <c r="J54" i="8"/>
  <c r="F60" i="8"/>
  <c r="J60" i="8"/>
  <c r="D63" i="8"/>
  <c r="D48" i="8"/>
  <c r="D61" i="8"/>
  <c r="E64" i="8"/>
  <c r="E67" i="8"/>
  <c r="D52" i="8"/>
  <c r="D58" i="8"/>
  <c r="E61" i="8"/>
  <c r="E43" i="8"/>
  <c r="D45" i="8"/>
  <c r="F55" i="8"/>
  <c r="E46" i="8"/>
  <c r="D66" i="8"/>
  <c r="F63" i="8"/>
  <c r="D69" i="8"/>
  <c r="C70" i="8"/>
  <c r="E70" i="8"/>
  <c r="G40" i="8"/>
  <c r="G39" i="8"/>
  <c r="I39" i="8"/>
  <c r="I40" i="8"/>
  <c r="E39" i="8"/>
  <c r="D39" i="8"/>
  <c r="C40" i="8"/>
  <c r="H60" i="8"/>
  <c r="K60" i="8"/>
  <c r="H51" i="8"/>
  <c r="K51" i="8"/>
  <c r="H54" i="8"/>
  <c r="K54" i="8"/>
  <c r="H57" i="8"/>
  <c r="K57" i="8"/>
  <c r="F52" i="8"/>
  <c r="J52" i="8"/>
  <c r="J53" i="8"/>
  <c r="D64" i="8"/>
  <c r="D67" i="8"/>
  <c r="D49" i="8"/>
  <c r="F66" i="8"/>
  <c r="F45" i="8"/>
  <c r="H45" i="8"/>
  <c r="D42" i="8"/>
  <c r="F58" i="8"/>
  <c r="D70" i="8"/>
  <c r="F70" i="8"/>
  <c r="H70" i="8"/>
  <c r="F69" i="8"/>
  <c r="H69" i="8"/>
  <c r="F48" i="8"/>
  <c r="E40" i="8"/>
  <c r="F39" i="8"/>
  <c r="H39" i="8"/>
  <c r="F61" i="8"/>
  <c r="D40" i="8"/>
  <c r="H63" i="8"/>
  <c r="J63" i="8"/>
  <c r="H55" i="8"/>
  <c r="J55" i="8"/>
  <c r="D46" i="8"/>
  <c r="G37" i="8"/>
  <c r="G36" i="8"/>
  <c r="E36" i="8"/>
  <c r="D36" i="8"/>
  <c r="C37" i="8"/>
  <c r="H56" i="8"/>
  <c r="J69" i="8"/>
  <c r="K69" i="8"/>
  <c r="H66" i="8"/>
  <c r="J39" i="8"/>
  <c r="K39" i="8"/>
  <c r="H52" i="8"/>
  <c r="H53" i="8"/>
  <c r="K55" i="8"/>
  <c r="K56" i="8"/>
  <c r="J70" i="8"/>
  <c r="K70" i="8"/>
  <c r="J45" i="8"/>
  <c r="K45" i="8"/>
  <c r="D37" i="8"/>
  <c r="H58" i="8"/>
  <c r="H59" i="8"/>
  <c r="J58" i="8"/>
  <c r="F42" i="8"/>
  <c r="J66" i="8"/>
  <c r="F49" i="8"/>
  <c r="H49" i="8"/>
  <c r="F40" i="8"/>
  <c r="F41" i="8"/>
  <c r="F67" i="8"/>
  <c r="H48" i="8"/>
  <c r="J48" i="8"/>
  <c r="D43" i="8"/>
  <c r="F64" i="8"/>
  <c r="H61" i="8"/>
  <c r="H62" i="8"/>
  <c r="J61" i="8"/>
  <c r="E37" i="8"/>
  <c r="F46" i="8"/>
  <c r="K63" i="8"/>
  <c r="H71" i="8"/>
  <c r="J56" i="8"/>
  <c r="F36" i="8"/>
  <c r="K52" i="8"/>
  <c r="K53" i="8"/>
  <c r="K66" i="8"/>
  <c r="J71" i="8"/>
  <c r="J40" i="8"/>
  <c r="J41" i="8"/>
  <c r="K71" i="8"/>
  <c r="H50" i="8"/>
  <c r="J49" i="8"/>
  <c r="J50" i="8"/>
  <c r="J64" i="8"/>
  <c r="H64" i="8"/>
  <c r="H65" i="8"/>
  <c r="K48" i="8"/>
  <c r="J42" i="8"/>
  <c r="H42" i="8"/>
  <c r="H40" i="8"/>
  <c r="H41" i="8"/>
  <c r="F43" i="8"/>
  <c r="H67" i="8"/>
  <c r="H68" i="8"/>
  <c r="J67" i="8"/>
  <c r="K58" i="8"/>
  <c r="K59" i="8"/>
  <c r="J59" i="8"/>
  <c r="K61" i="8"/>
  <c r="K62" i="8"/>
  <c r="J62" i="8"/>
  <c r="H36" i="8"/>
  <c r="K49" i="8"/>
  <c r="J46" i="8"/>
  <c r="H46" i="8"/>
  <c r="H47" i="8"/>
  <c r="K50" i="8"/>
  <c r="K42" i="8"/>
  <c r="K64" i="8"/>
  <c r="K65" i="8"/>
  <c r="J65" i="8"/>
  <c r="K67" i="8"/>
  <c r="K68" i="8"/>
  <c r="J68" i="8"/>
  <c r="H43" i="8"/>
  <c r="H44" i="8"/>
  <c r="J43" i="8"/>
  <c r="J44" i="8"/>
  <c r="K40" i="8"/>
  <c r="K41" i="8"/>
  <c r="K46" i="8"/>
  <c r="K47" i="8"/>
  <c r="J47" i="8"/>
  <c r="K43" i="8"/>
  <c r="K44" i="8"/>
  <c r="G70" i="1"/>
  <c r="G67" i="1"/>
  <c r="G64" i="1"/>
  <c r="G61" i="1"/>
  <c r="G58" i="1"/>
  <c r="G55" i="1"/>
  <c r="G52" i="1"/>
  <c r="G49" i="1"/>
  <c r="G46" i="1"/>
  <c r="G66" i="1"/>
  <c r="I66" i="1"/>
  <c r="I67" i="1"/>
  <c r="G63" i="1"/>
  <c r="I63" i="1"/>
  <c r="I64" i="1"/>
  <c r="G60" i="1"/>
  <c r="I60" i="1"/>
  <c r="I61" i="1"/>
  <c r="G57" i="1"/>
  <c r="I57" i="1"/>
  <c r="I58" i="1"/>
  <c r="G54" i="1"/>
  <c r="I54" i="1"/>
  <c r="I55" i="1"/>
  <c r="G51" i="1"/>
  <c r="I51" i="1"/>
  <c r="I52" i="1"/>
  <c r="G48" i="1"/>
  <c r="I48" i="1"/>
  <c r="I49" i="1"/>
  <c r="G45" i="1"/>
  <c r="I45" i="1"/>
  <c r="I46" i="1"/>
  <c r="G43" i="1"/>
  <c r="G42" i="1"/>
  <c r="I42" i="1"/>
  <c r="I43" i="1"/>
  <c r="G40" i="1"/>
  <c r="G39" i="1"/>
  <c r="I39" i="1"/>
  <c r="I40" i="1"/>
  <c r="G37" i="1"/>
  <c r="G36" i="1"/>
  <c r="E63" i="1"/>
  <c r="D66" i="1"/>
  <c r="E66" i="1"/>
  <c r="E60" i="1"/>
  <c r="E57" i="1"/>
  <c r="E55" i="1"/>
  <c r="D58" i="1"/>
  <c r="E51" i="1"/>
  <c r="E48" i="1"/>
  <c r="E49" i="1"/>
  <c r="D52" i="1"/>
  <c r="E45" i="1"/>
  <c r="E46" i="1"/>
  <c r="E42" i="1"/>
  <c r="E39" i="1"/>
  <c r="D57" i="1"/>
  <c r="C67" i="1"/>
  <c r="C64" i="1"/>
  <c r="C61" i="1"/>
  <c r="C58" i="1"/>
  <c r="C55" i="1"/>
  <c r="C52" i="1"/>
  <c r="C49" i="1"/>
  <c r="C46" i="1"/>
  <c r="C43" i="1"/>
  <c r="C72" i="1"/>
  <c r="C40" i="1"/>
  <c r="G69" i="1"/>
  <c r="I69" i="1"/>
  <c r="I70" i="1"/>
  <c r="E69" i="1"/>
  <c r="D42" i="1"/>
  <c r="F42" i="1"/>
  <c r="H42" i="1"/>
  <c r="D48" i="1"/>
  <c r="E70" i="1"/>
  <c r="F57" i="1"/>
  <c r="H57" i="1"/>
  <c r="D54" i="1"/>
  <c r="E52" i="1"/>
  <c r="E64" i="1"/>
  <c r="D67" i="1"/>
  <c r="E67" i="1"/>
  <c r="D70" i="1"/>
  <c r="F66" i="1"/>
  <c r="D63" i="1"/>
  <c r="F63" i="1"/>
  <c r="D69" i="1"/>
  <c r="F69" i="1"/>
  <c r="E40" i="1"/>
  <c r="E61" i="1"/>
  <c r="D64" i="1"/>
  <c r="E43" i="1"/>
  <c r="D46" i="1"/>
  <c r="F46" i="1"/>
  <c r="D45" i="1"/>
  <c r="F45" i="1"/>
  <c r="E58" i="1"/>
  <c r="F58" i="1"/>
  <c r="D60" i="1"/>
  <c r="D51" i="1"/>
  <c r="D49" i="1"/>
  <c r="C70" i="1"/>
  <c r="H108" i="8"/>
  <c r="F108" i="8"/>
  <c r="E108" i="8"/>
  <c r="D108" i="8"/>
  <c r="C108" i="8"/>
  <c r="G107" i="8"/>
  <c r="I107" i="8"/>
  <c r="G106" i="8"/>
  <c r="I106" i="8"/>
  <c r="G105" i="8"/>
  <c r="I105" i="8"/>
  <c r="I104" i="8"/>
  <c r="D95" i="8"/>
  <c r="F71" i="8"/>
  <c r="E71" i="8"/>
  <c r="D71" i="8"/>
  <c r="C71" i="8"/>
  <c r="F68" i="8"/>
  <c r="E68" i="8"/>
  <c r="D68" i="8"/>
  <c r="C68" i="8"/>
  <c r="F65" i="8"/>
  <c r="E65" i="8"/>
  <c r="D65" i="8"/>
  <c r="C65" i="8"/>
  <c r="F62" i="8"/>
  <c r="E62" i="8"/>
  <c r="D62" i="8"/>
  <c r="C62" i="8"/>
  <c r="F59" i="8"/>
  <c r="E59" i="8"/>
  <c r="D59" i="8"/>
  <c r="C59" i="8"/>
  <c r="F56" i="8"/>
  <c r="E56" i="8"/>
  <c r="D56" i="8"/>
  <c r="C56" i="8"/>
  <c r="F53" i="8"/>
  <c r="E53" i="8"/>
  <c r="D53" i="8"/>
  <c r="C53" i="8"/>
  <c r="E50" i="8"/>
  <c r="D50" i="8"/>
  <c r="C50" i="8"/>
  <c r="F50" i="8"/>
  <c r="F47" i="8"/>
  <c r="E47" i="8"/>
  <c r="D47" i="8"/>
  <c r="C47" i="8"/>
  <c r="F44" i="8"/>
  <c r="E44" i="8"/>
  <c r="D44" i="8"/>
  <c r="C44" i="8"/>
  <c r="E41" i="8"/>
  <c r="D41" i="8"/>
  <c r="C41" i="8"/>
  <c r="I36" i="8"/>
  <c r="I37" i="8"/>
  <c r="F13" i="8"/>
  <c r="E13" i="8"/>
  <c r="E11" i="8"/>
  <c r="F11" i="8"/>
  <c r="D11" i="8"/>
  <c r="H15" i="8"/>
  <c r="J42" i="1"/>
  <c r="K42" i="1"/>
  <c r="F67" i="1"/>
  <c r="H67" i="1"/>
  <c r="J57" i="1"/>
  <c r="K57" i="1"/>
  <c r="F54" i="1"/>
  <c r="F48" i="1"/>
  <c r="H48" i="1"/>
  <c r="F70" i="1"/>
  <c r="J70" i="1"/>
  <c r="D61" i="1"/>
  <c r="F61" i="1"/>
  <c r="J61" i="1"/>
  <c r="F49" i="1"/>
  <c r="J49" i="1"/>
  <c r="H58" i="1"/>
  <c r="H59" i="1"/>
  <c r="J58" i="1"/>
  <c r="H61" i="1"/>
  <c r="H69" i="1"/>
  <c r="J69" i="1"/>
  <c r="H63" i="1"/>
  <c r="J63" i="1"/>
  <c r="H45" i="1"/>
  <c r="J45" i="1"/>
  <c r="H46" i="1"/>
  <c r="J46" i="1"/>
  <c r="D55" i="1"/>
  <c r="F64" i="1"/>
  <c r="F52" i="1"/>
  <c r="H66" i="1"/>
  <c r="J66" i="1"/>
  <c r="D43" i="1"/>
  <c r="F43" i="1"/>
  <c r="J43" i="1"/>
  <c r="F51" i="1"/>
  <c r="J51" i="1"/>
  <c r="F60" i="1"/>
  <c r="J60" i="1"/>
  <c r="J36" i="8"/>
  <c r="D38" i="8"/>
  <c r="C38" i="8"/>
  <c r="G108" i="8"/>
  <c r="H14" i="8"/>
  <c r="H13" i="8"/>
  <c r="H12" i="8"/>
  <c r="C72" i="8"/>
  <c r="D72" i="8"/>
  <c r="J67" i="1"/>
  <c r="K67" i="1"/>
  <c r="H70" i="1"/>
  <c r="H71" i="1"/>
  <c r="H49" i="1"/>
  <c r="H50" i="1"/>
  <c r="K36" i="8"/>
  <c r="J54" i="1"/>
  <c r="H47" i="1"/>
  <c r="J48" i="1"/>
  <c r="K48" i="1"/>
  <c r="H54" i="1"/>
  <c r="K46" i="1"/>
  <c r="J71" i="1"/>
  <c r="H52" i="1"/>
  <c r="J52" i="1"/>
  <c r="K45" i="1"/>
  <c r="J47" i="1"/>
  <c r="K63" i="1"/>
  <c r="J62" i="1"/>
  <c r="K61" i="1"/>
  <c r="J44" i="1"/>
  <c r="K66" i="1"/>
  <c r="H64" i="1"/>
  <c r="H65" i="1"/>
  <c r="J64" i="1"/>
  <c r="K69" i="1"/>
  <c r="H68" i="1"/>
  <c r="F55" i="1"/>
  <c r="J59" i="1"/>
  <c r="K58" i="1"/>
  <c r="K59" i="1"/>
  <c r="H60" i="1"/>
  <c r="H62" i="1"/>
  <c r="H43" i="1"/>
  <c r="H44" i="1"/>
  <c r="H51" i="1"/>
  <c r="F71" i="1"/>
  <c r="F37" i="8"/>
  <c r="E38" i="8"/>
  <c r="J68" i="1"/>
  <c r="J50" i="1"/>
  <c r="K70" i="1"/>
  <c r="K49" i="1"/>
  <c r="K50" i="1"/>
  <c r="K54" i="1"/>
  <c r="K68" i="1"/>
  <c r="K52" i="1"/>
  <c r="F38" i="8"/>
  <c r="E72" i="8"/>
  <c r="H53" i="1"/>
  <c r="K47" i="1"/>
  <c r="K43" i="1"/>
  <c r="K44" i="1"/>
  <c r="H55" i="1"/>
  <c r="H56" i="1"/>
  <c r="J55" i="1"/>
  <c r="K71" i="1"/>
  <c r="K60" i="1"/>
  <c r="K62" i="1"/>
  <c r="K51" i="1"/>
  <c r="K64" i="1"/>
  <c r="K65" i="1"/>
  <c r="J65" i="1"/>
  <c r="J53" i="1"/>
  <c r="J37" i="8"/>
  <c r="H37" i="8"/>
  <c r="K53" i="1"/>
  <c r="K55" i="1"/>
  <c r="K56" i="1"/>
  <c r="J56" i="1"/>
  <c r="H38" i="8"/>
  <c r="H72" i="8"/>
  <c r="K37" i="8"/>
  <c r="K38" i="8"/>
  <c r="K72" i="8"/>
  <c r="K74" i="8"/>
  <c r="D96" i="8"/>
  <c r="D97" i="8"/>
  <c r="J38" i="8"/>
  <c r="F72" i="8"/>
  <c r="J72" i="8"/>
  <c r="J76" i="8"/>
  <c r="E98" i="8"/>
  <c r="I36" i="1"/>
  <c r="I37" i="1"/>
  <c r="E36" i="1"/>
  <c r="D36" i="1"/>
  <c r="C37" i="1"/>
  <c r="C73" i="1"/>
  <c r="D39" i="1"/>
  <c r="F39" i="1"/>
  <c r="E72" i="1"/>
  <c r="D37" i="1"/>
  <c r="E37" i="1"/>
  <c r="F36" i="1"/>
  <c r="H39" i="1"/>
  <c r="J39" i="1"/>
  <c r="D72" i="1"/>
  <c r="F72" i="1"/>
  <c r="D40" i="1"/>
  <c r="F40" i="1"/>
  <c r="E73" i="1"/>
  <c r="F37" i="1"/>
  <c r="H37" i="1"/>
  <c r="E71" i="1"/>
  <c r="D71" i="1"/>
  <c r="C71" i="1"/>
  <c r="F68" i="1"/>
  <c r="E68" i="1"/>
  <c r="D68" i="1"/>
  <c r="C68" i="1"/>
  <c r="F65" i="1"/>
  <c r="E65" i="1"/>
  <c r="D65" i="1"/>
  <c r="C65" i="1"/>
  <c r="F62" i="1"/>
  <c r="E62" i="1"/>
  <c r="D62" i="1"/>
  <c r="C62" i="1"/>
  <c r="F59" i="1"/>
  <c r="E59" i="1"/>
  <c r="D59" i="1"/>
  <c r="C59" i="1"/>
  <c r="F56" i="1"/>
  <c r="E56" i="1"/>
  <c r="D56" i="1"/>
  <c r="C56" i="1"/>
  <c r="F53" i="1"/>
  <c r="E53" i="1"/>
  <c r="D53" i="1"/>
  <c r="C53" i="1"/>
  <c r="E50" i="1"/>
  <c r="D50" i="1"/>
  <c r="C50" i="1"/>
  <c r="F47" i="1"/>
  <c r="E47" i="1"/>
  <c r="D47" i="1"/>
  <c r="C47" i="1"/>
  <c r="F44" i="1"/>
  <c r="E44" i="1"/>
  <c r="D44" i="1"/>
  <c r="C44" i="1"/>
  <c r="E41" i="1"/>
  <c r="C41" i="1"/>
  <c r="E38" i="1"/>
  <c r="D38" i="1"/>
  <c r="C38" i="1"/>
  <c r="J37" i="1"/>
  <c r="K37" i="1"/>
  <c r="H40" i="1"/>
  <c r="H41" i="1"/>
  <c r="J40" i="1"/>
  <c r="K39" i="1"/>
  <c r="D41" i="1"/>
  <c r="D74" i="1"/>
  <c r="D73" i="1"/>
  <c r="F73" i="1"/>
  <c r="F41" i="1"/>
  <c r="E74" i="1"/>
  <c r="C74" i="1"/>
  <c r="D95" i="1"/>
  <c r="D97" i="1" s="1"/>
  <c r="D98" i="1" s="1"/>
  <c r="E98" i="1" s="1"/>
  <c r="H73" i="1"/>
  <c r="J73" i="1"/>
  <c r="J41" i="1"/>
  <c r="K40" i="1"/>
  <c r="K41" i="1"/>
  <c r="H108" i="1"/>
  <c r="F13" i="1"/>
  <c r="E13" i="1"/>
  <c r="E11" i="1"/>
  <c r="D13" i="1"/>
  <c r="D11" i="1"/>
  <c r="F11" i="1"/>
  <c r="G106" i="1"/>
  <c r="I106" i="1"/>
  <c r="G107" i="1"/>
  <c r="I107" i="1"/>
  <c r="F108" i="1"/>
  <c r="E108" i="1"/>
  <c r="G108" i="1"/>
  <c r="D108" i="1"/>
  <c r="C108" i="1"/>
  <c r="F50" i="1"/>
  <c r="F38" i="1"/>
  <c r="F74" i="1"/>
  <c r="J36" i="1"/>
  <c r="J72" i="1"/>
  <c r="H36" i="1"/>
  <c r="H72" i="1"/>
  <c r="H38" i="1"/>
  <c r="H74" i="1"/>
  <c r="K36" i="1"/>
  <c r="J38" i="1"/>
  <c r="H15" i="1"/>
  <c r="H14" i="1"/>
  <c r="H13" i="1"/>
  <c r="H12" i="1"/>
  <c r="J74" i="1"/>
  <c r="J78" i="1"/>
  <c r="K38" i="1"/>
  <c r="K74" i="1"/>
  <c r="K76" i="1"/>
  <c r="K72" i="1"/>
  <c r="K73" i="1"/>
  <c r="D96" i="1"/>
</calcChain>
</file>

<file path=xl/sharedStrings.xml><?xml version="1.0" encoding="utf-8"?>
<sst xmlns="http://schemas.openxmlformats.org/spreadsheetml/2006/main" count="412" uniqueCount="214">
  <si>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</si>
  <si>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</si>
  <si>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</si>
  <si>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</si>
  <si>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</si>
  <si>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</si>
  <si>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</si>
  <si>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</si>
  <si>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</si>
  <si>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</si>
  <si>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</si>
  <si>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</si>
  <si>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</si>
  <si>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</si>
  <si>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</si>
  <si>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</si>
  <si>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</si>
  <si>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</si>
  <si>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</si>
  <si>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</si>
  <si>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</si>
  <si>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</si>
  <si>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</si>
  <si>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</si>
  <si>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</si>
  <si>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</si>
  <si>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</si>
  <si>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</si>
  <si>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</si>
  <si>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</si>
  <si>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</si>
  <si>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</si>
  <si>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</si>
  <si>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</si>
  <si>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</si>
  <si>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</si>
  <si>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</si>
  <si>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</si>
  <si>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</si>
  <si>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</si>
  <si>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</si>
  <si>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</si>
  <si>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</si>
  <si>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</si>
  <si>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</si>
  <si>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</si>
  <si>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</si>
  <si>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</si>
  <si>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</si>
  <si>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</si>
  <si>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</si>
  <si>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</si>
  <si>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</si>
  <si>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</si>
  <si>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</si>
  <si>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</si>
  <si>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</si>
  <si>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</si>
  <si>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</si>
  <si>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</si>
  <si>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</si>
  <si>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</si>
  <si>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</si>
  <si>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</si>
  <si>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</si>
  <si>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</si>
  <si>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</si>
  <si>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</si>
  <si>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</si>
  <si>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</si>
  <si>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</si>
  <si>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</si>
  <si>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</si>
  <si>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</si>
  <si>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</si>
  <si>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</si>
  <si>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</si>
  <si>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</si>
  <si>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</si>
  <si>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</si>
  <si>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</si>
  <si>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</si>
  <si>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</si>
  <si>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</si>
  <si>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</si>
  <si>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</si>
  <si>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</si>
  <si>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</si>
  <si>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</si>
  <si>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</si>
  <si>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</si>
  <si>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</si>
  <si>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</si>
  <si>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</si>
  <si>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</si>
  <si>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</si>
  <si>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</si>
  <si>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</si>
  <si>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</si>
  <si>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</si>
  <si>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</si>
  <si>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</si>
  <si>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</si>
  <si>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</si>
  <si>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</si>
  <si>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</si>
  <si>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</si>
  <si>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</si>
  <si>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</si>
  <si>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</si>
  <si>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</si>
  <si>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</si>
  <si>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</si>
  <si>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</si>
  <si>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</si>
  <si>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</si>
  <si>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</si>
  <si>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</si>
  <si>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</si>
  <si>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</si>
  <si>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</si>
  <si>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</si>
  <si>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</si>
  <si>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</si>
  <si>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</si>
  <si>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</si>
  <si>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</si>
  <si>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</si>
  <si>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</si>
  <si>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</si>
  <si>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</si>
  <si>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</si>
  <si>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</si>
  <si>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</si>
  <si>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</si>
  <si>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</si>
  <si>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</si>
  <si>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</si>
  <si>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</si>
  <si>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</si>
  <si>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</si>
  <si>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</si>
  <si>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</si>
  <si>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</si>
  <si>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</si>
  <si>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</si>
  <si>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</si>
  <si>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</si>
  <si>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</si>
  <si>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</si>
  <si>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</si>
  <si>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</si>
  <si>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</si>
  <si>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Year(s) Requested for Disposition</t>
  </si>
  <si>
    <t xml:space="preserve">Non-RPP Class B Including Loss Adjusted Billed Consumption </t>
  </si>
  <si>
    <t xml:space="preserve">Deduct Previous Month Unbilled Loss Adjusted Consumption </t>
  </si>
  <si>
    <t>January - Non-interval metered</t>
  </si>
  <si>
    <t>January - Total</t>
  </si>
  <si>
    <t>Non-RPP Class B Including Loss Adjusted Consumption, Adjusted for Unbilled</t>
  </si>
  <si>
    <t>February - Interval metered</t>
  </si>
  <si>
    <t>February - Non-interval metered</t>
  </si>
  <si>
    <t>February - Total</t>
  </si>
  <si>
    <t>March - Interval metered</t>
  </si>
  <si>
    <t>March - Non-interval metered</t>
  </si>
  <si>
    <t>March - Total</t>
  </si>
  <si>
    <t>April - Non-interval metered</t>
  </si>
  <si>
    <t>April - Total</t>
  </si>
  <si>
    <t>April - Interval metered</t>
  </si>
  <si>
    <t>May - Interval metered</t>
  </si>
  <si>
    <t>May - Non-interval metered</t>
  </si>
  <si>
    <t>May - Total</t>
  </si>
  <si>
    <t>June - Interval metered</t>
  </si>
  <si>
    <t>June - Non-interval metered</t>
  </si>
  <si>
    <t>June - Total</t>
  </si>
  <si>
    <t>July - Interval metered</t>
  </si>
  <si>
    <t>July - Non-interval metered</t>
  </si>
  <si>
    <t>July - Total</t>
  </si>
  <si>
    <t>August - Interval metered</t>
  </si>
  <si>
    <t>August - Non-interval metered</t>
  </si>
  <si>
    <t>August - Total</t>
  </si>
  <si>
    <t>Sept - Interval metered</t>
  </si>
  <si>
    <t>Sept - Non-interval metered</t>
  </si>
  <si>
    <t>Sept - Total</t>
  </si>
  <si>
    <t>October - Interval metered</t>
  </si>
  <si>
    <t>October - Non-interval metered</t>
  </si>
  <si>
    <t>October - Total</t>
  </si>
  <si>
    <t>November - Interval metered</t>
  </si>
  <si>
    <t>November - Non-interval metered</t>
  </si>
  <si>
    <t>November - Total</t>
  </si>
  <si>
    <t>December - Interval metered</t>
  </si>
  <si>
    <t>December - Non-interval metered</t>
  </si>
  <si>
    <t>December - Total</t>
  </si>
  <si>
    <t>GA Rate to be Billed for Month ($/kWh)</t>
  </si>
  <si>
    <t>1st Estimate</t>
  </si>
  <si>
    <t>Non-interval</t>
  </si>
  <si>
    <t>Interval metered</t>
  </si>
  <si>
    <t>Non-interval metered</t>
  </si>
  <si>
    <t>January - Interval metered</t>
  </si>
  <si>
    <t>2016 year - Total</t>
  </si>
  <si>
    <t>2016 total - Interval metered</t>
  </si>
  <si>
    <t>2016 total - Non-Interval metered</t>
  </si>
  <si>
    <t>Materiality amount ±</t>
  </si>
  <si>
    <t>N</t>
  </si>
  <si>
    <t>Y</t>
  </si>
  <si>
    <t>See 2016 Summary tab</t>
  </si>
  <si>
    <t>PowerStream books non-RPP GA revenues and costs separately from RPP so no impact. Cost was recorded based on actual rate from IESO invoice at both Dec 31/15 and Dec 31/16.</t>
  </si>
  <si>
    <r>
      <t xml:space="preserve">Materiality amount </t>
    </r>
    <r>
      <rPr>
        <sz val="11"/>
        <color theme="1"/>
        <rFont val="Calibri"/>
        <family val="2"/>
      </rPr>
      <t>±</t>
    </r>
  </si>
  <si>
    <t>See 2015 Summary tab</t>
  </si>
  <si>
    <t>PowerStream books non-RPP GA revenues and costs separately from RPP so no impact. Cost was recorded based on actual rate from IESO invoice at both Dec 31/14 and Dec 31/15.</t>
  </si>
  <si>
    <t>PowerStream books non-RPP GA revenues and costs separately from RPP so no impact. Cost was recorded based on actual rate from IESO invoice at both Dec 31/14and Dec 31/15.</t>
  </si>
  <si>
    <t xml:space="preserve">Total calculated costs using published rates compared to the actual IESO costs </t>
  </si>
  <si>
    <t>2015 and 2016</t>
  </si>
  <si>
    <t>Actual Non RPP Class B GL costs are greater than the GA Calculated workform amount . See 2015 Summary tab.</t>
  </si>
  <si>
    <t>Actual Recorded IESO GA costs are less than the calcuated GA costs per worksheet above. See 2016 Summary tab.</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</si>
</sst>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quot;$&quot;* #,##0.00_-;_-&quot;$&quot;* &quot;-&quot;??_-;_-@_-"/>
    <numFmt numFmtId="43" formatCode="_-* #,##0.00_-;\-* #,##0.00_-;_-* &quot;-&quot;??_-;_-@_-"/>
    <numFmt numFmtId="164" formatCode="&quot;$&quot;#,##0_);\(&quot;$&quot;#,##0\)"/>
    <numFmt numFmtId="166" formatCode="0.0%"/>
    <numFmt numFmtId="167" formatCode="_-&quot;$&quot;* #,##0_-;\-&quot;$&quot;* #,##0_-;_-&quot;$&quot;* &quot;-&quot;??_-;_-@_-"/>
    <numFmt numFmtId="168" formatCode="0.00000"/>
    <numFmt numFmtId="169" formatCode="_-* #,##0_-;\-* #,##0_-;_-* &quot;-&quot;??_-;_-@_-"/>
    <numFmt numFmtId="170" formatCode="_-&quot;$&quot;* #,##0.00000_-;\-&quot;$&quot;* #,##0.00000_-;_-&quot;$&quot;* &quot;-&quot;??_-;_-@_-"/>
    <numFmt numFmtId="171" formatCode="&quot;$&quot;#,##0;\(&quot;$&quot;#,##0\)"/>
    <numFmt numFmtId="172" formatCode="_-* #,##0.00000_-;\-* #,##0.00000_-;_-* &quot;-&quot;??_-;_-@_-"/>
    <numFmt numFmtId="173" formatCode="_-* #,##0.000000_-;\-* #,##0.000000_-;_-* &quot;-&quot;??_-;_-@_-"/>
    <numFmt numFmtId="174" formatCode="_(* #,##0_);_(* \(#,##0\);_(* &quot;-&quot;??_);_(@_)"/>
    <numFmt numFmtId="175" formatCode="&quot;$&quot;#,##0"/>
    <numFmt numFmtId="177" formatCode="_(&quot;$&quot;* #,##0_);_(&quot;$&quot;* \(#,##0\);_(&quot;$&quot;*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
      <b/>
      <sz val="10"/>
      <color theme="1"/>
      <name val="Arial Narrow"/>
      <family val="2"/>
    </font>
    <font>
      <b/>
      <sz val="10"/>
      <name val="Arial Narrow"/>
      <family val="2"/>
    </font>
    <font>
      <sz val="11"/>
      <color theme="1"/>
      <name val="Calibri"/>
      <family val="2"/>
    </font>
    <font>
      <sz val="1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s>
  <cellStyleXfs count="9">
    <xf numFmtId="0" fontId="0" fillId="0" borderId="0"/>
    <xf numFmtId="44" fontId="1" fillId="0" borderId="0" applyFont="0" applyFill="0" applyBorder="0" applyAlignment="0" applyProtection="0"/>
    <xf numFmtId="0" fontId="5" fillId="0" borderId="0"/>
    <xf numFmtId="9" fontId="5"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21" fillId="0" borderId="0"/>
    <xf numFmtId="43" fontId="21" fillId="0" borderId="0" applyFont="0" applyFill="0" applyBorder="0" applyAlignment="0" applyProtection="0"/>
    <xf numFmtId="9" fontId="21" fillId="0" borderId="0" applyFont="0" applyFill="0" applyBorder="0" applyAlignment="0" applyProtection="0"/>
  </cellStyleXfs>
  <cellXfs count="212">
    <xf numFmtId="0" fontId="0" fillId="0" borderId="0" xfId="0"/>
    <xf numFmtId="0" fontId="2" fillId="0" borderId="0" xfId="0" applyFont="1"/>
    <xf numFmtId="0" fontId="3" fillId="0" borderId="0" xfId="0" applyFont="1"/>
    <xf numFmtId="0" fontId="4" fillId="0" borderId="0" xfId="0" applyFont="1"/>
    <xf numFmtId="0" fontId="7" fillId="0" borderId="0" xfId="0" applyFont="1"/>
    <xf numFmtId="0" fontId="7" fillId="0" borderId="2" xfId="0" applyFont="1" applyBorder="1" applyAlignment="1">
      <alignment horizontal="left" vertical="center"/>
    </xf>
    <xf numFmtId="0" fontId="7" fillId="0" borderId="2" xfId="0" applyFont="1" applyBorder="1" applyAlignment="1">
      <alignment horizontal="center" vertical="center"/>
    </xf>
    <xf numFmtId="9" fontId="7" fillId="0" borderId="2" xfId="3" applyFont="1" applyBorder="1" applyAlignment="1">
      <alignment horizontal="right" vertical="center"/>
    </xf>
    <xf numFmtId="166" fontId="7" fillId="0" borderId="2" xfId="3" applyNumberFormat="1" applyFont="1" applyBorder="1" applyAlignment="1">
      <alignment horizontal="right" vertical="center"/>
    </xf>
    <xf numFmtId="0" fontId="3" fillId="0" borderId="0" xfId="0" applyFont="1" applyAlignment="1">
      <alignment wrapText="1"/>
    </xf>
    <xf numFmtId="0" fontId="2" fillId="2" borderId="2" xfId="0" applyFont="1" applyFill="1" applyBorder="1"/>
    <xf numFmtId="0" fontId="2" fillId="0" borderId="2" xfId="0" applyFont="1" applyBorder="1"/>
    <xf numFmtId="0" fontId="3" fillId="0" borderId="4" xfId="0" applyFont="1" applyBorder="1" applyAlignment="1">
      <alignment horizontal="center" wrapText="1"/>
    </xf>
    <xf numFmtId="0" fontId="2" fillId="0" borderId="7" xfId="0" applyFont="1" applyBorder="1"/>
    <xf numFmtId="0" fontId="3" fillId="0" borderId="2" xfId="0" applyFont="1" applyBorder="1" applyAlignment="1">
      <alignment horizontal="center"/>
    </xf>
    <xf numFmtId="0" fontId="6" fillId="0" borderId="0" xfId="0" applyFont="1" applyFill="1" applyBorder="1" applyAlignment="1">
      <alignment horizontal="left" vertical="center"/>
    </xf>
    <xf numFmtId="167" fontId="2" fillId="0" borderId="2" xfId="1" applyNumberFormat="1" applyFont="1" applyFill="1" applyBorder="1"/>
    <xf numFmtId="167" fontId="2" fillId="0" borderId="2" xfId="1" applyNumberFormat="1" applyFont="1" applyBorder="1"/>
    <xf numFmtId="0" fontId="2" fillId="2" borderId="3" xfId="0" applyFont="1" applyFill="1" applyBorder="1"/>
    <xf numFmtId="0" fontId="3" fillId="0" borderId="2" xfId="0" applyFont="1" applyBorder="1" applyAlignment="1">
      <alignment wrapText="1"/>
    </xf>
    <xf numFmtId="168" fontId="2" fillId="0" borderId="2" xfId="0" applyNumberFormat="1" applyFont="1" applyBorder="1" applyAlignment="1">
      <alignment wrapText="1"/>
    </xf>
    <xf numFmtId="168" fontId="2" fillId="0" borderId="2" xfId="0" applyNumberFormat="1" applyFont="1" applyBorder="1"/>
    <xf numFmtId="0" fontId="6" fillId="0" borderId="0" xfId="0" applyFont="1" applyBorder="1" applyAlignment="1">
      <alignment vertical="center"/>
    </xf>
    <xf numFmtId="0" fontId="8" fillId="0" borderId="0" xfId="0" applyFont="1" applyBorder="1" applyAlignment="1">
      <alignment vertical="center"/>
    </xf>
    <xf numFmtId="0" fontId="6" fillId="2" borderId="2" xfId="0" applyFont="1" applyFill="1" applyBorder="1" applyAlignment="1">
      <alignment horizontal="left" vertical="center"/>
    </xf>
    <xf numFmtId="0" fontId="6" fillId="2" borderId="2" xfId="0" applyFont="1" applyFill="1" applyBorder="1" applyAlignment="1">
      <alignment horizontal="center" vertical="center"/>
    </xf>
    <xf numFmtId="167" fontId="2" fillId="2" borderId="0" xfId="1" applyNumberFormat="1" applyFont="1" applyFill="1"/>
    <xf numFmtId="44" fontId="2" fillId="0" borderId="0" xfId="1" applyFont="1"/>
    <xf numFmtId="0" fontId="2" fillId="0" borderId="3" xfId="0" applyFont="1" applyBorder="1"/>
    <xf numFmtId="168" fontId="2" fillId="0" borderId="3" xfId="0" applyNumberFormat="1" applyFont="1" applyBorder="1"/>
    <xf numFmtId="0" fontId="2" fillId="0" borderId="0" xfId="0" applyFont="1" applyBorder="1"/>
    <xf numFmtId="168" fontId="2" fillId="0" borderId="0" xfId="0" applyNumberFormat="1" applyFont="1" applyBorder="1"/>
    <xf numFmtId="0" fontId="2" fillId="0" borderId="10" xfId="0" applyFont="1" applyBorder="1"/>
    <xf numFmtId="168" fontId="2" fillId="0" borderId="10" xfId="0" applyNumberFormat="1" applyFont="1" applyBorder="1"/>
    <xf numFmtId="0" fontId="3" fillId="0" borderId="0" xfId="0" applyFont="1" applyFill="1" applyBorder="1" applyAlignment="1"/>
    <xf numFmtId="9" fontId="2" fillId="0" borderId="0" xfId="4" applyFont="1" applyBorder="1"/>
    <xf numFmtId="0" fontId="2" fillId="0" borderId="0" xfId="0" applyFont="1" applyFill="1"/>
    <xf numFmtId="0" fontId="3" fillId="0" borderId="0" xfId="0" applyFont="1" applyFill="1" applyBorder="1" applyAlignment="1">
      <alignment wrapText="1"/>
    </xf>
    <xf numFmtId="0" fontId="10" fillId="0" borderId="0" xfId="0" applyFont="1"/>
    <xf numFmtId="0" fontId="10" fillId="0" borderId="0" xfId="0" applyFont="1" applyAlignment="1">
      <alignment wrapText="1"/>
    </xf>
    <xf numFmtId="0" fontId="10" fillId="0" borderId="0" xfId="0" applyFont="1" applyAlignment="1">
      <alignment vertical="top"/>
    </xf>
    <xf numFmtId="0" fontId="9" fillId="0" borderId="0" xfId="0" applyFont="1" applyAlignment="1">
      <alignment vertical="top"/>
    </xf>
    <xf numFmtId="0" fontId="11" fillId="0" borderId="0" xfId="0" applyFont="1" applyAlignment="1">
      <alignment vertical="top"/>
    </xf>
    <xf numFmtId="0" fontId="10" fillId="0" borderId="0" xfId="0" applyFont="1" applyFill="1" applyAlignment="1"/>
    <xf numFmtId="0" fontId="2" fillId="2" borderId="2" xfId="0" applyFont="1" applyFill="1" applyBorder="1" applyAlignment="1">
      <alignment wrapText="1"/>
    </xf>
    <xf numFmtId="0" fontId="8" fillId="0" borderId="0" xfId="0" applyFont="1"/>
    <xf numFmtId="0" fontId="7" fillId="2" borderId="2" xfId="0" applyFont="1" applyFill="1" applyBorder="1" applyAlignment="1">
      <alignment wrapText="1"/>
    </xf>
    <xf numFmtId="0" fontId="6" fillId="0" borderId="2" xfId="0" applyFont="1" applyBorder="1" applyAlignment="1">
      <alignment horizontal="center" wrapText="1"/>
    </xf>
    <xf numFmtId="0" fontId="7" fillId="0" borderId="2" xfId="0" applyFont="1" applyFill="1" applyBorder="1" applyAlignment="1">
      <alignment wrapText="1"/>
    </xf>
    <xf numFmtId="169" fontId="2" fillId="0" borderId="2" xfId="5" applyNumberFormat="1" applyFont="1" applyFill="1" applyBorder="1"/>
    <xf numFmtId="0" fontId="2" fillId="3" borderId="2" xfId="0" applyFont="1" applyFill="1" applyBorder="1"/>
    <xf numFmtId="0" fontId="2" fillId="0" borderId="0" xfId="0" applyFont="1" applyFill="1" applyBorder="1" applyAlignment="1">
      <alignment wrapText="1"/>
    </xf>
    <xf numFmtId="0" fontId="2" fillId="0" borderId="2" xfId="0" applyFont="1" applyBorder="1" applyAlignment="1">
      <alignment horizontal="right"/>
    </xf>
    <xf numFmtId="0" fontId="6" fillId="3" borderId="2" xfId="0" applyFont="1" applyFill="1" applyBorder="1" applyAlignment="1">
      <alignment horizontal="left" vertical="center"/>
    </xf>
    <xf numFmtId="44" fontId="2" fillId="0" borderId="0" xfId="1" applyFont="1" applyBorder="1"/>
    <xf numFmtId="0" fontId="13" fillId="0" borderId="0" xfId="0" applyFont="1"/>
    <xf numFmtId="0" fontId="13" fillId="0" borderId="0" xfId="0" applyFont="1" applyAlignment="1">
      <alignment horizontal="right"/>
    </xf>
    <xf numFmtId="0" fontId="14" fillId="0" borderId="0" xfId="0" applyFont="1" applyBorder="1"/>
    <xf numFmtId="44" fontId="12" fillId="0" borderId="0" xfId="1" applyFont="1" applyBorder="1"/>
    <xf numFmtId="9" fontId="12" fillId="0" borderId="0" xfId="4" applyFont="1" applyBorder="1"/>
    <xf numFmtId="169" fontId="2" fillId="2" borderId="2" xfId="5" applyNumberFormat="1" applyFont="1" applyFill="1" applyBorder="1"/>
    <xf numFmtId="166" fontId="2" fillId="0" borderId="19" xfId="4" applyNumberFormat="1" applyFont="1" applyBorder="1"/>
    <xf numFmtId="0" fontId="6" fillId="0" borderId="2" xfId="0" applyFont="1" applyBorder="1" applyAlignment="1">
      <alignment horizontal="center"/>
    </xf>
    <xf numFmtId="0" fontId="10" fillId="0" borderId="0" xfId="0" applyFont="1" applyAlignment="1">
      <alignment horizontal="left" wrapText="1"/>
    </xf>
    <xf numFmtId="0" fontId="6" fillId="0" borderId="16" xfId="0" applyFont="1" applyBorder="1" applyAlignment="1">
      <alignment horizontal="center" wrapText="1"/>
    </xf>
    <xf numFmtId="0" fontId="6" fillId="0" borderId="5" xfId="0" applyFont="1" applyBorder="1" applyAlignment="1">
      <alignment horizontal="center" wrapText="1"/>
    </xf>
    <xf numFmtId="0" fontId="6" fillId="0" borderId="5" xfId="0" quotePrefix="1" applyFont="1" applyBorder="1" applyAlignment="1">
      <alignment horizontal="center" wrapText="1"/>
    </xf>
    <xf numFmtId="0" fontId="6" fillId="0" borderId="6" xfId="0" quotePrefix="1" applyFont="1" applyBorder="1" applyAlignment="1">
      <alignment horizontal="center" wrapText="1"/>
    </xf>
    <xf numFmtId="9" fontId="13" fillId="0" borderId="10" xfId="4" applyFont="1" applyBorder="1"/>
    <xf numFmtId="9" fontId="13" fillId="0" borderId="0" xfId="4" applyFont="1" applyBorder="1"/>
    <xf numFmtId="0" fontId="7" fillId="0" borderId="0" xfId="0" applyFont="1" applyAlignment="1">
      <alignment horizontal="right"/>
    </xf>
    <xf numFmtId="0" fontId="6" fillId="0" borderId="13" xfId="0" applyFont="1" applyBorder="1"/>
    <xf numFmtId="0" fontId="7" fillId="0" borderId="2" xfId="0" applyFont="1" applyFill="1" applyBorder="1" applyAlignment="1">
      <alignment horizontal="right"/>
    </xf>
    <xf numFmtId="0" fontId="6" fillId="0" borderId="0" xfId="0" applyFont="1"/>
    <xf numFmtId="0" fontId="6" fillId="0" borderId="0" xfId="0" applyFont="1" applyAlignment="1">
      <alignment wrapText="1"/>
    </xf>
    <xf numFmtId="0" fontId="8" fillId="0" borderId="0" xfId="0" applyFont="1" applyBorder="1"/>
    <xf numFmtId="9" fontId="6" fillId="0" borderId="2" xfId="4" applyFont="1" applyBorder="1" applyAlignment="1">
      <alignment horizontal="center" wrapText="1"/>
    </xf>
    <xf numFmtId="0" fontId="6" fillId="0" borderId="2" xfId="0" applyFont="1" applyBorder="1"/>
    <xf numFmtId="0" fontId="3" fillId="0" borderId="2" xfId="0" applyFont="1" applyBorder="1" applyAlignment="1">
      <alignment horizontal="center" wrapText="1"/>
    </xf>
    <xf numFmtId="44" fontId="6" fillId="0" borderId="12" xfId="1" applyFont="1" applyBorder="1"/>
    <xf numFmtId="44" fontId="6" fillId="0" borderId="12" xfId="1" applyFont="1" applyBorder="1" applyAlignment="1">
      <alignment horizontal="center"/>
    </xf>
    <xf numFmtId="0" fontId="7" fillId="0" borderId="0" xfId="0" applyFont="1" applyFill="1"/>
    <xf numFmtId="0" fontId="7" fillId="0" borderId="17" xfId="0" applyFont="1" applyFill="1" applyBorder="1" applyAlignment="1"/>
    <xf numFmtId="0" fontId="10" fillId="0" borderId="0" xfId="0" applyFont="1" applyAlignment="1">
      <alignment horizontal="center"/>
    </xf>
    <xf numFmtId="0" fontId="10" fillId="0" borderId="0" xfId="0" applyFont="1" applyAlignment="1"/>
    <xf numFmtId="0" fontId="5" fillId="0" borderId="0" xfId="0" applyFont="1" applyAlignment="1">
      <alignment horizontal="center"/>
    </xf>
    <xf numFmtId="0" fontId="15" fillId="0" borderId="0" xfId="0" applyFont="1" applyAlignment="1">
      <alignment horizontal="left" vertical="center"/>
    </xf>
    <xf numFmtId="0" fontId="5" fillId="0" borderId="0" xfId="0" applyFont="1" applyAlignment="1">
      <alignment horizontal="left"/>
    </xf>
    <xf numFmtId="0" fontId="10" fillId="0" borderId="0" xfId="0" applyFont="1" applyAlignment="1">
      <alignment horizontal="right"/>
    </xf>
    <xf numFmtId="0" fontId="17" fillId="0" borderId="0" xfId="0" applyFont="1" applyAlignment="1"/>
    <xf numFmtId="0" fontId="10" fillId="0" borderId="0" xfId="0" applyFont="1" applyAlignment="1">
      <alignment horizontal="left"/>
    </xf>
    <xf numFmtId="0" fontId="16" fillId="0" borderId="0" xfId="0" applyFont="1" applyAlignment="1">
      <alignment horizontal="left"/>
    </xf>
    <xf numFmtId="0" fontId="10" fillId="0" borderId="0" xfId="0" applyFont="1" applyAlignment="1">
      <alignment horizontal="left" wrapText="1"/>
    </xf>
    <xf numFmtId="0" fontId="17" fillId="0" borderId="0" xfId="0" applyFont="1" applyAlignment="1">
      <alignment vertical="top" wrapText="1"/>
    </xf>
    <xf numFmtId="0" fontId="17" fillId="0" borderId="0" xfId="0" applyFont="1" applyAlignment="1">
      <alignment vertical="top"/>
    </xf>
    <xf numFmtId="0" fontId="10" fillId="0" borderId="0" xfId="0" applyFont="1" applyAlignment="1">
      <alignment horizontal="right" vertical="top" wrapText="1"/>
    </xf>
    <xf numFmtId="0" fontId="10" fillId="0" borderId="0" xfId="0" applyFont="1" applyAlignment="1">
      <alignment horizontal="right" vertical="top"/>
    </xf>
    <xf numFmtId="169" fontId="2" fillId="2" borderId="1" xfId="5" applyNumberFormat="1" applyFont="1" applyFill="1" applyBorder="1"/>
    <xf numFmtId="169" fontId="2" fillId="2" borderId="3" xfId="5" applyNumberFormat="1" applyFont="1" applyFill="1" applyBorder="1"/>
    <xf numFmtId="169" fontId="2" fillId="2" borderId="11" xfId="5" applyNumberFormat="1" applyFont="1" applyFill="1" applyBorder="1"/>
    <xf numFmtId="0" fontId="3" fillId="2" borderId="3" xfId="0" applyFont="1" applyFill="1" applyBorder="1" applyAlignment="1">
      <alignment horizontal="center"/>
    </xf>
    <xf numFmtId="167" fontId="2" fillId="2" borderId="2" xfId="1" applyNumberFormat="1" applyFont="1" applyFill="1" applyBorder="1"/>
    <xf numFmtId="167" fontId="2" fillId="0" borderId="0" xfId="1" applyNumberFormat="1" applyFont="1"/>
    <xf numFmtId="167" fontId="2" fillId="0" borderId="10" xfId="1" applyNumberFormat="1" applyFont="1" applyBorder="1"/>
    <xf numFmtId="0" fontId="3" fillId="0" borderId="2" xfId="0" applyFont="1" applyFill="1" applyBorder="1" applyAlignment="1">
      <alignment horizontal="center" wrapText="1"/>
    </xf>
    <xf numFmtId="0" fontId="12" fillId="0" borderId="0" xfId="0" applyFont="1"/>
    <xf numFmtId="166" fontId="7" fillId="0" borderId="2" xfId="4" applyNumberFormat="1" applyFont="1" applyFill="1" applyBorder="1"/>
    <xf numFmtId="0" fontId="7" fillId="2" borderId="2" xfId="0" applyFont="1" applyFill="1" applyBorder="1"/>
    <xf numFmtId="166" fontId="7" fillId="0" borderId="14" xfId="4" applyNumberFormat="1" applyFont="1" applyFill="1" applyBorder="1"/>
    <xf numFmtId="167" fontId="7" fillId="2" borderId="2" xfId="1" applyNumberFormat="1" applyFont="1" applyFill="1" applyBorder="1" applyAlignment="1">
      <alignment wrapText="1"/>
    </xf>
    <xf numFmtId="167" fontId="7" fillId="2" borderId="2" xfId="1" applyNumberFormat="1" applyFont="1" applyFill="1" applyBorder="1"/>
    <xf numFmtId="167" fontId="7" fillId="0" borderId="2" xfId="1" applyNumberFormat="1" applyFont="1" applyFill="1" applyBorder="1"/>
    <xf numFmtId="167" fontId="7" fillId="2" borderId="14" xfId="1" applyNumberFormat="1" applyFont="1" applyFill="1" applyBorder="1"/>
    <xf numFmtId="167" fontId="7" fillId="0" borderId="14" xfId="1" applyNumberFormat="1" applyFont="1" applyFill="1" applyBorder="1"/>
    <xf numFmtId="169" fontId="7" fillId="0" borderId="14" xfId="5" applyNumberFormat="1" applyFont="1" applyFill="1" applyBorder="1" applyAlignment="1">
      <alignment horizontal="center" vertical="center"/>
    </xf>
    <xf numFmtId="169" fontId="7" fillId="2" borderId="20" xfId="5" applyNumberFormat="1" applyFont="1" applyFill="1" applyBorder="1" applyAlignment="1">
      <alignment horizontal="center" vertical="center"/>
    </xf>
    <xf numFmtId="169" fontId="7" fillId="2" borderId="2" xfId="5" applyNumberFormat="1" applyFont="1" applyFill="1" applyBorder="1" applyAlignment="1">
      <alignment horizontal="center" vertical="center"/>
    </xf>
    <xf numFmtId="0" fontId="3" fillId="0" borderId="2" xfId="0" applyFont="1" applyBorder="1" applyAlignment="1">
      <alignment horizontal="center"/>
    </xf>
    <xf numFmtId="0" fontId="2" fillId="3" borderId="0" xfId="0" applyFont="1" applyFill="1" applyBorder="1"/>
    <xf numFmtId="0" fontId="3" fillId="0" borderId="7" xfId="0" applyFont="1" applyBorder="1"/>
    <xf numFmtId="169" fontId="3" fillId="0" borderId="1" xfId="5" applyNumberFormat="1" applyFont="1" applyFill="1" applyBorder="1"/>
    <xf numFmtId="167" fontId="3" fillId="0" borderId="1" xfId="1" applyNumberFormat="1" applyFont="1" applyFill="1" applyBorder="1"/>
    <xf numFmtId="0" fontId="18" fillId="0" borderId="15" xfId="0" applyFont="1" applyBorder="1" applyAlignment="1">
      <alignment wrapText="1"/>
    </xf>
    <xf numFmtId="0" fontId="19" fillId="0" borderId="12" xfId="0" applyFont="1" applyBorder="1" applyAlignment="1">
      <alignment horizontal="center" wrapText="1"/>
    </xf>
    <xf numFmtId="0" fontId="18" fillId="0" borderId="12" xfId="0" applyFont="1" applyBorder="1" applyAlignment="1">
      <alignment horizontal="center" wrapText="1"/>
    </xf>
    <xf numFmtId="0" fontId="6" fillId="0" borderId="21" xfId="0" applyFont="1" applyBorder="1" applyAlignment="1">
      <alignment horizontal="center" wrapText="1"/>
    </xf>
    <xf numFmtId="170" fontId="2" fillId="2" borderId="2" xfId="0" applyNumberFormat="1" applyFont="1" applyFill="1" applyBorder="1"/>
    <xf numFmtId="0" fontId="19" fillId="0" borderId="22" xfId="0" applyFont="1" applyBorder="1" applyAlignment="1">
      <alignment horizontal="center" wrapText="1"/>
    </xf>
    <xf numFmtId="171" fontId="2" fillId="0" borderId="0" xfId="0" applyNumberFormat="1" applyFont="1"/>
    <xf numFmtId="0" fontId="3" fillId="0" borderId="2" xfId="0" applyFont="1" applyBorder="1" applyAlignment="1">
      <alignment horizontal="center"/>
    </xf>
    <xf numFmtId="0" fontId="6" fillId="0" borderId="2" xfId="0" applyFont="1" applyBorder="1" applyAlignment="1">
      <alignment horizontal="center"/>
    </xf>
    <xf numFmtId="0" fontId="2" fillId="0" borderId="0" xfId="0" applyFont="1" applyAlignment="1">
      <alignment horizontal="right"/>
    </xf>
    <xf numFmtId="167" fontId="2" fillId="0" borderId="11" xfId="1" applyNumberFormat="1" applyFont="1" applyFill="1" applyBorder="1"/>
    <xf numFmtId="171" fontId="2" fillId="0" borderId="0" xfId="1" applyNumberFormat="1" applyFont="1"/>
    <xf numFmtId="174" fontId="5" fillId="0" borderId="0" xfId="5" applyNumberFormat="1" applyFont="1" applyFill="1" applyBorder="1"/>
    <xf numFmtId="0" fontId="7" fillId="0" borderId="0" xfId="0" applyFont="1" applyFill="1" applyBorder="1"/>
    <xf numFmtId="9" fontId="0" fillId="0" borderId="0" xfId="0" applyNumberFormat="1" applyFont="1"/>
    <xf numFmtId="167" fontId="1" fillId="0" borderId="0" xfId="1" applyNumberFormat="1" applyFont="1" applyAlignment="1">
      <alignment horizontal="right"/>
    </xf>
    <xf numFmtId="9" fontId="20" fillId="0" borderId="0" xfId="4" applyFont="1" applyBorder="1"/>
    <xf numFmtId="0" fontId="2" fillId="2" borderId="2" xfId="0" applyFont="1" applyFill="1" applyBorder="1" applyAlignment="1">
      <alignment horizontal="center" vertical="center"/>
    </xf>
    <xf numFmtId="171" fontId="2" fillId="2" borderId="2" xfId="1" applyNumberFormat="1" applyFont="1" applyFill="1" applyBorder="1"/>
    <xf numFmtId="171" fontId="2" fillId="0" borderId="10" xfId="1" applyNumberFormat="1" applyFont="1" applyBorder="1"/>
    <xf numFmtId="168" fontId="2" fillId="2" borderId="2" xfId="0" applyNumberFormat="1" applyFont="1" applyFill="1" applyBorder="1"/>
    <xf numFmtId="168" fontId="2" fillId="2" borderId="2" xfId="1" applyNumberFormat="1" applyFont="1" applyFill="1" applyBorder="1"/>
    <xf numFmtId="168" fontId="2" fillId="2" borderId="3" xfId="0" applyNumberFormat="1" applyFont="1" applyFill="1" applyBorder="1"/>
    <xf numFmtId="171" fontId="2" fillId="0" borderId="0" xfId="0" applyNumberFormat="1" applyFont="1" applyBorder="1"/>
    <xf numFmtId="9" fontId="7" fillId="0" borderId="0" xfId="4" applyFont="1" applyAlignment="1">
      <alignment horizontal="right"/>
    </xf>
    <xf numFmtId="167" fontId="7" fillId="0" borderId="0" xfId="1" applyNumberFormat="1" applyFont="1" applyAlignment="1">
      <alignment horizontal="right"/>
    </xf>
    <xf numFmtId="167" fontId="2" fillId="4" borderId="8" xfId="1" applyNumberFormat="1" applyFont="1" applyFill="1" applyBorder="1"/>
    <xf numFmtId="175" fontId="2" fillId="2" borderId="2" xfId="1" applyNumberFormat="1" applyFont="1" applyFill="1" applyBorder="1"/>
    <xf numFmtId="164" fontId="2" fillId="2" borderId="2" xfId="1" applyNumberFormat="1" applyFont="1" applyFill="1" applyBorder="1"/>
    <xf numFmtId="0" fontId="2" fillId="2" borderId="9" xfId="0" applyFont="1" applyFill="1" applyBorder="1" applyAlignment="1">
      <alignment horizontal="center" vertical="center"/>
    </xf>
    <xf numFmtId="0" fontId="3" fillId="0" borderId="0" xfId="0" applyFont="1" applyBorder="1" applyAlignment="1">
      <alignment horizontal="center" wrapText="1"/>
    </xf>
    <xf numFmtId="171" fontId="3" fillId="0" borderId="0" xfId="0" applyNumberFormat="1" applyFont="1" applyBorder="1" applyAlignment="1">
      <alignment wrapText="1"/>
    </xf>
    <xf numFmtId="171" fontId="3" fillId="0" borderId="0" xfId="0" applyNumberFormat="1" applyFont="1" applyBorder="1" applyAlignment="1">
      <alignment horizontal="center" wrapText="1"/>
    </xf>
    <xf numFmtId="169" fontId="3" fillId="0" borderId="0" xfId="5" applyNumberFormat="1" applyFont="1" applyBorder="1"/>
    <xf numFmtId="171" fontId="3" fillId="0" borderId="0" xfId="0" applyNumberFormat="1" applyFont="1" applyBorder="1"/>
    <xf numFmtId="171" fontId="5" fillId="0" borderId="0" xfId="5" applyNumberFormat="1" applyFont="1" applyFill="1" applyBorder="1"/>
    <xf numFmtId="0" fontId="3" fillId="0" borderId="23" xfId="0" applyFont="1" applyBorder="1" applyAlignment="1">
      <alignment horizontal="center" wrapText="1"/>
    </xf>
    <xf numFmtId="171" fontId="3" fillId="0" borderId="23" xfId="0" applyNumberFormat="1" applyFont="1" applyBorder="1" applyAlignment="1">
      <alignment wrapText="1"/>
    </xf>
    <xf numFmtId="177" fontId="2" fillId="2" borderId="2" xfId="1" applyNumberFormat="1" applyFont="1" applyFill="1" applyBorder="1"/>
    <xf numFmtId="0" fontId="0" fillId="0" borderId="0" xfId="0" applyFill="1" applyBorder="1"/>
    <xf numFmtId="0" fontId="0" fillId="0" borderId="0" xfId="0" applyFill="1" applyBorder="1" applyAlignment="1">
      <alignment horizontal="center" vertical="center" wrapText="1"/>
    </xf>
    <xf numFmtId="0" fontId="7" fillId="0" borderId="0" xfId="0" applyFont="1" applyFill="1" applyBorder="1" applyAlignment="1">
      <alignment vertical="center" wrapText="1"/>
    </xf>
    <xf numFmtId="0" fontId="2" fillId="0" borderId="0" xfId="0" applyFont="1" applyFill="1" applyBorder="1"/>
    <xf numFmtId="169" fontId="3" fillId="2" borderId="1" xfId="5" applyNumberFormat="1" applyFont="1" applyFill="1" applyBorder="1"/>
    <xf numFmtId="172" fontId="2" fillId="2" borderId="2" xfId="5" applyNumberFormat="1" applyFont="1" applyFill="1" applyBorder="1"/>
    <xf numFmtId="173" fontId="2" fillId="2" borderId="3" xfId="0" applyNumberFormat="1" applyFont="1" applyFill="1" applyBorder="1"/>
    <xf numFmtId="167" fontId="3" fillId="0" borderId="26" xfId="1" applyNumberFormat="1" applyFont="1" applyBorder="1"/>
    <xf numFmtId="0" fontId="2" fillId="2" borderId="2" xfId="0" applyFont="1" applyFill="1" applyBorder="1"/>
    <xf numFmtId="167" fontId="2" fillId="0" borderId="26" xfId="1" applyNumberFormat="1" applyFont="1" applyBorder="1"/>
    <xf numFmtId="0" fontId="2" fillId="2" borderId="3" xfId="0" applyFont="1" applyFill="1" applyBorder="1"/>
    <xf numFmtId="9" fontId="13" fillId="0" borderId="0" xfId="4" applyFont="1" applyBorder="1"/>
    <xf numFmtId="167" fontId="2" fillId="0" borderId="26" xfId="1" applyNumberFormat="1" applyFont="1" applyFill="1" applyBorder="1"/>
    <xf numFmtId="169" fontId="3" fillId="0" borderId="14" xfId="5" applyNumberFormat="1" applyFont="1" applyFill="1" applyBorder="1"/>
    <xf numFmtId="167" fontId="3" fillId="0" borderId="14" xfId="1" applyNumberFormat="1" applyFont="1" applyFill="1" applyBorder="1"/>
    <xf numFmtId="0" fontId="3" fillId="0" borderId="14" xfId="0" applyFont="1" applyFill="1" applyBorder="1"/>
    <xf numFmtId="170" fontId="2" fillId="2" borderId="2" xfId="1" applyNumberFormat="1" applyFont="1" applyFill="1" applyBorder="1"/>
    <xf numFmtId="0" fontId="7" fillId="0" borderId="0" xfId="0" applyFont="1" applyFill="1" applyBorder="1" applyAlignment="1">
      <alignment horizontal="center" vertical="center" wrapText="1"/>
    </xf>
    <xf numFmtId="0" fontId="19" fillId="0" borderId="25" xfId="0" applyFont="1" applyBorder="1" applyAlignment="1">
      <alignment horizontal="center" wrapText="1"/>
    </xf>
    <xf numFmtId="167" fontId="2" fillId="2" borderId="0" xfId="1" applyNumberFormat="1" applyFont="1" applyFill="1" applyBorder="1"/>
    <xf numFmtId="0" fontId="3" fillId="0" borderId="13" xfId="0" applyFont="1" applyBorder="1"/>
    <xf numFmtId="0" fontId="2" fillId="0" borderId="14" xfId="0" applyFont="1" applyFill="1" applyBorder="1"/>
    <xf numFmtId="167" fontId="3" fillId="0" borderId="28" xfId="1" applyNumberFormat="1" applyFont="1" applyFill="1" applyBorder="1"/>
    <xf numFmtId="173" fontId="2" fillId="0" borderId="14" xfId="0" applyNumberFormat="1" applyFont="1" applyFill="1" applyBorder="1"/>
    <xf numFmtId="167" fontId="3" fillId="0" borderId="27" xfId="1" applyNumberFormat="1" applyFont="1" applyBorder="1"/>
    <xf numFmtId="0" fontId="3" fillId="0" borderId="23" xfId="0" applyFont="1" applyBorder="1" applyAlignment="1">
      <alignment wrapText="1"/>
    </xf>
    <xf numFmtId="0" fontId="6" fillId="0" borderId="29" xfId="0" applyFont="1" applyBorder="1" applyAlignment="1">
      <alignment horizontal="center" wrapText="1"/>
    </xf>
    <xf numFmtId="0" fontId="6" fillId="0" borderId="24" xfId="0" applyFont="1" applyBorder="1" applyAlignment="1">
      <alignment horizontal="center" wrapText="1"/>
    </xf>
    <xf numFmtId="0" fontId="3" fillId="0" borderId="24" xfId="0" applyFont="1" applyBorder="1" applyAlignment="1">
      <alignment horizontal="center" wrapText="1"/>
    </xf>
    <xf numFmtId="0" fontId="6" fillId="0" borderId="30" xfId="0" applyFont="1" applyBorder="1" applyAlignment="1">
      <alignment horizontal="center" wrapText="1"/>
    </xf>
    <xf numFmtId="0" fontId="18" fillId="0" borderId="31" xfId="0" applyFont="1" applyBorder="1" applyAlignment="1">
      <alignment wrapText="1"/>
    </xf>
    <xf numFmtId="167" fontId="3" fillId="0" borderId="26" xfId="1" applyNumberFormat="1" applyFont="1" applyFill="1" applyBorder="1"/>
    <xf numFmtId="169" fontId="3" fillId="0" borderId="27" xfId="5" applyNumberFormat="1" applyFont="1" applyFill="1" applyBorder="1"/>
    <xf numFmtId="0" fontId="6" fillId="0" borderId="32" xfId="0" applyFont="1" applyBorder="1" applyAlignment="1">
      <alignment horizontal="center" wrapText="1"/>
    </xf>
    <xf numFmtId="0" fontId="6" fillId="0" borderId="12" xfId="0" applyFont="1" applyBorder="1" applyAlignment="1">
      <alignment horizontal="center" wrapText="1"/>
    </xf>
    <xf numFmtId="0" fontId="19" fillId="0" borderId="12" xfId="0" applyFont="1" applyFill="1" applyBorder="1" applyAlignment="1">
      <alignment horizontal="center" wrapText="1"/>
    </xf>
    <xf numFmtId="0" fontId="19" fillId="0" borderId="22" xfId="0" applyFont="1" applyFill="1" applyBorder="1" applyAlignment="1">
      <alignment horizontal="center" wrapText="1"/>
    </xf>
    <xf numFmtId="0" fontId="10" fillId="0" borderId="0" xfId="0" applyFont="1" applyAlignment="1">
      <alignment horizontal="left" wrapText="1"/>
    </xf>
    <xf numFmtId="0" fontId="10" fillId="0" borderId="0" xfId="0" applyFont="1" applyAlignment="1">
      <alignment horizontal="left" vertical="top" wrapText="1"/>
    </xf>
    <xf numFmtId="0" fontId="16" fillId="0" borderId="0" xfId="0" applyFont="1" applyAlignment="1">
      <alignment horizontal="left" wrapText="1"/>
    </xf>
    <xf numFmtId="0" fontId="10" fillId="0" borderId="0" xfId="0" applyFont="1" applyAlignment="1">
      <alignment horizontal="left"/>
    </xf>
    <xf numFmtId="0" fontId="3" fillId="0" borderId="2" xfId="0" applyFont="1" applyBorder="1" applyAlignment="1">
      <alignment horizontal="center"/>
    </xf>
    <xf numFmtId="0" fontId="6" fillId="0" borderId="2" xfId="0" applyFont="1" applyBorder="1" applyAlignment="1">
      <alignment horizontal="left" vertical="center"/>
    </xf>
    <xf numFmtId="0" fontId="2" fillId="0" borderId="9" xfId="0" applyFont="1" applyBorder="1" applyAlignment="1">
      <alignment horizontal="center"/>
    </xf>
    <xf numFmtId="0" fontId="2" fillId="0" borderId="1" xfId="0" applyFont="1" applyBorder="1" applyAlignment="1">
      <alignment horizontal="center"/>
    </xf>
    <xf numFmtId="0" fontId="7" fillId="0" borderId="10" xfId="0" applyFont="1" applyBorder="1" applyAlignment="1">
      <alignment horizontal="left" vertical="center" wrapText="1"/>
    </xf>
    <xf numFmtId="0" fontId="2" fillId="2" borderId="2" xfId="0" applyFont="1" applyFill="1" applyBorder="1" applyAlignment="1">
      <alignment horizontal="left" wrapText="1"/>
    </xf>
    <xf numFmtId="0" fontId="2" fillId="2" borderId="9" xfId="0" applyFont="1" applyFill="1" applyBorder="1" applyAlignment="1">
      <alignment horizontal="left" wrapText="1"/>
    </xf>
    <xf numFmtId="0" fontId="2" fillId="2" borderId="18" xfId="0" applyFont="1" applyFill="1" applyBorder="1" applyAlignment="1">
      <alignment horizontal="left" wrapText="1"/>
    </xf>
    <xf numFmtId="0" fontId="2" fillId="2" borderId="1" xfId="0" applyFont="1" applyFill="1" applyBorder="1" applyAlignment="1">
      <alignment horizontal="left" wrapText="1"/>
    </xf>
    <xf numFmtId="0" fontId="6" fillId="0" borderId="2" xfId="0" applyFont="1" applyBorder="1" applyAlignment="1">
      <alignment horizontal="center"/>
    </xf>
  </cellXfs>
  <cellStyles count="9">
    <cellStyle name="Comma" xfId="5" builtinId="3"/>
    <cellStyle name="Comma 2" xfId="7"/>
    <cellStyle name="Currency" xfId="1" builtinId="4"/>
    <cellStyle name="Normal" xfId="0" builtinId="0"/>
    <cellStyle name="Normal 2" xfId="2"/>
    <cellStyle name="Normal 3" xfId="6"/>
    <cellStyle name="Percent" xfId="4" builtinId="5"/>
    <cellStyle name="Percent 2" xfId="3"/>
    <cellStyle name="Percent 3"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Non-interval metered customers are billed throughout the month and consumption is allocated between months based on the number of days in each month in the billing period. The consumption for each month is billed at the 1st estimate rate for that month.</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mn-lt"/>
              <a:ea typeface="+mn-ea"/>
              <a:cs typeface="+mn-cs"/>
            </a:rPr>
            <a:t>Interval metered customers are billed for the calendar month in the middle of the next month. Consumption is for a single month and the actual GA rate is known at the time of billing and used to bill GA.</a:t>
          </a:r>
        </a:p>
        <a:p>
          <a:endParaRPr lang="en-CA" sz="1100" baseline="0"/>
        </a:p>
        <a:p>
          <a:r>
            <a:rPr lang="en-CA" sz="1100" baseline="0"/>
            <a:t>Limitations of PowerStream's billing system calcualtion of unbilled amounts will lead to significant timing differences between the GA revenue booked in the year versusthat shown in the GA Workform. Please see the attached note for a detailed discussion. </a:t>
          </a:r>
        </a:p>
        <a:p>
          <a:endParaRPr lang="en-CA" sz="1100"/>
        </a:p>
      </xdr:txBody>
    </xdr:sp>
    <xdr:clientData/>
  </xdr:twoCellAnchor>
  <xdr:twoCellAnchor>
    <xdr:from>
      <xdr:col>1</xdr:col>
      <xdr:colOff>38100</xdr:colOff>
      <xdr:row>111</xdr:row>
      <xdr:rowOff>123825</xdr:rowOff>
    </xdr:from>
    <xdr:to>
      <xdr:col>8</xdr:col>
      <xdr:colOff>0</xdr:colOff>
      <xdr:row>123</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3" name="TextBox 2"/>
        <xdr:cNvSpPr txBox="1"/>
      </xdr:nvSpPr>
      <xdr:spPr>
        <a:xfrm>
          <a:off x="552450" y="4371974"/>
          <a:ext cx="163068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t>Non-interval</a:t>
          </a:r>
          <a:r>
            <a:rPr lang="en-CA" sz="1100" baseline="0"/>
            <a:t> metered customers </a:t>
          </a:r>
          <a:r>
            <a:rPr lang="en-CA" sz="1100" baseline="0">
              <a:solidFill>
                <a:schemeClr val="dk1"/>
              </a:solidFill>
              <a:effectLst/>
              <a:latin typeface="+mn-lt"/>
              <a:ea typeface="+mn-ea"/>
              <a:cs typeface="+mn-cs"/>
            </a:rPr>
            <a:t>are billed throughout the month and  consumption is allocated between months </a:t>
          </a:r>
          <a:r>
            <a:rPr lang="en-CA" sz="1100" baseline="0"/>
            <a:t>based  on the number of days in each month in the billing period. The consumption for each month is  billed at the 1st estimate rate for that month.</a:t>
          </a:r>
        </a:p>
        <a:p>
          <a:endParaRPr lang="en-CA" sz="1100" baseline="0"/>
        </a:p>
        <a:p>
          <a:r>
            <a:rPr lang="en-CA" sz="1100" baseline="0"/>
            <a:t>Interval metered customers are billed for the calendar month in the middle of the next month. Consumption is  for a single month and the actual GA rate is known at the time of billing and used to bill GA.</a:t>
          </a:r>
        </a:p>
        <a:p>
          <a:endParaRPr lang="en-CA" sz="1100" baseline="0"/>
        </a:p>
        <a:p>
          <a:r>
            <a:rPr lang="en-CA" sz="1100" baseline="0"/>
            <a:t>Limitations of Powerstream's billing system calculation of unbilled amounts will lead to  significant timing difference between the GA revenue booked in the year versus that shown in the GA workform. Please see the attached note for a detailed discussion.</a:t>
          </a:r>
        </a:p>
      </xdr:txBody>
    </xdr:sp>
    <xdr:clientData/>
  </xdr:twoCellAnchor>
  <xdr:twoCellAnchor>
    <xdr:from>
      <xdr:col>1</xdr:col>
      <xdr:colOff>38100</xdr:colOff>
      <xdr:row>111</xdr:row>
      <xdr:rowOff>123825</xdr:rowOff>
    </xdr:from>
    <xdr:to>
      <xdr:col>8</xdr:col>
      <xdr:colOff>0</xdr:colOff>
      <xdr:row>123</xdr:row>
      <xdr:rowOff>0</xdr:rowOff>
    </xdr:to>
    <xdr:sp macro="" textlink="">
      <xdr:nvSpPr>
        <xdr:cNvPr id="4" name="TextBox 3"/>
        <xdr:cNvSpPr txBox="1"/>
      </xdr:nvSpPr>
      <xdr:spPr>
        <a:xfrm>
          <a:off x="533400" y="27089100"/>
          <a:ext cx="162687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zoomScaleNormal="100" zoomScaleSheetLayoutView="85" workbookViewId="0">
      <selection activeCell="C35" sqref="C35"/>
    </sheetView>
  </sheetViews>
  <sheetFormatPr defaultRowHeight="15" x14ac:dyDescent="0.2"/>
  <cols>
    <col min="1" max="1" width="5.5703125" style="40" customWidth="1"/>
    <col min="2" max="2" width="16.140625" style="83" customWidth="1"/>
    <col min="3" max="3" width="164.5703125" style="38" customWidth="1"/>
    <col min="4" max="16384" width="9.140625" style="38"/>
  </cols>
  <sheetData>
    <row r="1" spans="1:3" ht="15.75" x14ac:dyDescent="0.2">
      <c r="A1" s="41" t="s">
        <v>134</v>
      </c>
    </row>
    <row r="3" spans="1:3" ht="15.75" x14ac:dyDescent="0.2">
      <c r="A3" s="42" t="s">
        <v>32</v>
      </c>
    </row>
    <row r="4" spans="1:3" ht="34.5" customHeight="1" x14ac:dyDescent="0.2">
      <c r="A4" s="198" t="s">
        <v>93</v>
      </c>
      <c r="B4" s="198"/>
      <c r="C4" s="198"/>
    </row>
    <row r="6" spans="1:3" ht="15.75" x14ac:dyDescent="0.2">
      <c r="A6" s="42" t="s">
        <v>52</v>
      </c>
    </row>
    <row r="7" spans="1:3" x14ac:dyDescent="0.2">
      <c r="A7" s="40" t="s">
        <v>53</v>
      </c>
    </row>
    <row r="8" spans="1:3" ht="33" customHeight="1" x14ac:dyDescent="0.2">
      <c r="A8" s="199" t="s">
        <v>94</v>
      </c>
      <c r="B8" s="199"/>
      <c r="C8" s="199"/>
    </row>
    <row r="10" spans="1:3" x14ac:dyDescent="0.2">
      <c r="A10" s="40">
        <v>1</v>
      </c>
      <c r="B10" s="201" t="s">
        <v>41</v>
      </c>
      <c r="C10" s="201"/>
    </row>
    <row r="11" spans="1:3" x14ac:dyDescent="0.2">
      <c r="B11" s="90"/>
      <c r="C11" s="90"/>
    </row>
    <row r="13" spans="1:3" ht="31.5" customHeight="1" x14ac:dyDescent="0.2">
      <c r="A13" s="40">
        <v>2</v>
      </c>
      <c r="B13" s="198" t="s">
        <v>95</v>
      </c>
      <c r="C13" s="198"/>
    </row>
    <row r="14" spans="1:3" x14ac:dyDescent="0.2">
      <c r="B14" s="63"/>
      <c r="C14" s="63"/>
    </row>
    <row r="16" spans="1:3" x14ac:dyDescent="0.2">
      <c r="A16" s="40">
        <v>3</v>
      </c>
      <c r="B16" s="200" t="s">
        <v>119</v>
      </c>
      <c r="C16" s="200"/>
    </row>
    <row r="17" spans="1:26" ht="32.25" customHeight="1" x14ac:dyDescent="0.2">
      <c r="B17" s="198" t="s">
        <v>129</v>
      </c>
      <c r="C17" s="198"/>
    </row>
    <row r="18" spans="1:26" ht="63" customHeight="1" x14ac:dyDescent="0.2">
      <c r="B18" s="198" t="s">
        <v>151</v>
      </c>
      <c r="C18" s="198"/>
      <c r="D18" s="43"/>
      <c r="E18" s="39"/>
      <c r="F18" s="39"/>
      <c r="G18" s="39"/>
      <c r="H18" s="39"/>
      <c r="I18" s="39"/>
      <c r="J18" s="39"/>
      <c r="K18" s="39"/>
      <c r="L18" s="39"/>
      <c r="M18" s="39"/>
      <c r="N18" s="39"/>
      <c r="O18" s="39"/>
      <c r="P18" s="39"/>
      <c r="Q18" s="39"/>
      <c r="R18" s="39"/>
      <c r="S18" s="39"/>
      <c r="T18" s="39"/>
      <c r="U18" s="39"/>
      <c r="V18" s="39"/>
      <c r="W18" s="39"/>
      <c r="X18" s="39"/>
      <c r="Y18" s="39"/>
      <c r="Z18" s="39"/>
    </row>
    <row r="19" spans="1:26" ht="30" customHeight="1" x14ac:dyDescent="0.2">
      <c r="B19" s="198" t="s">
        <v>130</v>
      </c>
      <c r="C19" s="198"/>
      <c r="D19" s="43"/>
      <c r="E19" s="39"/>
      <c r="F19" s="39"/>
      <c r="G19" s="39"/>
      <c r="H19" s="39"/>
      <c r="I19" s="39"/>
      <c r="J19" s="39"/>
      <c r="K19" s="39"/>
      <c r="L19" s="39"/>
      <c r="M19" s="39"/>
      <c r="N19" s="39"/>
      <c r="O19" s="39"/>
      <c r="P19" s="39"/>
      <c r="Q19" s="39"/>
      <c r="R19" s="39"/>
      <c r="S19" s="39"/>
      <c r="T19" s="39"/>
      <c r="U19" s="39"/>
      <c r="V19" s="39"/>
      <c r="W19" s="39"/>
      <c r="X19" s="39"/>
      <c r="Y19" s="39"/>
      <c r="Z19" s="39"/>
    </row>
    <row r="20" spans="1:26" x14ac:dyDescent="0.2">
      <c r="B20" s="87" t="s">
        <v>48</v>
      </c>
    </row>
    <row r="21" spans="1:26" x14ac:dyDescent="0.2">
      <c r="B21" s="87"/>
    </row>
    <row r="22" spans="1:26" x14ac:dyDescent="0.2">
      <c r="B22" s="85"/>
    </row>
    <row r="23" spans="1:26" x14ac:dyDescent="0.2">
      <c r="A23" s="40">
        <v>4</v>
      </c>
      <c r="B23" s="200" t="s">
        <v>120</v>
      </c>
      <c r="C23" s="200"/>
    </row>
    <row r="24" spans="1:26" ht="35.25" customHeight="1" x14ac:dyDescent="0.2">
      <c r="B24" s="198" t="s">
        <v>135</v>
      </c>
      <c r="C24" s="198"/>
    </row>
    <row r="25" spans="1:26" x14ac:dyDescent="0.2">
      <c r="B25" s="92"/>
      <c r="C25" s="92"/>
    </row>
    <row r="26" spans="1:26" ht="62.25" customHeight="1" x14ac:dyDescent="0.2">
      <c r="B26" s="198" t="s">
        <v>121</v>
      </c>
      <c r="C26" s="198"/>
    </row>
    <row r="27" spans="1:26" ht="65.25" customHeight="1" x14ac:dyDescent="0.2">
      <c r="B27" s="198" t="s">
        <v>137</v>
      </c>
      <c r="C27" s="198"/>
    </row>
    <row r="28" spans="1:26" ht="31.5" customHeight="1" x14ac:dyDescent="0.2">
      <c r="B28" s="198" t="s">
        <v>136</v>
      </c>
      <c r="C28" s="198"/>
    </row>
    <row r="29" spans="1:26" ht="30" customHeight="1" x14ac:dyDescent="0.2">
      <c r="B29" s="198" t="s">
        <v>138</v>
      </c>
      <c r="C29" s="198"/>
    </row>
    <row r="30" spans="1:26" x14ac:dyDescent="0.2">
      <c r="B30" s="92"/>
      <c r="C30" s="92"/>
    </row>
    <row r="31" spans="1:26" ht="47.25" customHeight="1" x14ac:dyDescent="0.2">
      <c r="B31" s="93" t="s">
        <v>122</v>
      </c>
      <c r="C31" s="39" t="s">
        <v>96</v>
      </c>
    </row>
    <row r="32" spans="1:26" ht="33.75" customHeight="1" x14ac:dyDescent="0.2">
      <c r="B32" s="93" t="s">
        <v>124</v>
      </c>
      <c r="C32" s="39" t="s">
        <v>123</v>
      </c>
    </row>
    <row r="33" spans="1:3" x14ac:dyDescent="0.2">
      <c r="B33" s="93" t="s">
        <v>127</v>
      </c>
      <c r="C33" s="39" t="s">
        <v>125</v>
      </c>
    </row>
    <row r="34" spans="1:3" x14ac:dyDescent="0.2">
      <c r="B34" s="94" t="s">
        <v>128</v>
      </c>
      <c r="C34" s="84" t="s">
        <v>126</v>
      </c>
    </row>
    <row r="35" spans="1:3" x14ac:dyDescent="0.2">
      <c r="B35" s="89"/>
      <c r="C35" s="84"/>
    </row>
    <row r="37" spans="1:3" ht="29.25" customHeight="1" x14ac:dyDescent="0.2">
      <c r="A37" s="40">
        <v>5</v>
      </c>
      <c r="B37" s="198" t="s">
        <v>139</v>
      </c>
      <c r="C37" s="198"/>
    </row>
    <row r="38" spans="1:3" x14ac:dyDescent="0.2">
      <c r="B38" s="90"/>
      <c r="C38" s="90"/>
    </row>
    <row r="40" spans="1:3" x14ac:dyDescent="0.2">
      <c r="A40" s="40">
        <v>6</v>
      </c>
      <c r="B40" s="91" t="s">
        <v>131</v>
      </c>
    </row>
    <row r="41" spans="1:3" ht="30" customHeight="1" x14ac:dyDescent="0.2">
      <c r="B41" s="198" t="s">
        <v>132</v>
      </c>
      <c r="C41" s="198"/>
    </row>
    <row r="42" spans="1:3" ht="30" customHeight="1" x14ac:dyDescent="0.2">
      <c r="B42" s="198" t="s">
        <v>97</v>
      </c>
      <c r="C42" s="198"/>
    </row>
    <row r="43" spans="1:3" x14ac:dyDescent="0.2">
      <c r="B43" s="63"/>
      <c r="C43" s="63"/>
    </row>
    <row r="44" spans="1:3" x14ac:dyDescent="0.2">
      <c r="B44" s="86" t="s">
        <v>98</v>
      </c>
    </row>
    <row r="45" spans="1:3" x14ac:dyDescent="0.2">
      <c r="B45" s="95" t="s">
        <v>99</v>
      </c>
      <c r="C45" s="39" t="s">
        <v>100</v>
      </c>
    </row>
    <row r="46" spans="1:3" ht="30" x14ac:dyDescent="0.2">
      <c r="B46" s="95"/>
      <c r="C46" s="39" t="s">
        <v>141</v>
      </c>
    </row>
    <row r="47" spans="1:3" x14ac:dyDescent="0.2">
      <c r="B47" s="95"/>
      <c r="C47" s="38" t="s">
        <v>101</v>
      </c>
    </row>
    <row r="48" spans="1:3" x14ac:dyDescent="0.2">
      <c r="B48" s="95"/>
      <c r="C48" s="38" t="s">
        <v>102</v>
      </c>
    </row>
    <row r="49" spans="2:3" x14ac:dyDescent="0.2">
      <c r="B49" s="96" t="s">
        <v>105</v>
      </c>
      <c r="C49" s="38" t="s">
        <v>104</v>
      </c>
    </row>
    <row r="50" spans="2:3" ht="18" customHeight="1" x14ac:dyDescent="0.2">
      <c r="B50" s="96"/>
      <c r="C50" s="39" t="s">
        <v>103</v>
      </c>
    </row>
    <row r="51" spans="2:3" x14ac:dyDescent="0.2">
      <c r="B51" s="96"/>
      <c r="C51" s="38" t="s">
        <v>106</v>
      </c>
    </row>
    <row r="52" spans="2:3" x14ac:dyDescent="0.2">
      <c r="B52" s="96"/>
      <c r="C52" s="38" t="s">
        <v>107</v>
      </c>
    </row>
    <row r="53" spans="2:3" x14ac:dyDescent="0.2">
      <c r="B53" s="96" t="s">
        <v>109</v>
      </c>
      <c r="C53" s="38" t="s">
        <v>108</v>
      </c>
    </row>
    <row r="54" spans="2:3" ht="45" x14ac:dyDescent="0.2">
      <c r="B54" s="96"/>
      <c r="C54" s="63" t="s">
        <v>110</v>
      </c>
    </row>
    <row r="55" spans="2:3" x14ac:dyDescent="0.2">
      <c r="B55" s="96"/>
      <c r="C55" s="38" t="s">
        <v>111</v>
      </c>
    </row>
    <row r="56" spans="2:3" x14ac:dyDescent="0.2">
      <c r="B56" s="96"/>
      <c r="C56" s="38" t="s">
        <v>142</v>
      </c>
    </row>
    <row r="57" spans="2:3" x14ac:dyDescent="0.2">
      <c r="B57" s="96" t="s">
        <v>113</v>
      </c>
      <c r="C57" s="38" t="s">
        <v>112</v>
      </c>
    </row>
    <row r="58" spans="2:3" ht="61.5" customHeight="1" x14ac:dyDescent="0.2">
      <c r="B58" s="96"/>
      <c r="C58" s="63" t="s">
        <v>152</v>
      </c>
    </row>
    <row r="59" spans="2:3" x14ac:dyDescent="0.2">
      <c r="B59" s="96" t="s">
        <v>115</v>
      </c>
      <c r="C59" s="38" t="s">
        <v>114</v>
      </c>
    </row>
    <row r="60" spans="2:3" ht="30" x14ac:dyDescent="0.2">
      <c r="B60" s="96"/>
      <c r="C60" s="63" t="s">
        <v>116</v>
      </c>
    </row>
    <row r="61" spans="2:3" x14ac:dyDescent="0.2">
      <c r="B61" s="96" t="s">
        <v>117</v>
      </c>
      <c r="C61" s="63" t="s">
        <v>143</v>
      </c>
    </row>
    <row r="62" spans="2:3" ht="30" x14ac:dyDescent="0.2">
      <c r="B62" s="96"/>
      <c r="C62" s="92" t="s">
        <v>144</v>
      </c>
    </row>
    <row r="63" spans="2:3" x14ac:dyDescent="0.2">
      <c r="B63" s="88"/>
      <c r="C63" s="63"/>
    </row>
    <row r="65" spans="1:3" ht="30.75" customHeight="1" x14ac:dyDescent="0.2">
      <c r="A65" s="40">
        <v>7</v>
      </c>
      <c r="B65" s="198" t="s">
        <v>145</v>
      </c>
      <c r="C65" s="198"/>
    </row>
    <row r="66" spans="1:3" x14ac:dyDescent="0.2">
      <c r="B66" s="63"/>
      <c r="C66" s="63"/>
    </row>
    <row r="67" spans="1:3" ht="15.75" customHeight="1" x14ac:dyDescent="0.2">
      <c r="B67" s="201" t="s">
        <v>118</v>
      </c>
      <c r="C67" s="201"/>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9"/>
  <sheetViews>
    <sheetView tabSelected="1" view="pageBreakPreview" zoomScaleNormal="85" zoomScaleSheetLayoutView="100" workbookViewId="0">
      <selection activeCell="D10" sqref="D10"/>
    </sheetView>
  </sheetViews>
  <sheetFormatPr defaultRowHeight="14.25" x14ac:dyDescent="0.2"/>
  <cols>
    <col min="1" max="1" width="7.42578125" style="1" customWidth="1"/>
    <col min="2" max="2" width="36.5703125" style="1" customWidth="1"/>
    <col min="3" max="3" width="18.85546875" style="1" customWidth="1"/>
    <col min="4" max="4" width="16.5703125" style="1" customWidth="1"/>
    <col min="5" max="5" width="15.7109375" style="1" customWidth="1"/>
    <col min="6" max="6" width="16.5703125" style="1" customWidth="1"/>
    <col min="7" max="7" width="15.7109375" style="1" bestFit="1" customWidth="1"/>
    <col min="8" max="8" width="19.85546875" style="1" bestFit="1" customWidth="1"/>
    <col min="9" max="9" width="13" style="1" customWidth="1"/>
    <col min="10" max="10" width="16.42578125" style="1" customWidth="1"/>
    <col min="11" max="11" width="15.5703125" style="1" bestFit="1" customWidth="1"/>
    <col min="12" max="13" width="14.140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 spans="1:24" ht="15" x14ac:dyDescent="0.25">
      <c r="A1" s="45" t="s">
        <v>55</v>
      </c>
      <c r="B1" s="4"/>
      <c r="C1" s="45"/>
    </row>
    <row r="2" spans="1:24" x14ac:dyDescent="0.2">
      <c r="A2" s="4"/>
      <c r="B2" s="4"/>
      <c r="C2" s="4"/>
    </row>
    <row r="3" spans="1:24" ht="15" x14ac:dyDescent="0.2">
      <c r="A3" s="4"/>
      <c r="B3" s="4" t="s">
        <v>33</v>
      </c>
      <c r="C3" s="24"/>
      <c r="D3" s="4"/>
      <c r="E3" s="4"/>
      <c r="F3" s="4"/>
      <c r="X3" s="1">
        <v>2014</v>
      </c>
    </row>
    <row r="4" spans="1:24" ht="15" x14ac:dyDescent="0.2">
      <c r="A4" s="4"/>
      <c r="B4" s="4" t="s">
        <v>66</v>
      </c>
      <c r="C4" s="53"/>
      <c r="D4" s="4"/>
      <c r="E4" s="4"/>
      <c r="F4" s="4"/>
    </row>
    <row r="5" spans="1:24" ht="15" x14ac:dyDescent="0.2">
      <c r="A5" s="4"/>
      <c r="B5" s="15"/>
      <c r="C5" s="15"/>
      <c r="D5" s="4"/>
      <c r="E5" s="4"/>
      <c r="F5" s="4"/>
      <c r="X5" s="1">
        <v>2015</v>
      </c>
    </row>
    <row r="6" spans="1:24" ht="15" x14ac:dyDescent="0.2">
      <c r="A6" s="4" t="s">
        <v>34</v>
      </c>
      <c r="B6" s="15" t="s">
        <v>153</v>
      </c>
      <c r="C6" s="25" t="s">
        <v>211</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35</v>
      </c>
      <c r="B9" s="23" t="s">
        <v>91</v>
      </c>
      <c r="C9" s="22"/>
      <c r="D9" s="22"/>
      <c r="E9" s="22"/>
      <c r="F9" s="22"/>
      <c r="I9" s="81"/>
      <c r="J9" s="81"/>
      <c r="K9" s="81"/>
      <c r="L9" s="81"/>
      <c r="M9" s="81"/>
      <c r="N9" s="81"/>
      <c r="O9" s="81"/>
      <c r="P9" s="81"/>
      <c r="Q9" s="81"/>
      <c r="R9" s="81"/>
      <c r="S9" s="81"/>
    </row>
    <row r="10" spans="1:24" ht="15" x14ac:dyDescent="0.2">
      <c r="A10" s="4"/>
      <c r="B10" s="203" t="s">
        <v>26</v>
      </c>
      <c r="C10" s="203"/>
      <c r="D10" s="25">
        <v>2016</v>
      </c>
      <c r="E10" s="25"/>
      <c r="F10" s="25"/>
      <c r="G10" s="204"/>
      <c r="H10" s="205"/>
      <c r="I10" s="81"/>
      <c r="J10" s="81"/>
      <c r="K10" s="81"/>
      <c r="L10" s="81"/>
      <c r="M10" s="81"/>
      <c r="N10" s="81"/>
      <c r="O10" s="81"/>
      <c r="P10" s="81"/>
      <c r="Q10" s="81"/>
      <c r="R10" s="81"/>
      <c r="S10" s="81"/>
    </row>
    <row r="11" spans="1:24" ht="15" thickBot="1" x14ac:dyDescent="0.25">
      <c r="A11" s="4"/>
      <c r="B11" s="5" t="s">
        <v>3</v>
      </c>
      <c r="C11" s="5" t="s">
        <v>2</v>
      </c>
      <c r="D11" s="114">
        <f>D12+D13</f>
        <v>8518219055.9799995</v>
      </c>
      <c r="E11" s="114">
        <f>E12+E13</f>
        <v>0</v>
      </c>
      <c r="F11" s="114">
        <f>F12+F13</f>
        <v>0</v>
      </c>
      <c r="G11" s="6" t="s">
        <v>0</v>
      </c>
      <c r="H11" s="7">
        <v>1</v>
      </c>
      <c r="I11" s="81"/>
      <c r="J11" s="81"/>
      <c r="K11" s="81"/>
      <c r="L11" s="81"/>
      <c r="M11" s="81"/>
      <c r="N11" s="81"/>
      <c r="O11" s="81"/>
      <c r="P11" s="81"/>
      <c r="Q11" s="81"/>
      <c r="R11" s="81"/>
      <c r="S11" s="81"/>
    </row>
    <row r="12" spans="1:24" x14ac:dyDescent="0.2">
      <c r="B12" s="5" t="s">
        <v>7</v>
      </c>
      <c r="C12" s="5" t="s">
        <v>1</v>
      </c>
      <c r="D12" s="115">
        <v>3938250839.6100001</v>
      </c>
      <c r="E12" s="115"/>
      <c r="F12" s="115"/>
      <c r="G12" s="6" t="s">
        <v>0</v>
      </c>
      <c r="H12" s="8">
        <f>IFERROR(D12/$D$11,0)</f>
        <v>0.4623326558906995</v>
      </c>
    </row>
    <row r="13" spans="1:24" ht="15" thickBot="1" x14ac:dyDescent="0.25">
      <c r="B13" s="5" t="s">
        <v>8</v>
      </c>
      <c r="C13" s="5" t="s">
        <v>6</v>
      </c>
      <c r="D13" s="114">
        <f>D14+D15</f>
        <v>4579968216.3699999</v>
      </c>
      <c r="E13" s="114">
        <f>E14+E15</f>
        <v>0</v>
      </c>
      <c r="F13" s="114">
        <f>F14+F15</f>
        <v>0</v>
      </c>
      <c r="G13" s="6" t="s">
        <v>0</v>
      </c>
      <c r="H13" s="8">
        <f>IFERROR(D13/$D$11,0)</f>
        <v>0.53766734410930062</v>
      </c>
    </row>
    <row r="14" spans="1:24" x14ac:dyDescent="0.2">
      <c r="B14" s="5" t="s">
        <v>9</v>
      </c>
      <c r="C14" s="5" t="s">
        <v>4</v>
      </c>
      <c r="D14" s="115">
        <v>347276451.75</v>
      </c>
      <c r="E14" s="115"/>
      <c r="F14" s="115"/>
      <c r="G14" s="6" t="s">
        <v>0</v>
      </c>
      <c r="H14" s="8">
        <f>IFERROR(D14/$D$11,0)</f>
        <v>4.0768668834150652E-2</v>
      </c>
    </row>
    <row r="15" spans="1:24" x14ac:dyDescent="0.2">
      <c r="B15" s="5" t="s">
        <v>67</v>
      </c>
      <c r="C15" s="5" t="s">
        <v>5</v>
      </c>
      <c r="D15" s="116">
        <v>4232691764.6199999</v>
      </c>
      <c r="E15" s="116"/>
      <c r="F15" s="116"/>
      <c r="G15" s="6" t="s">
        <v>0</v>
      </c>
      <c r="H15" s="8">
        <f>IFERROR(D15/$D$11,0)</f>
        <v>0.49689867527514991</v>
      </c>
    </row>
    <row r="16" spans="1:24" ht="34.5" customHeight="1" x14ac:dyDescent="0.2">
      <c r="B16" s="206" t="s">
        <v>84</v>
      </c>
      <c r="C16" s="206"/>
      <c r="D16" s="206"/>
      <c r="E16" s="206"/>
      <c r="F16" s="206"/>
      <c r="G16" s="206"/>
      <c r="H16" s="206"/>
    </row>
    <row r="17" spans="1:14" x14ac:dyDescent="0.2">
      <c r="D17" s="36"/>
      <c r="E17" s="36"/>
      <c r="F17" s="36"/>
      <c r="G17" s="36"/>
    </row>
    <row r="18" spans="1:14" ht="15" x14ac:dyDescent="0.25">
      <c r="A18" s="1" t="s">
        <v>36</v>
      </c>
      <c r="B18" s="3" t="s">
        <v>45</v>
      </c>
    </row>
    <row r="19" spans="1:14" ht="15" x14ac:dyDescent="0.25">
      <c r="B19" s="3"/>
    </row>
    <row r="20" spans="1:14" ht="15" x14ac:dyDescent="0.25">
      <c r="B20" s="2" t="s">
        <v>22</v>
      </c>
      <c r="C20" s="50" t="s">
        <v>193</v>
      </c>
      <c r="E20" s="118" t="s">
        <v>29</v>
      </c>
      <c r="F20" s="36"/>
      <c r="G20" s="36"/>
      <c r="H20" s="36"/>
      <c r="I20" s="36"/>
      <c r="J20" s="36"/>
      <c r="K20" s="36"/>
    </row>
    <row r="21" spans="1:14" x14ac:dyDescent="0.2">
      <c r="C21" s="1" t="s">
        <v>196</v>
      </c>
      <c r="E21" s="1" t="s">
        <v>195</v>
      </c>
      <c r="F21" s="36"/>
      <c r="G21" s="36"/>
      <c r="H21" s="36"/>
      <c r="I21" s="36"/>
      <c r="J21" s="36"/>
      <c r="K21" s="36"/>
    </row>
    <row r="22" spans="1:14" ht="15" x14ac:dyDescent="0.25">
      <c r="B22" s="2" t="s">
        <v>46</v>
      </c>
    </row>
    <row r="23" spans="1:14" ht="15" customHeight="1" x14ac:dyDescent="0.25">
      <c r="B23" s="37"/>
      <c r="C23" s="37"/>
      <c r="D23" s="37"/>
      <c r="E23" s="37"/>
      <c r="F23" s="37"/>
      <c r="G23" s="37"/>
      <c r="H23" s="37"/>
    </row>
    <row r="24" spans="1:14" ht="15" customHeight="1" x14ac:dyDescent="0.25">
      <c r="B24" s="37"/>
      <c r="C24" s="37"/>
      <c r="D24" s="37"/>
      <c r="E24" s="37"/>
      <c r="F24" s="37"/>
      <c r="G24" s="37"/>
      <c r="H24" s="37"/>
    </row>
    <row r="25" spans="1:14" ht="15" customHeight="1" x14ac:dyDescent="0.25">
      <c r="B25" s="37"/>
      <c r="C25" s="37"/>
      <c r="D25" s="37"/>
      <c r="E25" s="37"/>
      <c r="F25" s="37"/>
      <c r="G25" s="37"/>
      <c r="H25" s="37"/>
    </row>
    <row r="26" spans="1:14" ht="15" customHeight="1" x14ac:dyDescent="0.25">
      <c r="B26" s="37"/>
      <c r="C26" s="37"/>
      <c r="D26" s="37"/>
      <c r="E26" s="37"/>
      <c r="F26" s="37"/>
      <c r="G26" s="37"/>
      <c r="H26" s="37"/>
    </row>
    <row r="27" spans="1:14" ht="14.25" customHeight="1" x14ac:dyDescent="0.25">
      <c r="B27" s="37"/>
      <c r="C27" s="37"/>
      <c r="D27" s="37"/>
      <c r="E27" s="37"/>
      <c r="F27" s="37"/>
      <c r="G27" s="37"/>
      <c r="H27" s="37"/>
    </row>
    <row r="28" spans="1:14" ht="14.25" customHeight="1" x14ac:dyDescent="0.25">
      <c r="B28" s="37"/>
      <c r="C28" s="37"/>
      <c r="D28" s="37"/>
      <c r="E28" s="37"/>
      <c r="F28" s="37"/>
      <c r="G28" s="37"/>
      <c r="H28" s="37"/>
    </row>
    <row r="29" spans="1:14" s="36" customFormat="1" ht="14.25" customHeight="1" x14ac:dyDescent="0.25">
      <c r="B29" s="37"/>
      <c r="C29" s="37"/>
      <c r="D29" s="37"/>
      <c r="E29" s="37"/>
      <c r="F29" s="37"/>
      <c r="G29" s="37"/>
      <c r="H29" s="37"/>
    </row>
    <row r="31" spans="1:14" ht="15" x14ac:dyDescent="0.25">
      <c r="A31" s="1" t="s">
        <v>37</v>
      </c>
      <c r="B31" s="45" t="s">
        <v>49</v>
      </c>
      <c r="C31" s="3"/>
    </row>
    <row r="32" spans="1:14" ht="15.75" thickBot="1" x14ac:dyDescent="0.3">
      <c r="B32" s="2" t="s">
        <v>26</v>
      </c>
      <c r="C32" s="100">
        <v>2016</v>
      </c>
      <c r="D32" s="81"/>
      <c r="E32" s="81"/>
      <c r="F32" s="82"/>
      <c r="G32" s="34"/>
      <c r="H32" s="34"/>
      <c r="I32" s="34"/>
      <c r="J32" s="34"/>
      <c r="K32" s="34"/>
      <c r="L32" s="30"/>
      <c r="M32" s="30"/>
      <c r="N32" s="3" t="s">
        <v>30</v>
      </c>
    </row>
    <row r="33" spans="2:23" s="9" customFormat="1" ht="67.5" customHeight="1" thickBot="1" x14ac:dyDescent="0.3">
      <c r="B33" s="191" t="s">
        <v>43</v>
      </c>
      <c r="C33" s="123" t="s">
        <v>154</v>
      </c>
      <c r="D33" s="196" t="s">
        <v>155</v>
      </c>
      <c r="E33" s="196" t="s">
        <v>92</v>
      </c>
      <c r="F33" s="123" t="s">
        <v>158</v>
      </c>
      <c r="G33" s="124" t="s">
        <v>192</v>
      </c>
      <c r="H33" s="124" t="s">
        <v>23</v>
      </c>
      <c r="I33" s="124" t="s">
        <v>56</v>
      </c>
      <c r="J33" s="124" t="s">
        <v>83</v>
      </c>
      <c r="K33" s="179" t="s">
        <v>85</v>
      </c>
      <c r="L33" s="152"/>
      <c r="M33" s="152"/>
      <c r="N33" s="11"/>
      <c r="O33" s="202">
        <v>2016</v>
      </c>
      <c r="P33" s="202"/>
      <c r="Q33" s="202"/>
      <c r="R33" s="202">
        <v>2015</v>
      </c>
      <c r="S33" s="202"/>
      <c r="T33" s="202"/>
      <c r="U33" s="202">
        <v>2014</v>
      </c>
      <c r="V33" s="202"/>
      <c r="W33" s="202"/>
    </row>
    <row r="34" spans="2:23" s="9" customFormat="1" ht="15.75" thickBot="1" x14ac:dyDescent="0.3">
      <c r="B34" s="186"/>
      <c r="C34" s="187" t="s">
        <v>0</v>
      </c>
      <c r="D34" s="125" t="s">
        <v>0</v>
      </c>
      <c r="E34" s="125" t="s">
        <v>0</v>
      </c>
      <c r="F34" s="188" t="s">
        <v>0</v>
      </c>
      <c r="G34" s="189"/>
      <c r="H34" s="189"/>
      <c r="I34" s="189"/>
      <c r="J34" s="189"/>
      <c r="K34" s="190"/>
      <c r="L34" s="153"/>
      <c r="M34" s="153"/>
      <c r="N34" s="11"/>
      <c r="O34" s="117"/>
      <c r="P34" s="117"/>
      <c r="Q34" s="117"/>
      <c r="R34" s="117"/>
      <c r="S34" s="117"/>
      <c r="T34" s="117"/>
      <c r="U34" s="117"/>
      <c r="V34" s="117"/>
      <c r="W34" s="117"/>
    </row>
    <row r="35" spans="2:23" s="9" customFormat="1" ht="30" x14ac:dyDescent="0.25">
      <c r="B35" s="12"/>
      <c r="C35" s="64" t="s">
        <v>44</v>
      </c>
      <c r="D35" s="64" t="s">
        <v>42</v>
      </c>
      <c r="E35" s="65" t="s">
        <v>59</v>
      </c>
      <c r="F35" s="65" t="s">
        <v>60</v>
      </c>
      <c r="G35" s="65" t="s">
        <v>61</v>
      </c>
      <c r="H35" s="66" t="s">
        <v>62</v>
      </c>
      <c r="I35" s="65" t="s">
        <v>63</v>
      </c>
      <c r="J35" s="66" t="s">
        <v>64</v>
      </c>
      <c r="K35" s="67" t="s">
        <v>65</v>
      </c>
      <c r="L35" s="153"/>
      <c r="M35" s="154"/>
      <c r="N35" s="19" t="s">
        <v>31</v>
      </c>
      <c r="O35" s="104" t="s">
        <v>27</v>
      </c>
      <c r="P35" s="104" t="s">
        <v>28</v>
      </c>
      <c r="Q35" s="104" t="s">
        <v>29</v>
      </c>
      <c r="R35" s="104" t="s">
        <v>27</v>
      </c>
      <c r="S35" s="104" t="s">
        <v>28</v>
      </c>
      <c r="T35" s="104" t="s">
        <v>29</v>
      </c>
      <c r="U35" s="104" t="s">
        <v>27</v>
      </c>
      <c r="V35" s="104" t="s">
        <v>28</v>
      </c>
      <c r="W35" s="104" t="s">
        <v>29</v>
      </c>
    </row>
    <row r="36" spans="2:23" x14ac:dyDescent="0.2">
      <c r="B36" s="13" t="s">
        <v>197</v>
      </c>
      <c r="C36" s="97">
        <v>153693718</v>
      </c>
      <c r="D36" s="97">
        <f>1019358+170911714</f>
        <v>171931072</v>
      </c>
      <c r="E36" s="60">
        <f>15323238+158564528</f>
        <v>173887766</v>
      </c>
      <c r="F36" s="49">
        <f>+C36+-D36+E36</f>
        <v>155650412</v>
      </c>
      <c r="G36" s="166">
        <f>+Q36</f>
        <v>9.1789999999999997E-2</v>
      </c>
      <c r="H36" s="16">
        <f>F36*G36</f>
        <v>14287151.31748</v>
      </c>
      <c r="I36" s="126">
        <f>+G36</f>
        <v>9.1789999999999997E-2</v>
      </c>
      <c r="J36" s="17">
        <f>F36*I36</f>
        <v>14287151.31748</v>
      </c>
      <c r="K36" s="170">
        <f>+J36-H36</f>
        <v>0</v>
      </c>
      <c r="L36" s="145"/>
      <c r="M36" s="145"/>
      <c r="N36" s="11" t="s">
        <v>10</v>
      </c>
      <c r="O36" s="20">
        <v>8.4229999999999999E-2</v>
      </c>
      <c r="P36" s="20">
        <v>9.214E-2</v>
      </c>
      <c r="Q36" s="20">
        <v>9.1789999999999997E-2</v>
      </c>
      <c r="R36" s="20">
        <v>5.5490000000000005E-2</v>
      </c>
      <c r="S36" s="20">
        <v>6.1609999999999998E-2</v>
      </c>
      <c r="T36" s="20">
        <v>5.0680000000000003E-2</v>
      </c>
      <c r="U36" s="20">
        <v>3.6260000000000001E-2</v>
      </c>
      <c r="V36" s="20">
        <v>1.806E-2</v>
      </c>
      <c r="W36" s="20">
        <v>1.261E-2</v>
      </c>
    </row>
    <row r="37" spans="2:23" x14ac:dyDescent="0.2">
      <c r="B37" s="13" t="s">
        <v>156</v>
      </c>
      <c r="C37" s="97">
        <f>351839994-C36</f>
        <v>198146276</v>
      </c>
      <c r="D37" s="97">
        <f>2515749+387122691-D36</f>
        <v>217707368</v>
      </c>
      <c r="E37" s="60">
        <f>36353310+368863066-E36</f>
        <v>231328610</v>
      </c>
      <c r="F37" s="49">
        <f>+C37+-D37+E37</f>
        <v>211767518</v>
      </c>
      <c r="G37" s="166">
        <f>+O36</f>
        <v>8.4229999999999999E-2</v>
      </c>
      <c r="H37" s="16">
        <f>F37*G37</f>
        <v>17837178.041140001</v>
      </c>
      <c r="I37" s="126">
        <f>+I36</f>
        <v>9.1789999999999997E-2</v>
      </c>
      <c r="J37" s="17">
        <f>F37*I37</f>
        <v>19438140.477219999</v>
      </c>
      <c r="K37" s="170">
        <f>+J37-H37</f>
        <v>1600962.4360799976</v>
      </c>
      <c r="L37" s="30"/>
      <c r="M37" s="30"/>
      <c r="N37" s="11" t="s">
        <v>11</v>
      </c>
      <c r="O37" s="21">
        <v>0.10384</v>
      </c>
      <c r="P37" s="21">
        <v>9.6780000000000005E-2</v>
      </c>
      <c r="Q37" s="21">
        <v>9.851E-2</v>
      </c>
      <c r="R37" s="21">
        <v>6.9809999999999997E-2</v>
      </c>
      <c r="S37" s="21">
        <v>4.095E-2</v>
      </c>
      <c r="T37" s="21">
        <v>3.9609999999999999E-2</v>
      </c>
      <c r="U37" s="21">
        <v>2.231E-2</v>
      </c>
      <c r="V37" s="21">
        <v>1.1180000000000001E-2</v>
      </c>
      <c r="W37" s="21">
        <v>1.3300000000000001E-2</v>
      </c>
    </row>
    <row r="38" spans="2:23" ht="15" x14ac:dyDescent="0.25">
      <c r="B38" s="119" t="s">
        <v>157</v>
      </c>
      <c r="C38" s="165">
        <f>SUM(C36:C37)</f>
        <v>351839994</v>
      </c>
      <c r="D38" s="165">
        <f t="shared" ref="D38:K38" si="0">SUM(D36:D37)</f>
        <v>389638440</v>
      </c>
      <c r="E38" s="165">
        <f t="shared" si="0"/>
        <v>405216376</v>
      </c>
      <c r="F38" s="120">
        <f t="shared" si="0"/>
        <v>367417930</v>
      </c>
      <c r="G38" s="166"/>
      <c r="H38" s="121">
        <f t="shared" si="0"/>
        <v>32124329.358620003</v>
      </c>
      <c r="I38" s="169"/>
      <c r="J38" s="121">
        <f t="shared" si="0"/>
        <v>33725291.794699997</v>
      </c>
      <c r="K38" s="168">
        <f t="shared" si="0"/>
        <v>1600962.4360799976</v>
      </c>
      <c r="L38" s="145"/>
      <c r="M38" s="145"/>
      <c r="N38" s="11" t="s">
        <v>12</v>
      </c>
      <c r="O38" s="21">
        <v>9.0219999999999995E-2</v>
      </c>
      <c r="P38" s="21">
        <v>0.10299</v>
      </c>
      <c r="Q38" s="21">
        <v>0.1061</v>
      </c>
      <c r="R38" s="21">
        <v>3.6040000000000003E-2</v>
      </c>
      <c r="S38" s="21">
        <v>5.74E-2</v>
      </c>
      <c r="T38" s="21">
        <v>6.2899999999999998E-2</v>
      </c>
      <c r="U38" s="21">
        <v>1.103E-2</v>
      </c>
      <c r="V38" s="21">
        <v>-8.0000000000000002E-3</v>
      </c>
      <c r="W38" s="21">
        <v>-2.7E-4</v>
      </c>
    </row>
    <row r="39" spans="2:23" x14ac:dyDescent="0.2">
      <c r="B39" s="13" t="s">
        <v>159</v>
      </c>
      <c r="C39" s="97">
        <v>165610157</v>
      </c>
      <c r="D39" s="97">
        <f>+E36</f>
        <v>173887766</v>
      </c>
      <c r="E39" s="60">
        <f>6809764+163292084</f>
        <v>170101848</v>
      </c>
      <c r="F39" s="49">
        <f>+C39+-D39+E39</f>
        <v>161824239</v>
      </c>
      <c r="G39" s="142">
        <f>+Q37</f>
        <v>9.851E-2</v>
      </c>
      <c r="H39" s="16">
        <f>F39*G39</f>
        <v>15941305.78389</v>
      </c>
      <c r="I39" s="126">
        <f>+G39</f>
        <v>9.851E-2</v>
      </c>
      <c r="J39" s="17">
        <f>F39*I39</f>
        <v>15941305.78389</v>
      </c>
      <c r="K39" s="170">
        <f>+J39-H39</f>
        <v>0</v>
      </c>
      <c r="L39" s="145"/>
      <c r="M39" s="145"/>
      <c r="N39" s="11" t="s">
        <v>13</v>
      </c>
      <c r="O39" s="21">
        <v>0.12114999999999999</v>
      </c>
      <c r="P39" s="21">
        <v>0.11176999999999999</v>
      </c>
      <c r="Q39" s="21">
        <v>0.11132</v>
      </c>
      <c r="R39" s="21">
        <v>6.7049999999999998E-2</v>
      </c>
      <c r="S39" s="21">
        <v>9.2679999999999998E-2</v>
      </c>
      <c r="T39" s="21">
        <v>9.5590000000000008E-2</v>
      </c>
      <c r="U39" s="21">
        <v>-9.6500000000000006E-3</v>
      </c>
      <c r="V39" s="21">
        <v>5.4530000000000002E-2</v>
      </c>
      <c r="W39" s="21">
        <v>5.1979999999999998E-2</v>
      </c>
    </row>
    <row r="40" spans="2:23" x14ac:dyDescent="0.2">
      <c r="B40" s="13" t="s">
        <v>160</v>
      </c>
      <c r="C40" s="97">
        <f>347344367-C39</f>
        <v>181734210</v>
      </c>
      <c r="D40" s="97">
        <f>+E37</f>
        <v>231328610</v>
      </c>
      <c r="E40" s="60">
        <f>16155688+394454727-E39</f>
        <v>240508567</v>
      </c>
      <c r="F40" s="49">
        <f>+C40+-D40+E40</f>
        <v>190914167</v>
      </c>
      <c r="G40" s="142">
        <f>+O37</f>
        <v>0.10384</v>
      </c>
      <c r="H40" s="16">
        <f>F40*G40</f>
        <v>19824527.10128</v>
      </c>
      <c r="I40" s="126">
        <f>+I39</f>
        <v>9.851E-2</v>
      </c>
      <c r="J40" s="17">
        <f>F40*I40</f>
        <v>18806954.591170002</v>
      </c>
      <c r="K40" s="170">
        <f>+J40-H40</f>
        <v>-1017572.5101099983</v>
      </c>
      <c r="L40" s="145"/>
      <c r="M40" s="145"/>
      <c r="N40" s="11" t="s">
        <v>14</v>
      </c>
      <c r="O40" s="21">
        <v>0.10405</v>
      </c>
      <c r="P40" s="21">
        <v>0.11493</v>
      </c>
      <c r="Q40" s="21">
        <v>0.10749</v>
      </c>
      <c r="R40" s="21">
        <v>9.4159999999999994E-2</v>
      </c>
      <c r="S40" s="21">
        <v>9.7299999999999998E-2</v>
      </c>
      <c r="T40" s="21">
        <v>9.6680000000000002E-2</v>
      </c>
      <c r="U40" s="21">
        <v>5.3560000000000003E-2</v>
      </c>
      <c r="V40" s="21">
        <v>7.3520000000000002E-2</v>
      </c>
      <c r="W40" s="21">
        <v>7.1959999999999996E-2</v>
      </c>
    </row>
    <row r="41" spans="2:23" ht="15" x14ac:dyDescent="0.25">
      <c r="B41" s="119" t="s">
        <v>161</v>
      </c>
      <c r="C41" s="165">
        <f>SUM(C39:C40)</f>
        <v>347344367</v>
      </c>
      <c r="D41" s="165">
        <f t="shared" ref="D41" si="1">SUM(D39:D40)</f>
        <v>405216376</v>
      </c>
      <c r="E41" s="165">
        <f t="shared" ref="E41" si="2">SUM(E39:E40)</f>
        <v>410610415</v>
      </c>
      <c r="F41" s="120">
        <f t="shared" ref="F41" si="3">SUM(F39:F40)</f>
        <v>352738406</v>
      </c>
      <c r="G41" s="10"/>
      <c r="H41" s="121">
        <f t="shared" ref="H41" si="4">SUM(H39:H40)</f>
        <v>35765832.885169998</v>
      </c>
      <c r="I41" s="169"/>
      <c r="J41" s="121">
        <f t="shared" ref="J41:K41" si="5">SUM(J39:J40)</f>
        <v>34748260.37506</v>
      </c>
      <c r="K41" s="168">
        <f t="shared" si="5"/>
        <v>-1017572.5101099983</v>
      </c>
      <c r="L41" s="157"/>
      <c r="M41" s="157"/>
      <c r="N41" s="11" t="s">
        <v>15</v>
      </c>
      <c r="O41" s="21">
        <v>0.11650000000000001</v>
      </c>
      <c r="P41" s="21">
        <v>9.3600000000000003E-2</v>
      </c>
      <c r="Q41" s="21">
        <v>9.5449999999999993E-2</v>
      </c>
      <c r="R41" s="21">
        <v>9.2280000000000001E-2</v>
      </c>
      <c r="S41" s="21">
        <v>9.7680000000000003E-2</v>
      </c>
      <c r="T41" s="21">
        <v>9.5400000000000013E-2</v>
      </c>
      <c r="U41" s="21">
        <v>7.1900000000000006E-2</v>
      </c>
      <c r="V41" s="21">
        <v>6.6640000000000005E-2</v>
      </c>
      <c r="W41" s="21">
        <v>6.0249999999999998E-2</v>
      </c>
    </row>
    <row r="42" spans="2:23" x14ac:dyDescent="0.2">
      <c r="B42" s="13" t="s">
        <v>162</v>
      </c>
      <c r="C42" s="97">
        <v>165782280</v>
      </c>
      <c r="D42" s="97">
        <f>+E39</f>
        <v>170101848</v>
      </c>
      <c r="E42" s="60">
        <f>-5506756+180798743</f>
        <v>175291987</v>
      </c>
      <c r="F42" s="49">
        <f>+C42+-D42+E42</f>
        <v>170972419</v>
      </c>
      <c r="G42" s="142">
        <f>+Q38</f>
        <v>0.1061</v>
      </c>
      <c r="H42" s="16">
        <f>F42*G42</f>
        <v>18140173.655900002</v>
      </c>
      <c r="I42" s="126">
        <f>+G42</f>
        <v>0.1061</v>
      </c>
      <c r="J42" s="17">
        <f>F42*I42</f>
        <v>18140173.655900002</v>
      </c>
      <c r="K42" s="170">
        <f>+J42-H42</f>
        <v>0</v>
      </c>
      <c r="L42" s="145"/>
      <c r="M42" s="145"/>
      <c r="N42" s="11" t="s">
        <v>16</v>
      </c>
      <c r="O42" s="21">
        <v>7.6670000000000002E-2</v>
      </c>
      <c r="P42" s="21">
        <v>8.412E-2</v>
      </c>
      <c r="Q42" s="21">
        <v>8.3059999999999995E-2</v>
      </c>
      <c r="R42" s="21">
        <v>8.8880000000000001E-2</v>
      </c>
      <c r="S42" s="21">
        <v>8.4129999999999996E-2</v>
      </c>
      <c r="T42" s="21">
        <v>7.8829999999999997E-2</v>
      </c>
      <c r="U42" s="21">
        <v>5.9760000000000001E-2</v>
      </c>
      <c r="V42" s="21">
        <v>5.7529999999999998E-2</v>
      </c>
      <c r="W42" s="21">
        <v>6.2560000000000004E-2</v>
      </c>
    </row>
    <row r="43" spans="2:23" x14ac:dyDescent="0.2">
      <c r="B43" s="13" t="s">
        <v>163</v>
      </c>
      <c r="C43" s="97">
        <f>385424234-C42</f>
        <v>219641954</v>
      </c>
      <c r="D43" s="97">
        <f>+E40</f>
        <v>240508567</v>
      </c>
      <c r="E43" s="60">
        <f>-13064394+408062199-E42</f>
        <v>219705818</v>
      </c>
      <c r="F43" s="49">
        <f>+C43+-D43+E43</f>
        <v>198839205</v>
      </c>
      <c r="G43" s="142">
        <f>+O38</f>
        <v>9.0219999999999995E-2</v>
      </c>
      <c r="H43" s="16">
        <f>F43*G43</f>
        <v>17939273.075099997</v>
      </c>
      <c r="I43" s="126">
        <f>+I42</f>
        <v>0.1061</v>
      </c>
      <c r="J43" s="17">
        <f>F43*I43</f>
        <v>21096839.6505</v>
      </c>
      <c r="K43" s="170">
        <f>+J43-H43</f>
        <v>3157566.5754000023</v>
      </c>
      <c r="L43" s="128"/>
      <c r="M43" s="128"/>
      <c r="N43" s="11" t="s">
        <v>17</v>
      </c>
      <c r="O43" s="21">
        <v>8.5690000000000002E-2</v>
      </c>
      <c r="P43" s="21">
        <v>7.0499999999999993E-2</v>
      </c>
      <c r="Q43" s="21">
        <v>7.1029999999999996E-2</v>
      </c>
      <c r="R43" s="21">
        <v>8.8050000000000003E-2</v>
      </c>
      <c r="S43" s="21">
        <v>7.3550000000000004E-2</v>
      </c>
      <c r="T43" s="21">
        <v>8.0099999999999991E-2</v>
      </c>
      <c r="U43" s="21">
        <v>6.1079999999999995E-2</v>
      </c>
      <c r="V43" s="21">
        <v>6.8970000000000004E-2</v>
      </c>
      <c r="W43" s="21">
        <v>6.7610000000000003E-2</v>
      </c>
    </row>
    <row r="44" spans="2:23" ht="15" x14ac:dyDescent="0.25">
      <c r="B44" s="119" t="s">
        <v>164</v>
      </c>
      <c r="C44" s="165">
        <f>SUM(C42:C43)</f>
        <v>385424234</v>
      </c>
      <c r="D44" s="165">
        <f t="shared" ref="D44" si="6">SUM(D42:D43)</f>
        <v>410610415</v>
      </c>
      <c r="E44" s="165">
        <f t="shared" ref="E44" si="7">SUM(E42:E43)</f>
        <v>394997805</v>
      </c>
      <c r="F44" s="120">
        <f t="shared" ref="F44" si="8">SUM(F42:F43)</f>
        <v>369811624</v>
      </c>
      <c r="G44" s="10"/>
      <c r="H44" s="121">
        <f t="shared" ref="H44" si="9">SUM(H42:H43)</f>
        <v>36079446.730999999</v>
      </c>
      <c r="I44" s="169"/>
      <c r="J44" s="121">
        <f t="shared" ref="J44:K44" si="10">SUM(J42:J43)</f>
        <v>39237013.306400001</v>
      </c>
      <c r="K44" s="168">
        <f t="shared" si="10"/>
        <v>3157566.5754000023</v>
      </c>
      <c r="L44" s="133"/>
      <c r="M44" s="133"/>
      <c r="N44" s="11" t="s">
        <v>18</v>
      </c>
      <c r="O44" s="21">
        <v>7.0599999999999996E-2</v>
      </c>
      <c r="P44" s="21">
        <v>9.1480000000000006E-2</v>
      </c>
      <c r="Q44" s="21">
        <v>9.5310000000000006E-2</v>
      </c>
      <c r="R44" s="21">
        <v>8.270000000000001E-2</v>
      </c>
      <c r="S44" s="21">
        <v>7.1910000000000002E-2</v>
      </c>
      <c r="T44" s="21">
        <v>6.7030000000000006E-2</v>
      </c>
      <c r="U44" s="21">
        <v>8.0489999999999992E-2</v>
      </c>
      <c r="V44" s="21">
        <v>8.072E-2</v>
      </c>
      <c r="W44" s="21">
        <v>7.9629999999999992E-2</v>
      </c>
    </row>
    <row r="45" spans="2:23" x14ac:dyDescent="0.2">
      <c r="B45" s="13" t="s">
        <v>167</v>
      </c>
      <c r="C45" s="97">
        <v>165105327</v>
      </c>
      <c r="D45" s="97">
        <f>+E42</f>
        <v>175291987</v>
      </c>
      <c r="E45" s="60">
        <f>-5122483+172691154</f>
        <v>167568671</v>
      </c>
      <c r="F45" s="49">
        <f>+C45+-D45+E45</f>
        <v>157382011</v>
      </c>
      <c r="G45" s="142">
        <f>+Q39</f>
        <v>0.11132</v>
      </c>
      <c r="H45" s="16">
        <f>F45*G45</f>
        <v>17519765.46452</v>
      </c>
      <c r="I45" s="126">
        <f>+G45</f>
        <v>0.11132</v>
      </c>
      <c r="J45" s="17">
        <f>F45*I45</f>
        <v>17519765.46452</v>
      </c>
      <c r="K45" s="170">
        <f>+J45-H45</f>
        <v>0</v>
      </c>
      <c r="L45" s="128"/>
      <c r="M45" s="128"/>
      <c r="N45" s="11" t="s">
        <v>19</v>
      </c>
      <c r="O45" s="21">
        <v>9.7199999999999995E-2</v>
      </c>
      <c r="P45" s="21">
        <v>0.1178</v>
      </c>
      <c r="Q45" s="21">
        <v>0.11226</v>
      </c>
      <c r="R45" s="21">
        <v>6.3710000000000003E-2</v>
      </c>
      <c r="S45" s="21">
        <v>7.1929999999999994E-2</v>
      </c>
      <c r="T45" s="21">
        <v>7.5439999999999993E-2</v>
      </c>
      <c r="U45" s="21">
        <v>7.492E-2</v>
      </c>
      <c r="V45" s="21">
        <v>0.10135</v>
      </c>
      <c r="W45" s="21">
        <v>0.10014000000000001</v>
      </c>
    </row>
    <row r="46" spans="2:23" x14ac:dyDescent="0.2">
      <c r="B46" s="13" t="s">
        <v>165</v>
      </c>
      <c r="C46" s="97">
        <f>371590299-C45</f>
        <v>206484972</v>
      </c>
      <c r="D46" s="97">
        <f>+E43</f>
        <v>219705818</v>
      </c>
      <c r="E46" s="60">
        <f>+-12152732+377627402-E45</f>
        <v>197905999</v>
      </c>
      <c r="F46" s="49">
        <f>+C46+-D46+E46</f>
        <v>184685153</v>
      </c>
      <c r="G46" s="142">
        <f>+O39</f>
        <v>0.12114999999999999</v>
      </c>
      <c r="H46" s="16">
        <f>F46*G46</f>
        <v>22374606.285949998</v>
      </c>
      <c r="I46" s="126">
        <f>+I45</f>
        <v>0.11132</v>
      </c>
      <c r="J46" s="17">
        <f>F46*I46</f>
        <v>20559151.231959999</v>
      </c>
      <c r="K46" s="170">
        <f>+J46-H46</f>
        <v>-1815455.053989999</v>
      </c>
      <c r="L46" s="128"/>
      <c r="M46" s="128"/>
      <c r="N46" s="11" t="s">
        <v>20</v>
      </c>
      <c r="O46" s="21">
        <v>0.12271</v>
      </c>
      <c r="P46" s="21">
        <v>0.115</v>
      </c>
      <c r="Q46" s="21">
        <v>0.11108999999999999</v>
      </c>
      <c r="R46" s="21">
        <v>7.6230000000000006E-2</v>
      </c>
      <c r="S46" s="21">
        <v>0.12447999999999999</v>
      </c>
      <c r="T46" s="21">
        <v>0.11320000000000001</v>
      </c>
      <c r="U46" s="21">
        <v>9.9010000000000001E-2</v>
      </c>
      <c r="V46" s="21">
        <v>8.5040000000000004E-2</v>
      </c>
      <c r="W46" s="21">
        <v>8.231999999999999E-2</v>
      </c>
    </row>
    <row r="47" spans="2:23" ht="15" x14ac:dyDescent="0.25">
      <c r="B47" s="119" t="s">
        <v>166</v>
      </c>
      <c r="C47" s="165">
        <f>SUM(C45:C46)</f>
        <v>371590299</v>
      </c>
      <c r="D47" s="165">
        <f t="shared" ref="D47" si="11">SUM(D45:D46)</f>
        <v>394997805</v>
      </c>
      <c r="E47" s="165">
        <f t="shared" ref="E47" si="12">SUM(E45:E46)</f>
        <v>365474670</v>
      </c>
      <c r="F47" s="120">
        <f t="shared" ref="F47" si="13">SUM(F45:F46)</f>
        <v>342067164</v>
      </c>
      <c r="G47" s="10"/>
      <c r="H47" s="121">
        <f t="shared" ref="H47" si="14">SUM(H45:H46)</f>
        <v>39894371.750469998</v>
      </c>
      <c r="I47" s="169"/>
      <c r="J47" s="121">
        <f t="shared" ref="J47:K47" si="15">SUM(J45:J46)</f>
        <v>38078916.696479999</v>
      </c>
      <c r="K47" s="168">
        <f t="shared" si="15"/>
        <v>-1815455.053989999</v>
      </c>
      <c r="L47" s="128"/>
      <c r="M47" s="128"/>
      <c r="N47" s="11" t="s">
        <v>21</v>
      </c>
      <c r="O47" s="29">
        <v>0.10594000000000001</v>
      </c>
      <c r="P47" s="29">
        <v>7.8719999999999998E-2</v>
      </c>
      <c r="Q47" s="29">
        <v>8.7080000000000005E-2</v>
      </c>
      <c r="R47" s="29">
        <v>0.11462</v>
      </c>
      <c r="S47" s="29">
        <v>8.8090000000000002E-2</v>
      </c>
      <c r="T47" s="29">
        <v>9.4709999999999989E-2</v>
      </c>
      <c r="U47" s="29">
        <v>7.3180000000000009E-2</v>
      </c>
      <c r="V47" s="29">
        <v>5.7889999999999997E-2</v>
      </c>
      <c r="W47" s="29">
        <v>7.4439999999999992E-2</v>
      </c>
    </row>
    <row r="48" spans="2:23" x14ac:dyDescent="0.2">
      <c r="B48" s="13" t="s">
        <v>168</v>
      </c>
      <c r="C48" s="97">
        <v>160442548</v>
      </c>
      <c r="D48" s="97">
        <f>+E45</f>
        <v>167568671</v>
      </c>
      <c r="E48" s="60">
        <f>293881+171103008</f>
        <v>171396889</v>
      </c>
      <c r="F48" s="49">
        <f>+C48+-D48+E48</f>
        <v>164270766</v>
      </c>
      <c r="G48" s="142">
        <f>+Q40</f>
        <v>0.10749</v>
      </c>
      <c r="H48" s="16">
        <f>F48*G48</f>
        <v>17657464.637340002</v>
      </c>
      <c r="I48" s="126">
        <f>+G48</f>
        <v>0.10749</v>
      </c>
      <c r="J48" s="17">
        <f>F48*I48</f>
        <v>17657464.637340002</v>
      </c>
      <c r="K48" s="170">
        <f>+J48-H48</f>
        <v>0</v>
      </c>
      <c r="L48" s="128"/>
      <c r="M48" s="128"/>
      <c r="N48" s="32"/>
      <c r="O48" s="33"/>
      <c r="P48" s="33"/>
      <c r="Q48" s="33"/>
      <c r="R48" s="33"/>
      <c r="S48" s="33"/>
      <c r="T48" s="33"/>
      <c r="U48" s="33"/>
      <c r="V48" s="33"/>
      <c r="W48" s="33"/>
    </row>
    <row r="49" spans="2:23" x14ac:dyDescent="0.2">
      <c r="B49" s="13" t="s">
        <v>169</v>
      </c>
      <c r="C49" s="97">
        <f>364341066-C48</f>
        <v>203898518</v>
      </c>
      <c r="D49" s="97">
        <f>+E46</f>
        <v>197905999</v>
      </c>
      <c r="E49" s="60">
        <f>697212+373739759-E48</f>
        <v>203040082</v>
      </c>
      <c r="F49" s="49">
        <f>+C49+-D49+E49</f>
        <v>209032601</v>
      </c>
      <c r="G49" s="142">
        <f>+O40</f>
        <v>0.10405</v>
      </c>
      <c r="H49" s="16">
        <f>F49*G49</f>
        <v>21749842.13405</v>
      </c>
      <c r="I49" s="126">
        <f>+I48</f>
        <v>0.10749</v>
      </c>
      <c r="J49" s="17">
        <f>F49*I49</f>
        <v>22468914.281490002</v>
      </c>
      <c r="K49" s="170">
        <f>+J49-H49</f>
        <v>719072.14744000137</v>
      </c>
      <c r="L49" s="128"/>
      <c r="M49" s="128"/>
      <c r="N49" s="30"/>
      <c r="O49" s="31"/>
      <c r="P49" s="31"/>
      <c r="Q49" s="31"/>
      <c r="R49" s="31"/>
      <c r="S49" s="31"/>
      <c r="T49" s="31"/>
      <c r="U49" s="31"/>
      <c r="V49" s="31"/>
      <c r="W49" s="31"/>
    </row>
    <row r="50" spans="2:23" ht="15" x14ac:dyDescent="0.25">
      <c r="B50" s="119" t="s">
        <v>170</v>
      </c>
      <c r="C50" s="165">
        <f>SUM(C48:C49)</f>
        <v>364341066</v>
      </c>
      <c r="D50" s="165">
        <f t="shared" ref="D50" si="16">SUM(D48:D49)</f>
        <v>365474670</v>
      </c>
      <c r="E50" s="165">
        <f t="shared" ref="E50" si="17">SUM(E48:E49)</f>
        <v>374436971</v>
      </c>
      <c r="F50" s="120">
        <f t="shared" ref="F50" si="18">SUM(F48:F49)</f>
        <v>373303367</v>
      </c>
      <c r="G50" s="10"/>
      <c r="H50" s="121">
        <f t="shared" ref="H50" si="19">SUM(H48:H49)</f>
        <v>39407306.771390006</v>
      </c>
      <c r="I50" s="169"/>
      <c r="J50" s="121">
        <f t="shared" ref="J50:K50" si="20">SUM(J48:J49)</f>
        <v>40126378.918830007</v>
      </c>
      <c r="K50" s="168">
        <f t="shared" si="20"/>
        <v>719072.14744000137</v>
      </c>
      <c r="L50" s="128"/>
      <c r="M50" s="128"/>
      <c r="N50" s="30"/>
      <c r="O50" s="31"/>
      <c r="P50" s="31"/>
      <c r="Q50" s="31"/>
      <c r="R50" s="31"/>
      <c r="S50" s="31"/>
      <c r="T50" s="31"/>
      <c r="U50" s="31"/>
      <c r="V50" s="31"/>
      <c r="W50" s="31"/>
    </row>
    <row r="51" spans="2:23" x14ac:dyDescent="0.2">
      <c r="B51" s="13" t="s">
        <v>171</v>
      </c>
      <c r="C51" s="97">
        <v>166434449</v>
      </c>
      <c r="D51" s="97">
        <f>+E48</f>
        <v>171396889</v>
      </c>
      <c r="E51" s="60">
        <f>17714904+166859850</f>
        <v>184574754</v>
      </c>
      <c r="F51" s="49">
        <f>+C51+-D51+E51</f>
        <v>179612314</v>
      </c>
      <c r="G51" s="142">
        <f>+Q41</f>
        <v>9.5449999999999993E-2</v>
      </c>
      <c r="H51" s="16">
        <f>F51*G51</f>
        <v>17143995.371299997</v>
      </c>
      <c r="I51" s="126">
        <f>+G51</f>
        <v>9.5449999999999993E-2</v>
      </c>
      <c r="J51" s="17">
        <f>F51*I51</f>
        <v>17143995.371299997</v>
      </c>
      <c r="K51" s="170">
        <f>+J51-H51</f>
        <v>0</v>
      </c>
      <c r="L51" s="128"/>
      <c r="M51" s="128"/>
      <c r="N51" s="30"/>
      <c r="O51" s="31"/>
      <c r="P51" s="31"/>
      <c r="Q51" s="31"/>
      <c r="R51" s="31"/>
      <c r="S51" s="31"/>
      <c r="T51" s="31"/>
      <c r="U51" s="31"/>
      <c r="V51" s="31"/>
      <c r="W51" s="31"/>
    </row>
    <row r="52" spans="2:23" x14ac:dyDescent="0.2">
      <c r="B52" s="13" t="s">
        <v>172</v>
      </c>
      <c r="C52" s="97">
        <f>374991706-C51</f>
        <v>208557257</v>
      </c>
      <c r="D52" s="97">
        <f>+E49</f>
        <v>203040082</v>
      </c>
      <c r="E52" s="60">
        <f>42027372+349619994-E51</f>
        <v>207072612</v>
      </c>
      <c r="F52" s="49">
        <f>+C52+-D52+E52</f>
        <v>212589787</v>
      </c>
      <c r="G52" s="142">
        <f>+O41</f>
        <v>0.11650000000000001</v>
      </c>
      <c r="H52" s="16">
        <f>F52*G52</f>
        <v>24766710.1855</v>
      </c>
      <c r="I52" s="126">
        <f>+I51</f>
        <v>9.5449999999999993E-2</v>
      </c>
      <c r="J52" s="17">
        <f>F52*I52</f>
        <v>20291695.169149999</v>
      </c>
      <c r="K52" s="170">
        <f>+J52-H52</f>
        <v>-4475015.0163500011</v>
      </c>
      <c r="L52" s="128"/>
      <c r="M52" s="128"/>
      <c r="N52" s="30"/>
      <c r="O52" s="31"/>
      <c r="P52" s="31"/>
      <c r="Q52" s="31"/>
      <c r="R52" s="31"/>
      <c r="S52" s="31"/>
      <c r="T52" s="31"/>
      <c r="U52" s="31"/>
      <c r="V52" s="31"/>
      <c r="W52" s="31"/>
    </row>
    <row r="53" spans="2:23" ht="15" x14ac:dyDescent="0.25">
      <c r="B53" s="119" t="s">
        <v>173</v>
      </c>
      <c r="C53" s="165">
        <f>SUM(C51:C52)</f>
        <v>374991706</v>
      </c>
      <c r="D53" s="165">
        <f t="shared" ref="D53" si="21">SUM(D51:D52)</f>
        <v>374436971</v>
      </c>
      <c r="E53" s="165">
        <f t="shared" ref="E53" si="22">SUM(E51:E52)</f>
        <v>391647366</v>
      </c>
      <c r="F53" s="120">
        <f t="shared" ref="F53" si="23">SUM(F51:F52)</f>
        <v>392202101</v>
      </c>
      <c r="G53" s="10"/>
      <c r="H53" s="121">
        <f t="shared" ref="H53" si="24">SUM(H51:H52)</f>
        <v>41910705.556799993</v>
      </c>
      <c r="I53" s="169"/>
      <c r="J53" s="121">
        <f t="shared" ref="J53:K53" si="25">SUM(J51:J52)</f>
        <v>37435690.540449992</v>
      </c>
      <c r="K53" s="168">
        <f t="shared" si="25"/>
        <v>-4475015.0163500011</v>
      </c>
      <c r="L53" s="128"/>
      <c r="M53" s="128"/>
      <c r="N53" s="30"/>
      <c r="O53" s="31"/>
      <c r="P53" s="31"/>
      <c r="Q53" s="31"/>
      <c r="R53" s="31"/>
      <c r="S53" s="31"/>
      <c r="T53" s="31"/>
      <c r="U53" s="31"/>
      <c r="V53" s="31"/>
      <c r="W53" s="31"/>
    </row>
    <row r="54" spans="2:23" x14ac:dyDescent="0.2">
      <c r="B54" s="13" t="s">
        <v>174</v>
      </c>
      <c r="C54" s="97">
        <v>167639867</v>
      </c>
      <c r="D54" s="97">
        <f>+E51</f>
        <v>184574754</v>
      </c>
      <c r="E54" s="98">
        <v>189360483</v>
      </c>
      <c r="F54" s="49">
        <f>+C54+-D54+E54</f>
        <v>172425596</v>
      </c>
      <c r="G54" s="142">
        <f>+Q42</f>
        <v>8.3059999999999995E-2</v>
      </c>
      <c r="H54" s="16">
        <f>F54*G54</f>
        <v>14321670.003759999</v>
      </c>
      <c r="I54" s="126">
        <f>+G54</f>
        <v>8.3059999999999995E-2</v>
      </c>
      <c r="J54" s="17">
        <f>F54*I54</f>
        <v>14321670.003759999</v>
      </c>
      <c r="K54" s="170">
        <f>+J54-H54</f>
        <v>0</v>
      </c>
      <c r="L54" s="128"/>
      <c r="M54" s="128"/>
      <c r="N54" s="30"/>
      <c r="O54" s="31"/>
      <c r="P54" s="31"/>
      <c r="Q54" s="31"/>
      <c r="R54" s="31"/>
      <c r="S54" s="31"/>
      <c r="T54" s="31"/>
      <c r="U54" s="31"/>
      <c r="V54" s="31"/>
      <c r="W54" s="31"/>
    </row>
    <row r="55" spans="2:23" x14ac:dyDescent="0.2">
      <c r="B55" s="13" t="s">
        <v>175</v>
      </c>
      <c r="C55" s="97">
        <f>339456873-C54</f>
        <v>171817006</v>
      </c>
      <c r="D55" s="97">
        <f>+E52</f>
        <v>207072612</v>
      </c>
      <c r="E55" s="98">
        <f>8877139+416785184-E54</f>
        <v>236301840</v>
      </c>
      <c r="F55" s="49">
        <f>+C55+-D55+E55</f>
        <v>201046234</v>
      </c>
      <c r="G55" s="142">
        <f>+O42</f>
        <v>7.6670000000000002E-2</v>
      </c>
      <c r="H55" s="16">
        <f>F55*G55</f>
        <v>15414214.760780001</v>
      </c>
      <c r="I55" s="126">
        <f>+I54</f>
        <v>8.3059999999999995E-2</v>
      </c>
      <c r="J55" s="17">
        <f>F55*I55</f>
        <v>16698900.196039999</v>
      </c>
      <c r="K55" s="170">
        <f>+J55-H55</f>
        <v>1284685.4352599978</v>
      </c>
      <c r="L55" s="128"/>
      <c r="M55" s="128"/>
      <c r="N55" s="30"/>
      <c r="O55" s="31"/>
      <c r="P55" s="31"/>
      <c r="Q55" s="31"/>
      <c r="R55" s="31"/>
      <c r="S55" s="31"/>
      <c r="T55" s="31"/>
      <c r="U55" s="31"/>
      <c r="V55" s="31"/>
      <c r="W55" s="31"/>
    </row>
    <row r="56" spans="2:23" ht="15" x14ac:dyDescent="0.25">
      <c r="B56" s="119" t="s">
        <v>176</v>
      </c>
      <c r="C56" s="165">
        <f>SUM(C54:C55)</f>
        <v>339456873</v>
      </c>
      <c r="D56" s="165">
        <f t="shared" ref="D56" si="26">SUM(D54:D55)</f>
        <v>391647366</v>
      </c>
      <c r="E56" s="165">
        <f t="shared" ref="E56" si="27">SUM(E54:E55)</f>
        <v>425662323</v>
      </c>
      <c r="F56" s="120">
        <f t="shared" ref="F56" si="28">SUM(F54:F55)</f>
        <v>373471830</v>
      </c>
      <c r="G56" s="18"/>
      <c r="H56" s="121">
        <f t="shared" ref="H56" si="29">SUM(H54:H55)</f>
        <v>29735884.764540002</v>
      </c>
      <c r="I56" s="171"/>
      <c r="J56" s="121">
        <f t="shared" ref="J56:K56" si="30">SUM(J54:J55)</f>
        <v>31020570.1998</v>
      </c>
      <c r="K56" s="168">
        <f t="shared" si="30"/>
        <v>1284685.4352599978</v>
      </c>
      <c r="L56" s="128"/>
      <c r="M56" s="128"/>
      <c r="N56" s="30"/>
      <c r="O56" s="30"/>
      <c r="P56" s="30"/>
      <c r="Q56" s="30"/>
      <c r="R56" s="30"/>
      <c r="S56" s="30"/>
      <c r="T56" s="30"/>
      <c r="U56" s="30"/>
      <c r="V56" s="30"/>
      <c r="W56" s="30"/>
    </row>
    <row r="57" spans="2:23" x14ac:dyDescent="0.2">
      <c r="B57" s="13" t="s">
        <v>177</v>
      </c>
      <c r="C57" s="60">
        <v>171160211</v>
      </c>
      <c r="D57" s="97">
        <f>+E54</f>
        <v>189360483</v>
      </c>
      <c r="E57" s="98">
        <f>16123586+185999510</f>
        <v>202123096</v>
      </c>
      <c r="F57" s="49">
        <f>+C57+-D57+E57</f>
        <v>183922824</v>
      </c>
      <c r="G57" s="142">
        <f>+Q43</f>
        <v>7.1029999999999996E-2</v>
      </c>
      <c r="H57" s="16">
        <f>F57*G57</f>
        <v>13064038.188719999</v>
      </c>
      <c r="I57" s="126">
        <f>+G57</f>
        <v>7.1029999999999996E-2</v>
      </c>
      <c r="J57" s="17">
        <f>F57*I57</f>
        <v>13064038.188719999</v>
      </c>
      <c r="K57" s="170">
        <f>+J57-H57</f>
        <v>0</v>
      </c>
      <c r="L57" s="128"/>
      <c r="M57" s="128"/>
      <c r="O57" s="30"/>
      <c r="P57" s="30"/>
      <c r="Q57" s="30"/>
      <c r="R57" s="30"/>
      <c r="S57" s="30"/>
      <c r="T57" s="30"/>
      <c r="U57" s="30"/>
      <c r="V57" s="30"/>
      <c r="W57" s="30"/>
    </row>
    <row r="58" spans="2:23" x14ac:dyDescent="0.2">
      <c r="B58" s="13" t="s">
        <v>178</v>
      </c>
      <c r="C58" s="60">
        <f>411335821-C57</f>
        <v>240175610</v>
      </c>
      <c r="D58" s="97">
        <f>+E55</f>
        <v>236301840</v>
      </c>
      <c r="E58" s="98">
        <f>38252081+411459507-E57</f>
        <v>247588492</v>
      </c>
      <c r="F58" s="49">
        <f>+C58+-D58+E58</f>
        <v>251462262</v>
      </c>
      <c r="G58" s="142">
        <f>+O43</f>
        <v>8.5690000000000002E-2</v>
      </c>
      <c r="H58" s="16">
        <f>F58*G58</f>
        <v>21547801.230780002</v>
      </c>
      <c r="I58" s="126">
        <f>+I57</f>
        <v>7.1029999999999996E-2</v>
      </c>
      <c r="J58" s="17">
        <f>F58*I58</f>
        <v>17861364.469859999</v>
      </c>
      <c r="K58" s="170">
        <f>+J58-H58</f>
        <v>-3686436.7609200031</v>
      </c>
      <c r="L58" s="128"/>
      <c r="M58" s="128"/>
      <c r="O58" s="30"/>
      <c r="P58" s="30"/>
      <c r="Q58" s="30"/>
      <c r="R58" s="30"/>
      <c r="S58" s="30"/>
      <c r="T58" s="30"/>
      <c r="U58" s="30"/>
      <c r="V58" s="30"/>
      <c r="W58" s="30"/>
    </row>
    <row r="59" spans="2:23" ht="15" x14ac:dyDescent="0.25">
      <c r="B59" s="119" t="s">
        <v>179</v>
      </c>
      <c r="C59" s="165">
        <f>SUM(C57:C58)</f>
        <v>411335821</v>
      </c>
      <c r="D59" s="165">
        <f t="shared" ref="D59" si="31">SUM(D57:D58)</f>
        <v>425662323</v>
      </c>
      <c r="E59" s="165">
        <f t="shared" ref="E59" si="32">SUM(E57:E58)</f>
        <v>449711588</v>
      </c>
      <c r="F59" s="120">
        <f t="shared" ref="F59" si="33">SUM(F57:F58)</f>
        <v>435385086</v>
      </c>
      <c r="G59" s="18"/>
      <c r="H59" s="121">
        <f t="shared" ref="H59" si="34">SUM(H57:H58)</f>
        <v>34611839.419500001</v>
      </c>
      <c r="I59" s="171"/>
      <c r="J59" s="121">
        <f t="shared" ref="J59:K59" si="35">SUM(J57:J58)</f>
        <v>30925402.658579998</v>
      </c>
      <c r="K59" s="168">
        <f t="shared" si="35"/>
        <v>-3686436.7609200031</v>
      </c>
      <c r="L59" s="128"/>
      <c r="M59" s="128"/>
      <c r="N59" s="81"/>
      <c r="O59" s="81"/>
      <c r="P59" s="81"/>
      <c r="Q59" s="81"/>
    </row>
    <row r="60" spans="2:23" x14ac:dyDescent="0.2">
      <c r="B60" s="13" t="s">
        <v>180</v>
      </c>
      <c r="C60" s="60">
        <v>182191497</v>
      </c>
      <c r="D60" s="97">
        <f>+E57</f>
        <v>202123096</v>
      </c>
      <c r="E60" s="98">
        <f>-19157879+186928754</f>
        <v>167770875</v>
      </c>
      <c r="F60" s="49">
        <f>+C60+-D60+E60</f>
        <v>147839276</v>
      </c>
      <c r="G60" s="142">
        <f>+Q44</f>
        <v>9.5310000000000006E-2</v>
      </c>
      <c r="H60" s="16">
        <f>F60*G60</f>
        <v>14090561.39556</v>
      </c>
      <c r="I60" s="126">
        <f>+G60</f>
        <v>9.5310000000000006E-2</v>
      </c>
      <c r="J60" s="17">
        <f>F60*I60</f>
        <v>14090561.39556</v>
      </c>
      <c r="K60" s="170">
        <f>+J60-H60</f>
        <v>0</v>
      </c>
      <c r="L60" s="128"/>
      <c r="M60" s="128"/>
      <c r="N60" s="81"/>
      <c r="O60" s="81"/>
      <c r="P60" s="81"/>
      <c r="Q60" s="81"/>
    </row>
    <row r="61" spans="2:23" x14ac:dyDescent="0.2">
      <c r="B61" s="13" t="s">
        <v>181</v>
      </c>
      <c r="C61" s="60">
        <f>411710597-C60</f>
        <v>229519100</v>
      </c>
      <c r="D61" s="97">
        <f>+E58</f>
        <v>247588492</v>
      </c>
      <c r="E61" s="98">
        <f>-45450729+405385500-E60</f>
        <v>192163896</v>
      </c>
      <c r="F61" s="49">
        <f>+C61+-D61+E61</f>
        <v>174094504</v>
      </c>
      <c r="G61" s="142">
        <f>+O44</f>
        <v>7.0599999999999996E-2</v>
      </c>
      <c r="H61" s="16">
        <f>F61*G61</f>
        <v>12291071.9824</v>
      </c>
      <c r="I61" s="126">
        <f>+I60</f>
        <v>9.5310000000000006E-2</v>
      </c>
      <c r="J61" s="17">
        <f>F61*I61</f>
        <v>16592947.176240001</v>
      </c>
      <c r="K61" s="170">
        <f>+J61-H61</f>
        <v>4301875.1938400008</v>
      </c>
      <c r="L61" s="128"/>
      <c r="M61" s="128"/>
      <c r="N61" s="81"/>
      <c r="O61" s="81"/>
      <c r="P61" s="81"/>
      <c r="Q61" s="81"/>
    </row>
    <row r="62" spans="2:23" ht="15" x14ac:dyDescent="0.25">
      <c r="B62" s="119" t="s">
        <v>182</v>
      </c>
      <c r="C62" s="165">
        <f>SUM(C60:C61)</f>
        <v>411710597</v>
      </c>
      <c r="D62" s="165">
        <f t="shared" ref="D62" si="36">SUM(D60:D61)</f>
        <v>449711588</v>
      </c>
      <c r="E62" s="165">
        <f t="shared" ref="E62" si="37">SUM(E60:E61)</f>
        <v>359934771</v>
      </c>
      <c r="F62" s="120">
        <f t="shared" ref="F62" si="38">SUM(F60:F61)</f>
        <v>321933780</v>
      </c>
      <c r="G62" s="18"/>
      <c r="H62" s="121">
        <f t="shared" ref="H62" si="39">SUM(H60:H61)</f>
        <v>26381633.37796</v>
      </c>
      <c r="I62" s="171"/>
      <c r="J62" s="121">
        <f t="shared" ref="J62:K62" si="40">SUM(J60:J61)</f>
        <v>30683508.571800001</v>
      </c>
      <c r="K62" s="168">
        <f t="shared" si="40"/>
        <v>4301875.1938400008</v>
      </c>
      <c r="L62" s="128"/>
      <c r="M62" s="128"/>
      <c r="N62" s="81"/>
      <c r="O62" s="81"/>
      <c r="P62" s="81"/>
      <c r="Q62" s="81"/>
    </row>
    <row r="63" spans="2:23" x14ac:dyDescent="0.2">
      <c r="B63" s="13" t="s">
        <v>183</v>
      </c>
      <c r="C63" s="60">
        <v>164631019</v>
      </c>
      <c r="D63" s="97">
        <f>+E60</f>
        <v>167770875</v>
      </c>
      <c r="E63" s="98">
        <f>-32323688+193382040</f>
        <v>161058352</v>
      </c>
      <c r="F63" s="49">
        <f>+C63+-D63+E63</f>
        <v>157918496</v>
      </c>
      <c r="G63" s="142">
        <f>+Q45</f>
        <v>0.11226</v>
      </c>
      <c r="H63" s="16">
        <f>F63*G63</f>
        <v>17727930.360959999</v>
      </c>
      <c r="I63" s="126">
        <f>+G63</f>
        <v>0.11226</v>
      </c>
      <c r="J63" s="17">
        <f>F63*I63</f>
        <v>17727930.360959999</v>
      </c>
      <c r="K63" s="170">
        <f>+J63-H63</f>
        <v>0</v>
      </c>
      <c r="L63" s="128"/>
      <c r="M63" s="128"/>
      <c r="N63" s="81"/>
      <c r="O63" s="81"/>
      <c r="P63" s="81"/>
      <c r="Q63" s="81"/>
    </row>
    <row r="64" spans="2:23" x14ac:dyDescent="0.2">
      <c r="B64" s="13" t="s">
        <v>184</v>
      </c>
      <c r="C64" s="60">
        <f>372048320-C63</f>
        <v>207417301</v>
      </c>
      <c r="D64" s="97">
        <f>+E61</f>
        <v>192163896</v>
      </c>
      <c r="E64" s="98">
        <f>+-76685691+412143014-E63</f>
        <v>174398971</v>
      </c>
      <c r="F64" s="49">
        <f>+C64+-D64+E64</f>
        <v>189652376</v>
      </c>
      <c r="G64" s="142">
        <f>+O45</f>
        <v>9.7199999999999995E-2</v>
      </c>
      <c r="H64" s="16">
        <f>F64*G64</f>
        <v>18434210.9472</v>
      </c>
      <c r="I64" s="126">
        <f>+I63</f>
        <v>0.11226</v>
      </c>
      <c r="J64" s="17">
        <f>F64*I64</f>
        <v>21290375.729759999</v>
      </c>
      <c r="K64" s="170">
        <f>+J64-H64</f>
        <v>2856164.7825599983</v>
      </c>
      <c r="L64" s="128"/>
      <c r="M64" s="128"/>
      <c r="N64" s="81"/>
      <c r="O64" s="81"/>
      <c r="P64" s="81"/>
      <c r="Q64" s="81"/>
    </row>
    <row r="65" spans="1:24" ht="15" x14ac:dyDescent="0.25">
      <c r="B65" s="119" t="s">
        <v>185</v>
      </c>
      <c r="C65" s="165">
        <f>SUM(C63:C64)</f>
        <v>372048320</v>
      </c>
      <c r="D65" s="165">
        <f t="shared" ref="D65" si="41">SUM(D63:D64)</f>
        <v>359934771</v>
      </c>
      <c r="E65" s="165">
        <f t="shared" ref="E65" si="42">SUM(E63:E64)</f>
        <v>335457323</v>
      </c>
      <c r="F65" s="120">
        <f t="shared" ref="F65" si="43">SUM(F63:F64)</f>
        <v>347570872</v>
      </c>
      <c r="G65" s="18"/>
      <c r="H65" s="121">
        <f t="shared" ref="H65" si="44">SUM(H63:H64)</f>
        <v>36162141.30816</v>
      </c>
      <c r="I65" s="171"/>
      <c r="J65" s="121">
        <f t="shared" ref="J65:K65" si="45">SUM(J63:J64)</f>
        <v>39018306.090719998</v>
      </c>
      <c r="K65" s="168">
        <f t="shared" si="45"/>
        <v>2856164.7825599983</v>
      </c>
      <c r="L65" s="134"/>
      <c r="M65" s="134"/>
      <c r="N65" s="135"/>
      <c r="O65" s="81"/>
      <c r="P65" s="81"/>
      <c r="Q65" s="81"/>
    </row>
    <row r="66" spans="1:24" x14ac:dyDescent="0.2">
      <c r="B66" s="13" t="s">
        <v>186</v>
      </c>
      <c r="C66" s="60">
        <v>158264557</v>
      </c>
      <c r="D66" s="97">
        <f>+E63</f>
        <v>161058352</v>
      </c>
      <c r="E66" s="98">
        <f>-3863931+160726877</f>
        <v>156862946</v>
      </c>
      <c r="F66" s="49">
        <f>+C66+-D66+E66</f>
        <v>154069151</v>
      </c>
      <c r="G66" s="142">
        <f>+Q46</f>
        <v>0.11108999999999999</v>
      </c>
      <c r="H66" s="16">
        <f>F66*G66</f>
        <v>17115541.984589998</v>
      </c>
      <c r="I66" s="126">
        <f>+G66</f>
        <v>0.11108999999999999</v>
      </c>
      <c r="J66" s="17">
        <f>F66*I66</f>
        <v>17115541.984589998</v>
      </c>
      <c r="K66" s="170">
        <f>+J66-H66</f>
        <v>0</v>
      </c>
      <c r="L66" s="128"/>
      <c r="M66" s="128"/>
    </row>
    <row r="67" spans="1:24" x14ac:dyDescent="0.2">
      <c r="B67" s="13" t="s">
        <v>187</v>
      </c>
      <c r="C67" s="60">
        <f>374608703-C66</f>
        <v>216344146</v>
      </c>
      <c r="D67" s="97">
        <f>+E64</f>
        <v>174398971</v>
      </c>
      <c r="E67" s="98">
        <f>+-9166906+341206569-E66</f>
        <v>175176717</v>
      </c>
      <c r="F67" s="49">
        <f>+C67+-D67+E67</f>
        <v>217121892</v>
      </c>
      <c r="G67" s="142">
        <f>+O46</f>
        <v>0.12271</v>
      </c>
      <c r="H67" s="16">
        <f>F67*G67</f>
        <v>26643027.367320001</v>
      </c>
      <c r="I67" s="126">
        <f>+I66</f>
        <v>0.11108999999999999</v>
      </c>
      <c r="J67" s="17">
        <f>F67*I67</f>
        <v>24120070.982279997</v>
      </c>
      <c r="K67" s="170">
        <f>+J67-H67</f>
        <v>-2522956.3850400038</v>
      </c>
      <c r="L67" s="128"/>
      <c r="M67" s="128"/>
    </row>
    <row r="68" spans="1:24" ht="15" x14ac:dyDescent="0.25">
      <c r="B68" s="119" t="s">
        <v>188</v>
      </c>
      <c r="C68" s="165">
        <f>SUM(C66:C67)</f>
        <v>374608703</v>
      </c>
      <c r="D68" s="165">
        <f t="shared" ref="D68" si="46">SUM(D66:D67)</f>
        <v>335457323</v>
      </c>
      <c r="E68" s="165">
        <f t="shared" ref="E68" si="47">SUM(E66:E67)</f>
        <v>332039663</v>
      </c>
      <c r="F68" s="120">
        <f t="shared" ref="F68" si="48">SUM(F66:F67)</f>
        <v>371191043</v>
      </c>
      <c r="G68" s="18"/>
      <c r="H68" s="121">
        <f t="shared" ref="H68" si="49">SUM(H66:H67)</f>
        <v>43758569.351909995</v>
      </c>
      <c r="I68" s="171"/>
      <c r="J68" s="121">
        <f t="shared" ref="J68:K68" si="50">SUM(J66:J67)</f>
        <v>41235612.966869995</v>
      </c>
      <c r="K68" s="168">
        <f t="shared" si="50"/>
        <v>-2522956.3850400038</v>
      </c>
      <c r="L68" s="128"/>
      <c r="M68" s="128"/>
    </row>
    <row r="69" spans="1:24" x14ac:dyDescent="0.2">
      <c r="B69" s="13" t="s">
        <v>189</v>
      </c>
      <c r="C69" s="99">
        <v>158944711</v>
      </c>
      <c r="D69" s="97">
        <f>+E66</f>
        <v>156862946</v>
      </c>
      <c r="E69" s="98">
        <f>8442638+172421120</f>
        <v>180863758</v>
      </c>
      <c r="F69" s="49">
        <f>+C69+-D69+E69</f>
        <v>182945523</v>
      </c>
      <c r="G69" s="144">
        <f>+Q47</f>
        <v>8.7080000000000005E-2</v>
      </c>
      <c r="H69" s="16">
        <f>F69*G69</f>
        <v>15930896.142840002</v>
      </c>
      <c r="I69" s="126">
        <f>+G69</f>
        <v>8.7080000000000005E-2</v>
      </c>
      <c r="J69" s="17">
        <f>F69*I69</f>
        <v>15930896.142840002</v>
      </c>
      <c r="K69" s="170">
        <f>+J69-H69</f>
        <v>0</v>
      </c>
      <c r="L69" s="128"/>
      <c r="M69" s="128"/>
    </row>
    <row r="70" spans="1:24" x14ac:dyDescent="0.2">
      <c r="B70" s="13" t="s">
        <v>190</v>
      </c>
      <c r="C70" s="99">
        <f>330377680-C69</f>
        <v>171432969</v>
      </c>
      <c r="D70" s="97">
        <f>+E67</f>
        <v>175176717</v>
      </c>
      <c r="E70" s="98">
        <f>18298686+383732127-E69</f>
        <v>221167055</v>
      </c>
      <c r="F70" s="49">
        <f>+C70+-D70+E70</f>
        <v>217423307</v>
      </c>
      <c r="G70" s="142">
        <f>+O47</f>
        <v>0.10594000000000001</v>
      </c>
      <c r="H70" s="16">
        <f>F70*G70</f>
        <v>23033825.143580001</v>
      </c>
      <c r="I70" s="126">
        <f>+I69</f>
        <v>8.7080000000000005E-2</v>
      </c>
      <c r="J70" s="17">
        <f>F70*I70</f>
        <v>18933221.573559999</v>
      </c>
      <c r="K70" s="170">
        <f>+J70-H70</f>
        <v>-4100603.5700200014</v>
      </c>
      <c r="L70" s="128"/>
      <c r="M70" s="128"/>
    </row>
    <row r="71" spans="1:24" ht="15" x14ac:dyDescent="0.25">
      <c r="B71" s="119" t="s">
        <v>191</v>
      </c>
      <c r="C71" s="165">
        <f>SUM(C69:C70)</f>
        <v>330377680</v>
      </c>
      <c r="D71" s="165">
        <f t="shared" ref="D71" si="51">SUM(D69:D70)</f>
        <v>332039663</v>
      </c>
      <c r="E71" s="165">
        <f t="shared" ref="E71" si="52">SUM(E69:E70)</f>
        <v>402030813</v>
      </c>
      <c r="F71" s="120">
        <f t="shared" ref="F71" si="53">SUM(F69:F70)</f>
        <v>400368830</v>
      </c>
      <c r="G71" s="18"/>
      <c r="H71" s="121">
        <f t="shared" ref="H71" si="54">SUM(H69:H70)</f>
        <v>38964721.286420003</v>
      </c>
      <c r="I71" s="167"/>
      <c r="J71" s="121">
        <f t="shared" ref="J71:K71" si="55">SUM(J69:J70)</f>
        <v>34864117.716399997</v>
      </c>
      <c r="K71" s="168">
        <f t="shared" si="55"/>
        <v>-4100603.5700200014</v>
      </c>
      <c r="L71" s="128"/>
      <c r="M71" s="128"/>
    </row>
    <row r="72" spans="1:24" x14ac:dyDescent="0.2">
      <c r="B72" s="13" t="s">
        <v>199</v>
      </c>
      <c r="C72" s="60">
        <f t="shared" ref="C72:C74" si="56">+C36+C39+C42+C45+C48+C51+C54+C57+C60+C63+C66+C69</f>
        <v>1979900341</v>
      </c>
      <c r="D72" s="60">
        <f t="shared" ref="D72:D74" si="57">+D36+D39+D42+D45+D48+D51+D54+D57+D60+D63+D66+D69</f>
        <v>2091928739</v>
      </c>
      <c r="E72" s="60">
        <f t="shared" ref="E72:E74" si="58">+E36+E39+E42+E45+E48+E51+E54+E57+E60+E63+E66+E69</f>
        <v>2100861425</v>
      </c>
      <c r="F72" s="49">
        <f>+C72+-D72+E72</f>
        <v>1988833027</v>
      </c>
      <c r="G72" s="18"/>
      <c r="H72" s="132">
        <f>+H36+H39+H42+H45+H48+H51+H54+H57+H60+H63+H66+H69</f>
        <v>192940494.30686</v>
      </c>
      <c r="I72" s="167"/>
      <c r="J72" s="132">
        <f>+J36+J39+J42+J45+J48+J51+J54+J57+J60+J63+J66+J69</f>
        <v>192940494.30686</v>
      </c>
      <c r="K72" s="170">
        <f>+K36+K39+K42+K45+K48+K51+K54+K57+K60+K63+K66+K69</f>
        <v>0</v>
      </c>
      <c r="L72" s="128"/>
      <c r="M72" s="128"/>
    </row>
    <row r="73" spans="1:24" x14ac:dyDescent="0.2">
      <c r="B73" s="13" t="s">
        <v>200</v>
      </c>
      <c r="C73" s="60">
        <f t="shared" si="56"/>
        <v>2455169319</v>
      </c>
      <c r="D73" s="60">
        <f t="shared" si="57"/>
        <v>2542898972</v>
      </c>
      <c r="E73" s="60">
        <f t="shared" si="58"/>
        <v>2546358659</v>
      </c>
      <c r="F73" s="49">
        <f>+C73+-D73+E73</f>
        <v>2458629006</v>
      </c>
      <c r="G73" s="18"/>
      <c r="H73" s="132">
        <f t="shared" ref="H73:H74" si="59">+H37+H40+H43+H46+H49+H52+H55+H58+H61+H64+H67+H70</f>
        <v>241856288.25507998</v>
      </c>
      <c r="I73" s="167"/>
      <c r="J73" s="132">
        <f t="shared" ref="J73:K73" si="60">+J37+J40+J43+J46+J49+J52+J55+J58+J61+J64+J67+J70</f>
        <v>238158575.52922994</v>
      </c>
      <c r="K73" s="170">
        <f t="shared" si="60"/>
        <v>-3697712.7258500084</v>
      </c>
      <c r="L73" s="128"/>
      <c r="M73" s="128"/>
    </row>
    <row r="74" spans="1:24" ht="15.75" thickBot="1" x14ac:dyDescent="0.3">
      <c r="B74" s="181" t="s">
        <v>198</v>
      </c>
      <c r="C74" s="174">
        <f t="shared" si="56"/>
        <v>4435069660</v>
      </c>
      <c r="D74" s="174">
        <f t="shared" si="57"/>
        <v>4634827711</v>
      </c>
      <c r="E74" s="174">
        <f t="shared" si="58"/>
        <v>4647220084</v>
      </c>
      <c r="F74" s="174">
        <f>+F38+F41+F44+F47+F50+F53+F56+F59+F62+F65+F68+F71</f>
        <v>4447462033</v>
      </c>
      <c r="G74" s="182"/>
      <c r="H74" s="183">
        <f t="shared" si="59"/>
        <v>434796782.56194007</v>
      </c>
      <c r="I74" s="184"/>
      <c r="J74" s="183">
        <f t="shared" ref="J74:K74" si="61">+J38+J41+J44+J47+J50+J53+J56+J59+J62+J65+J68+J71</f>
        <v>431099069.83608997</v>
      </c>
      <c r="K74" s="185">
        <f t="shared" si="61"/>
        <v>-3697712.7258500084</v>
      </c>
      <c r="L74" s="128"/>
      <c r="M74" s="128"/>
    </row>
    <row r="75" spans="1:24" x14ac:dyDescent="0.2">
      <c r="A75" s="1" t="s">
        <v>39</v>
      </c>
      <c r="G75" s="4"/>
      <c r="H75" s="4"/>
      <c r="I75" s="4"/>
      <c r="J75" s="70" t="s">
        <v>140</v>
      </c>
      <c r="K75" s="180">
        <v>-9817314</v>
      </c>
    </row>
    <row r="76" spans="1:24" ht="15" thickBot="1" x14ac:dyDescent="0.25">
      <c r="G76" s="4"/>
      <c r="H76" s="4"/>
      <c r="I76" s="4"/>
      <c r="J76" s="70" t="s">
        <v>86</v>
      </c>
      <c r="K76" s="148">
        <f>+K75-K74</f>
        <v>-6119601.2741499916</v>
      </c>
    </row>
    <row r="77" spans="1:24" ht="15" thickTop="1" x14ac:dyDescent="0.2">
      <c r="B77" s="36"/>
      <c r="I77" s="55"/>
      <c r="J77" s="56"/>
      <c r="K77" s="172"/>
    </row>
    <row r="78" spans="1:24" ht="15" x14ac:dyDescent="0.25">
      <c r="H78" s="131" t="s">
        <v>201</v>
      </c>
      <c r="I78" s="136">
        <v>0.01</v>
      </c>
      <c r="J78" s="137">
        <f>+J74*I78</f>
        <v>4310990.6983608995</v>
      </c>
      <c r="K78" s="138"/>
    </row>
    <row r="79" spans="1:24" ht="15" x14ac:dyDescent="0.25">
      <c r="A79" s="1" t="s">
        <v>40</v>
      </c>
      <c r="B79" s="45" t="s">
        <v>54</v>
      </c>
      <c r="C79" s="2"/>
      <c r="N79" s="36"/>
      <c r="O79" s="36"/>
      <c r="P79" s="36"/>
      <c r="Q79" s="36"/>
      <c r="R79" s="36"/>
      <c r="S79" s="36"/>
      <c r="X79" s="30"/>
    </row>
    <row r="80" spans="1:24" ht="15" x14ac:dyDescent="0.25">
      <c r="B80" s="3"/>
      <c r="C80" s="2"/>
      <c r="N80" s="36"/>
      <c r="O80" s="36"/>
      <c r="P80" s="36"/>
      <c r="Q80" s="36"/>
      <c r="R80" s="36"/>
      <c r="S80" s="36"/>
      <c r="X80" s="30"/>
    </row>
    <row r="81" spans="1:19" ht="75" x14ac:dyDescent="0.25">
      <c r="A81" s="11"/>
      <c r="B81" s="14" t="s">
        <v>51</v>
      </c>
      <c r="C81" s="47" t="s">
        <v>73</v>
      </c>
      <c r="D81" s="47" t="s">
        <v>133</v>
      </c>
      <c r="E81" s="211" t="s">
        <v>50</v>
      </c>
      <c r="F81" s="211"/>
      <c r="G81" s="211"/>
      <c r="H81" s="211"/>
      <c r="I81" s="211"/>
      <c r="N81" s="36"/>
      <c r="O81" s="36"/>
      <c r="P81" s="36"/>
      <c r="Q81" s="36"/>
      <c r="R81" s="36"/>
      <c r="S81" s="36"/>
    </row>
    <row r="82" spans="1:19" ht="42.75" x14ac:dyDescent="0.2">
      <c r="A82" s="72" t="s">
        <v>57</v>
      </c>
      <c r="B82" s="48" t="s">
        <v>68</v>
      </c>
      <c r="C82" s="139" t="s">
        <v>202</v>
      </c>
      <c r="D82" s="140"/>
      <c r="E82" s="207" t="s">
        <v>205</v>
      </c>
      <c r="F82" s="207"/>
      <c r="G82" s="207"/>
      <c r="H82" s="207"/>
      <c r="I82" s="207"/>
      <c r="N82" s="36"/>
      <c r="O82" s="36"/>
      <c r="P82" s="36"/>
      <c r="Q82" s="36"/>
      <c r="R82" s="36"/>
      <c r="S82" s="36"/>
    </row>
    <row r="83" spans="1:19" ht="42.75" x14ac:dyDescent="0.2">
      <c r="A83" s="72" t="s">
        <v>58</v>
      </c>
      <c r="B83" s="48" t="s">
        <v>88</v>
      </c>
      <c r="C83" s="139" t="s">
        <v>202</v>
      </c>
      <c r="D83" s="140"/>
      <c r="E83" s="207" t="s">
        <v>205</v>
      </c>
      <c r="F83" s="207"/>
      <c r="G83" s="207"/>
      <c r="H83" s="207"/>
      <c r="I83" s="207"/>
      <c r="J83" s="81"/>
      <c r="K83" s="135"/>
      <c r="L83" s="135"/>
      <c r="M83" s="135"/>
      <c r="N83" s="164"/>
      <c r="O83" s="164"/>
      <c r="P83" s="36"/>
      <c r="Q83" s="36"/>
      <c r="R83" s="36"/>
      <c r="S83" s="36"/>
    </row>
    <row r="84" spans="1:19" ht="28.5" x14ac:dyDescent="0.2">
      <c r="A84" s="72" t="s">
        <v>71</v>
      </c>
      <c r="B84" s="48" t="s">
        <v>70</v>
      </c>
      <c r="C84" s="139" t="s">
        <v>203</v>
      </c>
      <c r="D84" s="140">
        <v>-3462448.2413299954</v>
      </c>
      <c r="E84" s="207" t="s">
        <v>204</v>
      </c>
      <c r="F84" s="207"/>
      <c r="G84" s="207"/>
      <c r="H84" s="207"/>
      <c r="I84" s="207"/>
      <c r="J84" s="81"/>
      <c r="K84" s="135"/>
      <c r="L84" s="135"/>
      <c r="M84" s="135"/>
      <c r="N84" s="164"/>
      <c r="O84" s="164"/>
      <c r="P84" s="36"/>
      <c r="Q84" s="36"/>
      <c r="R84" s="36"/>
      <c r="S84" s="36"/>
    </row>
    <row r="85" spans="1:19" ht="28.5" x14ac:dyDescent="0.2">
      <c r="A85" s="72" t="s">
        <v>72</v>
      </c>
      <c r="B85" s="48" t="s">
        <v>69</v>
      </c>
      <c r="C85" s="139" t="s">
        <v>203</v>
      </c>
      <c r="D85" s="140">
        <v>-4970749</v>
      </c>
      <c r="E85" s="207" t="s">
        <v>204</v>
      </c>
      <c r="F85" s="207"/>
      <c r="G85" s="207"/>
      <c r="H85" s="207"/>
      <c r="I85" s="207"/>
      <c r="J85" s="81"/>
      <c r="K85" s="135"/>
      <c r="L85" s="135"/>
      <c r="M85" s="135"/>
      <c r="N85" s="164"/>
      <c r="O85" s="164"/>
      <c r="P85" s="36"/>
      <c r="Q85" s="36"/>
      <c r="R85" s="36"/>
      <c r="S85" s="36"/>
    </row>
    <row r="86" spans="1:19" ht="42.75" x14ac:dyDescent="0.2">
      <c r="A86" s="72" t="s">
        <v>76</v>
      </c>
      <c r="B86" s="48" t="s">
        <v>78</v>
      </c>
      <c r="C86" s="139" t="s">
        <v>202</v>
      </c>
      <c r="D86" s="140"/>
      <c r="E86" s="207"/>
      <c r="F86" s="207"/>
      <c r="G86" s="207"/>
      <c r="H86" s="207"/>
      <c r="I86" s="207"/>
      <c r="J86" s="81"/>
      <c r="K86" s="178"/>
      <c r="L86" s="135"/>
      <c r="M86" s="135"/>
      <c r="N86" s="164"/>
      <c r="O86" s="164"/>
      <c r="P86" s="36"/>
      <c r="Q86" s="36"/>
      <c r="R86" s="36"/>
      <c r="S86" s="36"/>
    </row>
    <row r="87" spans="1:19" ht="42.75" x14ac:dyDescent="0.2">
      <c r="A87" s="72" t="s">
        <v>77</v>
      </c>
      <c r="B87" s="48" t="s">
        <v>79</v>
      </c>
      <c r="C87" s="139" t="s">
        <v>202</v>
      </c>
      <c r="D87" s="140"/>
      <c r="E87" s="207"/>
      <c r="F87" s="207"/>
      <c r="G87" s="207"/>
      <c r="H87" s="207"/>
      <c r="I87" s="207"/>
      <c r="J87" s="81"/>
      <c r="K87" s="162"/>
      <c r="L87" s="135"/>
      <c r="M87" s="135"/>
      <c r="N87" s="164"/>
      <c r="O87" s="164"/>
    </row>
    <row r="88" spans="1:19" ht="28.5" x14ac:dyDescent="0.2">
      <c r="A88" s="72">
        <v>4</v>
      </c>
      <c r="B88" s="48" t="s">
        <v>75</v>
      </c>
      <c r="C88" s="139" t="s">
        <v>203</v>
      </c>
      <c r="D88" s="140">
        <v>-275915</v>
      </c>
      <c r="E88" s="207" t="s">
        <v>204</v>
      </c>
      <c r="F88" s="207"/>
      <c r="G88" s="207"/>
      <c r="H88" s="207"/>
      <c r="I88" s="207"/>
      <c r="J88" s="81"/>
      <c r="K88" s="162"/>
      <c r="L88" s="135"/>
      <c r="M88" s="135"/>
      <c r="N88" s="164"/>
      <c r="O88" s="164"/>
    </row>
    <row r="89" spans="1:19" ht="72" x14ac:dyDescent="0.25">
      <c r="A89" s="72">
        <v>5</v>
      </c>
      <c r="B89" s="48" t="s">
        <v>90</v>
      </c>
      <c r="C89" s="139" t="s">
        <v>202</v>
      </c>
      <c r="D89" s="140"/>
      <c r="E89" s="207"/>
      <c r="F89" s="207"/>
      <c r="G89" s="207"/>
      <c r="H89" s="207"/>
      <c r="I89" s="207"/>
      <c r="J89" s="81"/>
      <c r="K89" s="161"/>
      <c r="L89" s="135"/>
      <c r="M89" s="135"/>
      <c r="N89" s="164"/>
      <c r="O89" s="164"/>
    </row>
    <row r="90" spans="1:19" ht="42.75" x14ac:dyDescent="0.2">
      <c r="A90" s="52">
        <v>6</v>
      </c>
      <c r="B90" s="46" t="s">
        <v>210</v>
      </c>
      <c r="C90" s="139" t="s">
        <v>203</v>
      </c>
      <c r="D90" s="140">
        <v>-68531.0211789608</v>
      </c>
      <c r="E90" s="207" t="s">
        <v>213</v>
      </c>
      <c r="F90" s="207"/>
      <c r="G90" s="207"/>
      <c r="H90" s="207"/>
      <c r="I90" s="207"/>
      <c r="K90" s="164"/>
      <c r="L90" s="164"/>
      <c r="M90" s="164"/>
      <c r="N90" s="164"/>
      <c r="O90" s="164"/>
    </row>
    <row r="91" spans="1:19" x14ac:dyDescent="0.2">
      <c r="A91" s="52">
        <v>7</v>
      </c>
      <c r="B91" s="44"/>
      <c r="C91" s="10"/>
      <c r="D91" s="140"/>
      <c r="E91" s="207"/>
      <c r="F91" s="207"/>
      <c r="G91" s="207"/>
      <c r="H91" s="207"/>
      <c r="I91" s="207"/>
      <c r="K91" s="164"/>
      <c r="L91" s="164"/>
      <c r="M91" s="164"/>
      <c r="N91" s="164"/>
      <c r="O91" s="164"/>
    </row>
    <row r="92" spans="1:19" x14ac:dyDescent="0.2">
      <c r="A92" s="52">
        <v>8</v>
      </c>
      <c r="B92" s="44"/>
      <c r="C92" s="10"/>
      <c r="D92" s="140"/>
      <c r="E92" s="207"/>
      <c r="F92" s="207"/>
      <c r="G92" s="207"/>
      <c r="H92" s="207"/>
      <c r="I92" s="207"/>
      <c r="K92" s="164"/>
      <c r="L92" s="164"/>
      <c r="M92" s="164"/>
      <c r="N92" s="164"/>
      <c r="O92" s="164"/>
    </row>
    <row r="93" spans="1:19" x14ac:dyDescent="0.2">
      <c r="A93" s="52">
        <v>9</v>
      </c>
      <c r="B93" s="44"/>
      <c r="C93" s="10"/>
      <c r="D93" s="140"/>
      <c r="E93" s="208"/>
      <c r="F93" s="209"/>
      <c r="G93" s="209"/>
      <c r="H93" s="209"/>
      <c r="I93" s="210"/>
      <c r="K93" s="164"/>
      <c r="L93" s="164"/>
      <c r="M93" s="164"/>
      <c r="N93" s="164"/>
      <c r="O93" s="164"/>
    </row>
    <row r="94" spans="1:19" x14ac:dyDescent="0.2">
      <c r="A94" s="52">
        <v>10</v>
      </c>
      <c r="B94" s="44"/>
      <c r="C94" s="10"/>
      <c r="D94" s="140"/>
      <c r="E94" s="207"/>
      <c r="F94" s="207"/>
      <c r="G94" s="207"/>
      <c r="H94" s="207"/>
      <c r="I94" s="207"/>
      <c r="K94" s="164"/>
      <c r="L94" s="164"/>
      <c r="M94" s="164"/>
      <c r="N94" s="164"/>
      <c r="O94" s="164"/>
    </row>
    <row r="95" spans="1:19" ht="15" x14ac:dyDescent="0.25">
      <c r="B95" s="2" t="s">
        <v>25</v>
      </c>
      <c r="C95" s="2"/>
      <c r="D95" s="133">
        <f>SUM(D82:D94)</f>
        <v>-8777643.2625089567</v>
      </c>
      <c r="E95" s="27"/>
      <c r="F95" s="27"/>
      <c r="G95" s="27"/>
      <c r="H95" s="27"/>
    </row>
    <row r="96" spans="1:19" ht="15" x14ac:dyDescent="0.25">
      <c r="B96" s="73" t="s">
        <v>74</v>
      </c>
      <c r="C96" s="73"/>
      <c r="D96" s="133">
        <f>K76</f>
        <v>-6119601.2741499916</v>
      </c>
      <c r="E96" s="27"/>
      <c r="F96" s="27"/>
      <c r="G96" s="27"/>
      <c r="H96" s="27"/>
    </row>
    <row r="97" spans="1:13" ht="15" x14ac:dyDescent="0.25">
      <c r="B97" s="73" t="s">
        <v>24</v>
      </c>
      <c r="C97" s="73"/>
      <c r="D97" s="141">
        <f>D96-D95</f>
        <v>2658041.9883589651</v>
      </c>
    </row>
    <row r="98" spans="1:13" ht="30.75" thickBot="1" x14ac:dyDescent="0.3">
      <c r="B98" s="74" t="s">
        <v>80</v>
      </c>
      <c r="C98" s="74"/>
      <c r="D98" s="61">
        <f>IF(ISERROR(D97/J74),0,D97/J74)</f>
        <v>6.1657335270279999E-3</v>
      </c>
      <c r="E98" s="105" t="str">
        <f>IF(AND(D98&lt;0.01,D98&gt;-0.01),"","Unresolved differences of greater than + or - 1% should be explained")</f>
        <v/>
      </c>
      <c r="G98" s="81"/>
      <c r="H98" s="36"/>
      <c r="I98" s="36"/>
      <c r="J98" s="36"/>
      <c r="K98" s="36"/>
    </row>
    <row r="99" spans="1:13" ht="15.75" thickTop="1" x14ac:dyDescent="0.25">
      <c r="B99" s="2"/>
      <c r="C99" s="54"/>
      <c r="D99" s="59"/>
      <c r="G99" s="81"/>
    </row>
    <row r="100" spans="1:13" ht="15" x14ac:dyDescent="0.25">
      <c r="B100" s="2"/>
      <c r="C100" s="54"/>
      <c r="D100" s="35"/>
    </row>
    <row r="101" spans="1:13" ht="15" x14ac:dyDescent="0.25">
      <c r="A101" s="1" t="s">
        <v>82</v>
      </c>
      <c r="B101" s="75" t="s">
        <v>47</v>
      </c>
      <c r="C101" s="58"/>
      <c r="D101" s="59"/>
    </row>
    <row r="102" spans="1:13" ht="15" x14ac:dyDescent="0.25">
      <c r="B102" s="57"/>
      <c r="C102" s="58"/>
      <c r="D102" s="59"/>
    </row>
    <row r="103" spans="1:13" ht="105" x14ac:dyDescent="0.25">
      <c r="B103" s="62" t="s">
        <v>26</v>
      </c>
      <c r="C103" s="47" t="s">
        <v>146</v>
      </c>
      <c r="D103" s="76" t="s">
        <v>147</v>
      </c>
      <c r="E103" s="47" t="s">
        <v>148</v>
      </c>
      <c r="F103" s="47" t="s">
        <v>150</v>
      </c>
      <c r="G103" s="47" t="s">
        <v>24</v>
      </c>
      <c r="H103" s="78" t="s">
        <v>149</v>
      </c>
      <c r="I103" s="47" t="s">
        <v>80</v>
      </c>
      <c r="J103" s="81"/>
      <c r="K103" s="81"/>
      <c r="L103" s="36"/>
      <c r="M103" s="36"/>
    </row>
    <row r="104" spans="1:13" x14ac:dyDescent="0.2">
      <c r="B104" s="107">
        <v>2015</v>
      </c>
      <c r="C104" s="109">
        <v>2093364.3946999945</v>
      </c>
      <c r="D104" s="109">
        <v>5736837</v>
      </c>
      <c r="E104" s="110">
        <v>3643472.6053000055</v>
      </c>
      <c r="F104" s="110">
        <v>4418899.7307402901</v>
      </c>
      <c r="G104" s="111">
        <f>E104-F104</f>
        <v>-775427.12544028461</v>
      </c>
      <c r="H104" s="110">
        <v>356017138.20883995</v>
      </c>
      <c r="I104" s="106">
        <f>IF(ISERROR(G104/H104),0,G104/H104)</f>
        <v>-2.1780612285732673E-3</v>
      </c>
      <c r="J104" s="81"/>
      <c r="K104" s="81"/>
      <c r="L104" s="36"/>
      <c r="M104" s="36"/>
    </row>
    <row r="105" spans="1:13" x14ac:dyDescent="0.2">
      <c r="B105" s="107">
        <v>2016</v>
      </c>
      <c r="C105" s="109">
        <v>-3697712.7258500084</v>
      </c>
      <c r="D105" s="109">
        <v>-9817314</v>
      </c>
      <c r="E105" s="110">
        <v>-6119601.2741499916</v>
      </c>
      <c r="F105" s="110">
        <v>-8777643.1745389588</v>
      </c>
      <c r="G105" s="111">
        <f>E105-F105</f>
        <v>2658041.9003889672</v>
      </c>
      <c r="H105" s="110">
        <v>431099069.83608997</v>
      </c>
      <c r="I105" s="106">
        <f>IF(ISERROR(G105/H105),0,G105/H105)</f>
        <v>6.1657333229681813E-3</v>
      </c>
      <c r="J105" s="81"/>
      <c r="K105" s="81"/>
      <c r="L105" s="36"/>
      <c r="M105" s="36"/>
    </row>
    <row r="106" spans="1:13" x14ac:dyDescent="0.2">
      <c r="B106" s="107"/>
      <c r="C106" s="109"/>
      <c r="D106" s="109"/>
      <c r="E106" s="110"/>
      <c r="F106" s="110"/>
      <c r="G106" s="111">
        <f>E106-F106</f>
        <v>0</v>
      </c>
      <c r="H106" s="110"/>
      <c r="I106" s="106">
        <f>IF(ISERROR(G106/H106),0,G106/H106)</f>
        <v>0</v>
      </c>
      <c r="J106" s="81"/>
      <c r="K106" s="81"/>
      <c r="L106" s="36"/>
      <c r="M106" s="36"/>
    </row>
    <row r="107" spans="1:13" ht="15" thickBot="1" x14ac:dyDescent="0.25">
      <c r="B107" s="107"/>
      <c r="C107" s="112"/>
      <c r="D107" s="112"/>
      <c r="E107" s="112"/>
      <c r="F107" s="112"/>
      <c r="G107" s="113">
        <f>E107-F107</f>
        <v>0</v>
      </c>
      <c r="H107" s="112"/>
      <c r="I107" s="108">
        <f>IF(ISERROR(G107/H107),0,G107/H107)</f>
        <v>0</v>
      </c>
      <c r="J107" s="81"/>
      <c r="K107" s="81"/>
      <c r="L107" s="36"/>
      <c r="M107" s="36"/>
    </row>
    <row r="108" spans="1:13" ht="15.75" thickBot="1" x14ac:dyDescent="0.3">
      <c r="B108" s="77" t="s">
        <v>81</v>
      </c>
      <c r="C108" s="79">
        <f t="shared" ref="C108:H108" si="62">SUM(C104:C107)</f>
        <v>-1604348.331150014</v>
      </c>
      <c r="D108" s="79">
        <f t="shared" si="62"/>
        <v>-4080477</v>
      </c>
      <c r="E108" s="79">
        <f t="shared" si="62"/>
        <v>-2476128.668849986</v>
      </c>
      <c r="F108" s="79">
        <f t="shared" si="62"/>
        <v>-4358743.4437986687</v>
      </c>
      <c r="G108" s="79">
        <f t="shared" si="62"/>
        <v>1882614.7749486826</v>
      </c>
      <c r="H108" s="79">
        <f t="shared" si="62"/>
        <v>787116208.04492998</v>
      </c>
      <c r="I108" s="80" t="s">
        <v>89</v>
      </c>
      <c r="J108" s="81"/>
      <c r="K108" s="81"/>
      <c r="L108" s="36"/>
      <c r="M108" s="36"/>
    </row>
    <row r="109" spans="1:13" x14ac:dyDescent="0.2">
      <c r="B109" s="4"/>
      <c r="C109" s="4"/>
      <c r="D109" s="4"/>
      <c r="E109" s="4"/>
      <c r="F109" s="4"/>
      <c r="G109" s="4"/>
      <c r="J109" s="81"/>
      <c r="K109" s="81"/>
      <c r="L109" s="36"/>
      <c r="M109" s="36"/>
    </row>
    <row r="110" spans="1:13" x14ac:dyDescent="0.2">
      <c r="J110" s="81"/>
      <c r="K110" s="81"/>
      <c r="L110" s="36"/>
      <c r="M110" s="36"/>
    </row>
    <row r="111" spans="1:13" ht="15" x14ac:dyDescent="0.25">
      <c r="B111" s="3" t="s">
        <v>38</v>
      </c>
      <c r="J111" s="81"/>
      <c r="K111" s="81"/>
    </row>
    <row r="112" spans="1:13" x14ac:dyDescent="0.2">
      <c r="B112" s="51"/>
      <c r="C112" s="51"/>
      <c r="D112" s="51"/>
      <c r="E112" s="51"/>
      <c r="F112" s="51"/>
      <c r="G112" s="51"/>
      <c r="H112" s="51"/>
      <c r="J112" s="81"/>
      <c r="K112" s="81"/>
    </row>
    <row r="113" spans="2:11" x14ac:dyDescent="0.2">
      <c r="B113" s="51"/>
      <c r="C113" s="51"/>
      <c r="D113" s="51"/>
      <c r="E113" s="51"/>
      <c r="F113" s="51"/>
      <c r="G113" s="51"/>
      <c r="H113" s="51"/>
      <c r="J113" s="81"/>
      <c r="K113" s="81"/>
    </row>
    <row r="114" spans="2:11" x14ac:dyDescent="0.2">
      <c r="B114" s="51"/>
      <c r="C114" s="51"/>
      <c r="D114" s="51"/>
      <c r="E114" s="51"/>
      <c r="F114" s="51"/>
      <c r="G114" s="51"/>
      <c r="H114" s="51"/>
    </row>
    <row r="115" spans="2:11" x14ac:dyDescent="0.2">
      <c r="B115" s="51"/>
      <c r="C115" s="51"/>
      <c r="D115" s="51"/>
      <c r="E115" s="51"/>
      <c r="F115" s="51"/>
      <c r="G115" s="51"/>
      <c r="H115" s="51"/>
    </row>
    <row r="116" spans="2:11" x14ac:dyDescent="0.2">
      <c r="B116" s="51"/>
      <c r="C116" s="51"/>
      <c r="D116" s="51"/>
      <c r="E116" s="51"/>
      <c r="F116" s="51"/>
      <c r="G116" s="51"/>
      <c r="H116" s="51"/>
    </row>
    <row r="117" spans="2:11" x14ac:dyDescent="0.2">
      <c r="B117" s="51"/>
      <c r="C117" s="51"/>
      <c r="D117" s="51"/>
      <c r="E117" s="51"/>
      <c r="F117" s="51"/>
      <c r="G117" s="51"/>
      <c r="H117" s="51"/>
    </row>
    <row r="118" spans="2:11" x14ac:dyDescent="0.2">
      <c r="B118" s="51"/>
      <c r="C118" s="51"/>
      <c r="D118" s="51"/>
      <c r="E118" s="51"/>
      <c r="F118" s="51"/>
      <c r="G118" s="51"/>
      <c r="H118" s="51"/>
    </row>
    <row r="119" spans="2:11" x14ac:dyDescent="0.2">
      <c r="B119" s="51"/>
      <c r="C119" s="51"/>
      <c r="D119" s="51"/>
      <c r="E119" s="51"/>
      <c r="F119" s="51"/>
      <c r="G119" s="51"/>
      <c r="H119" s="51"/>
    </row>
  </sheetData>
  <mergeCells count="20">
    <mergeCell ref="E81:I81"/>
    <mergeCell ref="E82:I82"/>
    <mergeCell ref="E84:I84"/>
    <mergeCell ref="E86:I86"/>
    <mergeCell ref="E88:I88"/>
    <mergeCell ref="E83:I83"/>
    <mergeCell ref="E85:I85"/>
    <mergeCell ref="E87:I87"/>
    <mergeCell ref="E89:I89"/>
    <mergeCell ref="E94:I94"/>
    <mergeCell ref="E90:I90"/>
    <mergeCell ref="E91:I91"/>
    <mergeCell ref="E92:I92"/>
    <mergeCell ref="E93:I93"/>
    <mergeCell ref="O33:Q33"/>
    <mergeCell ref="R33:T33"/>
    <mergeCell ref="U33:W33"/>
    <mergeCell ref="B10:C10"/>
    <mergeCell ref="G10:H10"/>
    <mergeCell ref="B16:H16"/>
  </mergeCells>
  <dataValidations disablePrompts="1" count="1">
    <dataValidation type="list" sqref="C20 E20">
      <formula1>"1st Estimate, 2nd Estimate, Actual, Other"</formula1>
    </dataValidation>
  </dataValidations>
  <pageMargins left="0.11811023622047245" right="0.11811023622047245" top="0.15748031496062992" bottom="0.19685039370078741" header="0.11811023622047245" footer="0.11811023622047245"/>
  <pageSetup scale="70" fitToHeight="3" orientation="landscape" r:id="rId1"/>
  <headerFooter>
    <oddFooter>&amp;L&amp;F&amp;R&amp;A &amp;P of &amp;N</oddFooter>
  </headerFooter>
  <rowBreaks count="3" manualBreakCount="3">
    <brk id="30" max="10" man="1"/>
    <brk id="78" max="10" man="1"/>
    <brk id="100"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4"/>
  <sheetViews>
    <sheetView view="pageBreakPreview" zoomScale="75" zoomScaleNormal="85" zoomScaleSheetLayoutView="75" workbookViewId="0">
      <selection activeCell="F103" sqref="F103"/>
    </sheetView>
  </sheetViews>
  <sheetFormatPr defaultRowHeight="15" x14ac:dyDescent="0.25"/>
  <cols>
    <col min="1" max="1" width="7.85546875" customWidth="1"/>
    <col min="2" max="2" width="34.28515625" customWidth="1"/>
    <col min="3" max="4" width="15.7109375" bestFit="1" customWidth="1"/>
    <col min="5" max="5" width="15.5703125" customWidth="1"/>
    <col min="6" max="6" width="20.28515625" bestFit="1" customWidth="1"/>
    <col min="7" max="7" width="14.28515625" bestFit="1" customWidth="1"/>
    <col min="8" max="8" width="19.5703125" bestFit="1" customWidth="1"/>
    <col min="9" max="9" width="11" bestFit="1" customWidth="1"/>
    <col min="10" max="10" width="17.140625" customWidth="1"/>
    <col min="11" max="11" width="14.42578125" customWidth="1"/>
    <col min="12" max="12" width="14.28515625" bestFit="1" customWidth="1"/>
    <col min="13" max="13" width="14.28515625" customWidth="1"/>
    <col min="14" max="14" width="2.28515625" customWidth="1"/>
    <col min="15" max="15" width="15.5703125" customWidth="1"/>
    <col min="24" max="24" width="14.85546875" customWidth="1"/>
  </cols>
  <sheetData>
    <row r="1" spans="1:24" x14ac:dyDescent="0.25">
      <c r="A1" s="45" t="s">
        <v>55</v>
      </c>
      <c r="B1" s="4"/>
      <c r="C1" s="45"/>
      <c r="D1" s="1"/>
      <c r="E1" s="1"/>
      <c r="F1" s="1"/>
      <c r="G1" s="1"/>
      <c r="H1" s="1"/>
      <c r="I1" s="1"/>
      <c r="J1" s="1"/>
      <c r="K1" s="1"/>
      <c r="L1" s="1"/>
      <c r="M1" s="1"/>
      <c r="N1" s="1"/>
      <c r="O1" s="1"/>
      <c r="P1" s="1"/>
      <c r="Q1" s="1"/>
      <c r="R1" s="1"/>
      <c r="S1" s="1"/>
      <c r="T1" s="1"/>
      <c r="U1" s="1"/>
      <c r="V1" s="1"/>
      <c r="W1" s="1"/>
      <c r="X1" s="1"/>
    </row>
    <row r="2" spans="1:24" x14ac:dyDescent="0.25">
      <c r="A2" s="4"/>
      <c r="B2" s="4"/>
      <c r="C2" s="4"/>
      <c r="D2" s="1"/>
      <c r="E2" s="1"/>
      <c r="F2" s="1"/>
      <c r="G2" s="1"/>
      <c r="H2" s="1"/>
      <c r="I2" s="1"/>
      <c r="J2" s="1"/>
      <c r="K2" s="1"/>
      <c r="L2" s="1"/>
      <c r="M2" s="1"/>
      <c r="N2" s="1"/>
      <c r="O2" s="1"/>
      <c r="P2" s="1"/>
      <c r="Q2" s="1"/>
      <c r="R2" s="1"/>
      <c r="S2" s="1"/>
      <c r="T2" s="1"/>
      <c r="U2" s="1"/>
      <c r="V2" s="1"/>
      <c r="W2" s="1"/>
      <c r="X2" s="1"/>
    </row>
    <row r="3" spans="1:24" x14ac:dyDescent="0.25">
      <c r="A3" s="4"/>
      <c r="B3" s="4" t="s">
        <v>33</v>
      </c>
      <c r="C3" s="24"/>
      <c r="D3" s="81"/>
      <c r="E3" s="4"/>
      <c r="F3" s="4"/>
      <c r="G3" s="1"/>
      <c r="H3" s="1"/>
      <c r="I3" s="1"/>
      <c r="J3" s="1"/>
      <c r="K3" s="1"/>
      <c r="L3" s="1"/>
      <c r="M3" s="1"/>
      <c r="N3" s="1"/>
      <c r="O3" s="1"/>
      <c r="P3" s="1"/>
      <c r="Q3" s="1"/>
      <c r="R3" s="1"/>
      <c r="S3" s="1"/>
      <c r="T3" s="1"/>
      <c r="U3" s="1"/>
      <c r="V3" s="1"/>
      <c r="W3" s="1"/>
      <c r="X3" s="1"/>
    </row>
    <row r="4" spans="1:24" x14ac:dyDescent="0.25">
      <c r="A4" s="4"/>
      <c r="B4" s="4" t="s">
        <v>66</v>
      </c>
      <c r="C4" s="53"/>
      <c r="D4" s="81"/>
      <c r="E4" s="4"/>
      <c r="F4" s="4"/>
      <c r="G4" s="1"/>
      <c r="H4" s="1"/>
      <c r="I4" s="1"/>
      <c r="J4" s="1"/>
      <c r="K4" s="1"/>
      <c r="L4" s="1"/>
      <c r="M4" s="1"/>
      <c r="N4" s="1"/>
      <c r="O4" s="1"/>
      <c r="P4" s="1"/>
      <c r="Q4" s="1"/>
      <c r="R4" s="1"/>
      <c r="S4" s="1"/>
      <c r="T4" s="1"/>
      <c r="U4" s="1"/>
      <c r="V4" s="1"/>
      <c r="W4" s="1"/>
      <c r="X4" s="1"/>
    </row>
    <row r="5" spans="1:24" x14ac:dyDescent="0.25">
      <c r="A5" s="4"/>
      <c r="B5" s="15"/>
      <c r="C5" s="15"/>
      <c r="D5" s="81"/>
      <c r="E5" s="4"/>
      <c r="F5" s="4"/>
      <c r="G5" s="1"/>
      <c r="H5" s="1"/>
      <c r="I5" s="1"/>
      <c r="J5" s="1"/>
      <c r="K5" s="1"/>
      <c r="L5" s="1"/>
      <c r="M5" s="1"/>
      <c r="N5" s="1"/>
      <c r="O5" s="1"/>
      <c r="P5" s="1"/>
      <c r="Q5" s="1"/>
      <c r="R5" s="1"/>
      <c r="S5" s="1"/>
      <c r="T5" s="1"/>
      <c r="U5" s="1"/>
      <c r="V5" s="1"/>
      <c r="W5" s="1"/>
      <c r="X5" s="1"/>
    </row>
    <row r="6" spans="1:24" x14ac:dyDescent="0.25">
      <c r="A6" s="4" t="s">
        <v>34</v>
      </c>
      <c r="B6" s="15" t="s">
        <v>153</v>
      </c>
      <c r="C6" s="25" t="s">
        <v>211</v>
      </c>
      <c r="D6" s="81"/>
      <c r="E6" s="4"/>
      <c r="F6" s="4"/>
      <c r="G6" s="1"/>
      <c r="H6" s="1"/>
      <c r="I6" s="1"/>
      <c r="J6" s="1"/>
      <c r="K6" s="1"/>
      <c r="L6" s="1"/>
      <c r="M6" s="1"/>
      <c r="N6" s="1"/>
      <c r="O6" s="1"/>
      <c r="P6" s="1"/>
      <c r="Q6" s="1"/>
      <c r="R6" s="1"/>
      <c r="S6" s="1"/>
      <c r="T6" s="1"/>
      <c r="U6" s="1"/>
      <c r="V6" s="1"/>
      <c r="W6" s="1"/>
      <c r="X6" s="1"/>
    </row>
    <row r="7" spans="1:24" x14ac:dyDescent="0.25">
      <c r="A7" s="4"/>
      <c r="B7" s="15"/>
      <c r="C7" s="15"/>
      <c r="D7" s="4"/>
      <c r="E7" s="4"/>
      <c r="F7" s="4"/>
      <c r="G7" s="1"/>
      <c r="H7" s="1"/>
      <c r="I7" s="1"/>
      <c r="J7" s="1"/>
      <c r="K7" s="1"/>
      <c r="L7" s="1"/>
      <c r="M7" s="1"/>
      <c r="N7" s="1"/>
      <c r="O7" s="1"/>
      <c r="P7" s="1"/>
      <c r="Q7" s="1"/>
      <c r="R7" s="1"/>
      <c r="S7" s="1"/>
      <c r="T7" s="1"/>
      <c r="U7" s="1"/>
      <c r="V7" s="1"/>
      <c r="W7" s="1"/>
      <c r="X7" s="1"/>
    </row>
    <row r="8" spans="1:24" x14ac:dyDescent="0.25">
      <c r="A8" s="4"/>
      <c r="B8" s="15"/>
      <c r="C8" s="15"/>
      <c r="D8" s="4"/>
      <c r="E8" s="4"/>
      <c r="F8" s="4"/>
      <c r="G8" s="1"/>
      <c r="H8" s="1"/>
      <c r="I8" s="1"/>
      <c r="J8" s="1"/>
      <c r="K8" s="1"/>
      <c r="L8" s="1"/>
      <c r="M8" s="1"/>
      <c r="N8" s="1"/>
      <c r="O8" s="1"/>
      <c r="P8" s="1"/>
      <c r="Q8" s="1"/>
      <c r="R8" s="1"/>
      <c r="S8" s="1"/>
      <c r="T8" s="1"/>
      <c r="U8" s="1"/>
      <c r="V8" s="1"/>
      <c r="W8" s="1"/>
      <c r="X8" s="1"/>
    </row>
    <row r="9" spans="1:24" x14ac:dyDescent="0.25">
      <c r="A9" s="4" t="s">
        <v>35</v>
      </c>
      <c r="B9" s="23" t="s">
        <v>91</v>
      </c>
      <c r="C9" s="22"/>
      <c r="D9" s="22"/>
      <c r="E9" s="22"/>
      <c r="F9" s="22"/>
      <c r="G9" s="1"/>
      <c r="H9" s="1"/>
      <c r="I9" s="81"/>
      <c r="J9" s="81"/>
      <c r="K9" s="81"/>
      <c r="L9" s="81"/>
      <c r="M9" s="81"/>
      <c r="N9" s="81"/>
      <c r="O9" s="81"/>
      <c r="P9" s="81"/>
      <c r="Q9" s="81"/>
      <c r="R9" s="81"/>
      <c r="S9" s="81"/>
      <c r="T9" s="81"/>
      <c r="U9" s="1"/>
      <c r="V9" s="1"/>
      <c r="W9" s="1"/>
      <c r="X9" s="1"/>
    </row>
    <row r="10" spans="1:24" x14ac:dyDescent="0.25">
      <c r="A10" s="4"/>
      <c r="B10" s="203" t="s">
        <v>26</v>
      </c>
      <c r="C10" s="203"/>
      <c r="D10" s="25">
        <v>2015</v>
      </c>
      <c r="E10" s="25"/>
      <c r="F10" s="25"/>
      <c r="G10" s="204"/>
      <c r="H10" s="205"/>
      <c r="I10" s="81"/>
      <c r="J10" s="81"/>
      <c r="K10" s="81"/>
      <c r="L10" s="81"/>
      <c r="M10" s="81"/>
      <c r="N10" s="81"/>
      <c r="O10" s="81"/>
      <c r="P10" s="81"/>
      <c r="Q10" s="81"/>
      <c r="R10" s="81"/>
      <c r="S10" s="81"/>
      <c r="T10" s="81"/>
      <c r="U10" s="1"/>
      <c r="V10" s="1"/>
      <c r="W10" s="1"/>
      <c r="X10" s="1"/>
    </row>
    <row r="11" spans="1:24" ht="15.75" thickBot="1" x14ac:dyDescent="0.3">
      <c r="A11" s="4"/>
      <c r="B11" s="5" t="s">
        <v>3</v>
      </c>
      <c r="C11" s="5" t="s">
        <v>2</v>
      </c>
      <c r="D11" s="114">
        <f>D12+D13</f>
        <v>8575196237.4699993</v>
      </c>
      <c r="E11" s="114">
        <f>E12+E13</f>
        <v>0</v>
      </c>
      <c r="F11" s="114">
        <f>F12+F13</f>
        <v>0</v>
      </c>
      <c r="G11" s="6" t="s">
        <v>0</v>
      </c>
      <c r="H11" s="7">
        <v>1</v>
      </c>
      <c r="I11" s="81"/>
      <c r="J11" s="81"/>
      <c r="K11" s="81"/>
      <c r="L11" s="81"/>
      <c r="M11" s="81"/>
      <c r="N11" s="81"/>
      <c r="O11" s="81"/>
      <c r="P11" s="81"/>
      <c r="Q11" s="81"/>
      <c r="R11" s="81"/>
      <c r="S11" s="81"/>
      <c r="T11" s="81"/>
      <c r="U11" s="1"/>
      <c r="V11" s="1"/>
      <c r="W11" s="1"/>
      <c r="X11" s="1"/>
    </row>
    <row r="12" spans="1:24" x14ac:dyDescent="0.25">
      <c r="A12" s="1"/>
      <c r="B12" s="5" t="s">
        <v>7</v>
      </c>
      <c r="C12" s="5" t="s">
        <v>1</v>
      </c>
      <c r="D12" s="115">
        <v>4028248318.52</v>
      </c>
      <c r="E12" s="115"/>
      <c r="F12" s="115"/>
      <c r="G12" s="6" t="s">
        <v>0</v>
      </c>
      <c r="H12" s="8">
        <f>IFERROR(D12/$D$11,0)</f>
        <v>0.46975581747252032</v>
      </c>
      <c r="I12" s="1"/>
      <c r="J12" s="1"/>
      <c r="K12" s="1"/>
      <c r="L12" s="1"/>
      <c r="M12" s="1"/>
      <c r="N12" s="1"/>
      <c r="O12" s="1"/>
      <c r="P12" s="1"/>
      <c r="Q12" s="1"/>
      <c r="R12" s="1"/>
      <c r="S12" s="1"/>
      <c r="T12" s="1"/>
      <c r="U12" s="1"/>
      <c r="V12" s="1"/>
      <c r="W12" s="1"/>
      <c r="X12" s="1"/>
    </row>
    <row r="13" spans="1:24" ht="15.75" thickBot="1" x14ac:dyDescent="0.3">
      <c r="A13" s="1"/>
      <c r="B13" s="5" t="s">
        <v>8</v>
      </c>
      <c r="C13" s="5" t="s">
        <v>6</v>
      </c>
      <c r="D13" s="114">
        <f>D14+D15</f>
        <v>4546947918.9499998</v>
      </c>
      <c r="E13" s="114">
        <f>E14+E15</f>
        <v>0</v>
      </c>
      <c r="F13" s="114">
        <f>F14+F15</f>
        <v>0</v>
      </c>
      <c r="G13" s="6" t="s">
        <v>0</v>
      </c>
      <c r="H13" s="8">
        <f>IFERROR(D13/$D$11,0)</f>
        <v>0.53024418252747973</v>
      </c>
      <c r="I13" s="1"/>
      <c r="J13" s="1"/>
      <c r="K13" s="1"/>
      <c r="L13" s="1"/>
      <c r="M13" s="1"/>
      <c r="N13" s="1"/>
      <c r="O13" s="1"/>
      <c r="P13" s="1"/>
      <c r="Q13" s="1"/>
      <c r="R13" s="1"/>
      <c r="S13" s="1"/>
      <c r="T13" s="1"/>
      <c r="U13" s="1"/>
      <c r="V13" s="1"/>
      <c r="W13" s="1"/>
      <c r="X13" s="1"/>
    </row>
    <row r="14" spans="1:24" x14ac:dyDescent="0.25">
      <c r="A14" s="1"/>
      <c r="B14" s="5" t="s">
        <v>9</v>
      </c>
      <c r="C14" s="5" t="s">
        <v>4</v>
      </c>
      <c r="D14" s="115">
        <v>223213382.66999999</v>
      </c>
      <c r="E14" s="115"/>
      <c r="F14" s="115"/>
      <c r="G14" s="6" t="s">
        <v>0</v>
      </c>
      <c r="H14" s="8">
        <f>IFERROR(D14/$D$11,0)</f>
        <v>2.6030119485155503E-2</v>
      </c>
      <c r="I14" s="1"/>
      <c r="J14" s="1"/>
      <c r="K14" s="1"/>
      <c r="L14" s="1"/>
      <c r="M14" s="1"/>
      <c r="N14" s="1"/>
      <c r="O14" s="1"/>
      <c r="P14" s="1"/>
      <c r="Q14" s="1"/>
      <c r="R14" s="1"/>
      <c r="S14" s="1"/>
      <c r="T14" s="1"/>
      <c r="U14" s="1"/>
      <c r="V14" s="1"/>
      <c r="W14" s="1"/>
      <c r="X14" s="1"/>
    </row>
    <row r="15" spans="1:24" x14ac:dyDescent="0.25">
      <c r="A15" s="1"/>
      <c r="B15" s="5" t="s">
        <v>67</v>
      </c>
      <c r="C15" s="5" t="s">
        <v>5</v>
      </c>
      <c r="D15" s="116">
        <v>4323734536.2799997</v>
      </c>
      <c r="E15" s="116"/>
      <c r="F15" s="116"/>
      <c r="G15" s="6" t="s">
        <v>0</v>
      </c>
      <c r="H15" s="8">
        <f>IFERROR(D15/$D$11,0)</f>
        <v>0.50421406304232419</v>
      </c>
      <c r="I15" s="1"/>
      <c r="J15" s="1"/>
      <c r="K15" s="1"/>
      <c r="L15" s="1"/>
      <c r="M15" s="1"/>
      <c r="N15" s="1"/>
      <c r="O15" s="1"/>
      <c r="P15" s="1"/>
      <c r="Q15" s="1"/>
      <c r="R15" s="1"/>
      <c r="S15" s="1"/>
      <c r="T15" s="1"/>
      <c r="U15" s="1"/>
      <c r="V15" s="1"/>
      <c r="W15" s="1"/>
      <c r="X15" s="1"/>
    </row>
    <row r="16" spans="1:24" x14ac:dyDescent="0.25">
      <c r="A16" s="1"/>
      <c r="B16" s="206" t="s">
        <v>84</v>
      </c>
      <c r="C16" s="206"/>
      <c r="D16" s="206"/>
      <c r="E16" s="206"/>
      <c r="F16" s="206"/>
      <c r="G16" s="206"/>
      <c r="H16" s="206"/>
      <c r="I16" s="1"/>
      <c r="J16" s="1"/>
      <c r="K16" s="1"/>
      <c r="L16" s="1"/>
      <c r="M16" s="1"/>
      <c r="N16" s="1"/>
      <c r="O16" s="1"/>
      <c r="P16" s="1"/>
      <c r="Q16" s="1"/>
      <c r="R16" s="1"/>
      <c r="S16" s="1"/>
      <c r="T16" s="1"/>
      <c r="U16" s="1"/>
      <c r="V16" s="1"/>
      <c r="W16" s="1"/>
      <c r="X16" s="1"/>
    </row>
    <row r="17" spans="1:24" x14ac:dyDescent="0.25">
      <c r="A17" s="1"/>
      <c r="B17" s="1"/>
      <c r="D17" s="36"/>
      <c r="E17" s="36"/>
      <c r="F17" s="36"/>
      <c r="G17" s="36"/>
      <c r="H17" s="1"/>
      <c r="I17" s="1"/>
      <c r="J17" s="1"/>
      <c r="K17" s="1"/>
      <c r="L17" s="1"/>
      <c r="M17" s="1"/>
      <c r="N17" s="1"/>
      <c r="O17" s="1"/>
      <c r="P17" s="1"/>
      <c r="Q17" s="1"/>
      <c r="R17" s="1"/>
      <c r="S17" s="1"/>
      <c r="T17" s="1"/>
      <c r="U17" s="1"/>
      <c r="V17" s="1"/>
      <c r="W17" s="1"/>
      <c r="X17" s="1"/>
    </row>
    <row r="18" spans="1:24" x14ac:dyDescent="0.25">
      <c r="A18" s="1" t="s">
        <v>36</v>
      </c>
      <c r="B18" s="3" t="s">
        <v>45</v>
      </c>
      <c r="D18" s="1"/>
      <c r="E18" s="1"/>
      <c r="F18" s="1"/>
      <c r="G18" s="1"/>
      <c r="H18" s="1"/>
      <c r="I18" s="1"/>
      <c r="J18" s="1"/>
      <c r="K18" s="1"/>
      <c r="L18" s="1"/>
      <c r="M18" s="1"/>
      <c r="N18" s="1"/>
      <c r="O18" s="1"/>
      <c r="P18" s="1"/>
      <c r="Q18" s="1"/>
      <c r="R18" s="1"/>
      <c r="S18" s="1"/>
      <c r="T18" s="1"/>
      <c r="U18" s="1"/>
      <c r="V18" s="1"/>
      <c r="W18" s="1"/>
      <c r="X18" s="1"/>
    </row>
    <row r="19" spans="1:24" x14ac:dyDescent="0.25">
      <c r="A19" s="1"/>
      <c r="B19" s="3"/>
      <c r="C19" s="1"/>
      <c r="D19" s="1"/>
      <c r="E19" s="1"/>
      <c r="F19" s="1"/>
      <c r="G19" s="1"/>
      <c r="H19" s="1"/>
      <c r="I19" s="1"/>
      <c r="J19" s="1"/>
      <c r="K19" s="1"/>
      <c r="L19" s="1"/>
      <c r="M19" s="1"/>
      <c r="N19" s="1"/>
      <c r="O19" s="1"/>
      <c r="P19" s="1"/>
      <c r="Q19" s="1"/>
      <c r="R19" s="1"/>
      <c r="S19" s="1"/>
      <c r="T19" s="1"/>
      <c r="U19" s="1"/>
      <c r="V19" s="1"/>
      <c r="W19" s="1"/>
      <c r="X19" s="1"/>
    </row>
    <row r="20" spans="1:24" x14ac:dyDescent="0.25">
      <c r="A20" s="1"/>
      <c r="B20" s="2" t="s">
        <v>22</v>
      </c>
      <c r="C20" s="50" t="s">
        <v>193</v>
      </c>
      <c r="D20" s="1"/>
      <c r="E20" s="118" t="s">
        <v>29</v>
      </c>
      <c r="F20" s="36"/>
      <c r="G20" s="36"/>
      <c r="H20" s="36"/>
      <c r="I20" s="36"/>
      <c r="J20" s="36"/>
      <c r="K20" s="36"/>
      <c r="L20" s="1"/>
      <c r="M20" s="1"/>
      <c r="N20" s="1"/>
      <c r="O20" s="1"/>
      <c r="P20" s="1"/>
      <c r="Q20" s="1"/>
      <c r="R20" s="1"/>
      <c r="S20" s="1"/>
      <c r="T20" s="1"/>
      <c r="U20" s="1"/>
      <c r="V20" s="1"/>
      <c r="W20" s="1"/>
      <c r="X20" s="1"/>
    </row>
    <row r="21" spans="1:24" x14ac:dyDescent="0.25">
      <c r="A21" s="1"/>
      <c r="B21" s="1"/>
      <c r="C21" s="1" t="s">
        <v>194</v>
      </c>
      <c r="D21" s="1"/>
      <c r="E21" s="1" t="s">
        <v>195</v>
      </c>
      <c r="F21" s="36"/>
      <c r="G21" s="36"/>
      <c r="H21" s="36"/>
      <c r="I21" s="36"/>
      <c r="J21" s="36"/>
      <c r="K21" s="36"/>
      <c r="L21" s="1"/>
      <c r="M21" s="1"/>
      <c r="N21" s="1"/>
      <c r="O21" s="1"/>
      <c r="P21" s="1"/>
      <c r="Q21" s="1"/>
      <c r="R21" s="1"/>
      <c r="S21" s="1"/>
      <c r="T21" s="1"/>
      <c r="U21" s="1"/>
      <c r="V21" s="1"/>
      <c r="W21" s="1"/>
      <c r="X21" s="1"/>
    </row>
    <row r="22" spans="1:24" x14ac:dyDescent="0.25">
      <c r="A22" s="1"/>
      <c r="B22" s="2" t="s">
        <v>46</v>
      </c>
      <c r="C22" s="1"/>
      <c r="D22" s="1"/>
      <c r="E22" s="1"/>
      <c r="F22" s="1"/>
      <c r="G22" s="1"/>
      <c r="H22" s="1"/>
      <c r="I22" s="1"/>
      <c r="J22" s="1"/>
      <c r="K22" s="1"/>
      <c r="L22" s="1"/>
      <c r="M22" s="1"/>
      <c r="N22" s="1"/>
      <c r="O22" s="1"/>
      <c r="P22" s="1"/>
      <c r="Q22" s="1"/>
      <c r="R22" s="1"/>
      <c r="S22" s="1"/>
      <c r="T22" s="1"/>
      <c r="U22" s="1"/>
      <c r="V22" s="1"/>
      <c r="W22" s="1"/>
      <c r="X22" s="1"/>
    </row>
    <row r="23" spans="1:24" x14ac:dyDescent="0.25">
      <c r="A23" s="1"/>
      <c r="B23" s="37"/>
      <c r="C23" s="37"/>
      <c r="D23" s="37"/>
      <c r="E23" s="37"/>
      <c r="F23" s="37"/>
      <c r="G23" s="37"/>
      <c r="H23" s="37"/>
      <c r="I23" s="1"/>
      <c r="J23" s="1"/>
      <c r="K23" s="1"/>
      <c r="L23" s="1"/>
      <c r="M23" s="1"/>
      <c r="N23" s="1"/>
      <c r="O23" s="1"/>
      <c r="P23" s="1"/>
      <c r="Q23" s="1"/>
      <c r="R23" s="1"/>
      <c r="S23" s="1"/>
      <c r="T23" s="1"/>
      <c r="U23" s="1"/>
      <c r="V23" s="1"/>
      <c r="W23" s="1"/>
      <c r="X23" s="1"/>
    </row>
    <row r="24" spans="1:24" x14ac:dyDescent="0.25">
      <c r="A24" s="1"/>
      <c r="B24" s="37"/>
      <c r="C24" s="37"/>
      <c r="D24" s="37"/>
      <c r="E24" s="37"/>
      <c r="F24" s="37"/>
      <c r="G24" s="37"/>
      <c r="H24" s="37"/>
      <c r="I24" s="1"/>
      <c r="J24" s="1"/>
      <c r="K24" s="1"/>
      <c r="L24" s="1"/>
      <c r="M24" s="1"/>
      <c r="N24" s="1"/>
      <c r="O24" s="1"/>
      <c r="P24" s="1"/>
      <c r="Q24" s="1"/>
      <c r="R24" s="1"/>
      <c r="S24" s="1"/>
      <c r="T24" s="1"/>
      <c r="U24" s="1"/>
      <c r="V24" s="1"/>
      <c r="W24" s="1"/>
      <c r="X24" s="1"/>
    </row>
    <row r="25" spans="1:24" x14ac:dyDescent="0.25">
      <c r="A25" s="1"/>
      <c r="B25" s="37"/>
      <c r="C25" s="37"/>
      <c r="D25" s="37"/>
      <c r="E25" s="37"/>
      <c r="F25" s="37"/>
      <c r="G25" s="37"/>
      <c r="H25" s="37"/>
      <c r="I25" s="1"/>
      <c r="J25" s="1"/>
      <c r="K25" s="1"/>
      <c r="L25" s="1"/>
      <c r="M25" s="1"/>
      <c r="N25" s="1"/>
      <c r="O25" s="1"/>
      <c r="P25" s="1"/>
      <c r="Q25" s="1"/>
      <c r="R25" s="1"/>
      <c r="S25" s="1"/>
      <c r="T25" s="1"/>
      <c r="U25" s="1"/>
      <c r="V25" s="1"/>
      <c r="W25" s="1"/>
      <c r="X25" s="1"/>
    </row>
    <row r="26" spans="1:24" x14ac:dyDescent="0.25">
      <c r="A26" s="1"/>
      <c r="B26" s="37"/>
      <c r="C26" s="37"/>
      <c r="D26" s="37"/>
      <c r="E26" s="37"/>
      <c r="F26" s="37"/>
      <c r="G26" s="37"/>
      <c r="H26" s="37"/>
      <c r="I26" s="1"/>
      <c r="J26" s="1"/>
      <c r="K26" s="1"/>
      <c r="L26" s="1"/>
      <c r="M26" s="1"/>
      <c r="N26" s="1"/>
      <c r="O26" s="1"/>
      <c r="P26" s="1"/>
      <c r="Q26" s="1"/>
      <c r="R26" s="1"/>
      <c r="S26" s="1"/>
      <c r="T26" s="1"/>
      <c r="U26" s="1"/>
      <c r="V26" s="1"/>
      <c r="W26" s="1"/>
      <c r="X26" s="1"/>
    </row>
    <row r="27" spans="1:24" x14ac:dyDescent="0.25">
      <c r="A27" s="1"/>
      <c r="B27" s="37"/>
      <c r="C27" s="37"/>
      <c r="D27" s="37"/>
      <c r="E27" s="37"/>
      <c r="F27" s="37"/>
      <c r="G27" s="37"/>
      <c r="H27" s="37"/>
      <c r="I27" s="1"/>
      <c r="J27" s="1"/>
      <c r="K27" s="1"/>
      <c r="L27" s="1"/>
      <c r="M27" s="1"/>
      <c r="N27" s="1"/>
      <c r="O27" s="1"/>
      <c r="P27" s="1"/>
      <c r="Q27" s="1"/>
      <c r="R27" s="1"/>
      <c r="S27" s="1"/>
      <c r="T27" s="1"/>
      <c r="U27" s="1"/>
      <c r="V27" s="1"/>
      <c r="W27" s="1"/>
      <c r="X27" s="1"/>
    </row>
    <row r="28" spans="1:24" x14ac:dyDescent="0.25">
      <c r="A28" s="1"/>
      <c r="B28" s="37"/>
      <c r="C28" s="37"/>
      <c r="D28" s="37"/>
      <c r="E28" s="37"/>
      <c r="F28" s="37"/>
      <c r="G28" s="37"/>
      <c r="H28" s="37"/>
      <c r="I28" s="1"/>
      <c r="J28" s="1"/>
      <c r="K28" s="1"/>
      <c r="L28" s="1"/>
      <c r="M28" s="1"/>
      <c r="N28" s="1"/>
      <c r="O28" s="1"/>
      <c r="P28" s="1"/>
      <c r="Q28" s="1"/>
      <c r="R28" s="1"/>
      <c r="S28" s="1"/>
      <c r="T28" s="1"/>
      <c r="U28" s="1"/>
      <c r="V28" s="1"/>
      <c r="W28" s="1"/>
      <c r="X28" s="1"/>
    </row>
    <row r="29" spans="1:24" x14ac:dyDescent="0.25">
      <c r="A29" s="36"/>
      <c r="B29" s="37"/>
      <c r="C29" s="37"/>
      <c r="D29" s="37"/>
      <c r="E29" s="37"/>
      <c r="F29" s="37"/>
      <c r="G29" s="37"/>
      <c r="H29" s="37"/>
      <c r="I29" s="36"/>
      <c r="J29" s="36"/>
      <c r="K29" s="36"/>
      <c r="L29" s="36"/>
      <c r="M29" s="36"/>
      <c r="N29" s="36"/>
      <c r="O29" s="36"/>
      <c r="P29" s="36"/>
      <c r="Q29" s="36"/>
      <c r="R29" s="36"/>
      <c r="S29" s="36"/>
      <c r="T29" s="36"/>
      <c r="U29" s="36"/>
      <c r="V29" s="36"/>
      <c r="W29" s="36"/>
      <c r="X29" s="36"/>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t="s">
        <v>37</v>
      </c>
      <c r="B31" s="45" t="s">
        <v>49</v>
      </c>
      <c r="C31" s="3"/>
      <c r="D31" s="1"/>
      <c r="E31" s="1"/>
      <c r="F31" s="1"/>
      <c r="G31" s="1"/>
      <c r="H31" s="1"/>
      <c r="I31" s="1"/>
      <c r="J31" s="1"/>
      <c r="K31" s="1"/>
      <c r="L31" s="1"/>
      <c r="M31" s="1"/>
      <c r="N31" s="1"/>
      <c r="O31" s="1"/>
      <c r="P31" s="1"/>
      <c r="Q31" s="1"/>
      <c r="R31" s="1"/>
      <c r="S31" s="1"/>
      <c r="T31" s="1"/>
      <c r="U31" s="1"/>
      <c r="V31" s="1"/>
      <c r="W31" s="1"/>
      <c r="X31" s="1"/>
    </row>
    <row r="32" spans="1:24" ht="15.75" thickBot="1" x14ac:dyDescent="0.3">
      <c r="A32" s="1"/>
      <c r="B32" s="2" t="s">
        <v>26</v>
      </c>
      <c r="C32" s="100">
        <v>2015</v>
      </c>
      <c r="D32" s="81"/>
      <c r="E32" s="81"/>
      <c r="F32" s="82"/>
      <c r="G32" s="34"/>
      <c r="H32" s="34"/>
      <c r="I32" s="34"/>
      <c r="J32" s="34"/>
      <c r="K32" s="34"/>
      <c r="L32" s="1"/>
      <c r="M32" s="1"/>
      <c r="N32" s="1"/>
      <c r="O32" s="3" t="s">
        <v>30</v>
      </c>
      <c r="P32" s="1"/>
      <c r="Q32" s="1"/>
      <c r="R32" s="1"/>
      <c r="S32" s="1"/>
      <c r="T32" s="1"/>
      <c r="U32" s="1"/>
      <c r="V32" s="1"/>
      <c r="W32" s="1"/>
      <c r="X32" s="1"/>
    </row>
    <row r="33" spans="1:24" ht="78" thickBot="1" x14ac:dyDescent="0.3">
      <c r="A33" s="9"/>
      <c r="B33" s="122" t="s">
        <v>43</v>
      </c>
      <c r="C33" s="127" t="s">
        <v>154</v>
      </c>
      <c r="D33" s="197" t="s">
        <v>155</v>
      </c>
      <c r="E33" s="196" t="s">
        <v>92</v>
      </c>
      <c r="F33" s="123" t="s">
        <v>158</v>
      </c>
      <c r="G33" s="124" t="s">
        <v>192</v>
      </c>
      <c r="H33" s="124" t="s">
        <v>23</v>
      </c>
      <c r="I33" s="124" t="s">
        <v>56</v>
      </c>
      <c r="J33" s="124" t="s">
        <v>83</v>
      </c>
      <c r="K33" s="179" t="s">
        <v>85</v>
      </c>
      <c r="L33" s="158"/>
      <c r="M33" s="152"/>
      <c r="N33" s="9"/>
      <c r="O33" s="11"/>
      <c r="P33" s="202">
        <v>2016</v>
      </c>
      <c r="Q33" s="202"/>
      <c r="R33" s="202"/>
      <c r="S33" s="202">
        <v>2015</v>
      </c>
      <c r="T33" s="202"/>
      <c r="U33" s="202"/>
      <c r="V33" s="202">
        <v>2014</v>
      </c>
      <c r="W33" s="202"/>
      <c r="X33" s="202"/>
    </row>
    <row r="34" spans="1:24" ht="15.75" thickBot="1" x14ac:dyDescent="0.3">
      <c r="A34" s="9"/>
      <c r="B34" s="186"/>
      <c r="C34" s="195" t="s">
        <v>0</v>
      </c>
      <c r="D34" s="125" t="s">
        <v>0</v>
      </c>
      <c r="E34" s="125" t="s">
        <v>0</v>
      </c>
      <c r="F34" s="188" t="s">
        <v>0</v>
      </c>
      <c r="G34" s="189"/>
      <c r="H34" s="189"/>
      <c r="I34" s="189"/>
      <c r="J34" s="189"/>
      <c r="K34" s="194"/>
      <c r="L34" s="159"/>
      <c r="M34" s="153"/>
      <c r="N34" s="9"/>
      <c r="O34" s="11"/>
      <c r="P34" s="129"/>
      <c r="Q34" s="129"/>
      <c r="R34" s="129"/>
      <c r="S34" s="129"/>
      <c r="T34" s="129"/>
      <c r="U34" s="129"/>
      <c r="V34" s="129"/>
      <c r="W34" s="129"/>
      <c r="X34" s="129"/>
    </row>
    <row r="35" spans="1:24" ht="45" x14ac:dyDescent="0.25">
      <c r="A35" s="9"/>
      <c r="B35" s="12"/>
      <c r="C35" s="64" t="s">
        <v>44</v>
      </c>
      <c r="D35" s="64" t="s">
        <v>42</v>
      </c>
      <c r="E35" s="65" t="s">
        <v>59</v>
      </c>
      <c r="F35" s="65" t="s">
        <v>60</v>
      </c>
      <c r="G35" s="65" t="s">
        <v>61</v>
      </c>
      <c r="H35" s="66" t="s">
        <v>62</v>
      </c>
      <c r="I35" s="65" t="s">
        <v>63</v>
      </c>
      <c r="J35" s="66" t="s">
        <v>64</v>
      </c>
      <c r="K35" s="67" t="s">
        <v>65</v>
      </c>
      <c r="L35" s="153"/>
      <c r="M35" s="154"/>
      <c r="N35" s="9"/>
      <c r="O35" s="19" t="s">
        <v>31</v>
      </c>
      <c r="P35" s="104" t="s">
        <v>27</v>
      </c>
      <c r="Q35" s="104" t="s">
        <v>28</v>
      </c>
      <c r="R35" s="104" t="s">
        <v>29</v>
      </c>
      <c r="S35" s="104" t="s">
        <v>27</v>
      </c>
      <c r="T35" s="104" t="s">
        <v>28</v>
      </c>
      <c r="U35" s="104" t="s">
        <v>29</v>
      </c>
      <c r="V35" s="104" t="s">
        <v>27</v>
      </c>
      <c r="W35" s="104" t="s">
        <v>28</v>
      </c>
      <c r="X35" s="104" t="s">
        <v>29</v>
      </c>
    </row>
    <row r="36" spans="1:24" x14ac:dyDescent="0.25">
      <c r="A36" s="1"/>
      <c r="B36" s="13" t="s">
        <v>197</v>
      </c>
      <c r="C36" s="97">
        <v>172988593</v>
      </c>
      <c r="D36" s="97">
        <f>5424324+177949318</f>
        <v>183373642</v>
      </c>
      <c r="E36" s="60">
        <f>12958329+188252257</f>
        <v>201210586</v>
      </c>
      <c r="F36" s="49">
        <f>+C36+-D36+E36</f>
        <v>190825537</v>
      </c>
      <c r="G36" s="143">
        <f>U36</f>
        <v>5.0680000000000003E-2</v>
      </c>
      <c r="H36" s="16">
        <f>F36*G36</f>
        <v>9671038.2151600011</v>
      </c>
      <c r="I36" s="126">
        <f>+G36</f>
        <v>5.0680000000000003E-2</v>
      </c>
      <c r="J36" s="16">
        <f>F36*I36</f>
        <v>9671038.2151600011</v>
      </c>
      <c r="K36" s="173">
        <f>+J36-H36</f>
        <v>0</v>
      </c>
      <c r="L36" s="145"/>
      <c r="M36" s="145"/>
      <c r="N36" s="1"/>
      <c r="O36" s="11" t="s">
        <v>10</v>
      </c>
      <c r="P36" s="20">
        <v>8.4229999999999999E-2</v>
      </c>
      <c r="Q36" s="20">
        <v>9.214E-2</v>
      </c>
      <c r="R36" s="20">
        <v>9.1789999999999997E-2</v>
      </c>
      <c r="S36" s="20">
        <v>5.5490000000000005E-2</v>
      </c>
      <c r="T36" s="20">
        <v>6.1609999999999998E-2</v>
      </c>
      <c r="U36" s="20">
        <v>5.0680000000000003E-2</v>
      </c>
      <c r="V36" s="20">
        <v>3.6260000000000001E-2</v>
      </c>
      <c r="W36" s="20">
        <v>1.806E-2</v>
      </c>
      <c r="X36" s="20">
        <v>1.261E-2</v>
      </c>
    </row>
    <row r="37" spans="1:24" x14ac:dyDescent="0.25">
      <c r="A37" s="1"/>
      <c r="B37" s="13" t="s">
        <v>156</v>
      </c>
      <c r="C37" s="97">
        <f>407432336-172988593</f>
        <v>234443743</v>
      </c>
      <c r="D37" s="97">
        <f>431144056-D36</f>
        <v>247770414</v>
      </c>
      <c r="E37" s="60">
        <f>425813497-E36</f>
        <v>224602911</v>
      </c>
      <c r="F37" s="49">
        <f>+C37+-D37+E37</f>
        <v>211276240</v>
      </c>
      <c r="G37" s="143">
        <f>S36</f>
        <v>5.5490000000000005E-2</v>
      </c>
      <c r="H37" s="16">
        <f>F37*G37</f>
        <v>11723718.557600001</v>
      </c>
      <c r="I37" s="126">
        <f>+I36</f>
        <v>5.0680000000000003E-2</v>
      </c>
      <c r="J37" s="16">
        <f>F37*I37</f>
        <v>10707479.8432</v>
      </c>
      <c r="K37" s="173">
        <f>+J37-H37</f>
        <v>-1016238.7144000009</v>
      </c>
      <c r="L37" s="145"/>
      <c r="M37" s="145"/>
      <c r="N37" s="1"/>
      <c r="O37" s="11" t="s">
        <v>11</v>
      </c>
      <c r="P37" s="21">
        <v>0.10384</v>
      </c>
      <c r="Q37" s="21">
        <v>9.6780000000000005E-2</v>
      </c>
      <c r="R37" s="21">
        <v>9.851E-2</v>
      </c>
      <c r="S37" s="21">
        <v>6.9809999999999997E-2</v>
      </c>
      <c r="T37" s="21">
        <v>4.095E-2</v>
      </c>
      <c r="U37" s="21">
        <v>3.9609999999999999E-2</v>
      </c>
      <c r="V37" s="21">
        <v>2.231E-2</v>
      </c>
      <c r="W37" s="21">
        <v>1.1180000000000001E-2</v>
      </c>
      <c r="X37" s="21">
        <v>1.3300000000000001E-2</v>
      </c>
    </row>
    <row r="38" spans="1:24" x14ac:dyDescent="0.25">
      <c r="A38" s="1"/>
      <c r="B38" s="119" t="s">
        <v>157</v>
      </c>
      <c r="C38" s="165">
        <f>SUM(C36:C37)</f>
        <v>407432336</v>
      </c>
      <c r="D38" s="165">
        <f t="shared" ref="D38:K38" si="0">SUM(D36:D37)</f>
        <v>431144056</v>
      </c>
      <c r="E38" s="165">
        <f t="shared" si="0"/>
        <v>425813497</v>
      </c>
      <c r="F38" s="120">
        <f>SUM(F36:F37)</f>
        <v>402101777</v>
      </c>
      <c r="G38" s="177"/>
      <c r="H38" s="121">
        <f t="shared" si="0"/>
        <v>21394756.772760004</v>
      </c>
      <c r="I38" s="169"/>
      <c r="J38" s="121">
        <f t="shared" si="0"/>
        <v>20378518.058360003</v>
      </c>
      <c r="K38" s="192">
        <f t="shared" si="0"/>
        <v>-1016238.7144000009</v>
      </c>
      <c r="L38" s="145"/>
      <c r="M38" s="156"/>
      <c r="N38" s="1"/>
      <c r="O38" s="11" t="s">
        <v>12</v>
      </c>
      <c r="P38" s="21">
        <v>9.0219999999999995E-2</v>
      </c>
      <c r="Q38" s="21">
        <v>0.10299</v>
      </c>
      <c r="R38" s="21">
        <v>0.1061</v>
      </c>
      <c r="S38" s="21">
        <v>3.6040000000000003E-2</v>
      </c>
      <c r="T38" s="21">
        <v>5.74E-2</v>
      </c>
      <c r="U38" s="21">
        <v>6.2899999999999998E-2</v>
      </c>
      <c r="V38" s="21">
        <v>1.103E-2</v>
      </c>
      <c r="W38" s="21">
        <v>-8.0000000000000002E-3</v>
      </c>
      <c r="X38" s="21">
        <v>-2.7E-4</v>
      </c>
    </row>
    <row r="39" spans="1:24" x14ac:dyDescent="0.25">
      <c r="A39" s="1"/>
      <c r="B39" s="13" t="s">
        <v>159</v>
      </c>
      <c r="C39" s="97">
        <v>187182042</v>
      </c>
      <c r="D39" s="97">
        <f>12958329+188252257</f>
        <v>201210586</v>
      </c>
      <c r="E39" s="60">
        <f>8277889+174445143</f>
        <v>182723032</v>
      </c>
      <c r="F39" s="49">
        <f>+C39+-D39+E39</f>
        <v>168694488</v>
      </c>
      <c r="G39" s="142">
        <f>U37</f>
        <v>3.9609999999999999E-2</v>
      </c>
      <c r="H39" s="16">
        <f>F39*G39</f>
        <v>6681988.6696800003</v>
      </c>
      <c r="I39" s="126">
        <f>+G39</f>
        <v>3.9609999999999999E-2</v>
      </c>
      <c r="J39" s="16">
        <f>F39*I39</f>
        <v>6681988.6696800003</v>
      </c>
      <c r="K39" s="173">
        <f>+J39-H39</f>
        <v>0</v>
      </c>
      <c r="L39" s="145"/>
      <c r="M39" s="145"/>
      <c r="N39" s="1"/>
      <c r="O39" s="11" t="s">
        <v>13</v>
      </c>
      <c r="P39" s="21">
        <v>0.12114999999999999</v>
      </c>
      <c r="Q39" s="21">
        <v>0.11176999999999999</v>
      </c>
      <c r="R39" s="21">
        <v>0.11132</v>
      </c>
      <c r="S39" s="21">
        <v>6.7049999999999998E-2</v>
      </c>
      <c r="T39" s="21">
        <v>9.2679999999999998E-2</v>
      </c>
      <c r="U39" s="21">
        <v>9.5590000000000008E-2</v>
      </c>
      <c r="V39" s="21">
        <v>-9.6500000000000006E-3</v>
      </c>
      <c r="W39" s="21">
        <v>5.4530000000000002E-2</v>
      </c>
      <c r="X39" s="21">
        <v>5.1979999999999998E-2</v>
      </c>
    </row>
    <row r="40" spans="1:24" x14ac:dyDescent="0.25">
      <c r="A40" s="1"/>
      <c r="B40" s="13" t="s">
        <v>160</v>
      </c>
      <c r="C40" s="97">
        <f>374739133-C39</f>
        <v>187557091</v>
      </c>
      <c r="D40" s="97">
        <f>425813497-D39</f>
        <v>224602911</v>
      </c>
      <c r="E40" s="60">
        <f>425604330-E39</f>
        <v>242881298</v>
      </c>
      <c r="F40" s="49">
        <f>+C40+-D40+E40</f>
        <v>205835478</v>
      </c>
      <c r="G40" s="142">
        <f>S37</f>
        <v>6.9809999999999997E-2</v>
      </c>
      <c r="H40" s="16">
        <f>F40*G40</f>
        <v>14369374.719179999</v>
      </c>
      <c r="I40" s="126">
        <f>+I39</f>
        <v>3.9609999999999999E-2</v>
      </c>
      <c r="J40" s="16">
        <f>F40*I40</f>
        <v>8153143.2835799996</v>
      </c>
      <c r="K40" s="173">
        <f>+J40-H40</f>
        <v>-6216231.4355999995</v>
      </c>
      <c r="L40" s="145"/>
      <c r="M40" s="145"/>
      <c r="N40" s="1"/>
      <c r="O40" s="11" t="s">
        <v>14</v>
      </c>
      <c r="P40" s="21">
        <v>0.10405</v>
      </c>
      <c r="Q40" s="21">
        <v>0.11493</v>
      </c>
      <c r="R40" s="21">
        <v>0.10749</v>
      </c>
      <c r="S40" s="21">
        <v>9.4159999999999994E-2</v>
      </c>
      <c r="T40" s="21">
        <v>9.7299999999999998E-2</v>
      </c>
      <c r="U40" s="21">
        <v>9.6680000000000002E-2</v>
      </c>
      <c r="V40" s="21">
        <v>5.3560000000000003E-2</v>
      </c>
      <c r="W40" s="21">
        <v>7.3520000000000002E-2</v>
      </c>
      <c r="X40" s="21">
        <v>7.1959999999999996E-2</v>
      </c>
    </row>
    <row r="41" spans="1:24" x14ac:dyDescent="0.25">
      <c r="A41" s="1"/>
      <c r="B41" s="119" t="s">
        <v>161</v>
      </c>
      <c r="C41" s="165">
        <f>SUM(C39:C40)</f>
        <v>374739133</v>
      </c>
      <c r="D41" s="165">
        <f t="shared" ref="D41" si="1">SUM(D39:D40)</f>
        <v>425813497</v>
      </c>
      <c r="E41" s="165">
        <f t="shared" ref="E41" si="2">SUM(E39:E40)</f>
        <v>425604330</v>
      </c>
      <c r="F41" s="120">
        <f>SUM(F39:F40)</f>
        <v>374529966</v>
      </c>
      <c r="G41" s="169"/>
      <c r="H41" s="121">
        <f t="shared" ref="H41" si="3">SUM(H39:H40)</f>
        <v>21051363.388859998</v>
      </c>
      <c r="I41" s="169"/>
      <c r="J41" s="121">
        <f t="shared" ref="J41:K41" si="4">SUM(J39:J40)</f>
        <v>14835131.953260001</v>
      </c>
      <c r="K41" s="192">
        <f t="shared" si="4"/>
        <v>-6216231.4355999995</v>
      </c>
      <c r="L41" s="145"/>
      <c r="M41" s="156"/>
      <c r="N41" s="1"/>
      <c r="O41" s="11" t="s">
        <v>15</v>
      </c>
      <c r="P41" s="21">
        <v>0.11650000000000001</v>
      </c>
      <c r="Q41" s="21">
        <v>9.3600000000000003E-2</v>
      </c>
      <c r="R41" s="21">
        <v>9.5449999999999993E-2</v>
      </c>
      <c r="S41" s="21">
        <v>9.2280000000000001E-2</v>
      </c>
      <c r="T41" s="21">
        <v>9.7680000000000003E-2</v>
      </c>
      <c r="U41" s="21">
        <v>9.5400000000000013E-2</v>
      </c>
      <c r="V41" s="21">
        <v>7.1900000000000006E-2</v>
      </c>
      <c r="W41" s="21">
        <v>6.6640000000000005E-2</v>
      </c>
      <c r="X41" s="21">
        <v>6.0249999999999998E-2</v>
      </c>
    </row>
    <row r="42" spans="1:24" x14ac:dyDescent="0.25">
      <c r="A42" s="1"/>
      <c r="B42" s="13" t="s">
        <v>162</v>
      </c>
      <c r="C42" s="97">
        <v>175281666</v>
      </c>
      <c r="D42" s="97">
        <f>E39</f>
        <v>182723032</v>
      </c>
      <c r="E42" s="60">
        <f>-7547622+186644217</f>
        <v>179096595</v>
      </c>
      <c r="F42" s="49">
        <f>+C42+-D42+E42</f>
        <v>171655229</v>
      </c>
      <c r="G42" s="142">
        <f>U38</f>
        <v>6.2899999999999998E-2</v>
      </c>
      <c r="H42" s="16">
        <f>F42*G42</f>
        <v>10797113.904099999</v>
      </c>
      <c r="I42" s="126">
        <f>+G42</f>
        <v>6.2899999999999998E-2</v>
      </c>
      <c r="J42" s="16">
        <f>F42*I42</f>
        <v>10797113.904099999</v>
      </c>
      <c r="K42" s="173">
        <f>+J42-H42</f>
        <v>0</v>
      </c>
      <c r="L42" s="145"/>
      <c r="M42" s="145"/>
      <c r="N42" s="1"/>
      <c r="O42" s="11" t="s">
        <v>16</v>
      </c>
      <c r="P42" s="21">
        <v>7.6670000000000002E-2</v>
      </c>
      <c r="Q42" s="21">
        <v>8.412E-2</v>
      </c>
      <c r="R42" s="21">
        <v>8.3059999999999995E-2</v>
      </c>
      <c r="S42" s="21">
        <v>8.8880000000000001E-2</v>
      </c>
      <c r="T42" s="21">
        <v>8.4129999999999996E-2</v>
      </c>
      <c r="U42" s="21">
        <v>7.8829999999999997E-2</v>
      </c>
      <c r="V42" s="21">
        <v>5.9760000000000001E-2</v>
      </c>
      <c r="W42" s="21">
        <v>5.7529999999999998E-2</v>
      </c>
      <c r="X42" s="21">
        <v>6.2560000000000004E-2</v>
      </c>
    </row>
    <row r="43" spans="1:24" x14ac:dyDescent="0.25">
      <c r="A43" s="1"/>
      <c r="B43" s="13" t="s">
        <v>163</v>
      </c>
      <c r="C43" s="97">
        <f>416659820-C42</f>
        <v>241378154</v>
      </c>
      <c r="D43" s="97">
        <f>E40</f>
        <v>242881298</v>
      </c>
      <c r="E43" s="60">
        <f>381850793-E42</f>
        <v>202754198</v>
      </c>
      <c r="F43" s="49">
        <f>+C43+-D43+E43</f>
        <v>201251054</v>
      </c>
      <c r="G43" s="142">
        <f>S38</f>
        <v>3.6040000000000003E-2</v>
      </c>
      <c r="H43" s="16">
        <f>F43*G43</f>
        <v>7253087.9861600008</v>
      </c>
      <c r="I43" s="126">
        <f>+I42</f>
        <v>6.2899999999999998E-2</v>
      </c>
      <c r="J43" s="16">
        <f>F43*I43</f>
        <v>12658691.296599999</v>
      </c>
      <c r="K43" s="173">
        <f>+J43-H43</f>
        <v>5405603.3104399983</v>
      </c>
      <c r="L43" s="145"/>
      <c r="M43" s="145"/>
      <c r="N43" s="1"/>
      <c r="O43" s="11" t="s">
        <v>17</v>
      </c>
      <c r="P43" s="21">
        <v>8.5690000000000002E-2</v>
      </c>
      <c r="Q43" s="21">
        <v>7.0499999999999993E-2</v>
      </c>
      <c r="R43" s="21">
        <v>7.1029999999999996E-2</v>
      </c>
      <c r="S43" s="21">
        <v>8.8050000000000003E-2</v>
      </c>
      <c r="T43" s="21">
        <v>7.3550000000000004E-2</v>
      </c>
      <c r="U43" s="21">
        <v>8.0099999999999991E-2</v>
      </c>
      <c r="V43" s="21">
        <v>6.1079999999999995E-2</v>
      </c>
      <c r="W43" s="21">
        <v>6.8970000000000004E-2</v>
      </c>
      <c r="X43" s="21">
        <v>6.7610000000000003E-2</v>
      </c>
    </row>
    <row r="44" spans="1:24" x14ac:dyDescent="0.25">
      <c r="A44" s="1"/>
      <c r="B44" s="119" t="s">
        <v>164</v>
      </c>
      <c r="C44" s="165">
        <f>SUM(C42:C43)</f>
        <v>416659820</v>
      </c>
      <c r="D44" s="165">
        <f t="shared" ref="D44" si="5">SUM(D42:D43)</f>
        <v>425604330</v>
      </c>
      <c r="E44" s="165">
        <f t="shared" ref="E44" si="6">SUM(E42:E43)</f>
        <v>381850793</v>
      </c>
      <c r="F44" s="120">
        <f t="shared" ref="F44" si="7">SUM(F42:F43)</f>
        <v>372906283</v>
      </c>
      <c r="G44" s="169"/>
      <c r="H44" s="121">
        <f t="shared" ref="H44" si="8">SUM(H42:H43)</f>
        <v>18050201.89026</v>
      </c>
      <c r="I44" s="169"/>
      <c r="J44" s="121">
        <f t="shared" ref="J44" si="9">SUM(J42:J43)</f>
        <v>23455805.2007</v>
      </c>
      <c r="K44" s="192">
        <f t="shared" ref="K44" si="10">SUM(K42:K43)</f>
        <v>5405603.3104399983</v>
      </c>
      <c r="L44" s="145"/>
      <c r="M44" s="156"/>
      <c r="N44" s="1"/>
      <c r="O44" s="11" t="s">
        <v>18</v>
      </c>
      <c r="P44" s="21">
        <v>7.0599999999999996E-2</v>
      </c>
      <c r="Q44" s="21">
        <v>9.1480000000000006E-2</v>
      </c>
      <c r="R44" s="21">
        <v>9.5310000000000006E-2</v>
      </c>
      <c r="S44" s="21">
        <v>8.270000000000001E-2</v>
      </c>
      <c r="T44" s="21">
        <v>7.1910000000000002E-2</v>
      </c>
      <c r="U44" s="21">
        <v>6.7030000000000006E-2</v>
      </c>
      <c r="V44" s="21">
        <v>8.0489999999999992E-2</v>
      </c>
      <c r="W44" s="21">
        <v>8.072E-2</v>
      </c>
      <c r="X44" s="21">
        <v>7.9629999999999992E-2</v>
      </c>
    </row>
    <row r="45" spans="1:24" x14ac:dyDescent="0.25">
      <c r="A45" s="1"/>
      <c r="B45" s="13" t="s">
        <v>167</v>
      </c>
      <c r="C45" s="97">
        <v>186744467</v>
      </c>
      <c r="D45" s="97">
        <f>E42</f>
        <v>179096595</v>
      </c>
      <c r="E45" s="60">
        <f>-15846678+174421228</f>
        <v>158574550</v>
      </c>
      <c r="F45" s="49">
        <f>+C45+-D45+E45</f>
        <v>166222422</v>
      </c>
      <c r="G45" s="142">
        <f>U39</f>
        <v>9.5590000000000008E-2</v>
      </c>
      <c r="H45" s="16">
        <f>F45*G45</f>
        <v>15889201.318980001</v>
      </c>
      <c r="I45" s="126">
        <f>+G45</f>
        <v>9.5590000000000008E-2</v>
      </c>
      <c r="J45" s="16">
        <f>F45*I45</f>
        <v>15889201.318980001</v>
      </c>
      <c r="K45" s="173">
        <f>+J45-H45</f>
        <v>0</v>
      </c>
      <c r="L45" s="145"/>
      <c r="M45" s="145"/>
      <c r="N45" s="1"/>
      <c r="O45" s="11" t="s">
        <v>19</v>
      </c>
      <c r="P45" s="21">
        <v>9.7199999999999995E-2</v>
      </c>
      <c r="Q45" s="21">
        <v>0.1178</v>
      </c>
      <c r="R45" s="21">
        <v>0.11226</v>
      </c>
      <c r="S45" s="21">
        <v>6.3710000000000003E-2</v>
      </c>
      <c r="T45" s="21">
        <v>7.1929999999999994E-2</v>
      </c>
      <c r="U45" s="21">
        <v>7.5439999999999993E-2</v>
      </c>
      <c r="V45" s="21">
        <v>7.492E-2</v>
      </c>
      <c r="W45" s="21">
        <v>0.10135</v>
      </c>
      <c r="X45" s="21">
        <v>0.10014000000000001</v>
      </c>
    </row>
    <row r="46" spans="1:24" x14ac:dyDescent="0.25">
      <c r="A46" s="1"/>
      <c r="B46" s="13" t="s">
        <v>165</v>
      </c>
      <c r="C46" s="97">
        <f>394160632-C45</f>
        <v>207416165</v>
      </c>
      <c r="D46" s="97">
        <f>E43</f>
        <v>202754198</v>
      </c>
      <c r="E46" s="60">
        <f>335645702-E45</f>
        <v>177071152</v>
      </c>
      <c r="F46" s="49">
        <f>+C46+-D46+E46</f>
        <v>181733119</v>
      </c>
      <c r="G46" s="142">
        <f>S39</f>
        <v>6.7049999999999998E-2</v>
      </c>
      <c r="H46" s="16">
        <f>F46*G46</f>
        <v>12185205.62895</v>
      </c>
      <c r="I46" s="126">
        <f>+I45</f>
        <v>9.5590000000000008E-2</v>
      </c>
      <c r="J46" s="16">
        <f>F46*I46</f>
        <v>17371868.845210001</v>
      </c>
      <c r="K46" s="173">
        <f>+J46-H46</f>
        <v>5186663.2162600011</v>
      </c>
      <c r="L46" s="145"/>
      <c r="M46" s="145"/>
      <c r="N46" s="1"/>
      <c r="O46" s="11" t="s">
        <v>20</v>
      </c>
      <c r="P46" s="21">
        <v>0.12271</v>
      </c>
      <c r="Q46" s="21">
        <v>0.115</v>
      </c>
      <c r="R46" s="21">
        <v>0.11108999999999999</v>
      </c>
      <c r="S46" s="21">
        <v>7.6230000000000006E-2</v>
      </c>
      <c r="T46" s="21">
        <v>0.12447999999999999</v>
      </c>
      <c r="U46" s="21">
        <v>0.11320000000000001</v>
      </c>
      <c r="V46" s="21">
        <v>9.9010000000000001E-2</v>
      </c>
      <c r="W46" s="21">
        <v>8.5040000000000004E-2</v>
      </c>
      <c r="X46" s="21">
        <v>8.231999999999999E-2</v>
      </c>
    </row>
    <row r="47" spans="1:24" x14ac:dyDescent="0.25">
      <c r="A47" s="1"/>
      <c r="B47" s="119" t="s">
        <v>166</v>
      </c>
      <c r="C47" s="165">
        <f>SUM(C45:C46)</f>
        <v>394160632</v>
      </c>
      <c r="D47" s="165">
        <f t="shared" ref="D47" si="11">SUM(D45:D46)</f>
        <v>381850793</v>
      </c>
      <c r="E47" s="165">
        <f t="shared" ref="E47" si="12">SUM(E45:E46)</f>
        <v>335645702</v>
      </c>
      <c r="F47" s="120">
        <f t="shared" ref="F47" si="13">SUM(F45:F46)</f>
        <v>347955541</v>
      </c>
      <c r="G47" s="169"/>
      <c r="H47" s="121">
        <f t="shared" ref="H47" si="14">SUM(H45:H46)</f>
        <v>28074406.947930001</v>
      </c>
      <c r="I47" s="169"/>
      <c r="J47" s="121">
        <f t="shared" ref="J47:K47" si="15">SUM(J45:J46)</f>
        <v>33261070.164190002</v>
      </c>
      <c r="K47" s="192">
        <f t="shared" si="15"/>
        <v>5186663.2162600011</v>
      </c>
      <c r="L47" s="145"/>
      <c r="M47" s="156"/>
      <c r="N47" s="1"/>
      <c r="O47" s="28" t="s">
        <v>21</v>
      </c>
      <c r="P47" s="29">
        <v>0.10594000000000001</v>
      </c>
      <c r="Q47" s="29">
        <v>7.8719999999999998E-2</v>
      </c>
      <c r="R47" s="29">
        <v>8.7080000000000005E-2</v>
      </c>
      <c r="S47" s="29">
        <v>0.11462</v>
      </c>
      <c r="T47" s="29">
        <v>8.8090000000000002E-2</v>
      </c>
      <c r="U47" s="29">
        <v>9.4709999999999989E-2</v>
      </c>
      <c r="V47" s="29">
        <v>7.3180000000000009E-2</v>
      </c>
      <c r="W47" s="29">
        <v>5.7889999999999997E-2</v>
      </c>
      <c r="X47" s="29">
        <v>7.4439999999999992E-2</v>
      </c>
    </row>
    <row r="48" spans="1:24" x14ac:dyDescent="0.25">
      <c r="A48" s="1"/>
      <c r="B48" s="13" t="s">
        <v>168</v>
      </c>
      <c r="C48" s="97">
        <v>174674990</v>
      </c>
      <c r="D48" s="97">
        <f>E45</f>
        <v>158574550</v>
      </c>
      <c r="E48" s="60">
        <v>178503529</v>
      </c>
      <c r="F48" s="49">
        <f>+C48+-D48+E48</f>
        <v>194603969</v>
      </c>
      <c r="G48" s="142">
        <f>U40</f>
        <v>9.6680000000000002E-2</v>
      </c>
      <c r="H48" s="16">
        <f>F48*G48</f>
        <v>18814311.722920001</v>
      </c>
      <c r="I48" s="126">
        <f>+G48</f>
        <v>9.6680000000000002E-2</v>
      </c>
      <c r="J48" s="16">
        <f>F48*I48</f>
        <v>18814311.722920001</v>
      </c>
      <c r="K48" s="173">
        <f>+J48-H48</f>
        <v>0</v>
      </c>
      <c r="L48" s="145"/>
      <c r="M48" s="145"/>
      <c r="N48" s="1"/>
      <c r="O48" s="32"/>
      <c r="P48" s="33"/>
      <c r="Q48" s="33"/>
      <c r="R48" s="33"/>
      <c r="S48" s="33"/>
      <c r="T48" s="33"/>
      <c r="U48" s="33"/>
      <c r="V48" s="33"/>
      <c r="W48" s="33"/>
      <c r="X48" s="33"/>
    </row>
    <row r="49" spans="1:24" x14ac:dyDescent="0.25">
      <c r="A49" s="1"/>
      <c r="B49" s="13" t="s">
        <v>169</v>
      </c>
      <c r="C49" s="97">
        <f>300159529-C48</f>
        <v>125484539</v>
      </c>
      <c r="D49" s="97">
        <f>E46</f>
        <v>177071152</v>
      </c>
      <c r="E49" s="60">
        <f>393389851-E48</f>
        <v>214886322</v>
      </c>
      <c r="F49" s="49">
        <f>+C49+-D49+E49</f>
        <v>163299709</v>
      </c>
      <c r="G49" s="142">
        <f>S40</f>
        <v>9.4159999999999994E-2</v>
      </c>
      <c r="H49" s="16">
        <f>F49*G49</f>
        <v>15376300.599439999</v>
      </c>
      <c r="I49" s="126">
        <f>+I48</f>
        <v>9.6680000000000002E-2</v>
      </c>
      <c r="J49" s="16">
        <f>F49*I49</f>
        <v>15787815.866119999</v>
      </c>
      <c r="K49" s="173">
        <f>+J49-H49</f>
        <v>411515.26668000035</v>
      </c>
      <c r="L49" s="145"/>
      <c r="M49" s="145"/>
      <c r="N49" s="1"/>
      <c r="O49" s="30"/>
      <c r="P49" s="31"/>
      <c r="Q49" s="31"/>
      <c r="R49" s="31"/>
      <c r="S49" s="31"/>
      <c r="T49" s="31"/>
      <c r="U49" s="31"/>
      <c r="V49" s="31"/>
      <c r="W49" s="31"/>
      <c r="X49" s="31"/>
    </row>
    <row r="50" spans="1:24" x14ac:dyDescent="0.25">
      <c r="A50" s="1"/>
      <c r="B50" s="119" t="s">
        <v>170</v>
      </c>
      <c r="C50" s="165">
        <f>SUM(C48:C49)</f>
        <v>300159529</v>
      </c>
      <c r="D50" s="165">
        <f t="shared" ref="D50" si="16">SUM(D48:D49)</f>
        <v>335645702</v>
      </c>
      <c r="E50" s="165">
        <f t="shared" ref="E50" si="17">SUM(E48:E49)</f>
        <v>393389851</v>
      </c>
      <c r="F50" s="120">
        <f t="shared" ref="F50" si="18">SUM(F48:F49)</f>
        <v>357903678</v>
      </c>
      <c r="G50" s="169"/>
      <c r="H50" s="121">
        <f t="shared" ref="H50" si="19">SUM(H48:H49)</f>
        <v>34190612.322360002</v>
      </c>
      <c r="I50" s="169"/>
      <c r="J50" s="121">
        <f t="shared" ref="J50:K50" si="20">SUM(J48:J49)</f>
        <v>34602127.589039996</v>
      </c>
      <c r="K50" s="192">
        <f t="shared" si="20"/>
        <v>411515.26668000035</v>
      </c>
      <c r="L50" s="145"/>
      <c r="M50" s="156"/>
      <c r="N50" s="1"/>
      <c r="O50" s="30"/>
      <c r="P50" s="31"/>
      <c r="Q50" s="31"/>
      <c r="R50" s="31"/>
      <c r="S50" s="31"/>
      <c r="T50" s="31"/>
      <c r="U50" s="31"/>
      <c r="V50" s="31"/>
      <c r="W50" s="31"/>
      <c r="X50" s="31"/>
    </row>
    <row r="51" spans="1:24" x14ac:dyDescent="0.25">
      <c r="A51" s="1"/>
      <c r="B51" s="13" t="s">
        <v>171</v>
      </c>
      <c r="C51" s="97">
        <v>173812036</v>
      </c>
      <c r="D51" s="97">
        <f>E48</f>
        <v>178503529</v>
      </c>
      <c r="E51" s="60">
        <v>165848323</v>
      </c>
      <c r="F51" s="49">
        <f>+C51+-D51+E51</f>
        <v>161156830</v>
      </c>
      <c r="G51" s="142">
        <f>U41</f>
        <v>9.5400000000000013E-2</v>
      </c>
      <c r="H51" s="16">
        <f>F51*G51</f>
        <v>15374361.582000002</v>
      </c>
      <c r="I51" s="126">
        <f>+G51</f>
        <v>9.5400000000000013E-2</v>
      </c>
      <c r="J51" s="16">
        <f>F51*I51</f>
        <v>15374361.582000002</v>
      </c>
      <c r="K51" s="173">
        <f>+J51-H51</f>
        <v>0</v>
      </c>
      <c r="L51" s="145"/>
      <c r="M51" s="145"/>
      <c r="N51" s="1"/>
      <c r="O51" s="30"/>
      <c r="P51" s="31"/>
      <c r="Q51" s="31"/>
      <c r="R51" s="31"/>
      <c r="S51" s="31"/>
      <c r="T51" s="31"/>
      <c r="U51" s="31"/>
      <c r="V51" s="31"/>
      <c r="W51" s="31"/>
      <c r="X51" s="31"/>
    </row>
    <row r="52" spans="1:24" x14ac:dyDescent="0.25">
      <c r="A52" s="1"/>
      <c r="B52" s="13" t="s">
        <v>172</v>
      </c>
      <c r="C52" s="97">
        <f>418857207-C51</f>
        <v>245045171</v>
      </c>
      <c r="D52" s="97">
        <f>E49</f>
        <v>214886322</v>
      </c>
      <c r="E52" s="60">
        <f>365393165-E51</f>
        <v>199544842</v>
      </c>
      <c r="F52" s="49">
        <f>+C52+-D52+E52</f>
        <v>229703691</v>
      </c>
      <c r="G52" s="142">
        <f>S41</f>
        <v>9.2280000000000001E-2</v>
      </c>
      <c r="H52" s="16">
        <f>F52*G52</f>
        <v>21197056.60548</v>
      </c>
      <c r="I52" s="126">
        <f>+I51</f>
        <v>9.5400000000000013E-2</v>
      </c>
      <c r="J52" s="16">
        <f>F52*I52</f>
        <v>21913732.121400002</v>
      </c>
      <c r="K52" s="173">
        <f>+J52-H52</f>
        <v>716675.51592000201</v>
      </c>
      <c r="L52" s="145"/>
      <c r="M52" s="145"/>
      <c r="N52" s="1"/>
      <c r="O52" s="30"/>
      <c r="P52" s="31"/>
      <c r="Q52" s="31"/>
      <c r="R52" s="31"/>
      <c r="S52" s="31"/>
      <c r="T52" s="31"/>
      <c r="U52" s="31"/>
      <c r="V52" s="31"/>
      <c r="W52" s="31"/>
      <c r="X52" s="31"/>
    </row>
    <row r="53" spans="1:24" x14ac:dyDescent="0.25">
      <c r="A53" s="1"/>
      <c r="B53" s="119" t="s">
        <v>173</v>
      </c>
      <c r="C53" s="165">
        <f>SUM(C51:C52)</f>
        <v>418857207</v>
      </c>
      <c r="D53" s="165">
        <f t="shared" ref="D53" si="21">SUM(D51:D52)</f>
        <v>393389851</v>
      </c>
      <c r="E53" s="165">
        <f t="shared" ref="E53" si="22">SUM(E51:E52)</f>
        <v>365393165</v>
      </c>
      <c r="F53" s="120">
        <f t="shared" ref="F53" si="23">SUM(F51:F52)</f>
        <v>390860521</v>
      </c>
      <c r="G53" s="169"/>
      <c r="H53" s="121">
        <f t="shared" ref="H53" si="24">SUM(H51:H52)</f>
        <v>36571418.187480003</v>
      </c>
      <c r="I53" s="169"/>
      <c r="J53" s="121">
        <f t="shared" ref="J53:K53" si="25">SUM(J51:J52)</f>
        <v>37288093.703400001</v>
      </c>
      <c r="K53" s="192">
        <f t="shared" si="25"/>
        <v>716675.51592000201</v>
      </c>
      <c r="L53" s="145"/>
      <c r="M53" s="156"/>
      <c r="N53" s="1"/>
      <c r="O53" s="30"/>
      <c r="P53" s="31"/>
      <c r="Q53" s="31"/>
      <c r="R53" s="31"/>
      <c r="S53" s="31"/>
      <c r="T53" s="31"/>
      <c r="U53" s="31"/>
      <c r="V53" s="31"/>
      <c r="W53" s="31"/>
      <c r="X53" s="31"/>
    </row>
    <row r="54" spans="1:24" x14ac:dyDescent="0.25">
      <c r="A54" s="1"/>
      <c r="B54" s="13" t="s">
        <v>174</v>
      </c>
      <c r="C54" s="97">
        <v>193223590</v>
      </c>
      <c r="D54" s="97">
        <f>E51</f>
        <v>165848323</v>
      </c>
      <c r="E54" s="98">
        <v>173290631</v>
      </c>
      <c r="F54" s="49">
        <f>+C54+-D54+E54</f>
        <v>200665898</v>
      </c>
      <c r="G54" s="144">
        <f>U42</f>
        <v>7.8829999999999997E-2</v>
      </c>
      <c r="H54" s="16">
        <f>F54*G54</f>
        <v>15818492.73934</v>
      </c>
      <c r="I54" s="126">
        <f>+G54</f>
        <v>7.8829999999999997E-2</v>
      </c>
      <c r="J54" s="16">
        <f>F54*I54</f>
        <v>15818492.73934</v>
      </c>
      <c r="K54" s="173">
        <f>+J54-H54</f>
        <v>0</v>
      </c>
      <c r="L54" s="145"/>
      <c r="M54" s="145"/>
      <c r="N54" s="1"/>
      <c r="O54" s="30"/>
      <c r="P54" s="31"/>
      <c r="Q54" s="31"/>
      <c r="R54" s="31"/>
      <c r="S54" s="31"/>
      <c r="T54" s="31"/>
      <c r="U54" s="31"/>
      <c r="V54" s="31"/>
      <c r="W54" s="31"/>
      <c r="X54" s="31"/>
    </row>
    <row r="55" spans="1:24" x14ac:dyDescent="0.25">
      <c r="A55" s="1"/>
      <c r="B55" s="13" t="s">
        <v>175</v>
      </c>
      <c r="C55" s="97">
        <f>383347321-C54</f>
        <v>190123731</v>
      </c>
      <c r="D55" s="97">
        <f>E52</f>
        <v>199544842</v>
      </c>
      <c r="E55" s="98">
        <f>384073417-E54</f>
        <v>210782786</v>
      </c>
      <c r="F55" s="49">
        <f>+C55+-D55+E55</f>
        <v>201361675</v>
      </c>
      <c r="G55" s="144">
        <f>S42</f>
        <v>8.8880000000000001E-2</v>
      </c>
      <c r="H55" s="16">
        <f>F55*G55</f>
        <v>17897025.673999999</v>
      </c>
      <c r="I55" s="126">
        <f>+I54</f>
        <v>7.8829999999999997E-2</v>
      </c>
      <c r="J55" s="16">
        <f>F55*I55</f>
        <v>15873340.84025</v>
      </c>
      <c r="K55" s="173">
        <f>+J55-H55</f>
        <v>-2023684.8337499984</v>
      </c>
      <c r="L55" s="145"/>
      <c r="M55" s="145"/>
      <c r="N55" s="1"/>
      <c r="O55" s="30"/>
      <c r="P55" s="31"/>
      <c r="Q55" s="31"/>
      <c r="R55" s="31"/>
      <c r="S55" s="31"/>
      <c r="T55" s="31"/>
      <c r="U55" s="31"/>
      <c r="V55" s="31"/>
      <c r="W55" s="31"/>
      <c r="X55" s="31"/>
    </row>
    <row r="56" spans="1:24" x14ac:dyDescent="0.25">
      <c r="A56" s="1"/>
      <c r="B56" s="119" t="s">
        <v>176</v>
      </c>
      <c r="C56" s="165">
        <f>SUM(C54:C55)</f>
        <v>383347321</v>
      </c>
      <c r="D56" s="165">
        <f t="shared" ref="D56" si="26">SUM(D54:D55)</f>
        <v>365393165</v>
      </c>
      <c r="E56" s="165">
        <f t="shared" ref="E56" si="27">SUM(E54:E55)</f>
        <v>384073417</v>
      </c>
      <c r="F56" s="120">
        <f t="shared" ref="F56" si="28">SUM(F54:F55)</f>
        <v>402027573</v>
      </c>
      <c r="G56" s="171"/>
      <c r="H56" s="121">
        <f t="shared" ref="H56" si="29">SUM(H54:H55)</f>
        <v>33715518.413340002</v>
      </c>
      <c r="I56" s="171"/>
      <c r="J56" s="121">
        <f t="shared" ref="J56:K56" si="30">SUM(J54:J55)</f>
        <v>31691833.57959</v>
      </c>
      <c r="K56" s="192">
        <f t="shared" si="30"/>
        <v>-2023684.8337499984</v>
      </c>
      <c r="L56" s="145"/>
      <c r="M56" s="156"/>
      <c r="N56" s="1"/>
      <c r="O56" s="30"/>
      <c r="P56" s="30"/>
      <c r="Q56" s="30"/>
      <c r="R56" s="30"/>
      <c r="S56" s="30"/>
      <c r="T56" s="30"/>
      <c r="U56" s="30"/>
      <c r="V56" s="30"/>
      <c r="W56" s="30"/>
      <c r="X56" s="30"/>
    </row>
    <row r="57" spans="1:24" x14ac:dyDescent="0.25">
      <c r="A57" s="1"/>
      <c r="B57" s="13" t="s">
        <v>177</v>
      </c>
      <c r="C57" s="60">
        <v>178529113</v>
      </c>
      <c r="D57" s="60">
        <f>E54</f>
        <v>173290631</v>
      </c>
      <c r="E57" s="98">
        <v>169918476</v>
      </c>
      <c r="F57" s="49">
        <f>+C57+-D57+E57</f>
        <v>175156958</v>
      </c>
      <c r="G57" s="144">
        <f>U43</f>
        <v>8.0099999999999991E-2</v>
      </c>
      <c r="H57" s="16">
        <f>F57*G57</f>
        <v>14030072.335799998</v>
      </c>
      <c r="I57" s="126">
        <f>+G57</f>
        <v>8.0099999999999991E-2</v>
      </c>
      <c r="J57" s="16">
        <f>F57*I57</f>
        <v>14030072.335799998</v>
      </c>
      <c r="K57" s="173">
        <f>+J57-H57</f>
        <v>0</v>
      </c>
      <c r="L57" s="145"/>
      <c r="M57" s="145"/>
      <c r="N57" s="1"/>
      <c r="O57" s="1"/>
      <c r="P57" s="30"/>
      <c r="Q57" s="30"/>
      <c r="R57" s="30"/>
      <c r="S57" s="30"/>
      <c r="T57" s="30"/>
      <c r="U57" s="30"/>
      <c r="V57" s="30"/>
      <c r="W57" s="30"/>
      <c r="X57" s="30"/>
    </row>
    <row r="58" spans="1:24" x14ac:dyDescent="0.25">
      <c r="A58" s="1"/>
      <c r="B58" s="13" t="s">
        <v>178</v>
      </c>
      <c r="C58" s="60">
        <f>362908214-C57</f>
        <v>184379101</v>
      </c>
      <c r="D58" s="60">
        <f>E55</f>
        <v>210782786</v>
      </c>
      <c r="E58" s="98">
        <f>379041666-E57</f>
        <v>209123190</v>
      </c>
      <c r="F58" s="49">
        <f>+C58+-D58+E58</f>
        <v>182719505</v>
      </c>
      <c r="G58" s="144">
        <f>S43</f>
        <v>8.8050000000000003E-2</v>
      </c>
      <c r="H58" s="16">
        <f>F58*G58</f>
        <v>16088452.415250001</v>
      </c>
      <c r="I58" s="126">
        <f>+I57</f>
        <v>8.0099999999999991E-2</v>
      </c>
      <c r="J58" s="16">
        <f>F58*I58</f>
        <v>14635832.350499999</v>
      </c>
      <c r="K58" s="173">
        <f>+J58-H58</f>
        <v>-1452620.0647500027</v>
      </c>
      <c r="L58" s="145"/>
      <c r="M58" s="145"/>
      <c r="N58" s="1"/>
      <c r="O58" s="1"/>
      <c r="P58" s="30"/>
      <c r="Q58" s="30"/>
      <c r="R58" s="30"/>
      <c r="S58" s="30"/>
      <c r="T58" s="30"/>
      <c r="U58" s="30"/>
      <c r="V58" s="30"/>
      <c r="W58" s="30"/>
      <c r="X58" s="30"/>
    </row>
    <row r="59" spans="1:24" x14ac:dyDescent="0.25">
      <c r="A59" s="1"/>
      <c r="B59" s="119" t="s">
        <v>179</v>
      </c>
      <c r="C59" s="165">
        <f>SUM(C57:C58)</f>
        <v>362908214</v>
      </c>
      <c r="D59" s="165">
        <f t="shared" ref="D59" si="31">SUM(D57:D58)</f>
        <v>384073417</v>
      </c>
      <c r="E59" s="165">
        <f t="shared" ref="E59" si="32">SUM(E57:E58)</f>
        <v>379041666</v>
      </c>
      <c r="F59" s="120">
        <f t="shared" ref="F59" si="33">SUM(F57:F58)</f>
        <v>357876463</v>
      </c>
      <c r="G59" s="171"/>
      <c r="H59" s="121">
        <f t="shared" ref="H59" si="34">SUM(H57:H58)</f>
        <v>30118524.751049999</v>
      </c>
      <c r="I59" s="171"/>
      <c r="J59" s="121">
        <f t="shared" ref="J59:K59" si="35">SUM(J57:J58)</f>
        <v>28665904.686299995</v>
      </c>
      <c r="K59" s="192">
        <f t="shared" si="35"/>
        <v>-1452620.0647500027</v>
      </c>
      <c r="L59" s="145"/>
      <c r="M59" s="156"/>
      <c r="N59" s="1"/>
      <c r="O59" s="81"/>
      <c r="P59" s="81"/>
      <c r="Q59" s="81"/>
      <c r="R59" s="81"/>
      <c r="S59" s="1"/>
      <c r="T59" s="1"/>
      <c r="U59" s="1"/>
      <c r="V59" s="1"/>
      <c r="W59" s="1"/>
      <c r="X59" s="1"/>
    </row>
    <row r="60" spans="1:24" x14ac:dyDescent="0.25">
      <c r="A60" s="1"/>
      <c r="B60" s="13" t="s">
        <v>180</v>
      </c>
      <c r="C60" s="60">
        <v>175264521</v>
      </c>
      <c r="D60" s="60">
        <f>E57</f>
        <v>169918476</v>
      </c>
      <c r="E60" s="98">
        <f>-4074773+188614711</f>
        <v>184539938</v>
      </c>
      <c r="F60" s="49">
        <f>+C60+-D60+E60</f>
        <v>189885983</v>
      </c>
      <c r="G60" s="144">
        <f>U44</f>
        <v>6.7030000000000006E-2</v>
      </c>
      <c r="H60" s="16">
        <f>F60*G60</f>
        <v>12728057.440490002</v>
      </c>
      <c r="I60" s="126">
        <f>+G60</f>
        <v>6.7030000000000006E-2</v>
      </c>
      <c r="J60" s="16">
        <f>F60*I60</f>
        <v>12728057.440490002</v>
      </c>
      <c r="K60" s="173">
        <f>+J60-H60</f>
        <v>0</v>
      </c>
      <c r="L60" s="145"/>
      <c r="M60" s="145"/>
      <c r="N60" s="1"/>
      <c r="O60" s="81"/>
      <c r="P60" s="81"/>
      <c r="Q60" s="81"/>
      <c r="R60" s="81"/>
      <c r="S60" s="1"/>
      <c r="T60" s="1"/>
      <c r="U60" s="1"/>
      <c r="V60" s="1"/>
      <c r="W60" s="1"/>
      <c r="X60" s="1"/>
    </row>
    <row r="61" spans="1:24" x14ac:dyDescent="0.25">
      <c r="A61" s="1"/>
      <c r="B61" s="13" t="s">
        <v>181</v>
      </c>
      <c r="C61" s="60">
        <f>403931271-C60</f>
        <v>228666750</v>
      </c>
      <c r="D61" s="60">
        <f>E58</f>
        <v>209123190</v>
      </c>
      <c r="E61" s="98">
        <f>427452791-E60</f>
        <v>242912853</v>
      </c>
      <c r="F61" s="49">
        <f>+C61+-D61+E61</f>
        <v>262456413</v>
      </c>
      <c r="G61" s="144">
        <f>S44</f>
        <v>8.270000000000001E-2</v>
      </c>
      <c r="H61" s="16">
        <f>F61*G61</f>
        <v>21705145.355100002</v>
      </c>
      <c r="I61" s="126">
        <f>+I60</f>
        <v>6.7030000000000006E-2</v>
      </c>
      <c r="J61" s="16">
        <f>F61*I61</f>
        <v>17592453.363390002</v>
      </c>
      <c r="K61" s="173">
        <f>+J61-H61</f>
        <v>-4112691.9917099997</v>
      </c>
      <c r="L61" s="145"/>
      <c r="M61" s="145"/>
      <c r="N61" s="1"/>
      <c r="O61" s="81"/>
      <c r="P61" s="81"/>
      <c r="Q61" s="81"/>
      <c r="R61" s="81"/>
      <c r="S61" s="1"/>
      <c r="T61" s="1"/>
      <c r="U61" s="1"/>
      <c r="V61" s="1"/>
      <c r="W61" s="1"/>
      <c r="X61" s="1"/>
    </row>
    <row r="62" spans="1:24" x14ac:dyDescent="0.25">
      <c r="A62" s="1"/>
      <c r="B62" s="119" t="s">
        <v>182</v>
      </c>
      <c r="C62" s="165">
        <f>SUM(C60:C61)</f>
        <v>403931271</v>
      </c>
      <c r="D62" s="165">
        <f t="shared" ref="D62" si="36">SUM(D60:D61)</f>
        <v>379041666</v>
      </c>
      <c r="E62" s="165">
        <f t="shared" ref="E62" si="37">SUM(E60:E61)</f>
        <v>427452791</v>
      </c>
      <c r="F62" s="120">
        <f t="shared" ref="F62" si="38">SUM(F60:F61)</f>
        <v>452342396</v>
      </c>
      <c r="G62" s="171"/>
      <c r="H62" s="121">
        <f t="shared" ref="H62" si="39">SUM(H60:H61)</f>
        <v>34433202.795590006</v>
      </c>
      <c r="I62" s="171"/>
      <c r="J62" s="121">
        <f t="shared" ref="J62:K62" si="40">SUM(J60:J61)</f>
        <v>30320510.803880006</v>
      </c>
      <c r="K62" s="192">
        <f t="shared" si="40"/>
        <v>-4112691.9917099997</v>
      </c>
      <c r="L62" s="145"/>
      <c r="M62" s="156"/>
      <c r="N62" s="1"/>
      <c r="O62" s="81"/>
      <c r="P62" s="81"/>
      <c r="Q62" s="81"/>
      <c r="R62" s="81"/>
      <c r="S62" s="1"/>
      <c r="T62" s="1"/>
      <c r="U62" s="1"/>
      <c r="V62" s="1"/>
      <c r="W62" s="1"/>
      <c r="X62" s="1"/>
    </row>
    <row r="63" spans="1:24" x14ac:dyDescent="0.25">
      <c r="A63" s="1"/>
      <c r="B63" s="13" t="s">
        <v>183</v>
      </c>
      <c r="C63" s="60">
        <v>173279209</v>
      </c>
      <c r="D63" s="60">
        <f>E60</f>
        <v>184539938</v>
      </c>
      <c r="E63" s="98">
        <f>-21530980+180515946</f>
        <v>158984966</v>
      </c>
      <c r="F63" s="49">
        <f>+C63+-D63+E63</f>
        <v>147724237</v>
      </c>
      <c r="G63" s="144">
        <f>U45</f>
        <v>7.5439999999999993E-2</v>
      </c>
      <c r="H63" s="16">
        <f>F63*G63</f>
        <v>11144316.43928</v>
      </c>
      <c r="I63" s="126">
        <f>+G63</f>
        <v>7.5439999999999993E-2</v>
      </c>
      <c r="J63" s="16">
        <f>F63*I63</f>
        <v>11144316.43928</v>
      </c>
      <c r="K63" s="173">
        <f>+J63-H63</f>
        <v>0</v>
      </c>
      <c r="L63" s="145"/>
      <c r="M63" s="145"/>
      <c r="N63" s="1"/>
      <c r="O63" s="81"/>
      <c r="P63" s="81"/>
      <c r="Q63" s="81"/>
      <c r="R63" s="81"/>
      <c r="S63" s="1"/>
      <c r="T63" s="1"/>
      <c r="U63" s="1"/>
      <c r="V63" s="1"/>
      <c r="W63" s="1"/>
      <c r="X63" s="1"/>
    </row>
    <row r="64" spans="1:24" x14ac:dyDescent="0.25">
      <c r="A64" s="1"/>
      <c r="B64" s="13" t="s">
        <v>184</v>
      </c>
      <c r="C64" s="60">
        <f>403574400-C63</f>
        <v>230295191</v>
      </c>
      <c r="D64" s="60">
        <f>E61</f>
        <v>242912853</v>
      </c>
      <c r="E64" s="98">
        <f>336216727-E63</f>
        <v>177231761</v>
      </c>
      <c r="F64" s="49">
        <f>+C64+-D64+E64</f>
        <v>164614099</v>
      </c>
      <c r="G64" s="144">
        <f>S45</f>
        <v>6.3710000000000003E-2</v>
      </c>
      <c r="H64" s="16">
        <f>F64*G64</f>
        <v>10487564.24729</v>
      </c>
      <c r="I64" s="126">
        <f>+I63</f>
        <v>7.5439999999999993E-2</v>
      </c>
      <c r="J64" s="16">
        <f>F64*I64</f>
        <v>12418487.628559999</v>
      </c>
      <c r="K64" s="173">
        <f>+J64-H64</f>
        <v>1930923.3812699988</v>
      </c>
      <c r="L64" s="145"/>
      <c r="M64" s="145"/>
      <c r="N64" s="1"/>
      <c r="O64" s="81"/>
      <c r="P64" s="81"/>
      <c r="Q64" s="81"/>
      <c r="R64" s="81"/>
      <c r="S64" s="1"/>
      <c r="T64" s="1"/>
      <c r="U64" s="1"/>
      <c r="V64" s="1"/>
      <c r="W64" s="1"/>
      <c r="X64" s="1"/>
    </row>
    <row r="65" spans="1:24" x14ac:dyDescent="0.25">
      <c r="A65" s="1"/>
      <c r="B65" s="119" t="s">
        <v>185</v>
      </c>
      <c r="C65" s="165">
        <f>SUM(C63:C64)</f>
        <v>403574400</v>
      </c>
      <c r="D65" s="165">
        <f t="shared" ref="D65" si="41">SUM(D63:D64)</f>
        <v>427452791</v>
      </c>
      <c r="E65" s="165">
        <f t="shared" ref="E65" si="42">SUM(E63:E64)</f>
        <v>336216727</v>
      </c>
      <c r="F65" s="120">
        <f t="shared" ref="F65" si="43">SUM(F63:F64)</f>
        <v>312338336</v>
      </c>
      <c r="G65" s="171"/>
      <c r="H65" s="121">
        <f t="shared" ref="H65" si="44">SUM(H63:H64)</f>
        <v>21631880.68657</v>
      </c>
      <c r="I65" s="171"/>
      <c r="J65" s="121">
        <f t="shared" ref="J65:K65" si="45">SUM(J63:J64)</f>
        <v>23562804.067839999</v>
      </c>
      <c r="K65" s="192">
        <f t="shared" si="45"/>
        <v>1930923.3812699988</v>
      </c>
      <c r="L65" s="145"/>
      <c r="M65" s="156"/>
      <c r="N65" s="1"/>
      <c r="O65" s="81"/>
      <c r="P65" s="81"/>
      <c r="Q65" s="81"/>
      <c r="R65" s="81"/>
      <c r="S65" s="1"/>
      <c r="T65" s="1"/>
      <c r="U65" s="1"/>
      <c r="V65" s="1"/>
      <c r="W65" s="1"/>
      <c r="X65" s="1"/>
    </row>
    <row r="66" spans="1:24" x14ac:dyDescent="0.25">
      <c r="A66" s="1"/>
      <c r="B66" s="13" t="s">
        <v>186</v>
      </c>
      <c r="C66" s="60">
        <v>165067549</v>
      </c>
      <c r="D66" s="60">
        <f>E63</f>
        <v>158984966</v>
      </c>
      <c r="E66" s="98">
        <f>-5106891+171250084</f>
        <v>166143193</v>
      </c>
      <c r="F66" s="49">
        <f>+C66+-D66+E66</f>
        <v>172225776</v>
      </c>
      <c r="G66" s="144">
        <f>U46</f>
        <v>0.11320000000000001</v>
      </c>
      <c r="H66" s="16">
        <f>F66*G66</f>
        <v>19495957.843200002</v>
      </c>
      <c r="I66" s="126">
        <f>+G66</f>
        <v>0.11320000000000001</v>
      </c>
      <c r="J66" s="16">
        <f>F66*I66</f>
        <v>19495957.843200002</v>
      </c>
      <c r="K66" s="173">
        <f>+J66-H66</f>
        <v>0</v>
      </c>
      <c r="L66" s="145"/>
      <c r="M66" s="145"/>
      <c r="N66" s="1"/>
      <c r="O66" s="1"/>
      <c r="P66" s="1"/>
      <c r="Q66" s="1"/>
      <c r="R66" s="1"/>
      <c r="S66" s="1"/>
      <c r="T66" s="1"/>
      <c r="U66" s="1"/>
      <c r="V66" s="1"/>
      <c r="W66" s="1"/>
      <c r="X66" s="1"/>
    </row>
    <row r="67" spans="1:24" x14ac:dyDescent="0.25">
      <c r="A67" s="1"/>
      <c r="B67" s="13" t="s">
        <v>187</v>
      </c>
      <c r="C67" s="60">
        <f>347620836-C66</f>
        <v>182553287</v>
      </c>
      <c r="D67" s="60">
        <f>E64</f>
        <v>177231761</v>
      </c>
      <c r="E67" s="98">
        <f>361648012-E66</f>
        <v>195504819</v>
      </c>
      <c r="F67" s="49">
        <f>+C67+-D67+E67</f>
        <v>200826345</v>
      </c>
      <c r="G67" s="144">
        <f>S46</f>
        <v>7.6230000000000006E-2</v>
      </c>
      <c r="H67" s="16">
        <f>F67*G67</f>
        <v>15308992.279350001</v>
      </c>
      <c r="I67" s="126">
        <f>+I66</f>
        <v>0.11320000000000001</v>
      </c>
      <c r="J67" s="16">
        <f>F67*I67</f>
        <v>22733542.254000001</v>
      </c>
      <c r="K67" s="173">
        <f>+J67-H67</f>
        <v>7424549.9746499993</v>
      </c>
      <c r="L67" s="145"/>
      <c r="M67" s="145"/>
      <c r="N67" s="1"/>
      <c r="O67" s="1"/>
      <c r="P67" s="1"/>
      <c r="Q67" s="1"/>
      <c r="R67" s="1"/>
      <c r="S67" s="1"/>
      <c r="T67" s="1"/>
      <c r="U67" s="1"/>
      <c r="V67" s="1"/>
      <c r="W67" s="1"/>
      <c r="X67" s="1"/>
    </row>
    <row r="68" spans="1:24" x14ac:dyDescent="0.25">
      <c r="A68" s="1"/>
      <c r="B68" s="119" t="s">
        <v>188</v>
      </c>
      <c r="C68" s="165">
        <f>SUM(C66:C67)</f>
        <v>347620836</v>
      </c>
      <c r="D68" s="165">
        <f t="shared" ref="D68" si="46">SUM(D66:D67)</f>
        <v>336216727</v>
      </c>
      <c r="E68" s="165">
        <f t="shared" ref="E68" si="47">SUM(E66:E67)</f>
        <v>361648012</v>
      </c>
      <c r="F68" s="120">
        <f t="shared" ref="F68" si="48">SUM(F66:F67)</f>
        <v>373052121</v>
      </c>
      <c r="G68" s="171"/>
      <c r="H68" s="121">
        <f t="shared" ref="H68" si="49">SUM(H66:H67)</f>
        <v>34804950.122550003</v>
      </c>
      <c r="I68" s="171"/>
      <c r="J68" s="121">
        <f t="shared" ref="J68:K68" si="50">SUM(J66:J67)</f>
        <v>42229500.097200006</v>
      </c>
      <c r="K68" s="192">
        <f t="shared" si="50"/>
        <v>7424549.9746499993</v>
      </c>
      <c r="L68" s="145"/>
      <c r="M68" s="156"/>
      <c r="N68" s="1"/>
      <c r="O68" s="1"/>
      <c r="P68" s="1"/>
      <c r="Q68" s="1"/>
      <c r="R68" s="1"/>
      <c r="S68" s="1"/>
      <c r="T68" s="1"/>
      <c r="U68" s="1"/>
      <c r="V68" s="1"/>
      <c r="W68" s="1"/>
      <c r="X68" s="1"/>
    </row>
    <row r="69" spans="1:24" x14ac:dyDescent="0.25">
      <c r="A69" s="1"/>
      <c r="B69" s="13" t="s">
        <v>189</v>
      </c>
      <c r="C69" s="99">
        <f>162429628</f>
        <v>162429628</v>
      </c>
      <c r="D69" s="99">
        <f>E66</f>
        <v>166143193</v>
      </c>
      <c r="E69" s="98">
        <f>1019358+170911714</f>
        <v>171931072</v>
      </c>
      <c r="F69" s="49">
        <f>+C69+-D69+E69</f>
        <v>168217507</v>
      </c>
      <c r="G69" s="144">
        <f>U47</f>
        <v>9.4709999999999989E-2</v>
      </c>
      <c r="H69" s="16">
        <f>F69*G69</f>
        <v>15931880.087969998</v>
      </c>
      <c r="I69" s="126">
        <f>+G69</f>
        <v>9.4709999999999989E-2</v>
      </c>
      <c r="J69" s="16">
        <f>F69*I69</f>
        <v>15931880.087969998</v>
      </c>
      <c r="K69" s="173">
        <f>+J69-H69</f>
        <v>0</v>
      </c>
      <c r="L69" s="145"/>
      <c r="M69" s="145"/>
      <c r="N69" s="1"/>
      <c r="O69" s="1"/>
      <c r="P69" s="1"/>
      <c r="Q69" s="1"/>
      <c r="R69" s="1"/>
      <c r="S69" s="1"/>
      <c r="T69" s="1"/>
      <c r="U69" s="1"/>
      <c r="V69" s="1"/>
      <c r="W69" s="1"/>
      <c r="X69" s="1"/>
    </row>
    <row r="70" spans="1:24" x14ac:dyDescent="0.25">
      <c r="A70" s="1"/>
      <c r="B70" s="13" t="s">
        <v>190</v>
      </c>
      <c r="C70" s="99">
        <f>349222520-C69</f>
        <v>186792892</v>
      </c>
      <c r="D70" s="99">
        <f>E67</f>
        <v>195504819</v>
      </c>
      <c r="E70" s="98">
        <f>389638440-E69</f>
        <v>217707368</v>
      </c>
      <c r="F70" s="49">
        <f>+C70+-D70+E70</f>
        <v>208995441</v>
      </c>
      <c r="G70" s="144">
        <f>S47</f>
        <v>0.11462</v>
      </c>
      <c r="H70" s="16">
        <f>F70*G70</f>
        <v>23955057.447420001</v>
      </c>
      <c r="I70" s="126">
        <f>+I69</f>
        <v>9.4709999999999989E-2</v>
      </c>
      <c r="J70" s="16">
        <f>F70*I70</f>
        <v>19793958.217109997</v>
      </c>
      <c r="K70" s="173">
        <f>+J70-H70</f>
        <v>-4161099.2303100042</v>
      </c>
      <c r="L70" s="145"/>
      <c r="M70" s="145"/>
      <c r="N70" s="1"/>
      <c r="O70" s="1"/>
      <c r="P70" s="1"/>
      <c r="Q70" s="1"/>
      <c r="R70" s="1"/>
      <c r="S70" s="1"/>
      <c r="T70" s="1"/>
      <c r="U70" s="1"/>
      <c r="V70" s="1"/>
      <c r="W70" s="1"/>
      <c r="X70" s="1"/>
    </row>
    <row r="71" spans="1:24" x14ac:dyDescent="0.25">
      <c r="A71" s="1"/>
      <c r="B71" s="119" t="s">
        <v>191</v>
      </c>
      <c r="C71" s="165">
        <f>SUM(C69:C70)</f>
        <v>349222520</v>
      </c>
      <c r="D71" s="165">
        <f t="shared" ref="D71" si="51">SUM(D69:D70)</f>
        <v>361648012</v>
      </c>
      <c r="E71" s="165">
        <f t="shared" ref="E71" si="52">SUM(E69:E70)</f>
        <v>389638440</v>
      </c>
      <c r="F71" s="120">
        <f t="shared" ref="F71" si="53">SUM(F69:F70)</f>
        <v>377212948</v>
      </c>
      <c r="G71" s="171"/>
      <c r="H71" s="121">
        <f t="shared" ref="H71" si="54">SUM(H69:H70)</f>
        <v>39886937.535389997</v>
      </c>
      <c r="I71" s="171"/>
      <c r="J71" s="121">
        <f t="shared" ref="J71:K71" si="55">SUM(J69:J70)</f>
        <v>35725838.305079997</v>
      </c>
      <c r="K71" s="192">
        <f t="shared" si="55"/>
        <v>-4161099.2303100042</v>
      </c>
      <c r="L71" s="145"/>
      <c r="M71" s="156"/>
      <c r="N71" s="1"/>
      <c r="O71" s="1"/>
      <c r="P71" s="1"/>
      <c r="Q71" s="1"/>
      <c r="R71" s="1"/>
      <c r="S71" s="1"/>
      <c r="T71" s="1"/>
      <c r="U71" s="1"/>
      <c r="V71" s="1"/>
      <c r="W71" s="1"/>
      <c r="X71" s="1"/>
    </row>
    <row r="72" spans="1:24" ht="15.75" thickBot="1" x14ac:dyDescent="0.3">
      <c r="A72" s="1"/>
      <c r="B72" s="71" t="s">
        <v>87</v>
      </c>
      <c r="C72" s="174">
        <f>C38+C41+C44+C47+C50+C53+C56+C59+C62+C65+C68+C71</f>
        <v>4562613219</v>
      </c>
      <c r="D72" s="174">
        <f>D38+D41+D44+D47+D50+D53+D56+D59+D62+D65+D68+D71</f>
        <v>4647274007</v>
      </c>
      <c r="E72" s="174">
        <f>E38+E41+E44+E47+E50+E53+E56+E59+E62+E65+E68+E71</f>
        <v>4605768391</v>
      </c>
      <c r="F72" s="174">
        <f>+F38+F41+F44+F47+F50+F53+F56+F59+F62+F65+F68+F71</f>
        <v>4521107603</v>
      </c>
      <c r="G72" s="176"/>
      <c r="H72" s="175">
        <f>H38+H41+H44+H47+H50+H53+H56+H59+H62+H65+H68+H71</f>
        <v>353923773.81414008</v>
      </c>
      <c r="I72" s="174"/>
      <c r="J72" s="174">
        <f>+J38+J41+J44+J47+J50+J53+J56+J59+J62+J65+J68+J71</f>
        <v>356017138.20883995</v>
      </c>
      <c r="K72" s="193">
        <f>+K38+K41+K44+K47+K50+K53+K56+K59+K62+K65+K68+K71</f>
        <v>2093364.3946999945</v>
      </c>
      <c r="L72" s="155"/>
      <c r="M72" s="155"/>
      <c r="N72" s="1"/>
      <c r="O72" s="1"/>
      <c r="P72" s="1"/>
      <c r="Q72" s="1"/>
      <c r="R72" s="1"/>
      <c r="S72" s="1"/>
      <c r="T72" s="1"/>
      <c r="U72" s="1"/>
      <c r="V72" s="1"/>
      <c r="W72" s="1"/>
      <c r="X72" s="1"/>
    </row>
    <row r="73" spans="1:24" x14ac:dyDescent="0.25">
      <c r="A73" s="1" t="s">
        <v>39</v>
      </c>
      <c r="B73" s="1"/>
      <c r="C73" s="1"/>
      <c r="D73" s="1"/>
      <c r="E73" s="1"/>
      <c r="F73" s="1"/>
      <c r="G73" s="4"/>
      <c r="H73" s="4"/>
      <c r="I73" s="4"/>
      <c r="J73" s="70" t="s">
        <v>140</v>
      </c>
      <c r="K73" s="26">
        <v>5736837</v>
      </c>
      <c r="L73" s="145"/>
      <c r="M73" s="128"/>
      <c r="N73" s="1"/>
      <c r="O73" s="1"/>
      <c r="P73" s="1"/>
      <c r="Q73" s="1"/>
      <c r="R73" s="1"/>
      <c r="S73" s="1"/>
      <c r="T73" s="1"/>
      <c r="U73" s="1"/>
      <c r="V73" s="1"/>
      <c r="W73" s="1"/>
      <c r="X73" s="1"/>
    </row>
    <row r="74" spans="1:24" ht="15.75" thickBot="1" x14ac:dyDescent="0.3">
      <c r="A74" s="1"/>
      <c r="B74" s="1"/>
      <c r="C74" s="1"/>
      <c r="D74" s="1"/>
      <c r="E74" s="1"/>
      <c r="F74" s="1"/>
      <c r="G74" s="4"/>
      <c r="H74" s="4"/>
      <c r="I74" s="4"/>
      <c r="J74" s="70" t="s">
        <v>86</v>
      </c>
      <c r="K74" s="148">
        <f>K73-K72</f>
        <v>3643472.6053000055</v>
      </c>
      <c r="L74" s="128"/>
      <c r="M74" s="128"/>
      <c r="N74" s="1"/>
      <c r="O74" s="1"/>
      <c r="P74" s="1"/>
      <c r="Q74" s="1"/>
      <c r="R74" s="1"/>
      <c r="S74" s="1"/>
      <c r="T74" s="1"/>
      <c r="U74" s="1"/>
      <c r="V74" s="1"/>
      <c r="W74" s="1"/>
      <c r="X74" s="1"/>
    </row>
    <row r="75" spans="1:24" ht="15.75" thickTop="1" x14ac:dyDescent="0.25">
      <c r="A75" s="1"/>
      <c r="B75" s="1"/>
      <c r="C75" s="1"/>
      <c r="D75" s="1"/>
      <c r="E75" s="1"/>
      <c r="F75" s="1"/>
      <c r="G75" s="1"/>
      <c r="H75" s="1"/>
      <c r="I75" s="55"/>
      <c r="J75" s="56"/>
      <c r="K75" s="68"/>
      <c r="L75" s="128"/>
      <c r="M75" s="128"/>
      <c r="N75" s="1"/>
      <c r="O75" s="1"/>
      <c r="P75" s="1"/>
      <c r="Q75" s="1"/>
      <c r="R75" s="1"/>
      <c r="S75" s="1"/>
      <c r="T75" s="1"/>
      <c r="U75" s="1"/>
      <c r="V75" s="1"/>
      <c r="W75" s="1"/>
      <c r="X75" s="1"/>
    </row>
    <row r="76" spans="1:24" x14ac:dyDescent="0.25">
      <c r="A76" s="1"/>
      <c r="B76" s="1"/>
      <c r="C76" s="1"/>
      <c r="D76" s="1"/>
      <c r="E76" s="1"/>
      <c r="F76" s="1"/>
      <c r="G76" s="1"/>
      <c r="H76" s="1" t="s">
        <v>206</v>
      </c>
      <c r="I76" s="146">
        <v>0.01</v>
      </c>
      <c r="J76" s="147">
        <f>J72*I76</f>
        <v>3560171.3820883995</v>
      </c>
      <c r="K76" s="69"/>
      <c r="L76" s="1"/>
      <c r="M76" s="1"/>
      <c r="N76" s="1"/>
      <c r="O76" s="1"/>
      <c r="P76" s="1"/>
      <c r="Q76" s="1"/>
      <c r="R76" s="1"/>
      <c r="S76" s="1"/>
      <c r="T76" s="1"/>
      <c r="U76" s="1"/>
      <c r="V76" s="1"/>
      <c r="W76" s="1"/>
      <c r="X76" s="1"/>
    </row>
    <row r="77" spans="1:24"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x14ac:dyDescent="0.25">
      <c r="A79" s="1" t="s">
        <v>40</v>
      </c>
      <c r="B79" s="45" t="s">
        <v>54</v>
      </c>
      <c r="C79" s="2"/>
      <c r="D79" s="1"/>
      <c r="E79" s="1"/>
      <c r="F79" s="1"/>
      <c r="G79" s="1"/>
      <c r="H79" s="1"/>
      <c r="I79" s="1"/>
      <c r="J79" s="1"/>
      <c r="K79" s="1"/>
      <c r="L79" s="1"/>
      <c r="M79" s="1"/>
      <c r="N79" s="1"/>
      <c r="O79" s="36"/>
      <c r="P79" s="36"/>
      <c r="Q79" s="36"/>
      <c r="R79" s="36"/>
      <c r="S79" s="36"/>
      <c r="T79" s="36"/>
      <c r="U79" s="1"/>
      <c r="V79" s="1"/>
      <c r="W79" s="1"/>
      <c r="X79" s="1"/>
    </row>
    <row r="80" spans="1:24" x14ac:dyDescent="0.25">
      <c r="A80" s="1"/>
      <c r="B80" s="3"/>
      <c r="C80" s="2"/>
      <c r="D80" s="1"/>
      <c r="E80" s="1"/>
      <c r="F80" s="1"/>
      <c r="G80" s="1"/>
      <c r="H80" s="1"/>
      <c r="I80" s="1"/>
      <c r="J80" s="1"/>
      <c r="K80" s="1"/>
      <c r="L80" s="1"/>
      <c r="M80" s="1"/>
      <c r="N80" s="1"/>
      <c r="O80" s="36"/>
      <c r="P80" s="36"/>
      <c r="Q80" s="36"/>
      <c r="R80" s="36"/>
      <c r="S80" s="36"/>
      <c r="T80" s="36"/>
      <c r="U80" s="1"/>
      <c r="V80" s="1"/>
      <c r="W80" s="1"/>
      <c r="X80" s="1"/>
    </row>
    <row r="81" spans="1:24" ht="75" x14ac:dyDescent="0.25">
      <c r="A81" s="11"/>
      <c r="B81" s="129" t="s">
        <v>51</v>
      </c>
      <c r="C81" s="47" t="s">
        <v>73</v>
      </c>
      <c r="D81" s="47" t="s">
        <v>133</v>
      </c>
      <c r="E81" s="211" t="s">
        <v>50</v>
      </c>
      <c r="F81" s="211"/>
      <c r="G81" s="211"/>
      <c r="H81" s="211"/>
      <c r="I81" s="211"/>
      <c r="J81" s="1"/>
      <c r="K81" s="1"/>
      <c r="L81" s="1"/>
      <c r="M81" s="1"/>
      <c r="N81" s="1"/>
      <c r="O81" s="36"/>
      <c r="P81" s="36"/>
      <c r="Q81" s="36"/>
      <c r="R81" s="36"/>
      <c r="S81" s="36"/>
      <c r="T81" s="36"/>
      <c r="U81" s="1"/>
      <c r="V81" s="1"/>
      <c r="W81" s="1"/>
      <c r="X81" s="1"/>
    </row>
    <row r="82" spans="1:24" ht="57.75" customHeight="1" x14ac:dyDescent="0.25">
      <c r="A82" s="72" t="s">
        <v>57</v>
      </c>
      <c r="B82" s="48" t="s">
        <v>68</v>
      </c>
      <c r="C82" s="139" t="s">
        <v>202</v>
      </c>
      <c r="D82" s="101"/>
      <c r="E82" s="207" t="s">
        <v>208</v>
      </c>
      <c r="F82" s="207"/>
      <c r="G82" s="207"/>
      <c r="H82" s="207"/>
      <c r="I82" s="207"/>
      <c r="J82" s="1"/>
      <c r="K82" s="1"/>
      <c r="L82" s="1"/>
      <c r="M82" s="1"/>
      <c r="N82" s="1"/>
      <c r="O82" s="36"/>
      <c r="P82" s="36"/>
      <c r="Q82" s="36"/>
      <c r="R82" s="36"/>
      <c r="S82" s="36"/>
      <c r="T82" s="36"/>
      <c r="U82" s="1"/>
      <c r="V82" s="1"/>
      <c r="W82" s="1"/>
      <c r="X82" s="1"/>
    </row>
    <row r="83" spans="1:24" ht="57.75" customHeight="1" x14ac:dyDescent="0.25">
      <c r="A83" s="72" t="s">
        <v>58</v>
      </c>
      <c r="B83" s="48" t="s">
        <v>88</v>
      </c>
      <c r="C83" s="151" t="s">
        <v>202</v>
      </c>
      <c r="D83" s="101"/>
      <c r="E83" s="207" t="s">
        <v>209</v>
      </c>
      <c r="F83" s="207"/>
      <c r="G83" s="207"/>
      <c r="H83" s="207"/>
      <c r="I83" s="207"/>
      <c r="J83" s="81"/>
      <c r="K83" s="161"/>
      <c r="L83" s="135"/>
      <c r="M83" s="81"/>
      <c r="N83" s="81"/>
      <c r="O83" s="36"/>
      <c r="P83" s="36"/>
      <c r="Q83" s="36"/>
      <c r="R83" s="36"/>
      <c r="S83" s="36"/>
      <c r="T83" s="36"/>
      <c r="U83" s="1"/>
      <c r="V83" s="1"/>
      <c r="W83" s="1"/>
      <c r="X83" s="1"/>
    </row>
    <row r="84" spans="1:24" ht="29.25" x14ac:dyDescent="0.25">
      <c r="A84" s="72" t="s">
        <v>71</v>
      </c>
      <c r="B84" s="48" t="s">
        <v>70</v>
      </c>
      <c r="C84" s="139" t="s">
        <v>203</v>
      </c>
      <c r="D84" s="140">
        <v>1104322.7312199995</v>
      </c>
      <c r="E84" s="207" t="s">
        <v>207</v>
      </c>
      <c r="F84" s="207"/>
      <c r="G84" s="207"/>
      <c r="H84" s="207"/>
      <c r="I84" s="207"/>
      <c r="J84" s="81"/>
      <c r="K84" s="163"/>
      <c r="L84" s="135"/>
      <c r="M84" s="81"/>
      <c r="N84" s="81"/>
      <c r="O84" s="36"/>
      <c r="P84" s="36"/>
      <c r="Q84" s="36"/>
      <c r="R84" s="36"/>
      <c r="S84" s="36"/>
      <c r="T84" s="36"/>
      <c r="U84" s="1"/>
      <c r="V84" s="1"/>
      <c r="W84" s="1"/>
      <c r="X84" s="1"/>
    </row>
    <row r="85" spans="1:24" ht="29.25" x14ac:dyDescent="0.25">
      <c r="A85" s="72" t="s">
        <v>72</v>
      </c>
      <c r="B85" s="48" t="s">
        <v>69</v>
      </c>
      <c r="C85" s="151" t="s">
        <v>203</v>
      </c>
      <c r="D85" s="149">
        <v>3462448.2413299954</v>
      </c>
      <c r="E85" s="208" t="s">
        <v>207</v>
      </c>
      <c r="F85" s="209"/>
      <c r="G85" s="209"/>
      <c r="H85" s="209"/>
      <c r="I85" s="210"/>
      <c r="J85" s="81"/>
      <c r="K85" s="162"/>
      <c r="L85" s="135"/>
      <c r="M85" s="81"/>
      <c r="N85" s="81"/>
      <c r="O85" s="36"/>
      <c r="P85" s="36"/>
      <c r="Q85" s="36"/>
      <c r="R85" s="36"/>
      <c r="S85" s="36"/>
      <c r="T85" s="36"/>
      <c r="U85" s="1"/>
      <c r="V85" s="1"/>
      <c r="W85" s="1"/>
      <c r="X85" s="1"/>
    </row>
    <row r="86" spans="1:24" ht="43.5" x14ac:dyDescent="0.25">
      <c r="A86" s="72" t="s">
        <v>76</v>
      </c>
      <c r="B86" s="48" t="s">
        <v>78</v>
      </c>
      <c r="C86" s="139" t="s">
        <v>202</v>
      </c>
      <c r="D86" s="101"/>
      <c r="E86" s="207"/>
      <c r="F86" s="207"/>
      <c r="G86" s="207"/>
      <c r="H86" s="207"/>
      <c r="I86" s="207"/>
      <c r="J86" s="81"/>
      <c r="K86" s="162"/>
      <c r="L86" s="135"/>
      <c r="M86" s="81"/>
      <c r="N86" s="81"/>
      <c r="O86" s="36"/>
      <c r="P86" s="36"/>
      <c r="Q86" s="36"/>
      <c r="R86" s="36"/>
      <c r="S86" s="36"/>
      <c r="T86" s="36"/>
      <c r="U86" s="1"/>
      <c r="V86" s="1"/>
      <c r="W86" s="1"/>
      <c r="X86" s="1"/>
    </row>
    <row r="87" spans="1:24" ht="43.5" x14ac:dyDescent="0.25">
      <c r="A87" s="72" t="s">
        <v>77</v>
      </c>
      <c r="B87" s="48" t="s">
        <v>79</v>
      </c>
      <c r="C87" s="139" t="s">
        <v>202</v>
      </c>
      <c r="D87" s="101"/>
      <c r="E87" s="208"/>
      <c r="F87" s="209"/>
      <c r="G87" s="209"/>
      <c r="H87" s="209"/>
      <c r="I87" s="210"/>
      <c r="J87" s="81"/>
      <c r="K87" s="161"/>
      <c r="L87" s="135"/>
      <c r="M87" s="81"/>
      <c r="N87" s="81"/>
      <c r="O87" s="1"/>
      <c r="P87" s="1"/>
      <c r="Q87" s="1"/>
      <c r="R87" s="1"/>
      <c r="S87" s="1"/>
      <c r="T87" s="1"/>
      <c r="U87" s="1"/>
      <c r="V87" s="1"/>
      <c r="W87" s="1"/>
      <c r="X87" s="1"/>
    </row>
    <row r="88" spans="1:24" ht="29.25" x14ac:dyDescent="0.25">
      <c r="A88" s="72">
        <v>4</v>
      </c>
      <c r="B88" s="48" t="s">
        <v>75</v>
      </c>
      <c r="C88" s="139" t="s">
        <v>203</v>
      </c>
      <c r="D88" s="150">
        <v>-239979</v>
      </c>
      <c r="E88" s="207" t="s">
        <v>207</v>
      </c>
      <c r="F88" s="207"/>
      <c r="G88" s="207"/>
      <c r="H88" s="207"/>
      <c r="I88" s="207"/>
      <c r="J88" s="81"/>
      <c r="K88" s="81"/>
      <c r="L88" s="81"/>
      <c r="M88" s="81"/>
      <c r="N88" s="81"/>
      <c r="O88" s="1"/>
      <c r="P88" s="1"/>
      <c r="Q88" s="1"/>
      <c r="R88" s="1"/>
      <c r="S88" s="1"/>
      <c r="T88" s="1"/>
      <c r="U88" s="1"/>
      <c r="V88" s="1"/>
      <c r="W88" s="1"/>
      <c r="X88" s="1"/>
    </row>
    <row r="89" spans="1:24" ht="72" x14ac:dyDescent="0.25">
      <c r="A89" s="72">
        <v>5</v>
      </c>
      <c r="B89" s="48" t="s">
        <v>90</v>
      </c>
      <c r="C89" s="139" t="s">
        <v>202</v>
      </c>
      <c r="D89" s="101"/>
      <c r="E89" s="207"/>
      <c r="F89" s="207"/>
      <c r="G89" s="207"/>
      <c r="H89" s="207"/>
      <c r="I89" s="207"/>
      <c r="J89" s="81"/>
      <c r="K89" s="81"/>
      <c r="L89" s="81"/>
      <c r="M89" s="81"/>
      <c r="N89" s="81"/>
      <c r="O89" s="1"/>
      <c r="P89" s="1"/>
      <c r="Q89" s="1"/>
      <c r="R89" s="1"/>
      <c r="S89" s="1"/>
      <c r="T89" s="1"/>
      <c r="U89" s="1"/>
      <c r="V89" s="1"/>
      <c r="W89" s="1"/>
      <c r="X89" s="1"/>
    </row>
    <row r="90" spans="1:24" ht="43.5" x14ac:dyDescent="0.25">
      <c r="A90" s="52">
        <v>6</v>
      </c>
      <c r="B90" s="46" t="s">
        <v>210</v>
      </c>
      <c r="C90" s="139" t="s">
        <v>203</v>
      </c>
      <c r="D90" s="160">
        <v>92107.846160292625</v>
      </c>
      <c r="E90" s="207" t="s">
        <v>212</v>
      </c>
      <c r="F90" s="207"/>
      <c r="G90" s="207"/>
      <c r="H90" s="207"/>
      <c r="I90" s="207"/>
      <c r="J90" s="1"/>
      <c r="K90" s="1"/>
      <c r="L90" s="1"/>
      <c r="M90" s="1"/>
      <c r="N90" s="1"/>
      <c r="O90" s="1"/>
      <c r="P90" s="1"/>
      <c r="Q90" s="1"/>
      <c r="R90" s="1"/>
      <c r="S90" s="1"/>
      <c r="T90" s="1"/>
      <c r="U90" s="1"/>
      <c r="V90" s="1"/>
      <c r="W90" s="1"/>
      <c r="X90" s="1"/>
    </row>
    <row r="91" spans="1:24" x14ac:dyDescent="0.25">
      <c r="A91" s="52">
        <v>7</v>
      </c>
      <c r="B91" s="44"/>
      <c r="C91" s="10"/>
      <c r="D91" s="101"/>
      <c r="E91" s="207"/>
      <c r="F91" s="207"/>
      <c r="G91" s="207"/>
      <c r="H91" s="207"/>
      <c r="I91" s="207"/>
      <c r="J91" s="1"/>
      <c r="K91" s="1"/>
      <c r="L91" s="1"/>
      <c r="M91" s="1"/>
      <c r="N91" s="1"/>
      <c r="O91" s="1"/>
      <c r="P91" s="1"/>
      <c r="Q91" s="1"/>
      <c r="R91" s="1"/>
      <c r="S91" s="1"/>
      <c r="T91" s="1"/>
      <c r="U91" s="1"/>
      <c r="V91" s="1"/>
      <c r="W91" s="1"/>
      <c r="X91" s="1"/>
    </row>
    <row r="92" spans="1:24" x14ac:dyDescent="0.25">
      <c r="A92" s="52">
        <v>8</v>
      </c>
      <c r="B92" s="44"/>
      <c r="C92" s="10"/>
      <c r="D92" s="101"/>
      <c r="E92" s="207"/>
      <c r="F92" s="207"/>
      <c r="G92" s="207"/>
      <c r="H92" s="207"/>
      <c r="I92" s="207"/>
      <c r="J92" s="1"/>
      <c r="K92" s="1"/>
      <c r="L92" s="1"/>
      <c r="M92" s="1"/>
      <c r="N92" s="1"/>
      <c r="O92" s="1"/>
      <c r="P92" s="1"/>
      <c r="Q92" s="1"/>
      <c r="R92" s="1"/>
      <c r="S92" s="1"/>
      <c r="T92" s="1"/>
      <c r="U92" s="1"/>
      <c r="V92" s="1"/>
      <c r="W92" s="1"/>
      <c r="X92" s="1"/>
    </row>
    <row r="93" spans="1:24" x14ac:dyDescent="0.25">
      <c r="A93" s="52">
        <v>9</v>
      </c>
      <c r="B93" s="44"/>
      <c r="C93" s="10"/>
      <c r="D93" s="101"/>
      <c r="E93" s="208"/>
      <c r="F93" s="209"/>
      <c r="G93" s="209"/>
      <c r="H93" s="209"/>
      <c r="I93" s="210"/>
      <c r="J93" s="1"/>
      <c r="K93" s="1"/>
      <c r="L93" s="1"/>
      <c r="M93" s="1"/>
      <c r="N93" s="1"/>
      <c r="O93" s="1"/>
      <c r="P93" s="1"/>
      <c r="Q93" s="1"/>
      <c r="R93" s="1"/>
      <c r="S93" s="1"/>
      <c r="T93" s="1"/>
      <c r="U93" s="1"/>
      <c r="V93" s="1"/>
      <c r="W93" s="1"/>
      <c r="X93" s="1"/>
    </row>
    <row r="94" spans="1:24" x14ac:dyDescent="0.25">
      <c r="A94" s="52">
        <v>10</v>
      </c>
      <c r="B94" s="44"/>
      <c r="C94" s="10"/>
      <c r="D94" s="101"/>
      <c r="E94" s="207"/>
      <c r="F94" s="207"/>
      <c r="G94" s="207"/>
      <c r="H94" s="207"/>
      <c r="I94" s="207"/>
      <c r="J94" s="1"/>
      <c r="K94" s="1"/>
      <c r="L94" s="1"/>
      <c r="M94" s="1"/>
      <c r="N94" s="1"/>
      <c r="O94" s="1"/>
      <c r="P94" s="1"/>
      <c r="Q94" s="1"/>
      <c r="R94" s="1"/>
      <c r="S94" s="1"/>
      <c r="T94" s="1"/>
      <c r="U94" s="1"/>
      <c r="V94" s="1"/>
      <c r="W94" s="1"/>
      <c r="X94" s="1"/>
    </row>
    <row r="95" spans="1:24" x14ac:dyDescent="0.25">
      <c r="A95" s="1"/>
      <c r="B95" s="2" t="s">
        <v>25</v>
      </c>
      <c r="C95" s="2"/>
      <c r="D95" s="102">
        <f>SUM(D82:D94)</f>
        <v>4418899.818710288</v>
      </c>
      <c r="E95" s="27"/>
      <c r="F95" s="27"/>
      <c r="G95" s="27"/>
      <c r="H95" s="27"/>
      <c r="I95" s="1"/>
      <c r="J95" s="1"/>
      <c r="K95" s="1"/>
      <c r="L95" s="1"/>
      <c r="M95" s="1"/>
      <c r="N95" s="1"/>
      <c r="O95" s="1"/>
      <c r="P95" s="1"/>
      <c r="Q95" s="1"/>
      <c r="R95" s="1"/>
      <c r="S95" s="1"/>
      <c r="T95" s="1"/>
      <c r="U95" s="1"/>
      <c r="V95" s="1"/>
      <c r="W95" s="1"/>
      <c r="X95" s="1"/>
    </row>
    <row r="96" spans="1:24" x14ac:dyDescent="0.25">
      <c r="A96" s="1"/>
      <c r="B96" s="73" t="s">
        <v>74</v>
      </c>
      <c r="C96" s="73"/>
      <c r="D96" s="102">
        <f>K74</f>
        <v>3643472.6053000055</v>
      </c>
      <c r="E96" s="27"/>
      <c r="F96" s="27"/>
      <c r="G96" s="27"/>
      <c r="H96" s="27"/>
      <c r="I96" s="1"/>
      <c r="J96" s="1"/>
      <c r="K96" s="1"/>
      <c r="L96" s="1"/>
      <c r="M96" s="1"/>
      <c r="N96" s="1"/>
      <c r="O96" s="1"/>
      <c r="P96" s="1"/>
      <c r="Q96" s="1"/>
      <c r="R96" s="1"/>
      <c r="S96" s="1"/>
      <c r="T96" s="1"/>
      <c r="U96" s="1"/>
      <c r="V96" s="1"/>
      <c r="W96" s="1"/>
      <c r="X96" s="1"/>
    </row>
    <row r="97" spans="1:24" x14ac:dyDescent="0.25">
      <c r="A97" s="1"/>
      <c r="B97" s="73" t="s">
        <v>24</v>
      </c>
      <c r="C97" s="73"/>
      <c r="D97" s="103">
        <f>D96-D95</f>
        <v>-775427.21341028251</v>
      </c>
      <c r="E97" s="1"/>
      <c r="F97" s="1"/>
      <c r="G97" s="1"/>
      <c r="H97" s="1"/>
      <c r="I97" s="1"/>
      <c r="J97" s="1"/>
      <c r="K97" s="1"/>
      <c r="L97" s="1"/>
      <c r="M97" s="1"/>
      <c r="N97" s="1"/>
      <c r="O97" s="1"/>
      <c r="P97" s="1"/>
      <c r="Q97" s="1"/>
      <c r="R97" s="1"/>
      <c r="S97" s="1"/>
      <c r="T97" s="1"/>
      <c r="U97" s="1"/>
      <c r="V97" s="1"/>
      <c r="W97" s="1"/>
      <c r="X97" s="1"/>
    </row>
    <row r="98" spans="1:24" ht="30.75" thickBot="1" x14ac:dyDescent="0.3">
      <c r="A98" s="1"/>
      <c r="B98" s="74" t="s">
        <v>80</v>
      </c>
      <c r="C98" s="74"/>
      <c r="D98" s="61">
        <v>-2.1780612285725999E-3</v>
      </c>
      <c r="E98" s="105" t="str">
        <f>IF(AND(D98&lt;0.01,D98&gt;-0.01),"","Unresolved differences of greater than + or - 1% should be explained")</f>
        <v/>
      </c>
      <c r="F98" s="1"/>
      <c r="G98" s="81"/>
      <c r="H98" s="36"/>
      <c r="I98" s="36"/>
      <c r="J98" s="36"/>
      <c r="K98" s="36"/>
      <c r="L98" s="36"/>
      <c r="M98" s="36"/>
      <c r="N98" s="1"/>
      <c r="O98" s="1"/>
      <c r="P98" s="1"/>
      <c r="Q98" s="1"/>
      <c r="R98" s="1"/>
      <c r="S98" s="1"/>
      <c r="T98" s="1"/>
      <c r="U98" s="1"/>
      <c r="V98" s="1"/>
      <c r="W98" s="1"/>
      <c r="X98" s="1"/>
    </row>
    <row r="99" spans="1:24" ht="15.75" thickTop="1" x14ac:dyDescent="0.25">
      <c r="A99" s="1"/>
      <c r="B99" s="2"/>
      <c r="C99" s="54"/>
      <c r="D99" s="59"/>
      <c r="E99" s="1"/>
      <c r="F99" s="1"/>
      <c r="G99" s="81"/>
      <c r="H99" s="1"/>
      <c r="I99" s="1"/>
      <c r="J99" s="1"/>
      <c r="K99" s="1"/>
      <c r="L99" s="1"/>
      <c r="M99" s="1"/>
      <c r="N99" s="1"/>
      <c r="O99" s="1"/>
      <c r="P99" s="1"/>
      <c r="Q99" s="1"/>
      <c r="R99" s="1"/>
      <c r="S99" s="1"/>
      <c r="T99" s="1"/>
      <c r="U99" s="1"/>
      <c r="V99" s="1"/>
      <c r="W99" s="1"/>
      <c r="X99" s="1"/>
    </row>
    <row r="100" spans="1:24" x14ac:dyDescent="0.25">
      <c r="A100" s="1"/>
      <c r="B100" s="2"/>
      <c r="C100" s="54"/>
      <c r="D100" s="35"/>
      <c r="E100" s="1"/>
      <c r="F100" s="1"/>
      <c r="G100" s="1"/>
      <c r="H100" s="1"/>
      <c r="I100" s="1"/>
      <c r="J100" s="1"/>
      <c r="K100" s="1"/>
      <c r="L100" s="1"/>
      <c r="M100" s="1"/>
      <c r="N100" s="1"/>
      <c r="O100" s="1"/>
      <c r="P100" s="1"/>
      <c r="Q100" s="1"/>
      <c r="R100" s="1"/>
      <c r="S100" s="1"/>
      <c r="T100" s="1"/>
      <c r="U100" s="1"/>
      <c r="V100" s="1"/>
      <c r="W100" s="1"/>
      <c r="X100" s="1"/>
    </row>
    <row r="101" spans="1:24" x14ac:dyDescent="0.25">
      <c r="A101" s="1" t="s">
        <v>82</v>
      </c>
      <c r="B101" s="75" t="s">
        <v>47</v>
      </c>
      <c r="C101" s="58"/>
      <c r="D101" s="59"/>
      <c r="E101" s="1"/>
      <c r="F101" s="1"/>
      <c r="G101" s="1"/>
      <c r="H101" s="1"/>
      <c r="I101" s="1"/>
      <c r="J101" s="1"/>
      <c r="K101" s="1"/>
      <c r="L101" s="1"/>
      <c r="M101" s="1"/>
      <c r="N101" s="1"/>
      <c r="O101" s="1"/>
      <c r="P101" s="1"/>
      <c r="Q101" s="1"/>
      <c r="R101" s="1"/>
      <c r="S101" s="1"/>
      <c r="T101" s="1"/>
      <c r="U101" s="1"/>
      <c r="V101" s="1"/>
      <c r="W101" s="1"/>
      <c r="X101" s="1"/>
    </row>
    <row r="102" spans="1:24" x14ac:dyDescent="0.25">
      <c r="A102" s="1"/>
      <c r="B102" s="57"/>
      <c r="C102" s="58"/>
      <c r="D102" s="59"/>
      <c r="E102" s="1"/>
      <c r="F102" s="1"/>
      <c r="G102" s="1"/>
      <c r="H102" s="1"/>
      <c r="I102" s="1"/>
      <c r="J102" s="1"/>
      <c r="K102" s="1"/>
      <c r="L102" s="1"/>
      <c r="M102" s="1"/>
      <c r="N102" s="1"/>
      <c r="O102" s="1"/>
      <c r="P102" s="1"/>
      <c r="Q102" s="1"/>
      <c r="R102" s="1"/>
      <c r="S102" s="1"/>
      <c r="T102" s="1"/>
      <c r="U102" s="1"/>
      <c r="V102" s="1"/>
      <c r="W102" s="1"/>
      <c r="X102" s="1"/>
    </row>
    <row r="103" spans="1:24" ht="120" x14ac:dyDescent="0.25">
      <c r="A103" s="1"/>
      <c r="B103" s="130" t="s">
        <v>26</v>
      </c>
      <c r="C103" s="47" t="s">
        <v>146</v>
      </c>
      <c r="D103" s="76" t="s">
        <v>147</v>
      </c>
      <c r="E103" s="47" t="s">
        <v>148</v>
      </c>
      <c r="F103" s="47" t="s">
        <v>150</v>
      </c>
      <c r="G103" s="47" t="s">
        <v>24</v>
      </c>
      <c r="H103" s="78" t="s">
        <v>149</v>
      </c>
      <c r="I103" s="47" t="s">
        <v>80</v>
      </c>
      <c r="J103" s="81"/>
      <c r="K103" s="81"/>
      <c r="L103" s="36"/>
      <c r="M103" s="36"/>
      <c r="N103" s="36"/>
      <c r="O103" s="1"/>
      <c r="P103" s="1"/>
      <c r="Q103" s="1"/>
      <c r="R103" s="1"/>
      <c r="S103" s="1"/>
      <c r="T103" s="1"/>
      <c r="U103" s="1"/>
      <c r="V103" s="1"/>
      <c r="W103" s="1"/>
      <c r="X103" s="1"/>
    </row>
    <row r="104" spans="1:24" x14ac:dyDescent="0.25">
      <c r="A104" s="1"/>
      <c r="B104" s="107">
        <v>2015</v>
      </c>
      <c r="C104" s="109">
        <v>2093364.3946999945</v>
      </c>
      <c r="D104" s="109">
        <v>5736837</v>
      </c>
      <c r="E104" s="110">
        <v>3643472.6053000055</v>
      </c>
      <c r="F104" s="110">
        <v>4418899.7307402901</v>
      </c>
      <c r="G104" s="111">
        <f>E104-F104</f>
        <v>-775427.12544028461</v>
      </c>
      <c r="H104" s="110">
        <v>356017138.20883995</v>
      </c>
      <c r="I104" s="106">
        <f>IF(ISERROR(G104/H104),0,G104/H104)</f>
        <v>-2.1780612285732673E-3</v>
      </c>
      <c r="J104" s="81"/>
      <c r="K104" s="81"/>
      <c r="L104" s="36"/>
      <c r="M104" s="36"/>
      <c r="N104" s="36"/>
      <c r="O104" s="1"/>
      <c r="P104" s="1"/>
      <c r="Q104" s="1"/>
      <c r="R104" s="1"/>
      <c r="S104" s="1"/>
      <c r="T104" s="1"/>
      <c r="U104" s="1"/>
      <c r="V104" s="1"/>
      <c r="W104" s="1"/>
      <c r="X104" s="1"/>
    </row>
    <row r="105" spans="1:24" x14ac:dyDescent="0.25">
      <c r="A105" s="1"/>
      <c r="B105" s="107"/>
      <c r="C105" s="109"/>
      <c r="D105" s="109"/>
      <c r="E105" s="110"/>
      <c r="F105" s="110"/>
      <c r="G105" s="111">
        <f>E105-F105</f>
        <v>0</v>
      </c>
      <c r="H105" s="110"/>
      <c r="I105" s="106">
        <f>IF(ISERROR(G105/H105),0,G105/H105)</f>
        <v>0</v>
      </c>
      <c r="J105" s="81"/>
      <c r="K105" s="81"/>
      <c r="L105" s="36"/>
      <c r="M105" s="36"/>
      <c r="N105" s="36"/>
      <c r="O105" s="1"/>
      <c r="P105" s="1"/>
      <c r="Q105" s="1"/>
      <c r="R105" s="1"/>
      <c r="S105" s="1"/>
      <c r="T105" s="1"/>
      <c r="U105" s="1"/>
      <c r="V105" s="1"/>
      <c r="W105" s="1"/>
      <c r="X105" s="1"/>
    </row>
    <row r="106" spans="1:24" x14ac:dyDescent="0.25">
      <c r="A106" s="1"/>
      <c r="B106" s="107"/>
      <c r="C106" s="109"/>
      <c r="D106" s="109"/>
      <c r="E106" s="110"/>
      <c r="F106" s="110"/>
      <c r="G106" s="111">
        <f>E106-F106</f>
        <v>0</v>
      </c>
      <c r="H106" s="110"/>
      <c r="I106" s="106">
        <f>IF(ISERROR(G106/H106),0,G106/H106)</f>
        <v>0</v>
      </c>
      <c r="J106" s="81"/>
      <c r="K106" s="81"/>
      <c r="L106" s="36"/>
      <c r="M106" s="36"/>
      <c r="N106" s="36"/>
      <c r="O106" s="1"/>
      <c r="P106" s="1"/>
      <c r="Q106" s="1"/>
      <c r="R106" s="1"/>
      <c r="S106" s="1"/>
      <c r="T106" s="1"/>
      <c r="U106" s="1"/>
      <c r="V106" s="1"/>
      <c r="W106" s="1"/>
      <c r="X106" s="1"/>
    </row>
    <row r="107" spans="1:24" ht="15.75" thickBot="1" x14ac:dyDescent="0.3">
      <c r="A107" s="1"/>
      <c r="B107" s="107"/>
      <c r="C107" s="112"/>
      <c r="D107" s="112"/>
      <c r="E107" s="112"/>
      <c r="F107" s="112"/>
      <c r="G107" s="113">
        <f>E107-F107</f>
        <v>0</v>
      </c>
      <c r="H107" s="112"/>
      <c r="I107" s="108">
        <f>IF(ISERROR(G107/H107),0,G107/H107)</f>
        <v>0</v>
      </c>
      <c r="J107" s="81"/>
      <c r="K107" s="81"/>
      <c r="L107" s="36"/>
      <c r="M107" s="36"/>
      <c r="N107" s="36"/>
      <c r="O107" s="1"/>
      <c r="P107" s="1"/>
      <c r="Q107" s="1"/>
      <c r="R107" s="1"/>
      <c r="S107" s="1"/>
      <c r="T107" s="1"/>
      <c r="U107" s="1"/>
      <c r="V107" s="1"/>
      <c r="W107" s="1"/>
      <c r="X107" s="1"/>
    </row>
    <row r="108" spans="1:24" ht="15.75" thickBot="1" x14ac:dyDescent="0.3">
      <c r="A108" s="1"/>
      <c r="B108" s="77" t="s">
        <v>81</v>
      </c>
      <c r="C108" s="79">
        <f t="shared" ref="C108:H108" si="56">SUM(C104:C107)</f>
        <v>2093364.3946999945</v>
      </c>
      <c r="D108" s="79">
        <f t="shared" si="56"/>
        <v>5736837</v>
      </c>
      <c r="E108" s="79">
        <f t="shared" si="56"/>
        <v>3643472.6053000055</v>
      </c>
      <c r="F108" s="79">
        <f t="shared" si="56"/>
        <v>4418899.7307402901</v>
      </c>
      <c r="G108" s="79">
        <f t="shared" si="56"/>
        <v>-775427.12544028461</v>
      </c>
      <c r="H108" s="79">
        <f t="shared" si="56"/>
        <v>356017138.20883995</v>
      </c>
      <c r="I108" s="80" t="s">
        <v>89</v>
      </c>
      <c r="J108" s="81"/>
      <c r="K108" s="81"/>
      <c r="L108" s="36"/>
      <c r="M108" s="36"/>
      <c r="N108" s="36"/>
      <c r="O108" s="1"/>
      <c r="P108" s="1"/>
      <c r="Q108" s="1"/>
      <c r="R108" s="1"/>
      <c r="S108" s="1"/>
      <c r="T108" s="1"/>
      <c r="U108" s="1"/>
      <c r="V108" s="1"/>
      <c r="W108" s="1"/>
      <c r="X108" s="1"/>
    </row>
    <row r="109" spans="1:24" x14ac:dyDescent="0.25">
      <c r="A109" s="1"/>
      <c r="B109" s="4"/>
      <c r="C109" s="4"/>
      <c r="D109" s="4"/>
      <c r="E109" s="4"/>
      <c r="F109" s="4"/>
      <c r="G109" s="4"/>
      <c r="H109" s="1"/>
      <c r="I109" s="1"/>
      <c r="J109" s="81"/>
      <c r="K109" s="81"/>
      <c r="L109" s="36"/>
      <c r="M109" s="36"/>
      <c r="N109" s="36"/>
      <c r="O109" s="1"/>
      <c r="P109" s="1"/>
      <c r="Q109" s="1"/>
      <c r="R109" s="1"/>
      <c r="S109" s="1"/>
      <c r="T109" s="1"/>
      <c r="U109" s="1"/>
      <c r="V109" s="1"/>
      <c r="W109" s="1"/>
      <c r="X109" s="1"/>
    </row>
    <row r="110" spans="1:24" x14ac:dyDescent="0.25">
      <c r="A110" s="1"/>
      <c r="B110" s="1"/>
      <c r="C110" s="1"/>
      <c r="D110" s="1"/>
      <c r="E110" s="1"/>
      <c r="F110" s="1"/>
      <c r="G110" s="1"/>
      <c r="H110" s="1"/>
      <c r="I110" s="1"/>
      <c r="J110" s="81"/>
      <c r="K110" s="81"/>
      <c r="L110" s="36"/>
      <c r="M110" s="36"/>
      <c r="N110" s="36"/>
      <c r="O110" s="1"/>
      <c r="P110" s="1"/>
      <c r="Q110" s="1"/>
      <c r="R110" s="1"/>
      <c r="S110" s="1"/>
      <c r="T110" s="1"/>
      <c r="U110" s="1"/>
      <c r="V110" s="1"/>
      <c r="W110" s="1"/>
      <c r="X110" s="1"/>
    </row>
    <row r="111" spans="1:24" x14ac:dyDescent="0.25">
      <c r="A111" s="1"/>
      <c r="B111" s="3" t="s">
        <v>38</v>
      </c>
      <c r="C111" s="1"/>
      <c r="D111" s="1"/>
      <c r="E111" s="1"/>
      <c r="F111" s="1"/>
      <c r="G111" s="1"/>
      <c r="H111" s="1"/>
      <c r="I111" s="1"/>
      <c r="J111" s="81"/>
      <c r="K111" s="81"/>
      <c r="L111" s="1"/>
      <c r="M111" s="1"/>
      <c r="N111" s="1"/>
      <c r="O111" s="1"/>
      <c r="P111" s="1"/>
      <c r="Q111" s="1"/>
      <c r="R111" s="1"/>
      <c r="S111" s="1"/>
      <c r="T111" s="1"/>
      <c r="U111" s="1"/>
      <c r="V111" s="1"/>
      <c r="W111" s="1"/>
      <c r="X111" s="1"/>
    </row>
    <row r="112" spans="1:24" x14ac:dyDescent="0.25">
      <c r="A112" s="1"/>
      <c r="B112" s="51"/>
      <c r="C112" s="51"/>
      <c r="D112" s="51"/>
      <c r="E112" s="51"/>
      <c r="F112" s="51"/>
      <c r="G112" s="51"/>
      <c r="H112" s="51"/>
      <c r="I112" s="1"/>
      <c r="J112" s="81"/>
      <c r="K112" s="81"/>
      <c r="L112" s="1"/>
      <c r="M112" s="1"/>
      <c r="N112" s="1"/>
      <c r="O112" s="1"/>
      <c r="P112" s="1"/>
      <c r="Q112" s="1"/>
      <c r="R112" s="1"/>
      <c r="S112" s="1"/>
      <c r="T112" s="1"/>
      <c r="U112" s="1"/>
      <c r="V112" s="1"/>
      <c r="W112" s="1"/>
      <c r="X112" s="1"/>
    </row>
    <row r="113" spans="1:24" x14ac:dyDescent="0.25">
      <c r="A113" s="1"/>
      <c r="B113" s="51"/>
      <c r="C113" s="51"/>
      <c r="D113" s="51"/>
      <c r="E113" s="51"/>
      <c r="F113" s="51"/>
      <c r="G113" s="51"/>
      <c r="H113" s="51"/>
      <c r="I113" s="1"/>
      <c r="J113" s="81"/>
      <c r="K113" s="81"/>
      <c r="L113" s="1"/>
      <c r="M113" s="1"/>
      <c r="N113" s="1"/>
      <c r="O113" s="1"/>
      <c r="P113" s="1"/>
      <c r="Q113" s="1"/>
      <c r="R113" s="1"/>
      <c r="S113" s="1"/>
      <c r="T113" s="1"/>
      <c r="U113" s="1"/>
      <c r="V113" s="1"/>
      <c r="W113" s="1"/>
      <c r="X113" s="1"/>
    </row>
    <row r="114" spans="1:24" x14ac:dyDescent="0.25">
      <c r="A114" s="1"/>
      <c r="B114" s="51"/>
      <c r="C114" s="51"/>
      <c r="D114" s="51"/>
      <c r="E114" s="51"/>
      <c r="F114" s="51"/>
      <c r="G114" s="51"/>
      <c r="H114" s="51"/>
      <c r="I114" s="1"/>
      <c r="J114" s="1"/>
      <c r="K114" s="1"/>
      <c r="L114" s="1"/>
      <c r="M114" s="1"/>
      <c r="N114" s="1"/>
      <c r="O114" s="1"/>
      <c r="P114" s="1"/>
      <c r="Q114" s="1"/>
      <c r="R114" s="1"/>
      <c r="S114" s="1"/>
      <c r="T114" s="1"/>
      <c r="U114" s="1"/>
      <c r="V114" s="1"/>
      <c r="W114" s="1"/>
      <c r="X114" s="1"/>
    </row>
    <row r="115" spans="1:24" x14ac:dyDescent="0.25">
      <c r="A115" s="1"/>
      <c r="B115" s="51"/>
      <c r="C115" s="51"/>
      <c r="D115" s="51"/>
      <c r="E115" s="51"/>
      <c r="F115" s="51"/>
      <c r="G115" s="51"/>
      <c r="H115" s="51"/>
      <c r="I115" s="1"/>
      <c r="J115" s="1"/>
      <c r="K115" s="1"/>
      <c r="L115" s="1"/>
      <c r="M115" s="1"/>
      <c r="N115" s="1"/>
      <c r="O115" s="1"/>
      <c r="P115" s="1"/>
      <c r="Q115" s="1"/>
      <c r="R115" s="1"/>
      <c r="S115" s="1"/>
      <c r="T115" s="1"/>
      <c r="U115" s="1"/>
      <c r="V115" s="1"/>
      <c r="W115" s="1"/>
      <c r="X115" s="1"/>
    </row>
    <row r="116" spans="1:24" x14ac:dyDescent="0.25">
      <c r="A116" s="1"/>
      <c r="B116" s="51"/>
      <c r="C116" s="51"/>
      <c r="D116" s="51"/>
      <c r="E116" s="51"/>
      <c r="F116" s="51"/>
      <c r="G116" s="51"/>
      <c r="H116" s="51"/>
      <c r="I116" s="1"/>
      <c r="J116" s="1"/>
      <c r="K116" s="1"/>
      <c r="L116" s="1"/>
      <c r="M116" s="1"/>
      <c r="N116" s="1"/>
      <c r="O116" s="1"/>
      <c r="P116" s="1"/>
      <c r="Q116" s="1"/>
      <c r="R116" s="1"/>
      <c r="S116" s="1"/>
      <c r="T116" s="1"/>
      <c r="U116" s="1"/>
      <c r="V116" s="1"/>
      <c r="W116" s="1"/>
      <c r="X116" s="1"/>
    </row>
    <row r="117" spans="1:24" x14ac:dyDescent="0.25">
      <c r="A117" s="1"/>
      <c r="B117" s="51"/>
      <c r="C117" s="51"/>
      <c r="D117" s="51"/>
      <c r="E117" s="51"/>
      <c r="F117" s="51"/>
      <c r="G117" s="51"/>
      <c r="H117" s="51"/>
      <c r="I117" s="1"/>
      <c r="J117" s="1"/>
      <c r="K117" s="1"/>
      <c r="L117" s="1"/>
      <c r="M117" s="1"/>
      <c r="N117" s="1"/>
      <c r="O117" s="1"/>
      <c r="P117" s="1"/>
      <c r="Q117" s="1"/>
      <c r="R117" s="1"/>
      <c r="S117" s="1"/>
      <c r="T117" s="1"/>
      <c r="U117" s="1"/>
      <c r="V117" s="1"/>
      <c r="W117" s="1"/>
      <c r="X117" s="1"/>
    </row>
    <row r="118" spans="1:24" x14ac:dyDescent="0.25">
      <c r="A118" s="1"/>
      <c r="B118" s="51"/>
      <c r="C118" s="51"/>
      <c r="D118" s="51"/>
      <c r="E118" s="51"/>
      <c r="F118" s="51"/>
      <c r="G118" s="51"/>
      <c r="H118" s="51"/>
      <c r="I118" s="1"/>
      <c r="J118" s="1"/>
      <c r="K118" s="1"/>
      <c r="L118" s="1"/>
      <c r="M118" s="1"/>
      <c r="N118" s="1"/>
      <c r="O118" s="1"/>
      <c r="P118" s="1"/>
      <c r="Q118" s="1"/>
      <c r="R118" s="1"/>
      <c r="S118" s="1"/>
      <c r="T118" s="1"/>
      <c r="U118" s="1"/>
      <c r="V118" s="1"/>
      <c r="W118" s="1"/>
      <c r="X118" s="1"/>
    </row>
    <row r="119" spans="1:24" x14ac:dyDescent="0.25">
      <c r="A119" s="1"/>
      <c r="B119" s="51"/>
      <c r="C119" s="51"/>
      <c r="D119" s="51"/>
      <c r="E119" s="51"/>
      <c r="F119" s="51"/>
      <c r="G119" s="51"/>
      <c r="H119" s="51"/>
      <c r="I119" s="1"/>
      <c r="J119" s="1"/>
      <c r="K119" s="1"/>
      <c r="L119" s="1"/>
      <c r="M119" s="1"/>
      <c r="N119" s="1"/>
      <c r="O119" s="1"/>
      <c r="P119" s="1"/>
      <c r="Q119" s="1"/>
      <c r="R119" s="1"/>
      <c r="S119" s="1"/>
      <c r="T119" s="1"/>
      <c r="U119" s="1"/>
      <c r="V119" s="1"/>
      <c r="W119" s="1"/>
      <c r="X119" s="1"/>
    </row>
    <row r="120" spans="1:24"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sheetData>
  <mergeCells count="20">
    <mergeCell ref="B10:C10"/>
    <mergeCell ref="G10:H10"/>
    <mergeCell ref="B16:H16"/>
    <mergeCell ref="P33:R33"/>
    <mergeCell ref="S33:U33"/>
    <mergeCell ref="V33:X33"/>
    <mergeCell ref="E81:I81"/>
    <mergeCell ref="E94:I94"/>
    <mergeCell ref="E88:I88"/>
    <mergeCell ref="E89:I89"/>
    <mergeCell ref="E90:I90"/>
    <mergeCell ref="E91:I91"/>
    <mergeCell ref="E92:I92"/>
    <mergeCell ref="E93:I93"/>
    <mergeCell ref="E87:I87"/>
    <mergeCell ref="E82:I82"/>
    <mergeCell ref="E83:I83"/>
    <mergeCell ref="E84:I84"/>
    <mergeCell ref="E85:I85"/>
    <mergeCell ref="E86:I86"/>
  </mergeCells>
  <dataValidations count="1">
    <dataValidation type="list" sqref="C20 E20">
      <formula1>"1st Estimate, 2nd Estimate, Actual, Other"</formula1>
    </dataValidation>
  </dataValidations>
  <pageMargins left="0.39370078740157483" right="0" top="0.39370078740157483" bottom="0.43307086614173229" header="0.31496062992125984" footer="0.31496062992125984"/>
  <pageSetup scale="60" fitToHeight="5" orientation="landscape" r:id="rId1"/>
  <headerFooter>
    <oddFooter>&amp;L&amp;F&amp;R&amp;A &amp;P of &amp;N</oddFooter>
  </headerFooter>
  <rowBreaks count="3" manualBreakCount="3">
    <brk id="30" max="12" man="1"/>
    <brk id="78" max="12" man="1"/>
    <brk id="100" max="12" man="1"/>
  </rowBreaks>
  <ignoredErrors>
    <ignoredError sqref="F41"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99FA68A33C724FA894CDAF43EEA7C7" ma:contentTypeVersion="4" ma:contentTypeDescription="Create a new document." ma:contentTypeScope="" ma:versionID="cd836efc06b95b323159f4e65df5269c">
  <xsd:schema xmlns:xsd="http://www.w3.org/2001/XMLSchema" xmlns:xs="http://www.w3.org/2001/XMLSchema" xmlns:p="http://schemas.microsoft.com/office/2006/metadata/properties" xmlns:ns2="c7144278-a604-49a7-8187-9642ca59cb21" xmlns:ns3="01f4ed2e-8ed5-4f01-addc-53cbf92106b5" targetNamespace="http://schemas.microsoft.com/office/2006/metadata/properties" ma:root="true" ma:fieldsID="6b3309542ef24b8ba8d273685ad379e3" ns2:_="" ns3:_="">
    <xsd:import namespace="c7144278-a604-49a7-8187-9642ca59cb21"/>
    <xsd:import namespace="01f4ed2e-8ed5-4f01-addc-53cbf92106b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144278-a604-49a7-8187-9642ca59cb2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f4ed2e-8ed5-4f01-addc-53cbf92106b5"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144DB4-95AB-41FB-B2D5-33B0D67A8EE8}"/>
</file>

<file path=customXml/itemProps2.xml><?xml version="1.0" encoding="utf-8"?>
<ds:datastoreItem xmlns:ds="http://schemas.openxmlformats.org/officeDocument/2006/customXml" ds:itemID="{88B50ABA-2ED6-4693-959F-788005181D63}"/>
</file>

<file path=customXml/itemProps3.xml><?xml version="1.0" encoding="utf-8"?>
<ds:datastoreItem xmlns:ds="http://schemas.openxmlformats.org/officeDocument/2006/customXml" ds:itemID="{BBC980ED-544E-43EE-8F77-9B8A26DD438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GA Analysis 2016</vt:lpstr>
      <vt:lpstr>GA Analysis 2015</vt:lpstr>
      <vt:lpstr>'GA Analysis 2015'!Print_Area</vt:lpstr>
      <vt:lpstr>'GA Analysis 2016'!Print_Area</vt:lpstr>
      <vt:lpstr>Instructions!Print_Area</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Belinda Dhaliwal</cp:lastModifiedBy>
  <cp:lastPrinted>2017-09-26T17:02:01Z</cp:lastPrinted>
  <dcterms:created xsi:type="dcterms:W3CDTF">2017-05-01T19:29:01Z</dcterms:created>
  <dcterms:modified xsi:type="dcterms:W3CDTF">2017-10-02T17:01:07Z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0x0101004E99FA68A33C724FA894CDAF43EEA7C7</vt:lpwstr>
  </property>
</Properties>
</file>