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48" windowWidth="19416" windowHeight="11520" tabRatio="811" activeTab="1"/>
  </bookViews>
  <sheets>
    <sheet name="Instructions" sheetId="2" r:id="rId1"/>
    <sheet name="GA Analysis - LP 2016 " sheetId="4" r:id="rId2"/>
    <sheet name="GA Analysis - LP 2015" sheetId="5" r:id="rId3"/>
    <sheet name="GA Analysis - PS 2016" sheetId="6" r:id="rId4"/>
  </sheets>
  <definedNames>
    <definedName name="GARate" localSheetId="2">#REF!</definedName>
    <definedName name="GARate" localSheetId="1">#REF!</definedName>
    <definedName name="GARate" localSheetId="3">#REF!</definedName>
    <definedName name="GARate">#REF!</definedName>
    <definedName name="_xlnm.Print_Area" localSheetId="2">'GA Analysis - LP 2015'!$A$1:$K$107</definedName>
    <definedName name="_xlnm.Print_Area" localSheetId="1">'GA Analysis - LP 2016 '!$A$1:$K$107</definedName>
    <definedName name="_xlnm.Print_Area" localSheetId="3">'GA Analysis - PS 2016'!$A$1:$K$107</definedName>
    <definedName name="_xlnm.Print_Area" localSheetId="0">Instructions!$A$1:$C$83</definedName>
  </definedNames>
  <calcPr calcId="145621"/>
</workbook>
</file>

<file path=xl/calcChain.xml><?xml version="1.0" encoding="utf-8"?>
<calcChain xmlns="http://schemas.openxmlformats.org/spreadsheetml/2006/main">
  <c r="D70" i="6" l="1"/>
  <c r="D70" i="4"/>
  <c r="D70" i="5"/>
  <c r="D67" i="4" l="1"/>
  <c r="H90" i="4" l="1"/>
  <c r="H89" i="4"/>
  <c r="H88" i="4"/>
  <c r="E90" i="4"/>
  <c r="E89" i="4"/>
  <c r="E88" i="4"/>
  <c r="D90" i="4"/>
  <c r="D89" i="4"/>
  <c r="D88" i="4"/>
  <c r="C90" i="4"/>
  <c r="C89" i="4"/>
  <c r="C88" i="4"/>
  <c r="I58" i="6" l="1"/>
  <c r="I57" i="6"/>
  <c r="I56" i="6"/>
  <c r="I55" i="6"/>
  <c r="I54" i="6"/>
  <c r="I53" i="6"/>
  <c r="I52" i="6"/>
  <c r="I51" i="6"/>
  <c r="I50" i="6"/>
  <c r="I49" i="6"/>
  <c r="I48" i="6"/>
  <c r="I47" i="6"/>
  <c r="G58" i="6"/>
  <c r="G57" i="6"/>
  <c r="G56" i="6"/>
  <c r="G55" i="6"/>
  <c r="G54" i="6"/>
  <c r="G53" i="6"/>
  <c r="G52" i="6"/>
  <c r="G51" i="6"/>
  <c r="G50" i="6"/>
  <c r="G49" i="6"/>
  <c r="G48" i="6"/>
  <c r="G47" i="6"/>
  <c r="F60" i="6"/>
  <c r="E58" i="6"/>
  <c r="E57" i="6"/>
  <c r="E56" i="6"/>
  <c r="E55" i="6"/>
  <c r="E54" i="6"/>
  <c r="E53" i="6"/>
  <c r="E52" i="6"/>
  <c r="E51" i="6"/>
  <c r="E50" i="6"/>
  <c r="E49" i="6"/>
  <c r="E48" i="6"/>
  <c r="E47" i="6"/>
  <c r="D47" i="6"/>
  <c r="C58" i="6"/>
  <c r="C57" i="6"/>
  <c r="C56" i="6"/>
  <c r="C55" i="6"/>
  <c r="C54" i="6"/>
  <c r="C53" i="6"/>
  <c r="C52" i="6"/>
  <c r="C51" i="6"/>
  <c r="C50" i="6"/>
  <c r="C49" i="6"/>
  <c r="C48" i="6"/>
  <c r="C47" i="6"/>
  <c r="D26" i="6" l="1"/>
  <c r="D23" i="6"/>
  <c r="H92" i="6"/>
  <c r="E92" i="6"/>
  <c r="D92" i="6"/>
  <c r="C92" i="6"/>
  <c r="G91" i="6"/>
  <c r="I91" i="6" s="1"/>
  <c r="F91" i="6"/>
  <c r="F90" i="6"/>
  <c r="G90" i="6" s="1"/>
  <c r="I90" i="6" s="1"/>
  <c r="F89" i="6"/>
  <c r="F92" i="6" s="1"/>
  <c r="F88" i="6"/>
  <c r="G88" i="6" s="1"/>
  <c r="D79" i="6"/>
  <c r="D58" i="6"/>
  <c r="F58" i="6" s="1"/>
  <c r="D57" i="6"/>
  <c r="F57" i="6" s="1"/>
  <c r="D56" i="6"/>
  <c r="F56" i="6" s="1"/>
  <c r="D55" i="6"/>
  <c r="F55" i="6" s="1"/>
  <c r="D54" i="6"/>
  <c r="F54" i="6" s="1"/>
  <c r="D53" i="6"/>
  <c r="F53" i="6" s="1"/>
  <c r="F52" i="6"/>
  <c r="D52" i="6"/>
  <c r="D51" i="6"/>
  <c r="F51" i="6" s="1"/>
  <c r="D50" i="6"/>
  <c r="F50" i="6" s="1"/>
  <c r="D49" i="6"/>
  <c r="F49" i="6" s="1"/>
  <c r="D48" i="6"/>
  <c r="F47" i="6"/>
  <c r="C44" i="6"/>
  <c r="D24" i="6"/>
  <c r="I58" i="5"/>
  <c r="I57" i="5"/>
  <c r="I56" i="5"/>
  <c r="I55" i="5"/>
  <c r="I54" i="5"/>
  <c r="I53" i="5"/>
  <c r="I52" i="5"/>
  <c r="I51" i="5"/>
  <c r="I50" i="5"/>
  <c r="I49" i="5"/>
  <c r="I48" i="5"/>
  <c r="I47" i="5"/>
  <c r="G58" i="5"/>
  <c r="G57" i="5"/>
  <c r="G56" i="5"/>
  <c r="G55" i="5"/>
  <c r="G54" i="5"/>
  <c r="G53" i="5"/>
  <c r="G52" i="5"/>
  <c r="G51" i="5"/>
  <c r="G50" i="5"/>
  <c r="G49" i="5"/>
  <c r="G48" i="5"/>
  <c r="G47" i="5"/>
  <c r="E58" i="5"/>
  <c r="E57" i="5"/>
  <c r="E56" i="5"/>
  <c r="E55" i="5"/>
  <c r="E54" i="5"/>
  <c r="E53" i="5"/>
  <c r="E52" i="5"/>
  <c r="E51" i="5"/>
  <c r="E50" i="5"/>
  <c r="E49" i="5"/>
  <c r="E48" i="5"/>
  <c r="D47" i="5"/>
  <c r="E47" i="5"/>
  <c r="C58" i="5"/>
  <c r="C57" i="5"/>
  <c r="C56" i="5"/>
  <c r="C55" i="5"/>
  <c r="C54" i="5"/>
  <c r="C53" i="5"/>
  <c r="C52" i="5"/>
  <c r="C51" i="5"/>
  <c r="C50" i="5"/>
  <c r="C49" i="5"/>
  <c r="C48" i="5"/>
  <c r="C47" i="5"/>
  <c r="H52" i="6" l="1"/>
  <c r="J52" i="6"/>
  <c r="J49" i="6"/>
  <c r="H49" i="6"/>
  <c r="H53" i="6"/>
  <c r="J53" i="6"/>
  <c r="K53" i="6" s="1"/>
  <c r="J57" i="6"/>
  <c r="H57" i="6"/>
  <c r="H47" i="6"/>
  <c r="J47" i="6"/>
  <c r="J51" i="6"/>
  <c r="H51" i="6"/>
  <c r="J55" i="6"/>
  <c r="H55" i="6"/>
  <c r="F48" i="6"/>
  <c r="F59" i="6" s="1"/>
  <c r="F61" i="6" s="1"/>
  <c r="D59" i="6"/>
  <c r="J50" i="6"/>
  <c r="H50" i="6"/>
  <c r="H54" i="6"/>
  <c r="J54" i="6"/>
  <c r="J56" i="6"/>
  <c r="H56" i="6"/>
  <c r="H58" i="6"/>
  <c r="J58" i="6"/>
  <c r="I88" i="6"/>
  <c r="C59" i="6"/>
  <c r="E59" i="6"/>
  <c r="G89" i="6"/>
  <c r="I89" i="6" s="1"/>
  <c r="D22" i="6"/>
  <c r="F25" i="6" s="1"/>
  <c r="D26" i="5"/>
  <c r="D24" i="5"/>
  <c r="D23" i="5"/>
  <c r="D23" i="4"/>
  <c r="H92" i="5"/>
  <c r="E92" i="5"/>
  <c r="D92" i="5"/>
  <c r="C92" i="5"/>
  <c r="G91" i="5"/>
  <c r="I91" i="5" s="1"/>
  <c r="F91" i="5"/>
  <c r="F90" i="5"/>
  <c r="G90" i="5" s="1"/>
  <c r="I90" i="5" s="1"/>
  <c r="F89" i="5"/>
  <c r="F92" i="5" s="1"/>
  <c r="F88" i="5"/>
  <c r="G88" i="5" s="1"/>
  <c r="D79" i="5"/>
  <c r="D58" i="5"/>
  <c r="F58" i="5" s="1"/>
  <c r="D57" i="5"/>
  <c r="F57" i="5" s="1"/>
  <c r="D56" i="5"/>
  <c r="F56" i="5" s="1"/>
  <c r="D55" i="5"/>
  <c r="F55" i="5" s="1"/>
  <c r="D54" i="5"/>
  <c r="F54" i="5" s="1"/>
  <c r="D53" i="5"/>
  <c r="F53" i="5" s="1"/>
  <c r="D52" i="5"/>
  <c r="C59" i="5"/>
  <c r="D51" i="5"/>
  <c r="E59" i="5"/>
  <c r="D49" i="5"/>
  <c r="F49" i="5" s="1"/>
  <c r="D48" i="5"/>
  <c r="F47" i="5"/>
  <c r="C44" i="5"/>
  <c r="K52" i="6" l="1"/>
  <c r="K54" i="6"/>
  <c r="K57" i="6"/>
  <c r="K56" i="6"/>
  <c r="K55" i="6"/>
  <c r="K58" i="6"/>
  <c r="F26" i="6"/>
  <c r="F24" i="6"/>
  <c r="K51" i="6"/>
  <c r="G92" i="6"/>
  <c r="K50" i="6"/>
  <c r="K47" i="6"/>
  <c r="K49" i="6"/>
  <c r="J48" i="6"/>
  <c r="J59" i="6" s="1"/>
  <c r="H48" i="6"/>
  <c r="H59" i="6" s="1"/>
  <c r="F23" i="6"/>
  <c r="J47" i="5"/>
  <c r="H47" i="5"/>
  <c r="H53" i="5"/>
  <c r="J53" i="5"/>
  <c r="J54" i="5"/>
  <c r="H54" i="5"/>
  <c r="J56" i="5"/>
  <c r="H56" i="5"/>
  <c r="F52" i="5"/>
  <c r="D22" i="5"/>
  <c r="J49" i="5"/>
  <c r="H49" i="5"/>
  <c r="J57" i="5"/>
  <c r="H57" i="5"/>
  <c r="H55" i="5"/>
  <c r="J55" i="5"/>
  <c r="F48" i="5"/>
  <c r="H58" i="5"/>
  <c r="J58" i="5"/>
  <c r="I88" i="5"/>
  <c r="D50" i="5"/>
  <c r="F50" i="5" s="1"/>
  <c r="G89" i="5"/>
  <c r="I89" i="5" s="1"/>
  <c r="F51" i="5"/>
  <c r="K48" i="6" l="1"/>
  <c r="K59" i="6" s="1"/>
  <c r="D80" i="6" s="1"/>
  <c r="D81" i="6" s="1"/>
  <c r="D82" i="6" s="1"/>
  <c r="E82" i="6" s="1"/>
  <c r="K58" i="5"/>
  <c r="F23" i="5"/>
  <c r="F25" i="5"/>
  <c r="K56" i="5"/>
  <c r="K57" i="5"/>
  <c r="K54" i="5"/>
  <c r="J51" i="5"/>
  <c r="H51" i="5"/>
  <c r="D59" i="5"/>
  <c r="K49" i="5"/>
  <c r="K53" i="5"/>
  <c r="J48" i="5"/>
  <c r="H48" i="5"/>
  <c r="F26" i="5"/>
  <c r="H50" i="5"/>
  <c r="J50" i="5"/>
  <c r="K50" i="5" s="1"/>
  <c r="K55" i="5"/>
  <c r="H52" i="5"/>
  <c r="J52" i="5"/>
  <c r="K47" i="5"/>
  <c r="F24" i="5"/>
  <c r="G92" i="5"/>
  <c r="F59" i="5"/>
  <c r="F60" i="5" s="1"/>
  <c r="F61" i="5" s="1"/>
  <c r="K48" i="5" l="1"/>
  <c r="K52" i="5"/>
  <c r="H59" i="5"/>
  <c r="K51" i="5"/>
  <c r="J59" i="5"/>
  <c r="K59" i="5" l="1"/>
  <c r="D80" i="5" s="1"/>
  <c r="D81" i="5" s="1"/>
  <c r="D82" i="5" s="1"/>
  <c r="E82" i="5" s="1"/>
  <c r="E58" i="4" l="1"/>
  <c r="E57" i="4"/>
  <c r="E56" i="4"/>
  <c r="E55" i="4"/>
  <c r="E54" i="4"/>
  <c r="E53" i="4"/>
  <c r="E52" i="4"/>
  <c r="E51" i="4"/>
  <c r="E50" i="4"/>
  <c r="E49" i="4"/>
  <c r="E48" i="4"/>
  <c r="E47" i="4"/>
  <c r="I58" i="4" l="1"/>
  <c r="I57" i="4"/>
  <c r="I56" i="4"/>
  <c r="I55" i="4"/>
  <c r="I54" i="4"/>
  <c r="I53" i="4"/>
  <c r="I52" i="4"/>
  <c r="I51" i="4"/>
  <c r="I50" i="4"/>
  <c r="I49" i="4"/>
  <c r="I48" i="4"/>
  <c r="I47" i="4"/>
  <c r="G58" i="4"/>
  <c r="G57" i="4"/>
  <c r="G56" i="4"/>
  <c r="G55" i="4"/>
  <c r="G54" i="4"/>
  <c r="G53" i="4"/>
  <c r="G52" i="4"/>
  <c r="G51" i="4"/>
  <c r="G50" i="4"/>
  <c r="G49" i="4"/>
  <c r="G48" i="4"/>
  <c r="G47" i="4"/>
  <c r="D49" i="4"/>
  <c r="D50" i="4"/>
  <c r="D51" i="4"/>
  <c r="D52" i="4"/>
  <c r="D53" i="4"/>
  <c r="D54" i="4"/>
  <c r="D55" i="4"/>
  <c r="D56" i="4"/>
  <c r="D57" i="4"/>
  <c r="D58" i="4"/>
  <c r="D48" i="4"/>
  <c r="D47" i="4"/>
  <c r="C58" i="4"/>
  <c r="C57" i="4"/>
  <c r="C56" i="4"/>
  <c r="C55" i="4"/>
  <c r="C54" i="4"/>
  <c r="C53" i="4"/>
  <c r="C52" i="4"/>
  <c r="C51" i="4"/>
  <c r="C50" i="4"/>
  <c r="C49" i="4"/>
  <c r="C48" i="4"/>
  <c r="C47" i="4"/>
  <c r="C44" i="4" l="1"/>
  <c r="D26" i="4" l="1"/>
  <c r="G91" i="4" l="1"/>
  <c r="F88" i="4"/>
  <c r="G88" i="4" s="1"/>
  <c r="F89" i="4"/>
  <c r="G89" i="4" s="1"/>
  <c r="F90" i="4"/>
  <c r="G90" i="4" s="1"/>
  <c r="F91" i="4"/>
  <c r="I88" i="4" l="1"/>
  <c r="G92" i="4"/>
  <c r="F47" i="4"/>
  <c r="H47" i="4" s="1"/>
  <c r="J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D24" i="4" l="1"/>
  <c r="D22" i="4" s="1"/>
  <c r="F24" i="4" s="1"/>
  <c r="F60" i="4"/>
  <c r="F61" i="4" s="1"/>
  <c r="F23" i="4"/>
  <c r="J59" i="4"/>
  <c r="H59" i="4"/>
  <c r="K59" i="4"/>
  <c r="C92" i="4"/>
  <c r="F26" i="4" l="1"/>
  <c r="F25" i="4"/>
  <c r="D80" i="4"/>
  <c r="D81" i="4" s="1"/>
  <c r="H92" i="4"/>
  <c r="E92" i="4" l="1"/>
  <c r="D82" i="4" l="1"/>
  <c r="E82" i="4" s="1"/>
</calcChain>
</file>

<file path=xl/comments1.xml><?xml version="1.0" encoding="utf-8"?>
<comments xmlns="http://schemas.openxmlformats.org/spreadsheetml/2006/main">
  <authors>
    <author>Dawn Punkari</author>
  </authors>
  <commentList>
    <comment ref="D23" authorId="0">
      <text>
        <r>
          <rPr>
            <b/>
            <sz val="9"/>
            <color indexed="81"/>
            <rFont val="Tahoma"/>
            <family val="2"/>
          </rPr>
          <t>Dawn Punkari:</t>
        </r>
        <r>
          <rPr>
            <sz val="9"/>
            <color indexed="81"/>
            <rFont val="Tahoma"/>
            <family val="2"/>
          </rPr>
          <t xml:space="preserve">
per RRR 2.1.5 'Demand and Revenue' - LP (non-PS)</t>
        </r>
      </text>
    </comment>
  </commentList>
</comments>
</file>

<file path=xl/comments2.xml><?xml version="1.0" encoding="utf-8"?>
<comments xmlns="http://schemas.openxmlformats.org/spreadsheetml/2006/main">
  <authors>
    <author>Dawn Punkari</author>
  </authors>
  <commentList>
    <comment ref="D23" authorId="0">
      <text>
        <r>
          <rPr>
            <b/>
            <sz val="9"/>
            <color indexed="81"/>
            <rFont val="Tahoma"/>
            <family val="2"/>
          </rPr>
          <t>Dawn Punkari:</t>
        </r>
        <r>
          <rPr>
            <sz val="9"/>
            <color indexed="81"/>
            <rFont val="Tahoma"/>
            <family val="2"/>
          </rPr>
          <t xml:space="preserve">
per RRR 2.1.5 'Demand and Revenue' - LP (non-PS)</t>
        </r>
      </text>
    </comment>
    <comment ref="E56" authorId="0">
      <text>
        <r>
          <rPr>
            <b/>
            <sz val="9"/>
            <color indexed="81"/>
            <rFont val="Tahoma"/>
            <family val="2"/>
          </rPr>
          <t>Dawn Punkari:</t>
        </r>
        <r>
          <rPr>
            <sz val="9"/>
            <color indexed="81"/>
            <rFont val="Tahoma"/>
            <family val="2"/>
          </rPr>
          <t xml:space="preserve">
retailers didn't get billed Nov so ACCR Oct based on TOU Savage Data usage at Oct rates</t>
        </r>
      </text>
    </comment>
    <comment ref="C57" authorId="0">
      <text>
        <r>
          <rPr>
            <b/>
            <sz val="9"/>
            <color indexed="81"/>
            <rFont val="Tahoma"/>
            <family val="2"/>
          </rPr>
          <t>Dawn Punkari:</t>
        </r>
        <r>
          <rPr>
            <sz val="9"/>
            <color indexed="81"/>
            <rFont val="Tahoma"/>
            <family val="2"/>
          </rPr>
          <t xml:space="preserve">
missing bulk of retailer billing - catch up next mth
</t>
        </r>
      </text>
    </comment>
    <comment ref="E57" authorId="0">
      <text>
        <r>
          <rPr>
            <b/>
            <sz val="9"/>
            <color indexed="81"/>
            <rFont val="Tahoma"/>
            <family val="2"/>
          </rPr>
          <t>Dawn Punkari:</t>
        </r>
        <r>
          <rPr>
            <sz val="9"/>
            <color indexed="81"/>
            <rFont val="Tahoma"/>
            <family val="2"/>
          </rPr>
          <t xml:space="preserve">
retailers didn't get billed in Nov so Nov accr incl both Oct and Nov retailer usage</t>
        </r>
      </text>
    </comment>
    <comment ref="C58" authorId="0">
      <text>
        <r>
          <rPr>
            <b/>
            <sz val="9"/>
            <color indexed="81"/>
            <rFont val="Tahoma"/>
            <family val="2"/>
          </rPr>
          <t>Dawn Punkari:</t>
        </r>
        <r>
          <rPr>
            <sz val="9"/>
            <color indexed="81"/>
            <rFont val="Tahoma"/>
            <family val="2"/>
          </rPr>
          <t xml:space="preserve">
incl catch up of missed retailer billing for Nov</t>
        </r>
      </text>
    </comment>
  </commentList>
</comments>
</file>

<file path=xl/comments3.xml><?xml version="1.0" encoding="utf-8"?>
<comments xmlns="http://schemas.openxmlformats.org/spreadsheetml/2006/main">
  <authors>
    <author>Dawn Punkari</author>
  </authors>
  <commentList>
    <comment ref="D23" authorId="0">
      <text>
        <r>
          <rPr>
            <b/>
            <sz val="9"/>
            <color indexed="81"/>
            <rFont val="Tahoma"/>
            <family val="2"/>
          </rPr>
          <t>Dawn Punkari:</t>
        </r>
        <r>
          <rPr>
            <sz val="9"/>
            <color indexed="81"/>
            <rFont val="Tahoma"/>
            <family val="2"/>
          </rPr>
          <t xml:space="preserve">
per RRR 2.1.5 'Demand and Revenue' - PS Only</t>
        </r>
      </text>
    </comment>
  </commentList>
</comments>
</file>

<file path=xl/sharedStrings.xml><?xml version="1.0" encoding="utf-8"?>
<sst xmlns="http://schemas.openxmlformats.org/spreadsheetml/2006/main" count="492" uniqueCount="178">
  <si>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</si>
  <si>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</si>
  <si>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</si>
  <si>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</si>
  <si>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</si>
  <si>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</si>
  <si>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</si>
  <si>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</si>
  <si>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</si>
  <si>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</si>
  <si>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</si>
  <si>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</si>
  <si>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</si>
  <si>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</si>
  <si>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</si>
  <si>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</si>
  <si>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</si>
  <si>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</si>
  <si>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</si>
  <si>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</si>
  <si>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</si>
  <si>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</si>
  <si>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</si>
  <si>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</si>
  <si>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</si>
  <si>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</si>
  <si>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</si>
  <si>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</si>
  <si>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</si>
  <si>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</si>
  <si>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</si>
  <si>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</si>
  <si>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</si>
  <si>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</si>
  <si>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</si>
  <si>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</si>
  <si>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</si>
  <si>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</si>
  <si>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</si>
  <si>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</si>
  <si>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</si>
  <si>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</si>
  <si>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</si>
  <si>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</si>
  <si>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</si>
  <si>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</si>
  <si>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</si>
  <si>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</si>
  <si>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</si>
  <si>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</si>
  <si>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</si>
  <si>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</si>
  <si>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</si>
  <si>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</si>
  <si>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</si>
  <si>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</si>
  <si>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</si>
  <si>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</si>
  <si>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</si>
  <si>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</si>
  <si>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</si>
  <si>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</si>
  <si>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</si>
  <si>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</si>
  <si>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</si>
  <si>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</si>
  <si>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</si>
  <si>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</si>
  <si>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</si>
  <si>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</si>
  <si>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</si>
  <si>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</si>
  <si>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</si>
  <si>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</si>
  <si>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</si>
  <si>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</si>
  <si>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</si>
  <si>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</si>
  <si>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</si>
  <si>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</si>
  <si>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</si>
  <si>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</si>
  <si>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</si>
  <si>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</si>
  <si>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</si>
  <si>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</si>
  <si>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</si>
  <si>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</si>
  <si>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</si>
  <si>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</si>
  <si>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</si>
  <si>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</si>
  <si>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</si>
  <si>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</si>
  <si>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</si>
  <si>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</si>
  <si>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</si>
  <si>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</si>
  <si>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</si>
  <si>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</si>
  <si>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</si>
  <si>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</si>
  <si>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</si>
  <si>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</si>
  <si>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</si>
  <si>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</si>
  <si>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</si>
  <si>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</si>
  <si>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</si>
  <si>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</si>
  <si>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</si>
  <si>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</si>
  <si>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</si>
  <si>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</si>
  <si>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</si>
  <si>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</si>
  <si>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</si>
  <si>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</si>
  <si>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</si>
  <si>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</si>
  <si>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</si>
  <si>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</si>
  <si>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</si>
  <si>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</si>
  <si>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</si>
  <si>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</si>
  <si>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</si>
  <si>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</si>
  <si>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</si>
  <si>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</si>
  <si>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</si>
  <si>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</si>
  <si>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</si>
  <si>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</si>
  <si>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</si>
  <si>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</si>
  <si>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</si>
  <si>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</si>
  <si>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</si>
  <si>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</si>
  <si>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</si>
  <si>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</si>
  <si>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</si>
  <si>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</si>
  <si>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</si>
  <si>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</si>
  <si>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</si>
  <si>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</si>
  <si>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</si>
  <si>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</si>
  <si>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</si>
  <si>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</si>
  <si>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</si>
  <si>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</si>
  <si>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</si>
  <si>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</si>
  <si>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</si>
  <si>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</si>
  <si>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</si>
  <si>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</si>
  <si>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</si>
  <si>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</si>
  <si>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2016 LP</t>
  </si>
  <si>
    <t>1st Estimate</t>
  </si>
  <si>
    <t>Y</t>
  </si>
  <si>
    <t>2015 LP</t>
  </si>
  <si>
    <t>2016 PS</t>
  </si>
  <si>
    <t>Approved Disposition of 1589 GA Bal cleared from a/c</t>
  </si>
  <si>
    <t>2015 1589 GA Balance $408,741.88 Approved for Disposition effective Jan 1/17 Rate Order</t>
  </si>
  <si>
    <t>2014 1589 GA Balance Approved for Disposition effective May 2016 Rate Order</t>
  </si>
  <si>
    <t>No Approved Disposition as balances under threshhold</t>
  </si>
  <si>
    <t>LP 2015</t>
  </si>
  <si>
    <t>LP 2016</t>
  </si>
  <si>
    <t>PS 2016</t>
  </si>
  <si>
    <t>N</t>
  </si>
  <si>
    <t>Lakeland 2015 - information only</t>
  </si>
  <si>
    <t>Lakeland 2016 - information only</t>
  </si>
  <si>
    <t>former Parry Sound 2016 - request for disposition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</si>
</sst>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43" fontId="2" fillId="0" borderId="0" xfId="0" applyNumberFormat="1" applyFont="1"/>
    <xf numFmtId="164" fontId="2" fillId="0" borderId="0" xfId="4" applyNumberFormat="1" applyFont="1"/>
    <xf numFmtId="165" fontId="2" fillId="0" borderId="8" xfId="1"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Lakeland</a:t>
          </a:r>
          <a:r>
            <a:rPr lang="en-CA" sz="1100" baseline="0">
              <a:latin typeface="Arial" panose="020B0604020202020204" pitchFamily="34" charset="0"/>
              <a:cs typeface="Arial" panose="020B0604020202020204" pitchFamily="34" charset="0"/>
            </a:rPr>
            <a:t> Power bills GA to non-RPP customers using the '1st Estimate' GA rate.  We bill on a calendar month so the usage for the full calendar month is billed in the following month.   The 1st Estimate GA rate is consistently applied for all billing and unbilled revenue transactions for non-RPP Class B customers in all customer classes.</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5272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Lakeland</a:t>
          </a:r>
          <a:r>
            <a:rPr lang="en-CA" sz="1100" baseline="0">
              <a:latin typeface="Arial" panose="020B0604020202020204" pitchFamily="34" charset="0"/>
              <a:cs typeface="Arial" panose="020B0604020202020204" pitchFamily="34" charset="0"/>
            </a:rPr>
            <a:t> Power bills GA to non-RPP customers using the '1st Estimate' GA rate.  We bill on a calendar month so the usage for the full calendar month is billed in the following month.   The 1st Estimate GA rate is consistently applied for all billing and unbilled revenue transactions for non-RPP Class B customers in all customer classes.</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61222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1517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5272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Lakeland</a:t>
          </a:r>
          <a:r>
            <a:rPr lang="en-CA" sz="1100" baseline="0">
              <a:latin typeface="Arial" panose="020B0604020202020204" pitchFamily="34" charset="0"/>
              <a:cs typeface="Arial" panose="020B0604020202020204" pitchFamily="34" charset="0"/>
            </a:rPr>
            <a:t> Power bills GA to non-RPP customers using the '1st Estimate' GA rate.  We bill on a calendar month so the usage for the full calendar month is billed in the following month.   The 1st Estimate GA rate is consistently applied for all billing and unbilled revenue transactions for non-RPP Class B customers in all customer classes.</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61222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1517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view="pageBreakPreview" topLeftCell="A7" zoomScale="70" zoomScaleNormal="100" zoomScaleSheetLayoutView="70" workbookViewId="0">
      <selection activeCell="E15" sqref="E15"/>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8" t="s">
        <v>161</v>
      </c>
    </row>
    <row r="11" spans="1:3" ht="15.6" x14ac:dyDescent="0.25">
      <c r="A11" s="43" t="s">
        <v>122</v>
      </c>
    </row>
    <row r="13" spans="1:3" ht="15.6" x14ac:dyDescent="0.25">
      <c r="A13" s="44" t="s">
        <v>31</v>
      </c>
    </row>
    <row r="14" spans="1:3" ht="34.5" customHeight="1" x14ac:dyDescent="0.25">
      <c r="A14" s="144" t="s">
        <v>154</v>
      </c>
      <c r="B14" s="144"/>
      <c r="C14" s="144"/>
    </row>
    <row r="16" spans="1:3" ht="15.6" x14ac:dyDescent="0.25">
      <c r="A16" s="44" t="s">
        <v>46</v>
      </c>
    </row>
    <row r="17" spans="1:26" x14ac:dyDescent="0.25">
      <c r="A17" s="42" t="s">
        <v>47</v>
      </c>
    </row>
    <row r="18" spans="1:26" ht="33" customHeight="1" x14ac:dyDescent="0.25">
      <c r="A18" s="145" t="s">
        <v>85</v>
      </c>
      <c r="B18" s="145"/>
      <c r="C18" s="145"/>
    </row>
    <row r="20" spans="1:26" x14ac:dyDescent="0.25">
      <c r="A20" s="42">
        <v>1</v>
      </c>
      <c r="B20" s="147" t="s">
        <v>140</v>
      </c>
      <c r="C20" s="147"/>
    </row>
    <row r="21" spans="1:26" x14ac:dyDescent="0.25">
      <c r="B21" s="134"/>
      <c r="C21" s="134"/>
    </row>
    <row r="23" spans="1:26" ht="31.5" customHeight="1" x14ac:dyDescent="0.25">
      <c r="A23" s="42">
        <v>2</v>
      </c>
      <c r="B23" s="144" t="s">
        <v>86</v>
      </c>
      <c r="C23" s="144"/>
    </row>
    <row r="24" spans="1:26" x14ac:dyDescent="0.25">
      <c r="B24" s="133"/>
      <c r="C24" s="133"/>
    </row>
    <row r="26" spans="1:26" x14ac:dyDescent="0.25">
      <c r="A26" s="42">
        <v>3</v>
      </c>
      <c r="B26" s="146" t="s">
        <v>109</v>
      </c>
      <c r="C26" s="146"/>
    </row>
    <row r="27" spans="1:26" ht="32.25" customHeight="1" x14ac:dyDescent="0.25">
      <c r="B27" s="144" t="s">
        <v>117</v>
      </c>
      <c r="C27" s="144"/>
    </row>
    <row r="28" spans="1:26" ht="63" customHeight="1" x14ac:dyDescent="0.25">
      <c r="B28" s="144" t="s">
        <v>129</v>
      </c>
      <c r="C28" s="144"/>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4" t="s">
        <v>118</v>
      </c>
      <c r="C29" s="144"/>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44" t="s">
        <v>155</v>
      </c>
      <c r="B33" s="144"/>
      <c r="C33" s="144"/>
    </row>
    <row r="34" spans="1:3" x14ac:dyDescent="0.25">
      <c r="B34" s="133"/>
      <c r="C34" s="133"/>
    </row>
    <row r="35" spans="1:3" x14ac:dyDescent="0.25">
      <c r="B35" s="85"/>
    </row>
    <row r="36" spans="1:3" x14ac:dyDescent="0.25">
      <c r="A36" s="42">
        <v>4</v>
      </c>
      <c r="B36" s="146" t="s">
        <v>141</v>
      </c>
      <c r="C36" s="146"/>
    </row>
    <row r="37" spans="1:3" ht="78.75" customHeight="1" x14ac:dyDescent="0.25">
      <c r="B37" s="144" t="s">
        <v>142</v>
      </c>
      <c r="C37" s="144"/>
    </row>
    <row r="38" spans="1:3" ht="65.25" customHeight="1" x14ac:dyDescent="0.25">
      <c r="B38" s="144" t="s">
        <v>124</v>
      </c>
      <c r="C38" s="144"/>
    </row>
    <row r="39" spans="1:3" ht="31.5" customHeight="1" x14ac:dyDescent="0.25">
      <c r="B39" s="144" t="s">
        <v>123</v>
      </c>
      <c r="C39" s="144"/>
    </row>
    <row r="40" spans="1:3" ht="30" customHeight="1" x14ac:dyDescent="0.25">
      <c r="B40" s="144" t="s">
        <v>125</v>
      </c>
      <c r="C40" s="144"/>
    </row>
    <row r="41" spans="1:3" x14ac:dyDescent="0.25">
      <c r="B41" s="133"/>
      <c r="C41" s="133"/>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44" t="s">
        <v>135</v>
      </c>
      <c r="C49" s="144"/>
    </row>
    <row r="51" spans="2:3" ht="30" customHeight="1" x14ac:dyDescent="0.25">
      <c r="B51" s="144" t="s">
        <v>120</v>
      </c>
      <c r="C51" s="144"/>
    </row>
    <row r="52" spans="2:3" ht="30" customHeight="1" x14ac:dyDescent="0.25">
      <c r="B52" s="144" t="s">
        <v>88</v>
      </c>
      <c r="C52" s="144"/>
    </row>
    <row r="53" spans="2:3" x14ac:dyDescent="0.25">
      <c r="B53" s="133"/>
      <c r="C53" s="133"/>
    </row>
    <row r="54" spans="2:3" x14ac:dyDescent="0.25">
      <c r="B54" s="136"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33"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33" t="s">
        <v>144</v>
      </c>
    </row>
    <row r="69" spans="1:3" ht="30" x14ac:dyDescent="0.25">
      <c r="B69" s="93"/>
      <c r="C69" s="133" t="s">
        <v>145</v>
      </c>
    </row>
    <row r="70" spans="1:3" x14ac:dyDescent="0.25">
      <c r="B70" s="93" t="s">
        <v>106</v>
      </c>
      <c r="C70" s="40" t="s">
        <v>105</v>
      </c>
    </row>
    <row r="71" spans="1:3" ht="30" x14ac:dyDescent="0.25">
      <c r="B71" s="93"/>
      <c r="C71" s="133" t="s">
        <v>107</v>
      </c>
    </row>
    <row r="72" spans="1:3" x14ac:dyDescent="0.25">
      <c r="B72" s="93" t="s">
        <v>146</v>
      </c>
      <c r="C72" s="133" t="s">
        <v>137</v>
      </c>
    </row>
    <row r="73" spans="1:3" ht="45" x14ac:dyDescent="0.25">
      <c r="B73" s="93"/>
      <c r="C73" s="133" t="s">
        <v>148</v>
      </c>
    </row>
    <row r="74" spans="1:3" x14ac:dyDescent="0.25">
      <c r="B74" s="93" t="s">
        <v>147</v>
      </c>
      <c r="C74" s="133" t="s">
        <v>149</v>
      </c>
    </row>
    <row r="75" spans="1:3" ht="30" x14ac:dyDescent="0.25">
      <c r="B75" s="93"/>
      <c r="C75" s="133" t="s">
        <v>127</v>
      </c>
    </row>
    <row r="76" spans="1:3" x14ac:dyDescent="0.25">
      <c r="B76" s="93"/>
      <c r="C76" s="133"/>
    </row>
    <row r="77" spans="1:3" x14ac:dyDescent="0.25">
      <c r="A77" s="42">
        <v>6</v>
      </c>
      <c r="B77" s="137" t="s">
        <v>151</v>
      </c>
      <c r="C77" s="133"/>
    </row>
    <row r="78" spans="1:3" ht="59.25" customHeight="1" x14ac:dyDescent="0.25">
      <c r="B78" s="145" t="s">
        <v>152</v>
      </c>
      <c r="C78" s="145"/>
    </row>
    <row r="79" spans="1:3" x14ac:dyDescent="0.25">
      <c r="B79" s="87"/>
      <c r="C79" s="133"/>
    </row>
    <row r="81" spans="1:3" ht="30.75" customHeight="1" x14ac:dyDescent="0.25">
      <c r="A81" s="42">
        <v>7</v>
      </c>
      <c r="B81" s="144" t="s">
        <v>153</v>
      </c>
      <c r="C81" s="144"/>
    </row>
    <row r="82" spans="1:3" x14ac:dyDescent="0.25">
      <c r="B82" s="133"/>
      <c r="C82" s="133"/>
    </row>
    <row r="83" spans="1:3" ht="15.75" customHeight="1" x14ac:dyDescent="0.25">
      <c r="B83" s="147" t="s">
        <v>108</v>
      </c>
      <c r="C83" s="147"/>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71" fitToHeight="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2:X103"/>
  <sheetViews>
    <sheetView tabSelected="1" zoomScale="60" zoomScaleNormal="60" zoomScaleSheetLayoutView="50" workbookViewId="0">
      <selection activeCell="D15" sqref="D15"/>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9.4414062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3" t="s">
        <v>176</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6" t="s">
        <v>25</v>
      </c>
      <c r="C21" s="156"/>
      <c r="D21" s="24" t="s">
        <v>162</v>
      </c>
      <c r="E21" s="157"/>
      <c r="F21" s="158"/>
      <c r="G21" s="79"/>
      <c r="H21" s="79"/>
      <c r="I21" s="79"/>
      <c r="J21" s="79"/>
      <c r="K21" s="79"/>
      <c r="L21" s="79"/>
      <c r="M21" s="79"/>
      <c r="N21" s="79"/>
      <c r="O21" s="79"/>
      <c r="P21" s="79"/>
      <c r="Q21" s="79"/>
    </row>
    <row r="22" spans="1:24" ht="14.4" thickBot="1" x14ac:dyDescent="0.3">
      <c r="A22" s="4"/>
      <c r="B22" s="5" t="s">
        <v>3</v>
      </c>
      <c r="C22" s="5" t="s">
        <v>2</v>
      </c>
      <c r="D22" s="117">
        <f>D23+D24</f>
        <v>203383799.30000001</v>
      </c>
      <c r="E22" s="6" t="s">
        <v>0</v>
      </c>
      <c r="F22" s="7">
        <v>1</v>
      </c>
      <c r="G22" s="79"/>
      <c r="H22" s="79"/>
      <c r="I22" s="79"/>
      <c r="J22" s="79"/>
      <c r="K22" s="79"/>
      <c r="L22" s="79"/>
      <c r="M22" s="79"/>
      <c r="N22" s="79"/>
      <c r="O22" s="79"/>
      <c r="P22" s="79"/>
      <c r="Q22" s="79"/>
    </row>
    <row r="23" spans="1:24" x14ac:dyDescent="0.25">
      <c r="B23" s="5" t="s">
        <v>7</v>
      </c>
      <c r="C23" s="5" t="s">
        <v>1</v>
      </c>
      <c r="D23" s="118">
        <f>72405098.2+33796197+1104516.5+39385.8+625459.5+109355.9</f>
        <v>108080012.90000001</v>
      </c>
      <c r="E23" s="6" t="s">
        <v>0</v>
      </c>
      <c r="F23" s="8">
        <f>IFERROR(D23/$D$22,0)</f>
        <v>0.53140915486870832</v>
      </c>
    </row>
    <row r="24" spans="1:24" ht="14.4" thickBot="1" x14ac:dyDescent="0.3">
      <c r="B24" s="5" t="s">
        <v>8</v>
      </c>
      <c r="C24" s="5" t="s">
        <v>6</v>
      </c>
      <c r="D24" s="117">
        <f>D25+D26</f>
        <v>95303786.400000006</v>
      </c>
      <c r="E24" s="6" t="s">
        <v>0</v>
      </c>
      <c r="F24" s="8">
        <f>IFERROR(D24/$D$22,0)</f>
        <v>0.46859084513129162</v>
      </c>
    </row>
    <row r="25" spans="1:24" x14ac:dyDescent="0.25">
      <c r="B25" s="5" t="s">
        <v>9</v>
      </c>
      <c r="C25" s="5" t="s">
        <v>4</v>
      </c>
      <c r="D25" s="118">
        <v>0</v>
      </c>
      <c r="E25" s="6" t="s">
        <v>0</v>
      </c>
      <c r="F25" s="8">
        <f>IFERROR(D25/$D$22,0)</f>
        <v>0</v>
      </c>
    </row>
    <row r="26" spans="1:24" x14ac:dyDescent="0.25">
      <c r="B26" s="5" t="s">
        <v>61</v>
      </c>
      <c r="C26" s="5" t="s">
        <v>5</v>
      </c>
      <c r="D26" s="119">
        <f>71916518.4+23387268</f>
        <v>95303786.400000006</v>
      </c>
      <c r="E26" s="6" t="s">
        <v>0</v>
      </c>
      <c r="F26" s="8">
        <f>IFERROR(D26/$D$22,0)</f>
        <v>0.46859084513129162</v>
      </c>
      <c r="G26" s="29"/>
      <c r="H26" s="29"/>
    </row>
    <row r="27" spans="1:24" ht="34.5" customHeight="1" x14ac:dyDescent="0.25">
      <c r="B27" s="159" t="s">
        <v>77</v>
      </c>
      <c r="C27" s="159"/>
      <c r="D27" s="159"/>
      <c r="E27" s="159"/>
      <c r="F27" s="159"/>
      <c r="G27" s="160"/>
      <c r="H27" s="160"/>
    </row>
    <row r="28" spans="1:24" x14ac:dyDescent="0.25">
      <c r="D28" s="120"/>
      <c r="E28" s="35"/>
      <c r="F28" s="35"/>
      <c r="G28" s="35"/>
    </row>
    <row r="29" spans="1:24" x14ac:dyDescent="0.25">
      <c r="A29" s="1" t="s">
        <v>35</v>
      </c>
      <c r="B29" s="3" t="s">
        <v>41</v>
      </c>
    </row>
    <row r="30" spans="1:24" x14ac:dyDescent="0.25">
      <c r="B30" s="3"/>
    </row>
    <row r="31" spans="1:24" x14ac:dyDescent="0.25">
      <c r="B31" s="2" t="s">
        <v>22</v>
      </c>
      <c r="C31" s="52" t="s">
        <v>163</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t="str">
        <f>+D21</f>
        <v>2016 LP</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2">
        <v>2016</v>
      </c>
      <c r="P45" s="152"/>
      <c r="Q45" s="152"/>
      <c r="R45" s="152">
        <v>2015</v>
      </c>
      <c r="S45" s="152"/>
      <c r="T45" s="152"/>
      <c r="U45" s="152">
        <v>2014</v>
      </c>
      <c r="V45" s="152"/>
      <c r="W45" s="152"/>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f>3474081.68+2427484.72+2131124.5</f>
        <v>8032690.9000000004</v>
      </c>
      <c r="D47" s="94">
        <f>3474082+2427485+2131125</f>
        <v>8032692</v>
      </c>
      <c r="E47" s="60">
        <f>6485420+2278884</f>
        <v>8764304</v>
      </c>
      <c r="F47" s="51">
        <f>C47-D47+E47</f>
        <v>8764302.9000000004</v>
      </c>
      <c r="G47" s="111">
        <f>+O47</f>
        <v>8.4229999999999999E-2</v>
      </c>
      <c r="H47" s="15">
        <f>F47*G47</f>
        <v>738217.23326700006</v>
      </c>
      <c r="I47" s="111">
        <f>+Q47</f>
        <v>9.1789999999999997E-2</v>
      </c>
      <c r="J47" s="17">
        <f>F47*I47</f>
        <v>804475.36319099995</v>
      </c>
      <c r="K47" s="16">
        <f>J47-H47</f>
        <v>66258.129923999892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f>3568216.35+2917203.73+2278883.58</f>
        <v>8764303.6600000001</v>
      </c>
      <c r="D48" s="94">
        <f>+E47</f>
        <v>8764304</v>
      </c>
      <c r="E48" s="60">
        <f>6322768+2152607</f>
        <v>8475375</v>
      </c>
      <c r="F48" s="51">
        <f t="shared" ref="F48:F58" si="0">C48-D48+E48</f>
        <v>8475374.6600000001</v>
      </c>
      <c r="G48" s="111">
        <f t="shared" ref="G48:G58" si="1">+O48</f>
        <v>0.10384</v>
      </c>
      <c r="H48" s="15">
        <f t="shared" ref="H48:H58" si="2">F48*G48</f>
        <v>880082.90469440003</v>
      </c>
      <c r="I48" s="111">
        <f t="shared" ref="I48:I58" si="3">+Q48</f>
        <v>9.851E-2</v>
      </c>
      <c r="J48" s="17">
        <f t="shared" ref="J48:J58" si="4">F48*I48</f>
        <v>834909.15775660006</v>
      </c>
      <c r="K48" s="16">
        <f t="shared" ref="K48:K58" si="5">J48-H48</f>
        <v>-45173.746937799966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f>3272887.57+3049880.62+2152606.84</f>
        <v>8475375.0299999993</v>
      </c>
      <c r="D49" s="94">
        <f t="shared" ref="D49:D58" si="6">+E48</f>
        <v>8475375</v>
      </c>
      <c r="E49" s="60">
        <f>6514076+2120507</f>
        <v>8634583</v>
      </c>
      <c r="F49" s="51">
        <f t="shared" si="0"/>
        <v>8634583.0299999993</v>
      </c>
      <c r="G49" s="111">
        <f t="shared" si="1"/>
        <v>9.0219999999999995E-2</v>
      </c>
      <c r="H49" s="15">
        <f t="shared" si="2"/>
        <v>779012.08096659987</v>
      </c>
      <c r="I49" s="111">
        <f t="shared" si="3"/>
        <v>0.1061</v>
      </c>
      <c r="J49" s="17">
        <f t="shared" si="4"/>
        <v>916129.25948299991</v>
      </c>
      <c r="K49" s="16">
        <f t="shared" si="5"/>
        <v>137117.17851640005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f>3205755.87+3308319.66+2121512.12</f>
        <v>8635587.6500000004</v>
      </c>
      <c r="D50" s="94">
        <f t="shared" si="6"/>
        <v>8634583</v>
      </c>
      <c r="E50" s="60">
        <f>6250107+1868355</f>
        <v>8118462</v>
      </c>
      <c r="F50" s="51">
        <f t="shared" si="0"/>
        <v>8119466.6500000004</v>
      </c>
      <c r="G50" s="111">
        <f t="shared" si="1"/>
        <v>0.12114999999999999</v>
      </c>
      <c r="H50" s="15">
        <f t="shared" si="2"/>
        <v>983673.3846475</v>
      </c>
      <c r="I50" s="111">
        <f t="shared" si="3"/>
        <v>0.11132</v>
      </c>
      <c r="J50" s="17">
        <f t="shared" si="4"/>
        <v>903859.02747800003</v>
      </c>
      <c r="K50" s="16">
        <f t="shared" si="5"/>
        <v>-79814.35716949997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f>3030988.02+3219119.41+1868355.27</f>
        <v>8118462.6999999993</v>
      </c>
      <c r="D51" s="94">
        <f t="shared" si="6"/>
        <v>8118462</v>
      </c>
      <c r="E51" s="60">
        <f>6158865+1907400</f>
        <v>8066265</v>
      </c>
      <c r="F51" s="51">
        <f t="shared" si="0"/>
        <v>8066265.6999999993</v>
      </c>
      <c r="G51" s="111">
        <f t="shared" si="1"/>
        <v>0.10405</v>
      </c>
      <c r="H51" s="15">
        <f t="shared" si="2"/>
        <v>839294.94608499995</v>
      </c>
      <c r="I51" s="111">
        <f t="shared" si="3"/>
        <v>0.10749</v>
      </c>
      <c r="J51" s="17">
        <f t="shared" si="4"/>
        <v>867042.90009299992</v>
      </c>
      <c r="K51" s="16">
        <f t="shared" si="5"/>
        <v>27747.954007999972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f>3037557.89+3121306.63+1907399.54</f>
        <v>8066264.0599999996</v>
      </c>
      <c r="D52" s="94">
        <f t="shared" si="6"/>
        <v>8066265</v>
      </c>
      <c r="E52" s="60">
        <f>6708850+1987961</f>
        <v>8696811</v>
      </c>
      <c r="F52" s="51">
        <f t="shared" si="0"/>
        <v>8696810.0599999987</v>
      </c>
      <c r="G52" s="111">
        <f t="shared" si="1"/>
        <v>0.11650000000000001</v>
      </c>
      <c r="H52" s="15">
        <f t="shared" si="2"/>
        <v>1013178.3719899999</v>
      </c>
      <c r="I52" s="111">
        <f t="shared" si="3"/>
        <v>9.5449999999999993E-2</v>
      </c>
      <c r="J52" s="17">
        <f t="shared" si="4"/>
        <v>830110.52022699977</v>
      </c>
      <c r="K52" s="16">
        <f t="shared" si="5"/>
        <v>-183067.85176300013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f>3058415.87+3650434.08+1987960.92</f>
        <v>8696810.870000001</v>
      </c>
      <c r="D53" s="94">
        <f t="shared" si="6"/>
        <v>8696811</v>
      </c>
      <c r="E53" s="60">
        <f>6778813+2242391</f>
        <v>9021204</v>
      </c>
      <c r="F53" s="51">
        <f t="shared" si="0"/>
        <v>9021203.870000001</v>
      </c>
      <c r="G53" s="111">
        <f t="shared" si="1"/>
        <v>7.6670000000000002E-2</v>
      </c>
      <c r="H53" s="15">
        <f t="shared" si="2"/>
        <v>691655.70071290014</v>
      </c>
      <c r="I53" s="111">
        <f t="shared" si="3"/>
        <v>8.3059999999999995E-2</v>
      </c>
      <c r="J53" s="17">
        <f t="shared" si="4"/>
        <v>749301.19344220008</v>
      </c>
      <c r="K53" s="16">
        <f t="shared" si="5"/>
        <v>57645.492729299935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f>3271466.73+3507346.69+2244068</f>
        <v>9022881.4199999999</v>
      </c>
      <c r="D54" s="94">
        <f t="shared" si="6"/>
        <v>9021204</v>
      </c>
      <c r="E54" s="60">
        <f>6851578+2406503</f>
        <v>9258081</v>
      </c>
      <c r="F54" s="51">
        <f t="shared" si="0"/>
        <v>9259758.4199999999</v>
      </c>
      <c r="G54" s="111">
        <f t="shared" si="1"/>
        <v>8.5690000000000002E-2</v>
      </c>
      <c r="H54" s="15">
        <f t="shared" si="2"/>
        <v>793468.69900979998</v>
      </c>
      <c r="I54" s="111">
        <f t="shared" si="3"/>
        <v>7.1029999999999996E-2</v>
      </c>
      <c r="J54" s="17">
        <f t="shared" si="4"/>
        <v>657720.64057259995</v>
      </c>
      <c r="K54" s="16">
        <f t="shared" si="5"/>
        <v>-135748.05843720003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f>3309409.14+3542168.9+2406502.74</f>
        <v>9258080.7800000012</v>
      </c>
      <c r="D55" s="94">
        <f t="shared" si="6"/>
        <v>9258081</v>
      </c>
      <c r="E55" s="60">
        <f>6356495+2029949</f>
        <v>8386444</v>
      </c>
      <c r="F55" s="51">
        <f t="shared" si="0"/>
        <v>8386443.7800000012</v>
      </c>
      <c r="G55" s="111">
        <f t="shared" si="1"/>
        <v>7.0599999999999996E-2</v>
      </c>
      <c r="H55" s="15">
        <f t="shared" si="2"/>
        <v>592082.93086800002</v>
      </c>
      <c r="I55" s="111">
        <f t="shared" si="3"/>
        <v>9.5310000000000006E-2</v>
      </c>
      <c r="J55" s="17">
        <f t="shared" si="4"/>
        <v>799311.95667180012</v>
      </c>
      <c r="K55" s="16">
        <f t="shared" si="5"/>
        <v>207229.02580380009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f>3024440.56+3338257.7+2029949.26</f>
        <v>8392647.5199999996</v>
      </c>
      <c r="D56" s="94">
        <f t="shared" si="6"/>
        <v>8386444</v>
      </c>
      <c r="E56" s="60">
        <f>6307443+2009610</f>
        <v>8317053</v>
      </c>
      <c r="F56" s="51">
        <f t="shared" si="0"/>
        <v>8323256.5199999996</v>
      </c>
      <c r="G56" s="111">
        <f t="shared" si="1"/>
        <v>9.7199999999999995E-2</v>
      </c>
      <c r="H56" s="15">
        <f t="shared" si="2"/>
        <v>809020.5337439999</v>
      </c>
      <c r="I56" s="111">
        <f t="shared" si="3"/>
        <v>0.11226</v>
      </c>
      <c r="J56" s="17">
        <f t="shared" si="4"/>
        <v>934368.77693519997</v>
      </c>
      <c r="K56" s="16">
        <f t="shared" si="5"/>
        <v>125348.24319120008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f>3021025.07+3286417.88+1987838.86</f>
        <v>8295281.8099999996</v>
      </c>
      <c r="D57" s="94">
        <f t="shared" si="6"/>
        <v>8317053</v>
      </c>
      <c r="E57" s="60">
        <f>6047145+1792407</f>
        <v>7839552</v>
      </c>
      <c r="F57" s="51">
        <f t="shared" si="0"/>
        <v>7817780.8099999996</v>
      </c>
      <c r="G57" s="111">
        <f t="shared" si="1"/>
        <v>0.12271</v>
      </c>
      <c r="H57" s="15">
        <f t="shared" si="2"/>
        <v>959319.8831951</v>
      </c>
      <c r="I57" s="111">
        <f t="shared" si="3"/>
        <v>0.11108999999999999</v>
      </c>
      <c r="J57" s="17">
        <f t="shared" si="4"/>
        <v>868477.2701828999</v>
      </c>
      <c r="K57" s="16">
        <f t="shared" si="5"/>
        <v>-90842.613012200105</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f>2998362.44+3048782.38+1792407.35</f>
        <v>7839552.1699999999</v>
      </c>
      <c r="D58" s="94">
        <f t="shared" si="6"/>
        <v>7839552</v>
      </c>
      <c r="E58" s="60">
        <f>6092144+2349543</f>
        <v>8441687</v>
      </c>
      <c r="F58" s="51">
        <f t="shared" si="0"/>
        <v>8441687.1699999999</v>
      </c>
      <c r="G58" s="111">
        <f t="shared" si="1"/>
        <v>0.10594000000000001</v>
      </c>
      <c r="H58" s="15">
        <f t="shared" si="2"/>
        <v>894312.33878980007</v>
      </c>
      <c r="I58" s="111">
        <f t="shared" si="3"/>
        <v>8.7080000000000005E-2</v>
      </c>
      <c r="J58" s="17">
        <f t="shared" si="4"/>
        <v>735102.11876360001</v>
      </c>
      <c r="K58" s="16">
        <f t="shared" si="5"/>
        <v>-159210.22002620006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8" t="s">
        <v>133</v>
      </c>
      <c r="C59" s="97">
        <f>SUM(C47:C58)</f>
        <v>101597938.57000001</v>
      </c>
      <c r="D59" s="97">
        <f>SUM(D47:D58)</f>
        <v>101610826</v>
      </c>
      <c r="E59" s="97">
        <f>SUM(E47:E58)</f>
        <v>102019821</v>
      </c>
      <c r="F59" s="97">
        <f>SUM(F47:F58)</f>
        <v>102006933.57000001</v>
      </c>
      <c r="G59" s="37"/>
      <c r="H59" s="38">
        <f>SUM(H47:H58)</f>
        <v>9973319.0079701003</v>
      </c>
      <c r="I59" s="37"/>
      <c r="J59" s="38">
        <f>SUM(J47:J58)</f>
        <v>9900808.1847969014</v>
      </c>
      <c r="K59" s="39">
        <f>SUM(K47:K58)</f>
        <v>-72510.823173200246</v>
      </c>
      <c r="N59" s="31"/>
      <c r="O59" s="32"/>
      <c r="P59" s="32"/>
      <c r="Q59" s="32"/>
      <c r="R59" s="32"/>
      <c r="S59" s="32"/>
      <c r="T59" s="32"/>
      <c r="U59" s="32"/>
      <c r="V59" s="32"/>
      <c r="W59" s="32"/>
    </row>
    <row r="60" spans="1:24" x14ac:dyDescent="0.25">
      <c r="F60" s="141">
        <f>+F59-D26*1.0743</f>
        <v>-377924.15952000022</v>
      </c>
      <c r="G60" s="4"/>
      <c r="H60" s="4"/>
      <c r="I60" s="4"/>
      <c r="J60" s="69"/>
      <c r="K60" s="126"/>
      <c r="N60" s="29"/>
      <c r="O60" s="30"/>
      <c r="P60" s="30"/>
      <c r="Q60" s="30"/>
      <c r="R60" s="30"/>
      <c r="S60" s="30"/>
      <c r="T60" s="30"/>
      <c r="U60" s="30"/>
      <c r="V60" s="30"/>
      <c r="W60" s="30"/>
    </row>
    <row r="61" spans="1:24" x14ac:dyDescent="0.25">
      <c r="F61" s="142">
        <f>F60/F59</f>
        <v>-3.7048869747727305E-3</v>
      </c>
      <c r="N61" s="29"/>
      <c r="O61" s="30"/>
      <c r="P61" s="30"/>
      <c r="Q61" s="30"/>
      <c r="R61" s="30"/>
      <c r="S61" s="30"/>
      <c r="T61" s="30"/>
      <c r="U61" s="30"/>
      <c r="V61" s="30"/>
      <c r="W61" s="30"/>
    </row>
    <row r="62" spans="1:24" x14ac:dyDescent="0.25">
      <c r="A62" s="1" t="s">
        <v>143</v>
      </c>
      <c r="B62" s="47" t="s">
        <v>136</v>
      </c>
      <c r="C62" s="2"/>
      <c r="K62" s="115"/>
      <c r="N62" s="29"/>
      <c r="O62" s="30"/>
      <c r="P62" s="30"/>
      <c r="Q62" s="30"/>
      <c r="R62" s="30"/>
      <c r="S62" s="30"/>
      <c r="T62" s="30"/>
      <c r="U62" s="30"/>
      <c r="V62" s="30"/>
      <c r="W62" s="30"/>
    </row>
    <row r="63" spans="1:24" x14ac:dyDescent="0.25">
      <c r="B63" s="3"/>
      <c r="C63" s="2"/>
      <c r="K63" s="123"/>
      <c r="N63" s="29"/>
      <c r="O63" s="29"/>
      <c r="P63" s="29"/>
      <c r="Q63" s="29"/>
      <c r="R63" s="29"/>
      <c r="S63" s="29"/>
      <c r="T63" s="29"/>
      <c r="U63" s="29"/>
      <c r="V63" s="29"/>
      <c r="W63" s="29"/>
    </row>
    <row r="64" spans="1:24" ht="41.4" x14ac:dyDescent="0.25">
      <c r="A64" s="11"/>
      <c r="B64" s="102" t="s">
        <v>45</v>
      </c>
      <c r="C64" s="48" t="s">
        <v>67</v>
      </c>
      <c r="D64" s="48" t="s">
        <v>121</v>
      </c>
      <c r="E64" s="161" t="s">
        <v>44</v>
      </c>
      <c r="F64" s="161"/>
      <c r="G64" s="161"/>
      <c r="H64" s="161"/>
      <c r="I64" s="161"/>
      <c r="K64" s="121"/>
      <c r="O64" s="29"/>
      <c r="P64" s="29"/>
      <c r="Q64" s="29"/>
      <c r="R64" s="29"/>
      <c r="S64" s="29"/>
      <c r="T64" s="29"/>
      <c r="U64" s="29"/>
      <c r="V64" s="29"/>
      <c r="W64" s="29"/>
      <c r="X64" s="29"/>
    </row>
    <row r="65" spans="1:24" ht="30.75" customHeight="1" x14ac:dyDescent="0.25">
      <c r="A65" s="162" t="s">
        <v>134</v>
      </c>
      <c r="B65" s="163"/>
      <c r="C65" s="164"/>
      <c r="D65" s="127">
        <v>-342821.85</v>
      </c>
      <c r="E65" s="153"/>
      <c r="F65" s="154"/>
      <c r="G65" s="154"/>
      <c r="H65" s="154"/>
      <c r="I65" s="155"/>
      <c r="K65" s="121"/>
      <c r="O65" s="29"/>
      <c r="P65" s="29"/>
      <c r="Q65" s="29"/>
      <c r="R65" s="29"/>
      <c r="S65" s="29"/>
      <c r="T65" s="29"/>
      <c r="U65" s="29"/>
      <c r="V65" s="29"/>
      <c r="W65" s="29"/>
      <c r="X65" s="29"/>
    </row>
    <row r="66" spans="1:24" ht="27.6" x14ac:dyDescent="0.25">
      <c r="A66" s="70" t="s">
        <v>51</v>
      </c>
      <c r="B66" s="49" t="s">
        <v>62</v>
      </c>
      <c r="C66" s="112" t="s">
        <v>174</v>
      </c>
      <c r="D66" s="98">
        <v>-11375</v>
      </c>
      <c r="E66" s="151"/>
      <c r="F66" s="151"/>
      <c r="G66" s="151"/>
      <c r="H66" s="151"/>
      <c r="I66" s="151"/>
      <c r="K66" s="121"/>
      <c r="O66" s="29"/>
      <c r="P66" s="29"/>
      <c r="Q66" s="29"/>
      <c r="R66" s="29"/>
      <c r="S66" s="29"/>
      <c r="T66" s="29"/>
      <c r="U66" s="29"/>
      <c r="V66" s="29"/>
      <c r="W66" s="29"/>
      <c r="X66" s="29"/>
    </row>
    <row r="67" spans="1:24" ht="27.6" x14ac:dyDescent="0.25">
      <c r="A67" s="70" t="s">
        <v>52</v>
      </c>
      <c r="B67" s="49" t="s">
        <v>79</v>
      </c>
      <c r="C67" s="113" t="s">
        <v>164</v>
      </c>
      <c r="D67" s="114">
        <f>3415-67251</f>
        <v>-63836</v>
      </c>
      <c r="E67" s="148"/>
      <c r="F67" s="149"/>
      <c r="G67" s="149"/>
      <c r="H67" s="149"/>
      <c r="I67" s="150"/>
      <c r="J67" s="79"/>
      <c r="K67" s="122"/>
      <c r="L67" s="79"/>
      <c r="M67" s="79"/>
      <c r="N67" s="79"/>
      <c r="O67" s="79"/>
      <c r="P67" s="79"/>
      <c r="Q67" s="79"/>
    </row>
    <row r="68" spans="1:24" ht="27.6" x14ac:dyDescent="0.25">
      <c r="A68" s="70" t="s">
        <v>65</v>
      </c>
      <c r="B68" s="49" t="s">
        <v>64</v>
      </c>
      <c r="C68" s="112" t="s">
        <v>174</v>
      </c>
      <c r="D68" s="114"/>
      <c r="E68" s="151"/>
      <c r="F68" s="151"/>
      <c r="G68" s="151"/>
      <c r="H68" s="151"/>
      <c r="I68" s="151"/>
      <c r="J68" s="79"/>
      <c r="K68" s="122"/>
      <c r="L68" s="79"/>
      <c r="M68" s="79"/>
      <c r="N68" s="79"/>
      <c r="O68" s="79"/>
      <c r="P68" s="79"/>
      <c r="Q68" s="79"/>
    </row>
    <row r="69" spans="1:24" ht="27.6" x14ac:dyDescent="0.25">
      <c r="A69" s="70" t="s">
        <v>66</v>
      </c>
      <c r="B69" s="49" t="s">
        <v>63</v>
      </c>
      <c r="C69" s="112" t="s">
        <v>174</v>
      </c>
      <c r="D69" s="114"/>
      <c r="E69" s="148"/>
      <c r="F69" s="149"/>
      <c r="G69" s="149"/>
      <c r="H69" s="149"/>
      <c r="I69" s="150"/>
      <c r="J69" s="79"/>
      <c r="K69" s="125"/>
      <c r="L69" s="79"/>
      <c r="M69" s="79"/>
      <c r="N69" s="79"/>
      <c r="O69" s="79"/>
      <c r="P69" s="79"/>
      <c r="Q69" s="79"/>
    </row>
    <row r="70" spans="1:24" ht="27.6" x14ac:dyDescent="0.25">
      <c r="A70" s="70" t="s">
        <v>69</v>
      </c>
      <c r="B70" s="49" t="s">
        <v>71</v>
      </c>
      <c r="C70" s="112" t="s">
        <v>164</v>
      </c>
      <c r="D70" s="98">
        <f>(-26992-336-2276+22146+336+1313)+(7278-10570)</f>
        <v>-9101</v>
      </c>
      <c r="E70" s="151"/>
      <c r="F70" s="151"/>
      <c r="G70" s="151"/>
      <c r="H70" s="151"/>
      <c r="I70" s="151"/>
      <c r="J70" s="79"/>
      <c r="K70" s="125"/>
      <c r="L70" s="79"/>
      <c r="M70" s="79"/>
      <c r="N70" s="79"/>
      <c r="O70" s="79"/>
      <c r="P70" s="79"/>
      <c r="Q70" s="79"/>
    </row>
    <row r="71" spans="1:24" ht="27.6" x14ac:dyDescent="0.25">
      <c r="A71" s="70" t="s">
        <v>70</v>
      </c>
      <c r="B71" s="49" t="s">
        <v>72</v>
      </c>
      <c r="C71" s="112" t="s">
        <v>174</v>
      </c>
      <c r="D71" s="98"/>
      <c r="E71" s="151"/>
      <c r="F71" s="151"/>
      <c r="G71" s="151"/>
      <c r="H71" s="151"/>
      <c r="I71" s="151"/>
      <c r="J71" s="79"/>
      <c r="K71" s="125"/>
      <c r="L71" s="79"/>
      <c r="M71" s="79"/>
      <c r="N71" s="79"/>
      <c r="O71" s="79"/>
      <c r="P71" s="79"/>
      <c r="Q71" s="79"/>
    </row>
    <row r="72" spans="1:24" ht="33.75" customHeight="1" x14ac:dyDescent="0.25">
      <c r="A72" s="70">
        <v>4</v>
      </c>
      <c r="B72" s="49" t="s">
        <v>68</v>
      </c>
      <c r="C72" s="112" t="s">
        <v>174</v>
      </c>
      <c r="D72" s="98">
        <v>0</v>
      </c>
      <c r="E72" s="151"/>
      <c r="F72" s="151"/>
      <c r="G72" s="151"/>
      <c r="H72" s="151"/>
      <c r="I72" s="151"/>
      <c r="J72" s="79"/>
      <c r="K72" s="125"/>
      <c r="L72" s="79"/>
      <c r="M72" s="79"/>
      <c r="N72" s="79"/>
      <c r="O72" s="79"/>
      <c r="P72" s="79"/>
      <c r="Q72" s="79"/>
    </row>
    <row r="73" spans="1:24" ht="41.4" x14ac:dyDescent="0.25">
      <c r="A73" s="70">
        <v>5</v>
      </c>
      <c r="B73" s="49" t="s">
        <v>81</v>
      </c>
      <c r="C73" s="112" t="s">
        <v>174</v>
      </c>
      <c r="D73" s="98"/>
      <c r="E73" s="151"/>
      <c r="F73" s="151"/>
      <c r="G73" s="151"/>
      <c r="H73" s="151"/>
      <c r="I73" s="151"/>
      <c r="J73" s="79"/>
      <c r="K73" s="125"/>
      <c r="L73" s="79"/>
      <c r="M73" s="79"/>
      <c r="N73" s="79"/>
      <c r="O73" s="79"/>
      <c r="P73" s="79"/>
      <c r="Q73" s="79"/>
    </row>
    <row r="74" spans="1:24" ht="27.6" x14ac:dyDescent="0.25">
      <c r="A74" s="54">
        <v>6</v>
      </c>
      <c r="B74" s="129" t="s">
        <v>137</v>
      </c>
      <c r="C74" s="112" t="s">
        <v>174</v>
      </c>
      <c r="D74" s="98"/>
      <c r="E74" s="151"/>
      <c r="F74" s="151"/>
      <c r="G74" s="151"/>
      <c r="H74" s="151"/>
      <c r="I74" s="151"/>
      <c r="K74" s="29"/>
    </row>
    <row r="75" spans="1:24" x14ac:dyDescent="0.25">
      <c r="A75" s="54">
        <v>7</v>
      </c>
      <c r="B75" s="46" t="s">
        <v>167</v>
      </c>
      <c r="C75" s="112" t="s">
        <v>164</v>
      </c>
      <c r="D75" s="98">
        <v>339406.97</v>
      </c>
      <c r="E75" s="151" t="s">
        <v>169</v>
      </c>
      <c r="F75" s="151"/>
      <c r="G75" s="151"/>
      <c r="H75" s="151"/>
      <c r="I75" s="151"/>
    </row>
    <row r="76" spans="1:24" x14ac:dyDescent="0.25">
      <c r="A76" s="54">
        <v>8</v>
      </c>
      <c r="B76" s="46"/>
      <c r="C76" s="112"/>
      <c r="D76" s="98"/>
      <c r="E76" s="151"/>
      <c r="F76" s="151"/>
      <c r="G76" s="151"/>
      <c r="H76" s="151"/>
      <c r="I76" s="151"/>
    </row>
    <row r="77" spans="1:24" x14ac:dyDescent="0.25">
      <c r="A77" s="54">
        <v>9</v>
      </c>
      <c r="B77" s="46"/>
      <c r="C77" s="10"/>
      <c r="D77" s="98"/>
      <c r="E77" s="148"/>
      <c r="F77" s="149"/>
      <c r="G77" s="149"/>
      <c r="H77" s="149"/>
      <c r="I77" s="150"/>
    </row>
    <row r="78" spans="1:24" x14ac:dyDescent="0.25">
      <c r="A78" s="54">
        <v>10</v>
      </c>
      <c r="B78" s="46"/>
      <c r="C78" s="10"/>
      <c r="D78" s="98"/>
      <c r="E78" s="151"/>
      <c r="F78" s="151"/>
      <c r="G78" s="151"/>
      <c r="H78" s="151"/>
      <c r="I78" s="151"/>
    </row>
    <row r="79" spans="1:24" x14ac:dyDescent="0.25">
      <c r="A79" s="1" t="s">
        <v>150</v>
      </c>
      <c r="B79" s="2" t="s">
        <v>131</v>
      </c>
      <c r="C79" s="2"/>
      <c r="D79" s="99">
        <f>SUM(D65:D78)</f>
        <v>-87726.88</v>
      </c>
      <c r="E79" s="25"/>
      <c r="F79" s="25"/>
      <c r="G79" s="25"/>
      <c r="H79" s="25"/>
    </row>
    <row r="80" spans="1:24" x14ac:dyDescent="0.25">
      <c r="B80" s="124" t="s">
        <v>132</v>
      </c>
      <c r="C80" s="71"/>
      <c r="D80" s="99">
        <f>K59</f>
        <v>-72510.823173200246</v>
      </c>
      <c r="E80" s="25"/>
      <c r="F80" s="25"/>
      <c r="G80" s="25"/>
      <c r="H80" s="25"/>
    </row>
    <row r="81" spans="1:19" x14ac:dyDescent="0.25">
      <c r="B81" s="71" t="s">
        <v>24</v>
      </c>
      <c r="C81" s="71"/>
      <c r="D81" s="100">
        <f>D79-D80</f>
        <v>-15216.056826799759</v>
      </c>
    </row>
    <row r="82" spans="1:19" ht="14.4" thickBot="1" x14ac:dyDescent="0.3">
      <c r="B82" s="135" t="s">
        <v>73</v>
      </c>
      <c r="C82" s="72"/>
      <c r="D82" s="61">
        <f>IF(ISERROR(D81/J59),0,D81/J59)</f>
        <v>-1.5368499765670283E-3</v>
      </c>
      <c r="E82" s="104" t="str">
        <f>IF(AND(D82&lt;0.01,D82&gt;-0.01),"","Unresolved differences of greater than + or - 1% should be explained")</f>
        <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6" t="s">
        <v>172</v>
      </c>
      <c r="C88" s="107">
        <f>+K59</f>
        <v>-72510.823173200246</v>
      </c>
      <c r="D88" s="107">
        <f>+D65</f>
        <v>-342821.85</v>
      </c>
      <c r="E88" s="108">
        <f>SUM(D66:D78)</f>
        <v>255094.96999999997</v>
      </c>
      <c r="F88" s="131">
        <f>SUM(D88:E88)</f>
        <v>-87726.88</v>
      </c>
      <c r="G88" s="109">
        <f>F88-C88</f>
        <v>-15216.056826799759</v>
      </c>
      <c r="H88" s="108">
        <f>+J59</f>
        <v>9900808.1847969014</v>
      </c>
      <c r="I88" s="105">
        <f>IF(ISERROR(G88/H88),0,G88/H88)</f>
        <v>-1.5368499765670283E-3</v>
      </c>
      <c r="J88" s="79"/>
      <c r="K88" s="79"/>
      <c r="L88" s="35"/>
      <c r="M88" s="35"/>
      <c r="N88" s="35"/>
      <c r="O88" s="35"/>
      <c r="P88" s="35"/>
      <c r="Q88" s="35"/>
      <c r="R88" s="35"/>
      <c r="S88" s="35"/>
    </row>
    <row r="89" spans="1:19" x14ac:dyDescent="0.25">
      <c r="B89" s="116" t="s">
        <v>171</v>
      </c>
      <c r="C89" s="107">
        <f>+'GA Analysis - LP 2015'!K59</f>
        <v>181208.4186318001</v>
      </c>
      <c r="D89" s="107">
        <f>+'GA Analysis - LP 2015'!D65</f>
        <v>122338.93</v>
      </c>
      <c r="E89" s="108">
        <f>SUM('GA Analysis - LP 2015'!D66:D78)</f>
        <v>34770</v>
      </c>
      <c r="F89" s="131">
        <f t="shared" ref="F89:F91" si="7">SUM(D89:E89)</f>
        <v>157108.93</v>
      </c>
      <c r="G89" s="109">
        <f>F89-C89</f>
        <v>-24099.488631800108</v>
      </c>
      <c r="H89" s="108">
        <f>+'GA Analysis - LP 2015'!J59</f>
        <v>8341991.5572701991</v>
      </c>
      <c r="I89" s="105">
        <f>IF(ISERROR(G89/H89),0,G89/H89)</f>
        <v>-2.8889370681269705E-3</v>
      </c>
      <c r="J89" s="79"/>
      <c r="K89" s="79"/>
      <c r="L89" s="35"/>
      <c r="M89" s="35"/>
      <c r="N89" s="35"/>
      <c r="O89" s="35"/>
      <c r="P89" s="35"/>
      <c r="Q89" s="35"/>
      <c r="R89" s="35"/>
      <c r="S89" s="35"/>
    </row>
    <row r="90" spans="1:19" x14ac:dyDescent="0.25">
      <c r="B90" s="116" t="s">
        <v>173</v>
      </c>
      <c r="C90" s="107">
        <f>+'GA Analysis - PS 2016'!K59</f>
        <v>-24390.667763600039</v>
      </c>
      <c r="D90" s="107">
        <f>+'GA Analysis - PS 2016'!D65</f>
        <v>-3211.34</v>
      </c>
      <c r="E90" s="108">
        <f>SUM('GA Analysis - PS 2016'!D66:D78)</f>
        <v>3209</v>
      </c>
      <c r="F90" s="131">
        <f t="shared" si="7"/>
        <v>-2.3400000000001455</v>
      </c>
      <c r="G90" s="109">
        <f>F90-C90</f>
        <v>24388.327763600038</v>
      </c>
      <c r="H90" s="108">
        <f>+'GA Analysis - PS 2016'!J59</f>
        <v>3193232.8210306996</v>
      </c>
      <c r="I90" s="105">
        <f>IF(ISERROR(G90/H90),0,G90/H90)</f>
        <v>7.637503787064316E-3</v>
      </c>
      <c r="J90" s="79"/>
      <c r="K90" s="79"/>
      <c r="L90" s="35"/>
      <c r="M90" s="35"/>
      <c r="N90" s="35"/>
      <c r="O90" s="35"/>
      <c r="P90" s="35"/>
      <c r="Q90" s="35"/>
      <c r="R90" s="35"/>
      <c r="S90" s="35"/>
    </row>
    <row r="91" spans="1:19" ht="14.4" thickBot="1" x14ac:dyDescent="0.3">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30">
        <f t="shared" ref="C92:H92" si="8">SUM(C88:C91)</f>
        <v>84306.927694999817</v>
      </c>
      <c r="D92" s="130">
        <f t="shared" si="8"/>
        <v>-223694.25999999998</v>
      </c>
      <c r="E92" s="130">
        <f t="shared" si="8"/>
        <v>293073.96999999997</v>
      </c>
      <c r="F92" s="132">
        <f t="shared" si="8"/>
        <v>69379.709999999992</v>
      </c>
      <c r="G92" s="130">
        <f>SUM(G88:G91)</f>
        <v>-14927.217694999828</v>
      </c>
      <c r="H92" s="77">
        <f t="shared" si="8"/>
        <v>21436032.563097797</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2:X103"/>
  <sheetViews>
    <sheetView zoomScale="60" zoomScaleNormal="60" zoomScaleSheetLayoutView="50" workbookViewId="0">
      <selection activeCell="C17" sqref="C17"/>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3" t="s">
        <v>175</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6" t="s">
        <v>25</v>
      </c>
      <c r="C21" s="156"/>
      <c r="D21" s="24" t="s">
        <v>165</v>
      </c>
      <c r="E21" s="157"/>
      <c r="F21" s="158"/>
      <c r="G21" s="79"/>
      <c r="H21" s="79"/>
      <c r="I21" s="79"/>
      <c r="J21" s="79"/>
      <c r="K21" s="79"/>
      <c r="L21" s="79"/>
      <c r="M21" s="79"/>
      <c r="N21" s="79"/>
      <c r="O21" s="79"/>
      <c r="P21" s="79"/>
      <c r="Q21" s="79"/>
    </row>
    <row r="22" spans="1:24" ht="14.4" thickBot="1" x14ac:dyDescent="0.3">
      <c r="A22" s="4"/>
      <c r="B22" s="5" t="s">
        <v>3</v>
      </c>
      <c r="C22" s="5" t="s">
        <v>2</v>
      </c>
      <c r="D22" s="117">
        <f>D23+D24</f>
        <v>208366098.24000001</v>
      </c>
      <c r="E22" s="6" t="s">
        <v>0</v>
      </c>
      <c r="F22" s="7">
        <v>1</v>
      </c>
      <c r="G22" s="79"/>
      <c r="H22" s="79"/>
      <c r="I22" s="79"/>
      <c r="J22" s="79"/>
      <c r="K22" s="79"/>
      <c r="L22" s="79"/>
      <c r="M22" s="79"/>
      <c r="N22" s="79"/>
      <c r="O22" s="79"/>
      <c r="P22" s="79"/>
      <c r="Q22" s="79"/>
    </row>
    <row r="23" spans="1:24" x14ac:dyDescent="0.25">
      <c r="B23" s="5" t="s">
        <v>7</v>
      </c>
      <c r="C23" s="5" t="s">
        <v>1</v>
      </c>
      <c r="D23" s="118">
        <f>73623593.5+33857087.5+848792.4+39318.8+1189205.3+116843.5</f>
        <v>109674841</v>
      </c>
      <c r="E23" s="6" t="s">
        <v>0</v>
      </c>
      <c r="F23" s="8">
        <f>IFERROR(D23/$D$22,0)</f>
        <v>0.52635645590327484</v>
      </c>
    </row>
    <row r="24" spans="1:24" ht="14.4" thickBot="1" x14ac:dyDescent="0.3">
      <c r="B24" s="5" t="s">
        <v>8</v>
      </c>
      <c r="C24" s="5" t="s">
        <v>6</v>
      </c>
      <c r="D24" s="117">
        <f>D25+D26</f>
        <v>98691257.239999995</v>
      </c>
      <c r="E24" s="6" t="s">
        <v>0</v>
      </c>
      <c r="F24" s="8">
        <f>IFERROR(D24/$D$22,0)</f>
        <v>0.4736435440967251</v>
      </c>
    </row>
    <row r="25" spans="1:24" x14ac:dyDescent="0.25">
      <c r="B25" s="5" t="s">
        <v>9</v>
      </c>
      <c r="C25" s="5" t="s">
        <v>4</v>
      </c>
      <c r="D25" s="118">
        <v>0</v>
      </c>
      <c r="E25" s="6" t="s">
        <v>0</v>
      </c>
      <c r="F25" s="8">
        <f>IFERROR(D25/$D$22,0)</f>
        <v>0</v>
      </c>
    </row>
    <row r="26" spans="1:24" x14ac:dyDescent="0.25">
      <c r="B26" s="5" t="s">
        <v>61</v>
      </c>
      <c r="C26" s="5" t="s">
        <v>5</v>
      </c>
      <c r="D26" s="119">
        <f>75383001.8+23308255.44</f>
        <v>98691257.239999995</v>
      </c>
      <c r="E26" s="6" t="s">
        <v>0</v>
      </c>
      <c r="F26" s="8">
        <f>IFERROR(D26/$D$22,0)</f>
        <v>0.4736435440967251</v>
      </c>
      <c r="G26" s="29"/>
      <c r="H26" s="29"/>
    </row>
    <row r="27" spans="1:24" ht="34.5" customHeight="1" x14ac:dyDescent="0.25">
      <c r="B27" s="159" t="s">
        <v>77</v>
      </c>
      <c r="C27" s="159"/>
      <c r="D27" s="159"/>
      <c r="E27" s="159"/>
      <c r="F27" s="159"/>
      <c r="G27" s="160"/>
      <c r="H27" s="160"/>
    </row>
    <row r="28" spans="1:24" x14ac:dyDescent="0.25">
      <c r="D28" s="120"/>
      <c r="E28" s="35"/>
      <c r="F28" s="35"/>
      <c r="G28" s="35"/>
    </row>
    <row r="29" spans="1:24" x14ac:dyDescent="0.25">
      <c r="A29" s="1" t="s">
        <v>35</v>
      </c>
      <c r="B29" s="3" t="s">
        <v>41</v>
      </c>
    </row>
    <row r="30" spans="1:24" x14ac:dyDescent="0.25">
      <c r="B30" s="3"/>
    </row>
    <row r="31" spans="1:24" x14ac:dyDescent="0.25">
      <c r="B31" s="2" t="s">
        <v>22</v>
      </c>
      <c r="C31" s="52" t="s">
        <v>163</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t="str">
        <f>+D21</f>
        <v>2015 LP</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2">
        <v>2016</v>
      </c>
      <c r="P45" s="152"/>
      <c r="Q45" s="152"/>
      <c r="R45" s="152">
        <v>2015</v>
      </c>
      <c r="S45" s="152"/>
      <c r="T45" s="152"/>
      <c r="U45" s="152">
        <v>2014</v>
      </c>
      <c r="V45" s="152"/>
      <c r="W45" s="152"/>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f>3827064.02+2429894.26+2203280.59</f>
        <v>8460238.8699999992</v>
      </c>
      <c r="D47" s="94">
        <f>6256959+2203281</f>
        <v>8460240</v>
      </c>
      <c r="E47" s="60">
        <f>6818488+2396804</f>
        <v>9215292</v>
      </c>
      <c r="F47" s="51">
        <f>C47-D47+E47</f>
        <v>9215290.8699999992</v>
      </c>
      <c r="G47" s="111">
        <f>+R47</f>
        <v>5.5490000000000005E-2</v>
      </c>
      <c r="H47" s="15">
        <f>F47*G47</f>
        <v>511356.4903763</v>
      </c>
      <c r="I47" s="111">
        <f>+T47</f>
        <v>5.0680000000000003E-2</v>
      </c>
      <c r="J47" s="17">
        <f>F47*I47</f>
        <v>467030.9412916</v>
      </c>
      <c r="K47" s="16">
        <f>J47-H47</f>
        <v>-44325.549084700004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f>3984713.59+2833774.03+2396804.04</f>
        <v>9215291.6600000001</v>
      </c>
      <c r="D48" s="94">
        <f>+E47</f>
        <v>9215292</v>
      </c>
      <c r="E48" s="60">
        <f>6573204+2231664</f>
        <v>8804868</v>
      </c>
      <c r="F48" s="51">
        <f t="shared" ref="F48:F58" si="0">C48-D48+E48</f>
        <v>8804867.6600000001</v>
      </c>
      <c r="G48" s="111">
        <f t="shared" ref="G48:G58" si="1">+R48</f>
        <v>6.9809999999999997E-2</v>
      </c>
      <c r="H48" s="15">
        <f t="shared" ref="H48:H58" si="2">F48*G48</f>
        <v>614667.81134459993</v>
      </c>
      <c r="I48" s="111">
        <f t="shared" ref="I48:I58" si="3">+T48</f>
        <v>3.9609999999999999E-2</v>
      </c>
      <c r="J48" s="17">
        <f t="shared" ref="J48:J58" si="4">F48*I48</f>
        <v>348760.8080126</v>
      </c>
      <c r="K48" s="16">
        <f t="shared" ref="K48:K58" si="5">J48-H48</f>
        <v>-265907.00333199993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f>3737361.75+2835842.49+2242035.16</f>
        <v>8815239.4000000004</v>
      </c>
      <c r="D49" s="94">
        <f t="shared" ref="D49:D58" si="6">+E48</f>
        <v>8804868</v>
      </c>
      <c r="E49" s="60">
        <f>7284150+2113570</f>
        <v>9397720</v>
      </c>
      <c r="F49" s="51">
        <f t="shared" si="0"/>
        <v>9408091.4000000004</v>
      </c>
      <c r="G49" s="111">
        <f t="shared" si="1"/>
        <v>3.6040000000000003E-2</v>
      </c>
      <c r="H49" s="15">
        <f t="shared" si="2"/>
        <v>339067.61405600002</v>
      </c>
      <c r="I49" s="111">
        <f t="shared" si="3"/>
        <v>6.2899999999999998E-2</v>
      </c>
      <c r="J49" s="17">
        <f t="shared" si="4"/>
        <v>591768.94906000001</v>
      </c>
      <c r="K49" s="16">
        <f t="shared" si="5"/>
        <v>252701.33500399999</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f>3860370.95+3423779.31+2113570.48</f>
        <v>9397720.7400000002</v>
      </c>
      <c r="D50" s="94">
        <f t="shared" si="6"/>
        <v>9397720</v>
      </c>
      <c r="E50" s="60">
        <f>6644082+1838056</f>
        <v>8482138</v>
      </c>
      <c r="F50" s="51">
        <f t="shared" si="0"/>
        <v>8482138.7400000002</v>
      </c>
      <c r="G50" s="111">
        <f t="shared" si="1"/>
        <v>6.7049999999999998E-2</v>
      </c>
      <c r="H50" s="15">
        <f t="shared" si="2"/>
        <v>568727.40251699998</v>
      </c>
      <c r="I50" s="111">
        <f t="shared" si="3"/>
        <v>9.5590000000000008E-2</v>
      </c>
      <c r="J50" s="17">
        <f t="shared" si="4"/>
        <v>810807.64215660014</v>
      </c>
      <c r="K50" s="16">
        <f t="shared" si="5"/>
        <v>242080.23963960016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f>3373296.78+3270784.76+1838056.19</f>
        <v>8482137.7299999986</v>
      </c>
      <c r="D51" s="94">
        <f t="shared" si="6"/>
        <v>8482138</v>
      </c>
      <c r="E51" s="60">
        <f>6831498+1867274</f>
        <v>8698772</v>
      </c>
      <c r="F51" s="51">
        <f t="shared" si="0"/>
        <v>8698771.7299999986</v>
      </c>
      <c r="G51" s="111">
        <f t="shared" si="1"/>
        <v>9.4159999999999994E-2</v>
      </c>
      <c r="H51" s="15">
        <f t="shared" si="2"/>
        <v>819076.34609679983</v>
      </c>
      <c r="I51" s="111">
        <f t="shared" si="3"/>
        <v>9.6680000000000002E-2</v>
      </c>
      <c r="J51" s="17">
        <f t="shared" si="4"/>
        <v>840997.25085639989</v>
      </c>
      <c r="K51" s="16">
        <f t="shared" si="5"/>
        <v>21920.90475960006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f>3403744.68+3427753.57+1867274.07</f>
        <v>8698772.3200000003</v>
      </c>
      <c r="D52" s="94">
        <f t="shared" si="6"/>
        <v>8698772</v>
      </c>
      <c r="E52" s="60">
        <f>6950499+1889074</f>
        <v>8839573</v>
      </c>
      <c r="F52" s="51">
        <f t="shared" si="0"/>
        <v>8839573.3200000003</v>
      </c>
      <c r="G52" s="111">
        <f t="shared" si="1"/>
        <v>9.2280000000000001E-2</v>
      </c>
      <c r="H52" s="15">
        <f t="shared" si="2"/>
        <v>815715.8259696</v>
      </c>
      <c r="I52" s="111">
        <f t="shared" si="3"/>
        <v>9.5400000000000013E-2</v>
      </c>
      <c r="J52" s="17">
        <f t="shared" si="4"/>
        <v>843295.29472800018</v>
      </c>
      <c r="K52" s="16">
        <f t="shared" si="5"/>
        <v>27579.46875840018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f>3437697.69+3512801.56+1890177.91</f>
        <v>8840677.1600000001</v>
      </c>
      <c r="D53" s="94">
        <f t="shared" si="6"/>
        <v>8839573</v>
      </c>
      <c r="E53" s="60">
        <f>7003349+2192774</f>
        <v>9196123</v>
      </c>
      <c r="F53" s="51">
        <f t="shared" si="0"/>
        <v>9197227.1600000001</v>
      </c>
      <c r="G53" s="111">
        <f t="shared" si="1"/>
        <v>8.8880000000000001E-2</v>
      </c>
      <c r="H53" s="15">
        <f t="shared" si="2"/>
        <v>817449.54998080002</v>
      </c>
      <c r="I53" s="111">
        <f t="shared" si="3"/>
        <v>7.8829999999999997E-2</v>
      </c>
      <c r="J53" s="17">
        <f t="shared" si="4"/>
        <v>725017.41702279996</v>
      </c>
      <c r="K53" s="16">
        <f t="shared" si="5"/>
        <v>-92432.13295800006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f>3559413.94+3443935.54+2192790.49</f>
        <v>9196139.9700000007</v>
      </c>
      <c r="D54" s="94">
        <f t="shared" si="6"/>
        <v>9196123</v>
      </c>
      <c r="E54" s="60">
        <f>7005777+2217986</f>
        <v>9223763</v>
      </c>
      <c r="F54" s="51">
        <f t="shared" si="0"/>
        <v>9223779.9700000007</v>
      </c>
      <c r="G54" s="111">
        <f t="shared" si="1"/>
        <v>8.8050000000000003E-2</v>
      </c>
      <c r="H54" s="15">
        <f t="shared" si="2"/>
        <v>812153.82635850005</v>
      </c>
      <c r="I54" s="111">
        <f t="shared" si="3"/>
        <v>8.0099999999999991E-2</v>
      </c>
      <c r="J54" s="17">
        <f t="shared" si="4"/>
        <v>738824.77559699991</v>
      </c>
      <c r="K54" s="16">
        <f t="shared" si="5"/>
        <v>-73329.050761500141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f>3449408.76+3556368.62+2217986.14</f>
        <v>9223763.5199999996</v>
      </c>
      <c r="D55" s="94">
        <f t="shared" si="6"/>
        <v>9223763</v>
      </c>
      <c r="E55" s="60">
        <f>6844988+2111793</f>
        <v>8956781</v>
      </c>
      <c r="F55" s="51">
        <f t="shared" si="0"/>
        <v>8956781.5199999996</v>
      </c>
      <c r="G55" s="111">
        <f t="shared" si="1"/>
        <v>8.270000000000001E-2</v>
      </c>
      <c r="H55" s="15">
        <f t="shared" si="2"/>
        <v>740725.83170400001</v>
      </c>
      <c r="I55" s="111">
        <f t="shared" si="3"/>
        <v>6.7030000000000006E-2</v>
      </c>
      <c r="J55" s="17">
        <f t="shared" si="4"/>
        <v>600373.06528560002</v>
      </c>
      <c r="K55" s="16">
        <f t="shared" si="5"/>
        <v>-140352.76641839999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f>3410017.57+3434970.44+2111793.46</f>
        <v>8956781.4699999988</v>
      </c>
      <c r="D56" s="94">
        <f t="shared" si="6"/>
        <v>8956781</v>
      </c>
      <c r="E56" s="60">
        <f>6689190+2144383</f>
        <v>8833573</v>
      </c>
      <c r="F56" s="51">
        <f t="shared" si="0"/>
        <v>8833573.4699999988</v>
      </c>
      <c r="G56" s="111">
        <f t="shared" si="1"/>
        <v>6.3710000000000003E-2</v>
      </c>
      <c r="H56" s="15">
        <f t="shared" si="2"/>
        <v>562786.96577369992</v>
      </c>
      <c r="I56" s="111">
        <f t="shared" si="3"/>
        <v>7.5439999999999993E-2</v>
      </c>
      <c r="J56" s="17">
        <f t="shared" si="4"/>
        <v>666404.78257679986</v>
      </c>
      <c r="K56" s="143">
        <f t="shared" si="5"/>
        <v>103617.81680309994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f>3225606.94+3463582.74+3618.97</f>
        <v>6692808.6499999994</v>
      </c>
      <c r="D57" s="94">
        <f t="shared" si="6"/>
        <v>8833573</v>
      </c>
      <c r="E57" s="60">
        <f>6436587+4078157</f>
        <v>10514744</v>
      </c>
      <c r="F57" s="51">
        <f t="shared" si="0"/>
        <v>8373979.6499999994</v>
      </c>
      <c r="G57" s="111">
        <f t="shared" si="1"/>
        <v>7.6230000000000006E-2</v>
      </c>
      <c r="H57" s="15">
        <f t="shared" si="2"/>
        <v>638348.4687195</v>
      </c>
      <c r="I57" s="111">
        <f t="shared" si="3"/>
        <v>0.11320000000000001</v>
      </c>
      <c r="J57" s="17">
        <f t="shared" si="4"/>
        <v>947934.49638000003</v>
      </c>
      <c r="K57" s="143">
        <f t="shared" si="5"/>
        <v>309586.02766050003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f>3302640.17+3133946.49+4078157.02</f>
        <v>10514743.68</v>
      </c>
      <c r="D58" s="94">
        <f t="shared" si="6"/>
        <v>10514744</v>
      </c>
      <c r="E58" s="60">
        <f>5901566+2131125</f>
        <v>8032691</v>
      </c>
      <c r="F58" s="51">
        <f t="shared" si="0"/>
        <v>8032690.6799999997</v>
      </c>
      <c r="G58" s="111">
        <f t="shared" si="1"/>
        <v>0.11462</v>
      </c>
      <c r="H58" s="15">
        <f t="shared" si="2"/>
        <v>920707.00574159995</v>
      </c>
      <c r="I58" s="111">
        <f t="shared" si="3"/>
        <v>9.4709999999999989E-2</v>
      </c>
      <c r="J58" s="17">
        <f t="shared" si="4"/>
        <v>760776.13430279982</v>
      </c>
      <c r="K58" s="16">
        <f t="shared" si="5"/>
        <v>-159930.87143880012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8" t="s">
        <v>133</v>
      </c>
      <c r="C59" s="97">
        <f>SUM(C47:C58)</f>
        <v>106494315.16999999</v>
      </c>
      <c r="D59" s="97">
        <f>SUM(D47:D58)</f>
        <v>108623587</v>
      </c>
      <c r="E59" s="97">
        <f>SUM(E47:E58)</f>
        <v>108196038</v>
      </c>
      <c r="F59" s="97">
        <f>SUM(F47:F58)</f>
        <v>106066766.16999999</v>
      </c>
      <c r="G59" s="37"/>
      <c r="H59" s="38">
        <f>SUM(H47:H58)</f>
        <v>8160783.1386383995</v>
      </c>
      <c r="I59" s="37"/>
      <c r="J59" s="38">
        <f>SUM(J47:J58)</f>
        <v>8341991.5572701991</v>
      </c>
      <c r="K59" s="39">
        <f>SUM(K47:K58)</f>
        <v>181208.4186318001</v>
      </c>
      <c r="N59" s="31"/>
      <c r="O59" s="32"/>
      <c r="P59" s="32"/>
      <c r="Q59" s="32"/>
      <c r="R59" s="32"/>
      <c r="S59" s="32"/>
      <c r="T59" s="32"/>
      <c r="U59" s="32"/>
      <c r="V59" s="32"/>
      <c r="W59" s="32"/>
    </row>
    <row r="60" spans="1:24" x14ac:dyDescent="0.25">
      <c r="F60" s="141">
        <f>+F59-D26*1.0743</f>
        <v>42748.517067983747</v>
      </c>
      <c r="G60" s="4"/>
      <c r="H60" s="4"/>
      <c r="I60" s="4"/>
      <c r="J60" s="69"/>
      <c r="K60" s="126"/>
      <c r="N60" s="29"/>
      <c r="O60" s="30"/>
      <c r="P60" s="30"/>
      <c r="Q60" s="30"/>
      <c r="R60" s="30"/>
      <c r="S60" s="30"/>
      <c r="T60" s="30"/>
      <c r="U60" s="30"/>
      <c r="V60" s="30"/>
      <c r="W60" s="30"/>
    </row>
    <row r="61" spans="1:24" x14ac:dyDescent="0.25">
      <c r="F61" s="142">
        <f>F60/F59</f>
        <v>4.030340380083613E-4</v>
      </c>
      <c r="N61" s="29"/>
      <c r="O61" s="30"/>
      <c r="P61" s="30"/>
      <c r="Q61" s="30"/>
      <c r="R61" s="30"/>
      <c r="S61" s="30"/>
      <c r="T61" s="30"/>
      <c r="U61" s="30"/>
      <c r="V61" s="30"/>
      <c r="W61" s="30"/>
    </row>
    <row r="62" spans="1:24" x14ac:dyDescent="0.25">
      <c r="A62" s="1" t="s">
        <v>143</v>
      </c>
      <c r="B62" s="47" t="s">
        <v>136</v>
      </c>
      <c r="C62" s="2"/>
      <c r="K62" s="115"/>
      <c r="N62" s="29"/>
      <c r="O62" s="30"/>
      <c r="P62" s="30"/>
      <c r="Q62" s="30"/>
      <c r="R62" s="30"/>
      <c r="S62" s="30"/>
      <c r="T62" s="30"/>
      <c r="U62" s="30"/>
      <c r="V62" s="30"/>
      <c r="W62" s="30"/>
    </row>
    <row r="63" spans="1:24" x14ac:dyDescent="0.25">
      <c r="B63" s="3"/>
      <c r="C63" s="2"/>
      <c r="K63" s="123"/>
      <c r="N63" s="29"/>
      <c r="O63" s="29"/>
      <c r="P63" s="29"/>
      <c r="Q63" s="29"/>
      <c r="R63" s="29"/>
      <c r="S63" s="29"/>
      <c r="T63" s="29"/>
      <c r="U63" s="29"/>
      <c r="V63" s="29"/>
      <c r="W63" s="29"/>
    </row>
    <row r="64" spans="1:24" ht="41.4" x14ac:dyDescent="0.25">
      <c r="A64" s="11"/>
      <c r="B64" s="139" t="s">
        <v>45</v>
      </c>
      <c r="C64" s="48" t="s">
        <v>67</v>
      </c>
      <c r="D64" s="48" t="s">
        <v>121</v>
      </c>
      <c r="E64" s="161" t="s">
        <v>44</v>
      </c>
      <c r="F64" s="161"/>
      <c r="G64" s="161"/>
      <c r="H64" s="161"/>
      <c r="I64" s="161"/>
      <c r="K64" s="121"/>
      <c r="O64" s="29"/>
      <c r="P64" s="29"/>
      <c r="Q64" s="29"/>
      <c r="R64" s="29"/>
      <c r="S64" s="29"/>
      <c r="T64" s="29"/>
      <c r="U64" s="29"/>
      <c r="V64" s="29"/>
      <c r="W64" s="29"/>
      <c r="X64" s="29"/>
    </row>
    <row r="65" spans="1:24" ht="30.75" customHeight="1" x14ac:dyDescent="0.25">
      <c r="A65" s="162" t="s">
        <v>134</v>
      </c>
      <c r="B65" s="163"/>
      <c r="C65" s="164"/>
      <c r="D65" s="127">
        <v>122338.93</v>
      </c>
      <c r="E65" s="153"/>
      <c r="F65" s="154"/>
      <c r="G65" s="154"/>
      <c r="H65" s="154"/>
      <c r="I65" s="155"/>
      <c r="K65" s="121"/>
      <c r="O65" s="29"/>
      <c r="P65" s="29"/>
      <c r="Q65" s="29"/>
      <c r="R65" s="29"/>
      <c r="S65" s="29"/>
      <c r="T65" s="29"/>
      <c r="U65" s="29"/>
      <c r="V65" s="29"/>
      <c r="W65" s="29"/>
      <c r="X65" s="29"/>
    </row>
    <row r="66" spans="1:24" ht="27.6" x14ac:dyDescent="0.25">
      <c r="A66" s="70" t="s">
        <v>51</v>
      </c>
      <c r="B66" s="49" t="s">
        <v>62</v>
      </c>
      <c r="C66" s="112" t="s">
        <v>174</v>
      </c>
      <c r="D66" s="98">
        <v>-144857</v>
      </c>
      <c r="E66" s="151"/>
      <c r="F66" s="151"/>
      <c r="G66" s="151"/>
      <c r="H66" s="151"/>
      <c r="I66" s="151"/>
      <c r="K66" s="121"/>
      <c r="O66" s="29"/>
      <c r="P66" s="29"/>
      <c r="Q66" s="29"/>
      <c r="R66" s="29"/>
      <c r="S66" s="29"/>
      <c r="T66" s="29"/>
      <c r="U66" s="29"/>
      <c r="V66" s="29"/>
      <c r="W66" s="29"/>
      <c r="X66" s="29"/>
    </row>
    <row r="67" spans="1:24" ht="27.6" x14ac:dyDescent="0.25">
      <c r="A67" s="70" t="s">
        <v>52</v>
      </c>
      <c r="B67" s="49" t="s">
        <v>79</v>
      </c>
      <c r="C67" s="113" t="s">
        <v>164</v>
      </c>
      <c r="D67" s="114">
        <v>167447</v>
      </c>
      <c r="E67" s="148"/>
      <c r="F67" s="149"/>
      <c r="G67" s="149"/>
      <c r="H67" s="149"/>
      <c r="I67" s="150"/>
      <c r="J67" s="79"/>
      <c r="K67" s="122"/>
      <c r="L67" s="79"/>
      <c r="M67" s="79"/>
      <c r="N67" s="79"/>
      <c r="O67" s="79"/>
      <c r="P67" s="79"/>
      <c r="Q67" s="79"/>
    </row>
    <row r="68" spans="1:24" ht="27.6" x14ac:dyDescent="0.25">
      <c r="A68" s="70" t="s">
        <v>65</v>
      </c>
      <c r="B68" s="49" t="s">
        <v>64</v>
      </c>
      <c r="C68" s="112" t="s">
        <v>174</v>
      </c>
      <c r="D68" s="114"/>
      <c r="E68" s="151"/>
      <c r="F68" s="151"/>
      <c r="G68" s="151"/>
      <c r="H68" s="151"/>
      <c r="I68" s="151"/>
      <c r="J68" s="79"/>
      <c r="K68" s="122"/>
      <c r="L68" s="79"/>
      <c r="M68" s="79"/>
      <c r="N68" s="79"/>
      <c r="O68" s="79"/>
      <c r="P68" s="79"/>
      <c r="Q68" s="79"/>
    </row>
    <row r="69" spans="1:24" ht="27.6" x14ac:dyDescent="0.25">
      <c r="A69" s="70" t="s">
        <v>66</v>
      </c>
      <c r="B69" s="49" t="s">
        <v>63</v>
      </c>
      <c r="C69" s="112" t="s">
        <v>174</v>
      </c>
      <c r="D69" s="114"/>
      <c r="E69" s="148"/>
      <c r="F69" s="149"/>
      <c r="G69" s="149"/>
      <c r="H69" s="149"/>
      <c r="I69" s="150"/>
      <c r="J69" s="79"/>
      <c r="K69" s="125"/>
      <c r="L69" s="79"/>
      <c r="M69" s="79"/>
      <c r="N69" s="79"/>
      <c r="O69" s="79"/>
      <c r="P69" s="79"/>
      <c r="Q69" s="79"/>
    </row>
    <row r="70" spans="1:24" ht="27.6" x14ac:dyDescent="0.25">
      <c r="A70" s="70" t="s">
        <v>69</v>
      </c>
      <c r="B70" s="49" t="s">
        <v>71</v>
      </c>
      <c r="C70" s="113" t="s">
        <v>164</v>
      </c>
      <c r="D70" s="98">
        <f>(0+18378+229+1549)+(0-7976)</f>
        <v>12180</v>
      </c>
      <c r="E70" s="151"/>
      <c r="F70" s="151"/>
      <c r="G70" s="151"/>
      <c r="H70" s="151"/>
      <c r="I70" s="151"/>
      <c r="J70" s="79"/>
      <c r="K70" s="125"/>
      <c r="L70" s="79"/>
      <c r="M70" s="79"/>
      <c r="N70" s="79"/>
      <c r="O70" s="79"/>
      <c r="P70" s="79"/>
      <c r="Q70" s="79"/>
    </row>
    <row r="71" spans="1:24" ht="27.6" x14ac:dyDescent="0.25">
      <c r="A71" s="70" t="s">
        <v>70</v>
      </c>
      <c r="B71" s="49" t="s">
        <v>72</v>
      </c>
      <c r="C71" s="112" t="s">
        <v>174</v>
      </c>
      <c r="D71" s="98"/>
      <c r="E71" s="151"/>
      <c r="F71" s="151"/>
      <c r="G71" s="151"/>
      <c r="H71" s="151"/>
      <c r="I71" s="151"/>
      <c r="J71" s="79"/>
      <c r="K71" s="125"/>
      <c r="L71" s="79"/>
      <c r="M71" s="79"/>
      <c r="N71" s="79"/>
      <c r="O71" s="79"/>
      <c r="P71" s="79"/>
      <c r="Q71" s="79"/>
    </row>
    <row r="72" spans="1:24" ht="33.75" customHeight="1" x14ac:dyDescent="0.25">
      <c r="A72" s="70">
        <v>4</v>
      </c>
      <c r="B72" s="49" t="s">
        <v>68</v>
      </c>
      <c r="C72" s="112" t="s">
        <v>174</v>
      </c>
      <c r="D72" s="98">
        <v>0</v>
      </c>
      <c r="E72" s="151"/>
      <c r="F72" s="151"/>
      <c r="G72" s="151"/>
      <c r="H72" s="151"/>
      <c r="I72" s="151"/>
      <c r="J72" s="79"/>
      <c r="K72" s="125"/>
      <c r="L72" s="79"/>
      <c r="M72" s="79"/>
      <c r="N72" s="79"/>
      <c r="O72" s="79"/>
      <c r="P72" s="79"/>
      <c r="Q72" s="79"/>
    </row>
    <row r="73" spans="1:24" ht="41.4" x14ac:dyDescent="0.25">
      <c r="A73" s="70">
        <v>5</v>
      </c>
      <c r="B73" s="49" t="s">
        <v>81</v>
      </c>
      <c r="C73" s="112" t="s">
        <v>174</v>
      </c>
      <c r="D73" s="98"/>
      <c r="E73" s="151"/>
      <c r="F73" s="151"/>
      <c r="G73" s="151"/>
      <c r="H73" s="151"/>
      <c r="I73" s="151"/>
      <c r="J73" s="79"/>
      <c r="K73" s="125"/>
      <c r="L73" s="79"/>
      <c r="M73" s="79"/>
      <c r="N73" s="79"/>
      <c r="O73" s="79"/>
      <c r="P73" s="79"/>
      <c r="Q73" s="79"/>
    </row>
    <row r="74" spans="1:24" ht="27.6" x14ac:dyDescent="0.25">
      <c r="A74" s="54">
        <v>6</v>
      </c>
      <c r="B74" s="129" t="s">
        <v>137</v>
      </c>
      <c r="C74" s="112" t="s">
        <v>174</v>
      </c>
      <c r="D74" s="98"/>
      <c r="E74" s="151"/>
      <c r="F74" s="151"/>
      <c r="G74" s="151"/>
      <c r="H74" s="151"/>
      <c r="I74" s="151"/>
      <c r="K74" s="29"/>
    </row>
    <row r="75" spans="1:24" x14ac:dyDescent="0.25">
      <c r="A75" s="54">
        <v>7</v>
      </c>
      <c r="B75" s="46" t="s">
        <v>167</v>
      </c>
      <c r="C75" s="112" t="s">
        <v>174</v>
      </c>
      <c r="D75" s="98">
        <v>0</v>
      </c>
      <c r="E75" s="151" t="s">
        <v>170</v>
      </c>
      <c r="F75" s="151"/>
      <c r="G75" s="151"/>
      <c r="H75" s="151"/>
      <c r="I75" s="151"/>
    </row>
    <row r="76" spans="1:24" x14ac:dyDescent="0.25">
      <c r="A76" s="54">
        <v>8</v>
      </c>
      <c r="B76" s="46"/>
      <c r="C76" s="112" t="s">
        <v>164</v>
      </c>
      <c r="D76" s="98"/>
      <c r="E76" s="151"/>
      <c r="F76" s="151"/>
      <c r="G76" s="151"/>
      <c r="H76" s="151"/>
      <c r="I76" s="151"/>
    </row>
    <row r="77" spans="1:24" x14ac:dyDescent="0.25">
      <c r="A77" s="54">
        <v>9</v>
      </c>
      <c r="B77" s="46"/>
      <c r="C77" s="10"/>
      <c r="D77" s="98"/>
      <c r="E77" s="148"/>
      <c r="F77" s="149"/>
      <c r="G77" s="149"/>
      <c r="H77" s="149"/>
      <c r="I77" s="150"/>
    </row>
    <row r="78" spans="1:24" x14ac:dyDescent="0.25">
      <c r="A78" s="54">
        <v>10</v>
      </c>
      <c r="B78" s="46"/>
      <c r="C78" s="10"/>
      <c r="D78" s="98"/>
      <c r="E78" s="151"/>
      <c r="F78" s="151"/>
      <c r="G78" s="151"/>
      <c r="H78" s="151"/>
      <c r="I78" s="151"/>
    </row>
    <row r="79" spans="1:24" x14ac:dyDescent="0.25">
      <c r="A79" s="1" t="s">
        <v>150</v>
      </c>
      <c r="B79" s="2" t="s">
        <v>131</v>
      </c>
      <c r="C79" s="2"/>
      <c r="D79" s="99">
        <f>SUM(D65:D78)</f>
        <v>157108.93</v>
      </c>
      <c r="E79" s="25"/>
      <c r="F79" s="25"/>
      <c r="G79" s="25"/>
      <c r="H79" s="25"/>
    </row>
    <row r="80" spans="1:24" x14ac:dyDescent="0.25">
      <c r="B80" s="124" t="s">
        <v>132</v>
      </c>
      <c r="C80" s="71"/>
      <c r="D80" s="99">
        <f>K59</f>
        <v>181208.4186318001</v>
      </c>
      <c r="E80" s="25"/>
      <c r="F80" s="25"/>
      <c r="G80" s="25"/>
      <c r="H80" s="25"/>
    </row>
    <row r="81" spans="1:19" x14ac:dyDescent="0.25">
      <c r="B81" s="71" t="s">
        <v>24</v>
      </c>
      <c r="C81" s="71"/>
      <c r="D81" s="100">
        <f>D79-D80</f>
        <v>-24099.488631800108</v>
      </c>
    </row>
    <row r="82" spans="1:19" ht="14.4" thickBot="1" x14ac:dyDescent="0.3">
      <c r="B82" s="135" t="s">
        <v>73</v>
      </c>
      <c r="C82" s="72"/>
      <c r="D82" s="61">
        <f>IF(ISERROR(D81/J59),0,D81/J59)</f>
        <v>-2.8889370681269705E-3</v>
      </c>
      <c r="E82" s="104" t="str">
        <f>IF(AND(D82&lt;0.01,D82&gt;-0.01),"","Unresolved differences of greater than + or - 1% should be explained")</f>
        <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4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5">
      <c r="B89" s="116"/>
      <c r="C89" s="107"/>
      <c r="D89" s="107"/>
      <c r="E89" s="108"/>
      <c r="F89" s="131">
        <f t="shared" ref="F89:F91" si="7">SUM(D89:E89)</f>
        <v>0</v>
      </c>
      <c r="G89" s="109">
        <f>F89-C89</f>
        <v>0</v>
      </c>
      <c r="H89" s="108"/>
      <c r="I89" s="105">
        <f>IF(ISERROR(G89/H89),0,G89/H89)</f>
        <v>0</v>
      </c>
      <c r="J89" s="79"/>
      <c r="K89" s="79"/>
      <c r="L89" s="35"/>
      <c r="M89" s="35"/>
      <c r="N89" s="35"/>
      <c r="O89" s="35"/>
      <c r="P89" s="35"/>
      <c r="Q89" s="35"/>
      <c r="R89" s="35"/>
      <c r="S89" s="35"/>
    </row>
    <row r="90" spans="1:19" x14ac:dyDescent="0.25">
      <c r="B90" s="116"/>
      <c r="C90" s="107"/>
      <c r="D90" s="107"/>
      <c r="E90" s="108"/>
      <c r="F90" s="131">
        <f t="shared" si="7"/>
        <v>0</v>
      </c>
      <c r="G90" s="109">
        <f>F90-C90</f>
        <v>0</v>
      </c>
      <c r="H90" s="108"/>
      <c r="I90" s="105">
        <f>IF(ISERROR(G90/H90),0,G90/H90)</f>
        <v>0</v>
      </c>
      <c r="J90" s="79"/>
      <c r="K90" s="79"/>
      <c r="L90" s="35"/>
      <c r="M90" s="35"/>
      <c r="N90" s="35"/>
      <c r="O90" s="35"/>
      <c r="P90" s="35"/>
      <c r="Q90" s="35"/>
      <c r="R90" s="35"/>
      <c r="S90" s="35"/>
    </row>
    <row r="91" spans="1:19" ht="14.4" thickBot="1" x14ac:dyDescent="0.3">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30">
        <f t="shared" ref="C92:H92" si="8">SUM(C88:C91)</f>
        <v>0</v>
      </c>
      <c r="D92" s="130">
        <f t="shared" si="8"/>
        <v>0</v>
      </c>
      <c r="E92" s="130">
        <f t="shared" si="8"/>
        <v>0</v>
      </c>
      <c r="F92" s="132">
        <f t="shared" si="8"/>
        <v>0</v>
      </c>
      <c r="G92" s="130">
        <f>SUM(G88:G91)</f>
        <v>0</v>
      </c>
      <c r="H92" s="77">
        <f t="shared" si="8"/>
        <v>0</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2:X103"/>
  <sheetViews>
    <sheetView zoomScale="60" zoomScaleNormal="60" zoomScaleSheetLayoutView="50" workbookViewId="0">
      <selection activeCell="C18" sqref="C18"/>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3" t="s">
        <v>177</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6" t="s">
        <v>25</v>
      </c>
      <c r="C21" s="156"/>
      <c r="D21" s="24" t="s">
        <v>166</v>
      </c>
      <c r="E21" s="157"/>
      <c r="F21" s="158"/>
      <c r="G21" s="79"/>
      <c r="H21" s="79"/>
      <c r="I21" s="79"/>
      <c r="J21" s="79"/>
      <c r="K21" s="79"/>
      <c r="L21" s="79"/>
      <c r="M21" s="79"/>
      <c r="N21" s="79"/>
      <c r="O21" s="79"/>
      <c r="P21" s="79"/>
      <c r="Q21" s="79"/>
    </row>
    <row r="22" spans="1:24" ht="14.4" thickBot="1" x14ac:dyDescent="0.3">
      <c r="A22" s="4"/>
      <c r="B22" s="5" t="s">
        <v>3</v>
      </c>
      <c r="C22" s="5" t="s">
        <v>2</v>
      </c>
      <c r="D22" s="117">
        <f>D23+D24</f>
        <v>77064273.530000001</v>
      </c>
      <c r="E22" s="6" t="s">
        <v>0</v>
      </c>
      <c r="F22" s="7">
        <v>1</v>
      </c>
      <c r="G22" s="79"/>
      <c r="H22" s="79"/>
      <c r="I22" s="79"/>
      <c r="J22" s="79"/>
      <c r="K22" s="79"/>
      <c r="L22" s="79"/>
      <c r="M22" s="79"/>
      <c r="N22" s="79"/>
      <c r="O22" s="79"/>
      <c r="P22" s="79"/>
      <c r="Q22" s="79"/>
    </row>
    <row r="23" spans="1:24" x14ac:dyDescent="0.25">
      <c r="B23" s="5" t="s">
        <v>7</v>
      </c>
      <c r="C23" s="5" t="s">
        <v>1</v>
      </c>
      <c r="D23" s="118">
        <f>27324121.6+14002292.8+5357022.8+9360.3+56112</f>
        <v>46748909.5</v>
      </c>
      <c r="E23" s="6" t="s">
        <v>0</v>
      </c>
      <c r="F23" s="8">
        <f>IFERROR(D23/$D$22,0)</f>
        <v>0.60662233430126777</v>
      </c>
    </row>
    <row r="24" spans="1:24" ht="14.4" thickBot="1" x14ac:dyDescent="0.3">
      <c r="B24" s="5" t="s">
        <v>8</v>
      </c>
      <c r="C24" s="5" t="s">
        <v>6</v>
      </c>
      <c r="D24" s="117">
        <f>D25+D26</f>
        <v>30315364.030000001</v>
      </c>
      <c r="E24" s="6" t="s">
        <v>0</v>
      </c>
      <c r="F24" s="8">
        <f>IFERROR(D24/$D$22,0)</f>
        <v>0.39337766569873223</v>
      </c>
    </row>
    <row r="25" spans="1:24" x14ac:dyDescent="0.25">
      <c r="B25" s="5" t="s">
        <v>9</v>
      </c>
      <c r="C25" s="5" t="s">
        <v>4</v>
      </c>
      <c r="D25" s="118">
        <v>0</v>
      </c>
      <c r="E25" s="6" t="s">
        <v>0</v>
      </c>
      <c r="F25" s="8">
        <f>IFERROR(D25/$D$22,0)</f>
        <v>0</v>
      </c>
    </row>
    <row r="26" spans="1:24" x14ac:dyDescent="0.25">
      <c r="B26" s="5" t="s">
        <v>61</v>
      </c>
      <c r="C26" s="5" t="s">
        <v>5</v>
      </c>
      <c r="D26" s="119">
        <f>14970548.8+317115.8+15027699.43</f>
        <v>30315364.030000001</v>
      </c>
      <c r="E26" s="6" t="s">
        <v>0</v>
      </c>
      <c r="F26" s="8">
        <f>IFERROR(D26/$D$22,0)</f>
        <v>0.39337766569873223</v>
      </c>
      <c r="G26" s="29"/>
      <c r="H26" s="29"/>
    </row>
    <row r="27" spans="1:24" ht="34.5" customHeight="1" x14ac:dyDescent="0.25">
      <c r="B27" s="159" t="s">
        <v>77</v>
      </c>
      <c r="C27" s="159"/>
      <c r="D27" s="159"/>
      <c r="E27" s="159"/>
      <c r="F27" s="159"/>
      <c r="G27" s="160"/>
      <c r="H27" s="160"/>
    </row>
    <row r="28" spans="1:24" x14ac:dyDescent="0.25">
      <c r="D28" s="120"/>
      <c r="E28" s="35"/>
      <c r="F28" s="35"/>
      <c r="G28" s="35"/>
    </row>
    <row r="29" spans="1:24" x14ac:dyDescent="0.25">
      <c r="A29" s="1" t="s">
        <v>35</v>
      </c>
      <c r="B29" s="3" t="s">
        <v>41</v>
      </c>
    </row>
    <row r="30" spans="1:24" x14ac:dyDescent="0.25">
      <c r="B30" s="3"/>
    </row>
    <row r="31" spans="1:24" x14ac:dyDescent="0.25">
      <c r="B31" s="2" t="s">
        <v>22</v>
      </c>
      <c r="C31" s="52" t="s">
        <v>163</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t="str">
        <f>+D21</f>
        <v>2016 PS</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2">
        <v>2016</v>
      </c>
      <c r="P45" s="152"/>
      <c r="Q45" s="152"/>
      <c r="R45" s="152">
        <v>2015</v>
      </c>
      <c r="S45" s="152"/>
      <c r="T45" s="152"/>
      <c r="U45" s="152">
        <v>2014</v>
      </c>
      <c r="V45" s="152"/>
      <c r="W45" s="152"/>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f>540592+43733.89+939884.01+76036.61+33672.36+2724.09+1319836.27</f>
        <v>2956479.2300000004</v>
      </c>
      <c r="D47" s="94">
        <f>1636643+1319836</f>
        <v>2956479</v>
      </c>
      <c r="E47" s="60">
        <f>1548115+1513262</f>
        <v>3061377</v>
      </c>
      <c r="F47" s="51">
        <f>C47-D47+E47</f>
        <v>3061377.2300000004</v>
      </c>
      <c r="G47" s="111">
        <f>+O47</f>
        <v>8.4229999999999999E-2</v>
      </c>
      <c r="H47" s="15">
        <f>F47*G47</f>
        <v>257859.80408290002</v>
      </c>
      <c r="I47" s="111">
        <f>+Q47</f>
        <v>9.1789999999999997E-2</v>
      </c>
      <c r="J47" s="17">
        <f>F47*I47</f>
        <v>281003.81594170001</v>
      </c>
      <c r="K47" s="16">
        <f>J47-H47</f>
        <v>23144.01185879999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f>509256+41198.82+890520.7+72043.13+32469.48+2626.78+1513261.98</f>
        <v>3061376.8899999997</v>
      </c>
      <c r="D48" s="94">
        <f>+E47</f>
        <v>3061377</v>
      </c>
      <c r="E48" s="60">
        <f>1437805+1418441</f>
        <v>2856246</v>
      </c>
      <c r="F48" s="51">
        <f t="shared" ref="F48:F58" si="0">C48-D48+E48</f>
        <v>2856245.8899999997</v>
      </c>
      <c r="G48" s="111">
        <f t="shared" ref="G48:G58" si="1">+O48</f>
        <v>0.10384</v>
      </c>
      <c r="H48" s="15">
        <f t="shared" ref="H48:H58" si="2">F48*G48</f>
        <v>296592.57321759994</v>
      </c>
      <c r="I48" s="111">
        <f t="shared" ref="I48:I58" si="3">+Q48</f>
        <v>9.851E-2</v>
      </c>
      <c r="J48" s="17">
        <f t="shared" ref="J48:J58" si="4">F48*I48</f>
        <v>281368.78262389998</v>
      </c>
      <c r="K48" s="16">
        <f t="shared" ref="K48:K58" si="5">J48-H48</f>
        <v>-15223.79059369996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f>488812+39544.89+813345.82+65799.68+28034.69+2268.01+1418441.08</f>
        <v>2856246.17</v>
      </c>
      <c r="D49" s="94">
        <f t="shared" ref="D49:D58" si="6">+E48</f>
        <v>2856246</v>
      </c>
      <c r="E49" s="60">
        <f>1435108+1399166</f>
        <v>2834274</v>
      </c>
      <c r="F49" s="51">
        <f t="shared" si="0"/>
        <v>2834274.17</v>
      </c>
      <c r="G49" s="111">
        <f t="shared" si="1"/>
        <v>9.0219999999999995E-2</v>
      </c>
      <c r="H49" s="15">
        <f t="shared" si="2"/>
        <v>255708.21561739998</v>
      </c>
      <c r="I49" s="111">
        <f t="shared" si="3"/>
        <v>0.1061</v>
      </c>
      <c r="J49" s="17">
        <f t="shared" si="4"/>
        <v>300716.48943700001</v>
      </c>
      <c r="K49" s="16">
        <f t="shared" si="5"/>
        <v>45008.273819600028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f>478708+38727.47+821967.09+66497.14+27022.64+2186.13+1399165.86</f>
        <v>2834274.33</v>
      </c>
      <c r="D50" s="94">
        <f t="shared" si="6"/>
        <v>2834274</v>
      </c>
      <c r="E50" s="60">
        <f>1310660+1277867</f>
        <v>2588527</v>
      </c>
      <c r="F50" s="51">
        <f t="shared" si="0"/>
        <v>2588527.33</v>
      </c>
      <c r="G50" s="111">
        <f t="shared" si="1"/>
        <v>0.12114999999999999</v>
      </c>
      <c r="H50" s="15">
        <f t="shared" si="2"/>
        <v>313600.0860295</v>
      </c>
      <c r="I50" s="111">
        <f t="shared" si="3"/>
        <v>0.11132</v>
      </c>
      <c r="J50" s="17">
        <f t="shared" si="4"/>
        <v>288154.86237560003</v>
      </c>
      <c r="K50" s="16">
        <f t="shared" si="5"/>
        <v>-25445.223653899971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f>410165+33182.35+779597.33+63069.43+22801.3+1844.63+1277867.41</f>
        <v>2588527.4499999997</v>
      </c>
      <c r="D51" s="94">
        <f t="shared" si="6"/>
        <v>2588527</v>
      </c>
      <c r="E51" s="60">
        <f>1274050+1301248</f>
        <v>2575298</v>
      </c>
      <c r="F51" s="51">
        <f t="shared" si="0"/>
        <v>2575298.4499999997</v>
      </c>
      <c r="G51" s="111">
        <f t="shared" si="1"/>
        <v>0.10405</v>
      </c>
      <c r="H51" s="15">
        <f t="shared" si="2"/>
        <v>267959.80372249999</v>
      </c>
      <c r="I51" s="111">
        <f t="shared" si="3"/>
        <v>0.10749</v>
      </c>
      <c r="J51" s="17">
        <f t="shared" si="4"/>
        <v>276818.83039049996</v>
      </c>
      <c r="K51" s="16">
        <f t="shared" si="5"/>
        <v>8859.0266679999768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f>380489+30781.56+777487.93+62898.77+20716.84+1675.99+1301247.84</f>
        <v>2575297.9300000002</v>
      </c>
      <c r="D52" s="94">
        <f t="shared" si="6"/>
        <v>2575298</v>
      </c>
      <c r="E52" s="60">
        <f>1249072+1298570</f>
        <v>2547642</v>
      </c>
      <c r="F52" s="51">
        <f t="shared" si="0"/>
        <v>2547641.9300000002</v>
      </c>
      <c r="G52" s="111">
        <f t="shared" si="1"/>
        <v>0.11650000000000001</v>
      </c>
      <c r="H52" s="15">
        <f t="shared" si="2"/>
        <v>296800.28484500002</v>
      </c>
      <c r="I52" s="111">
        <f t="shared" si="3"/>
        <v>9.5449999999999993E-2</v>
      </c>
      <c r="J52" s="17">
        <f t="shared" si="4"/>
        <v>243172.4222185</v>
      </c>
      <c r="K52" s="16">
        <f t="shared" si="5"/>
        <v>-53627.86262650002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f>378112+30589.26+759168.59+61416.74+18304.82+1480.86+1298569.61</f>
        <v>2547641.8800000004</v>
      </c>
      <c r="D53" s="94">
        <f t="shared" si="6"/>
        <v>2547642</v>
      </c>
      <c r="E53" s="60">
        <f>1468364+1447332</f>
        <v>2915696</v>
      </c>
      <c r="F53" s="51">
        <f t="shared" si="0"/>
        <v>2915695.8800000004</v>
      </c>
      <c r="G53" s="111">
        <f t="shared" si="1"/>
        <v>7.6670000000000002E-2</v>
      </c>
      <c r="H53" s="15">
        <f t="shared" si="2"/>
        <v>223546.40311960003</v>
      </c>
      <c r="I53" s="111">
        <f t="shared" si="3"/>
        <v>8.3059999999999995E-2</v>
      </c>
      <c r="J53" s="17">
        <f t="shared" si="4"/>
        <v>242177.69979280001</v>
      </c>
      <c r="K53" s="16">
        <f t="shared" si="5"/>
        <v>18631.296673199977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f>418460+33853.42+920158.32+74440.79+19846.02+1605.54+1447331.71</f>
        <v>2915695.8</v>
      </c>
      <c r="D54" s="94">
        <f t="shared" si="6"/>
        <v>2915696</v>
      </c>
      <c r="E54" s="60">
        <f>1389553+1535829</f>
        <v>2925382</v>
      </c>
      <c r="F54" s="51">
        <f t="shared" si="0"/>
        <v>2925381.8</v>
      </c>
      <c r="G54" s="111">
        <f t="shared" si="1"/>
        <v>8.5690000000000002E-2</v>
      </c>
      <c r="H54" s="15">
        <f t="shared" si="2"/>
        <v>250675.966442</v>
      </c>
      <c r="I54" s="111">
        <f t="shared" si="3"/>
        <v>7.1029999999999996E-2</v>
      </c>
      <c r="J54" s="17">
        <f t="shared" si="4"/>
        <v>207789.86925399996</v>
      </c>
      <c r="K54" s="16">
        <f t="shared" si="5"/>
        <v>-42886.097188000043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f>405667+32818.46+877867.84+71019.52+22159.22+1792.68+1535828.65</f>
        <v>2947153.37</v>
      </c>
      <c r="D55" s="94">
        <f t="shared" si="6"/>
        <v>2925382</v>
      </c>
      <c r="E55" s="60">
        <f>1275898+1271605</f>
        <v>2547503</v>
      </c>
      <c r="F55" s="51">
        <f t="shared" si="0"/>
        <v>2569274.37</v>
      </c>
      <c r="G55" s="111">
        <f t="shared" si="1"/>
        <v>7.0599999999999996E-2</v>
      </c>
      <c r="H55" s="15">
        <f t="shared" si="2"/>
        <v>181390.77052200001</v>
      </c>
      <c r="I55" s="111">
        <f t="shared" si="3"/>
        <v>9.5310000000000006E-2</v>
      </c>
      <c r="J55" s="17">
        <f t="shared" si="4"/>
        <v>244877.54020470002</v>
      </c>
      <c r="K55" s="16">
        <f t="shared" si="5"/>
        <v>63486.769682700018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f>350933+28390.49+804770.86+65105.95+24699.44+1998.18+1271604.9</f>
        <v>2547502.8199999998</v>
      </c>
      <c r="D56" s="94">
        <f t="shared" si="6"/>
        <v>2547503</v>
      </c>
      <c r="E56" s="60">
        <f>1325019+1215851</f>
        <v>2540870</v>
      </c>
      <c r="F56" s="51">
        <f t="shared" si="0"/>
        <v>2540869.8199999998</v>
      </c>
      <c r="G56" s="111">
        <f t="shared" si="1"/>
        <v>9.7199999999999995E-2</v>
      </c>
      <c r="H56" s="15">
        <f t="shared" si="2"/>
        <v>246972.54650399997</v>
      </c>
      <c r="I56" s="111">
        <f t="shared" si="3"/>
        <v>0.11226</v>
      </c>
      <c r="J56" s="17">
        <f t="shared" si="4"/>
        <v>285238.04599319998</v>
      </c>
      <c r="K56" s="16">
        <f t="shared" si="5"/>
        <v>38265.49948920001</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f>341008+27587.55+856201.67+69266.72+28637.88+2316.8+1215851.14</f>
        <v>2540869.7599999998</v>
      </c>
      <c r="D57" s="94">
        <f t="shared" si="6"/>
        <v>2540870</v>
      </c>
      <c r="E57" s="60">
        <f>1409449+1224491</f>
        <v>2633940</v>
      </c>
      <c r="F57" s="51">
        <f t="shared" si="0"/>
        <v>2633939.7599999998</v>
      </c>
      <c r="G57" s="111">
        <f t="shared" si="1"/>
        <v>0.12271</v>
      </c>
      <c r="H57" s="15">
        <f t="shared" si="2"/>
        <v>323210.74794959999</v>
      </c>
      <c r="I57" s="111">
        <f t="shared" si="3"/>
        <v>0.11108999999999999</v>
      </c>
      <c r="J57" s="17">
        <f t="shared" si="4"/>
        <v>292604.36793839996</v>
      </c>
      <c r="K57" s="16">
        <f t="shared" si="5"/>
        <v>-30606.380011200032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f>351977+28474.94+917242.25+74204.88+34739.59+2810.43+1224490.54</f>
        <v>2633939.63</v>
      </c>
      <c r="D58" s="94">
        <f t="shared" si="6"/>
        <v>2633940</v>
      </c>
      <c r="E58" s="60">
        <f>1523221+1339780</f>
        <v>2863001</v>
      </c>
      <c r="F58" s="51">
        <f t="shared" si="0"/>
        <v>2863000.63</v>
      </c>
      <c r="G58" s="111">
        <f t="shared" si="1"/>
        <v>0.10594000000000001</v>
      </c>
      <c r="H58" s="15">
        <f t="shared" si="2"/>
        <v>303306.28674220003</v>
      </c>
      <c r="I58" s="111">
        <f t="shared" si="3"/>
        <v>8.7080000000000005E-2</v>
      </c>
      <c r="J58" s="17">
        <f t="shared" si="4"/>
        <v>249310.09486040002</v>
      </c>
      <c r="K58" s="16">
        <f t="shared" si="5"/>
        <v>-53996.191881800012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8" t="s">
        <v>133</v>
      </c>
      <c r="C59" s="97">
        <f>SUM(C47:C58)</f>
        <v>33005005.260000002</v>
      </c>
      <c r="D59" s="97">
        <f>SUM(D47:D58)</f>
        <v>32983234</v>
      </c>
      <c r="E59" s="97">
        <f>SUM(E47:E58)</f>
        <v>32889756</v>
      </c>
      <c r="F59" s="97">
        <f>SUM(F47:F58)</f>
        <v>32911527.260000002</v>
      </c>
      <c r="G59" s="37"/>
      <c r="H59" s="38">
        <f>SUM(H47:H58)</f>
        <v>3217623.4887942998</v>
      </c>
      <c r="I59" s="37"/>
      <c r="J59" s="38">
        <f>SUM(J47:J58)</f>
        <v>3193232.8210306996</v>
      </c>
      <c r="K59" s="39">
        <f>SUM(K47:K58)</f>
        <v>-24390.667763600039</v>
      </c>
      <c r="N59" s="31"/>
      <c r="O59" s="32"/>
      <c r="P59" s="32"/>
      <c r="Q59" s="32"/>
      <c r="R59" s="32"/>
      <c r="S59" s="32"/>
      <c r="T59" s="32"/>
      <c r="U59" s="32"/>
      <c r="V59" s="32"/>
      <c r="W59" s="32"/>
    </row>
    <row r="60" spans="1:24" x14ac:dyDescent="0.25">
      <c r="F60" s="141">
        <f>+F59-D26*1.0809</f>
        <v>143650.27997300029</v>
      </c>
      <c r="G60" s="4"/>
      <c r="H60" s="4"/>
      <c r="I60" s="4"/>
      <c r="J60" s="69"/>
      <c r="K60" s="126"/>
      <c r="N60" s="29"/>
      <c r="O60" s="30"/>
      <c r="P60" s="30"/>
      <c r="Q60" s="30"/>
      <c r="R60" s="30"/>
      <c r="S60" s="30"/>
      <c r="T60" s="30"/>
      <c r="U60" s="30"/>
      <c r="V60" s="30"/>
      <c r="W60" s="30"/>
    </row>
    <row r="61" spans="1:24" x14ac:dyDescent="0.25">
      <c r="F61" s="142">
        <f>F60/F59</f>
        <v>4.3647406222800823E-3</v>
      </c>
      <c r="N61" s="29"/>
      <c r="O61" s="30"/>
      <c r="P61" s="30"/>
      <c r="Q61" s="30"/>
      <c r="R61" s="30"/>
      <c r="S61" s="30"/>
      <c r="T61" s="30"/>
      <c r="U61" s="30"/>
      <c r="V61" s="30"/>
      <c r="W61" s="30"/>
    </row>
    <row r="62" spans="1:24" x14ac:dyDescent="0.25">
      <c r="A62" s="1" t="s">
        <v>143</v>
      </c>
      <c r="B62" s="47" t="s">
        <v>136</v>
      </c>
      <c r="C62" s="2"/>
      <c r="K62" s="115"/>
      <c r="N62" s="29"/>
      <c r="O62" s="30"/>
      <c r="P62" s="30"/>
      <c r="Q62" s="30"/>
      <c r="R62" s="30"/>
      <c r="S62" s="30"/>
      <c r="T62" s="30"/>
      <c r="U62" s="30"/>
      <c r="V62" s="30"/>
      <c r="W62" s="30"/>
    </row>
    <row r="63" spans="1:24" x14ac:dyDescent="0.25">
      <c r="B63" s="3"/>
      <c r="C63" s="2"/>
      <c r="K63" s="123"/>
      <c r="N63" s="29"/>
      <c r="O63" s="29"/>
      <c r="P63" s="29"/>
      <c r="Q63" s="29"/>
      <c r="R63" s="29"/>
      <c r="S63" s="29"/>
      <c r="T63" s="29"/>
      <c r="U63" s="29"/>
      <c r="V63" s="29"/>
      <c r="W63" s="29"/>
    </row>
    <row r="64" spans="1:24" ht="41.4" x14ac:dyDescent="0.25">
      <c r="A64" s="11"/>
      <c r="B64" s="139" t="s">
        <v>45</v>
      </c>
      <c r="C64" s="48" t="s">
        <v>67</v>
      </c>
      <c r="D64" s="48" t="s">
        <v>121</v>
      </c>
      <c r="E64" s="161" t="s">
        <v>44</v>
      </c>
      <c r="F64" s="161"/>
      <c r="G64" s="161"/>
      <c r="H64" s="161"/>
      <c r="I64" s="161"/>
      <c r="K64" s="121"/>
      <c r="O64" s="29"/>
      <c r="P64" s="29"/>
      <c r="Q64" s="29"/>
      <c r="R64" s="29"/>
      <c r="S64" s="29"/>
      <c r="T64" s="29"/>
      <c r="U64" s="29"/>
      <c r="V64" s="29"/>
      <c r="W64" s="29"/>
      <c r="X64" s="29"/>
    </row>
    <row r="65" spans="1:24" ht="30.75" customHeight="1" x14ac:dyDescent="0.25">
      <c r="A65" s="162" t="s">
        <v>134</v>
      </c>
      <c r="B65" s="163"/>
      <c r="C65" s="164"/>
      <c r="D65" s="127">
        <v>-3211.34</v>
      </c>
      <c r="E65" s="153"/>
      <c r="F65" s="154"/>
      <c r="G65" s="154"/>
      <c r="H65" s="154"/>
      <c r="I65" s="155"/>
      <c r="K65" s="121"/>
      <c r="O65" s="29"/>
      <c r="P65" s="29"/>
      <c r="Q65" s="29"/>
      <c r="R65" s="29"/>
      <c r="S65" s="29"/>
      <c r="T65" s="29"/>
      <c r="U65" s="29"/>
      <c r="V65" s="29"/>
      <c r="W65" s="29"/>
      <c r="X65" s="29"/>
    </row>
    <row r="66" spans="1:24" ht="27.6" x14ac:dyDescent="0.25">
      <c r="A66" s="70" t="s">
        <v>51</v>
      </c>
      <c r="B66" s="49" t="s">
        <v>62</v>
      </c>
      <c r="C66" s="112" t="s">
        <v>174</v>
      </c>
      <c r="D66" s="98"/>
      <c r="E66" s="151"/>
      <c r="F66" s="151"/>
      <c r="G66" s="151"/>
      <c r="H66" s="151"/>
      <c r="I66" s="151"/>
      <c r="K66" s="121"/>
      <c r="O66" s="29"/>
      <c r="P66" s="29"/>
      <c r="Q66" s="29"/>
      <c r="R66" s="29"/>
      <c r="S66" s="29"/>
      <c r="T66" s="29"/>
      <c r="U66" s="29"/>
      <c r="V66" s="29"/>
      <c r="W66" s="29"/>
      <c r="X66" s="29"/>
    </row>
    <row r="67" spans="1:24" ht="27.6" x14ac:dyDescent="0.25">
      <c r="A67" s="70" t="s">
        <v>52</v>
      </c>
      <c r="B67" s="49" t="s">
        <v>79</v>
      </c>
      <c r="C67" s="113" t="s">
        <v>164</v>
      </c>
      <c r="D67" s="114">
        <v>-3202</v>
      </c>
      <c r="E67" s="148"/>
      <c r="F67" s="149"/>
      <c r="G67" s="149"/>
      <c r="H67" s="149"/>
      <c r="I67" s="150"/>
      <c r="J67" s="79"/>
      <c r="K67" s="122"/>
      <c r="L67" s="79"/>
      <c r="M67" s="79"/>
      <c r="N67" s="79"/>
      <c r="O67" s="79"/>
      <c r="P67" s="79"/>
      <c r="Q67" s="79"/>
    </row>
    <row r="68" spans="1:24" ht="27.6" x14ac:dyDescent="0.25">
      <c r="A68" s="70" t="s">
        <v>65</v>
      </c>
      <c r="B68" s="49" t="s">
        <v>64</v>
      </c>
      <c r="C68" s="112" t="s">
        <v>174</v>
      </c>
      <c r="D68" s="114"/>
      <c r="E68" s="151"/>
      <c r="F68" s="151"/>
      <c r="G68" s="151"/>
      <c r="H68" s="151"/>
      <c r="I68" s="151"/>
      <c r="J68" s="79"/>
      <c r="K68" s="122"/>
      <c r="L68" s="79"/>
      <c r="M68" s="79"/>
      <c r="N68" s="79"/>
      <c r="O68" s="79"/>
      <c r="P68" s="79"/>
      <c r="Q68" s="79"/>
    </row>
    <row r="69" spans="1:24" ht="27.6" x14ac:dyDescent="0.25">
      <c r="A69" s="70" t="s">
        <v>66</v>
      </c>
      <c r="B69" s="49" t="s">
        <v>63</v>
      </c>
      <c r="C69" s="112" t="s">
        <v>174</v>
      </c>
      <c r="D69" s="114"/>
      <c r="E69" s="148"/>
      <c r="F69" s="149"/>
      <c r="G69" s="149"/>
      <c r="H69" s="149"/>
      <c r="I69" s="150"/>
      <c r="J69" s="79"/>
      <c r="K69" s="125"/>
      <c r="L69" s="79"/>
      <c r="M69" s="79"/>
      <c r="N69" s="79"/>
      <c r="O69" s="79"/>
      <c r="P69" s="79"/>
      <c r="Q69" s="79"/>
    </row>
    <row r="70" spans="1:24" ht="27.6" x14ac:dyDescent="0.25">
      <c r="A70" s="70" t="s">
        <v>69</v>
      </c>
      <c r="B70" s="49" t="s">
        <v>71</v>
      </c>
      <c r="C70" s="113" t="s">
        <v>164</v>
      </c>
      <c r="D70" s="98">
        <f>(-5466+5551+160+13891)+(17081-24806)</f>
        <v>6411</v>
      </c>
      <c r="E70" s="151"/>
      <c r="F70" s="151"/>
      <c r="G70" s="151"/>
      <c r="H70" s="151"/>
      <c r="I70" s="151"/>
      <c r="J70" s="79"/>
      <c r="K70" s="125"/>
      <c r="L70" s="79"/>
      <c r="M70" s="79"/>
      <c r="N70" s="79"/>
      <c r="O70" s="79"/>
      <c r="P70" s="79"/>
      <c r="Q70" s="79"/>
    </row>
    <row r="71" spans="1:24" ht="27.6" x14ac:dyDescent="0.25">
      <c r="A71" s="70" t="s">
        <v>70</v>
      </c>
      <c r="B71" s="49" t="s">
        <v>72</v>
      </c>
      <c r="C71" s="112" t="s">
        <v>174</v>
      </c>
      <c r="D71" s="98"/>
      <c r="E71" s="151"/>
      <c r="F71" s="151"/>
      <c r="G71" s="151"/>
      <c r="H71" s="151"/>
      <c r="I71" s="151"/>
      <c r="J71" s="79"/>
      <c r="K71" s="125"/>
      <c r="L71" s="79"/>
      <c r="M71" s="79"/>
      <c r="N71" s="79"/>
      <c r="O71" s="79"/>
      <c r="P71" s="79"/>
      <c r="Q71" s="79"/>
    </row>
    <row r="72" spans="1:24" ht="33.75" customHeight="1" x14ac:dyDescent="0.25">
      <c r="A72" s="70">
        <v>4</v>
      </c>
      <c r="B72" s="49" t="s">
        <v>68</v>
      </c>
      <c r="C72" s="112" t="s">
        <v>174</v>
      </c>
      <c r="D72" s="98">
        <v>0</v>
      </c>
      <c r="E72" s="151"/>
      <c r="F72" s="151"/>
      <c r="G72" s="151"/>
      <c r="H72" s="151"/>
      <c r="I72" s="151"/>
      <c r="J72" s="79"/>
      <c r="K72" s="125"/>
      <c r="L72" s="79"/>
      <c r="M72" s="79"/>
      <c r="N72" s="79"/>
      <c r="O72" s="79"/>
      <c r="P72" s="79"/>
      <c r="Q72" s="79"/>
    </row>
    <row r="73" spans="1:24" ht="41.4" x14ac:dyDescent="0.25">
      <c r="A73" s="70">
        <v>5</v>
      </c>
      <c r="B73" s="49" t="s">
        <v>81</v>
      </c>
      <c r="C73" s="112" t="s">
        <v>174</v>
      </c>
      <c r="D73" s="98"/>
      <c r="E73" s="151"/>
      <c r="F73" s="151"/>
      <c r="G73" s="151"/>
      <c r="H73" s="151"/>
      <c r="I73" s="151"/>
      <c r="J73" s="79"/>
      <c r="K73" s="125"/>
      <c r="L73" s="79"/>
      <c r="M73" s="79"/>
      <c r="N73" s="79"/>
      <c r="O73" s="79"/>
      <c r="P73" s="79"/>
      <c r="Q73" s="79"/>
    </row>
    <row r="74" spans="1:24" ht="27.6" x14ac:dyDescent="0.25">
      <c r="A74" s="54">
        <v>6</v>
      </c>
      <c r="B74" s="129" t="s">
        <v>137</v>
      </c>
      <c r="C74" s="112" t="s">
        <v>174</v>
      </c>
      <c r="D74" s="98"/>
      <c r="E74" s="151"/>
      <c r="F74" s="151"/>
      <c r="G74" s="151"/>
      <c r="H74" s="151"/>
      <c r="I74" s="151"/>
      <c r="K74" s="29"/>
    </row>
    <row r="75" spans="1:24" x14ac:dyDescent="0.25">
      <c r="A75" s="54">
        <v>7</v>
      </c>
      <c r="B75" s="46" t="s">
        <v>167</v>
      </c>
      <c r="C75" s="112" t="s">
        <v>164</v>
      </c>
      <c r="D75" s="98">
        <v>0</v>
      </c>
      <c r="E75" s="151" t="s">
        <v>168</v>
      </c>
      <c r="F75" s="151"/>
      <c r="G75" s="151"/>
      <c r="H75" s="151"/>
      <c r="I75" s="151"/>
    </row>
    <row r="76" spans="1:24" x14ac:dyDescent="0.25">
      <c r="A76" s="54">
        <v>8</v>
      </c>
      <c r="B76" s="46"/>
      <c r="C76" s="10"/>
      <c r="D76" s="98"/>
      <c r="E76" s="151"/>
      <c r="F76" s="151"/>
      <c r="G76" s="151"/>
      <c r="H76" s="151"/>
      <c r="I76" s="151"/>
    </row>
    <row r="77" spans="1:24" x14ac:dyDescent="0.25">
      <c r="A77" s="54">
        <v>9</v>
      </c>
      <c r="B77" s="46"/>
      <c r="C77" s="10"/>
      <c r="D77" s="98"/>
      <c r="E77" s="148"/>
      <c r="F77" s="149"/>
      <c r="G77" s="149"/>
      <c r="H77" s="149"/>
      <c r="I77" s="150"/>
    </row>
    <row r="78" spans="1:24" x14ac:dyDescent="0.25">
      <c r="A78" s="54">
        <v>10</v>
      </c>
      <c r="B78" s="46"/>
      <c r="C78" s="10"/>
      <c r="D78" s="98"/>
      <c r="E78" s="151"/>
      <c r="F78" s="151"/>
      <c r="G78" s="151"/>
      <c r="H78" s="151"/>
      <c r="I78" s="151"/>
    </row>
    <row r="79" spans="1:24" x14ac:dyDescent="0.25">
      <c r="A79" s="1" t="s">
        <v>150</v>
      </c>
      <c r="B79" s="2" t="s">
        <v>131</v>
      </c>
      <c r="C79" s="2"/>
      <c r="D79" s="99">
        <f>SUM(D65:D78)</f>
        <v>-2.3400000000001455</v>
      </c>
      <c r="E79" s="25"/>
      <c r="F79" s="25"/>
      <c r="G79" s="25"/>
      <c r="H79" s="25"/>
    </row>
    <row r="80" spans="1:24" x14ac:dyDescent="0.25">
      <c r="B80" s="124" t="s">
        <v>132</v>
      </c>
      <c r="C80" s="71"/>
      <c r="D80" s="99">
        <f>K59</f>
        <v>-24390.667763600039</v>
      </c>
      <c r="E80" s="25"/>
      <c r="F80" s="25"/>
      <c r="G80" s="25"/>
      <c r="H80" s="25"/>
    </row>
    <row r="81" spans="1:19" x14ac:dyDescent="0.25">
      <c r="B81" s="71" t="s">
        <v>24</v>
      </c>
      <c r="C81" s="71"/>
      <c r="D81" s="100">
        <f>D79-D80</f>
        <v>24388.327763600038</v>
      </c>
    </row>
    <row r="82" spans="1:19" ht="14.4" thickBot="1" x14ac:dyDescent="0.3">
      <c r="B82" s="135" t="s">
        <v>73</v>
      </c>
      <c r="C82" s="72"/>
      <c r="D82" s="61">
        <f>IF(ISERROR(D81/J59),0,D81/J59)</f>
        <v>7.637503787064316E-3</v>
      </c>
      <c r="E82" s="104" t="str">
        <f>IF(AND(D82&lt;0.01,D82&gt;-0.01),"","Unresolved differences of greater than + or - 1% should be explained")</f>
        <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4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5">
      <c r="B89" s="116"/>
      <c r="C89" s="107"/>
      <c r="D89" s="107"/>
      <c r="E89" s="108"/>
      <c r="F89" s="131">
        <f t="shared" ref="F89:F91" si="7">SUM(D89:E89)</f>
        <v>0</v>
      </c>
      <c r="G89" s="109">
        <f>F89-C89</f>
        <v>0</v>
      </c>
      <c r="H89" s="108"/>
      <c r="I89" s="105">
        <f>IF(ISERROR(G89/H89),0,G89/H89)</f>
        <v>0</v>
      </c>
      <c r="J89" s="79"/>
      <c r="K89" s="79"/>
      <c r="L89" s="35"/>
      <c r="M89" s="35"/>
      <c r="N89" s="35"/>
      <c r="O89" s="35"/>
      <c r="P89" s="35"/>
      <c r="Q89" s="35"/>
      <c r="R89" s="35"/>
      <c r="S89" s="35"/>
    </row>
    <row r="90" spans="1:19" x14ac:dyDescent="0.25">
      <c r="B90" s="116"/>
      <c r="C90" s="107"/>
      <c r="D90" s="107"/>
      <c r="E90" s="108"/>
      <c r="F90" s="131">
        <f t="shared" si="7"/>
        <v>0</v>
      </c>
      <c r="G90" s="109">
        <f>F90-C90</f>
        <v>0</v>
      </c>
      <c r="H90" s="108"/>
      <c r="I90" s="105">
        <f>IF(ISERROR(G90/H90),0,G90/H90)</f>
        <v>0</v>
      </c>
      <c r="J90" s="79"/>
      <c r="K90" s="79"/>
      <c r="L90" s="35"/>
      <c r="M90" s="35"/>
      <c r="N90" s="35"/>
      <c r="O90" s="35"/>
      <c r="P90" s="35"/>
      <c r="Q90" s="35"/>
      <c r="R90" s="35"/>
      <c r="S90" s="35"/>
    </row>
    <row r="91" spans="1:19" ht="14.4" thickBot="1" x14ac:dyDescent="0.3">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30">
        <f t="shared" ref="C92:H92" si="8">SUM(C88:C91)</f>
        <v>0</v>
      </c>
      <c r="D92" s="130">
        <f t="shared" si="8"/>
        <v>0</v>
      </c>
      <c r="E92" s="130">
        <f t="shared" si="8"/>
        <v>0</v>
      </c>
      <c r="F92" s="132">
        <f t="shared" si="8"/>
        <v>0</v>
      </c>
      <c r="G92" s="130">
        <f>SUM(G88:G91)</f>
        <v>0</v>
      </c>
      <c r="H92" s="77">
        <f t="shared" si="8"/>
        <v>0</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 LP 2016 </vt:lpstr>
      <vt:lpstr>GA Analysis - LP 2015</vt:lpstr>
      <vt:lpstr>GA Analysis - PS 2016</vt:lpstr>
      <vt:lpstr>'GA Analysis - LP 2015'!Print_Area</vt:lpstr>
      <vt:lpstr>'GA Analysis - LP 2016 '!Print_Area</vt:lpstr>
      <vt:lpstr>'GA Analysis - PS 2016'!Print_Area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Margaret Maw</cp:lastModifiedBy>
  <cp:lastPrinted>2017-10-11T19:04:28Z</cp:lastPrinted>
  <dcterms:created xsi:type="dcterms:W3CDTF">2017-05-01T19:29:01Z</dcterms:created>
  <dcterms:modified xsi:type="dcterms:W3CDTF">2017-10-12T18:32:03Z</dcterms:modified>
</cp:coreProperties>
</file>