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Finance\IRM Model 2018 Rates\Original Documents Submitted\"/>
    </mc:Choice>
  </mc:AlternateContent>
  <bookViews>
    <workbookView xWindow="480" yWindow="345" windowWidth="19410" windowHeight="11520" firstSheet="1" activeTab="3"/>
  </bookViews>
  <sheets>
    <sheet name="Instructions" sheetId="2" r:id="rId1"/>
    <sheet name="GA Analysis 2014" sheetId="4" r:id="rId2"/>
    <sheet name="GA Analysis 2015" sheetId="5" r:id="rId3"/>
    <sheet name="GA Analysis 2016" sheetId="7" r:id="rId4"/>
  </sheets>
  <definedNames>
    <definedName name="GARate" localSheetId="1">#REF!</definedName>
    <definedName name="GARate" localSheetId="2">#REF!</definedName>
    <definedName name="GARate" localSheetId="3">#REF!</definedName>
    <definedName name="GARate">#REF!</definedName>
    <definedName name="_xlnm.Print_Area" localSheetId="1">'GA Analysis 2014'!$A$12:$K$107</definedName>
    <definedName name="_xlnm.Print_Area" localSheetId="2">'GA Analysis 2015'!$A$12:$K$119</definedName>
    <definedName name="_xlnm.Print_Area" localSheetId="3">'GA Analysis 2016'!$A$12:$K$119</definedName>
    <definedName name="_xlnm.Print_Area" localSheetId="0">Instructions!$A$11:$C$83</definedName>
  </definedNames>
  <calcPr calcId="162913"/>
</workbook>
</file>

<file path=xl/calcChain.xml><?xml version="1.0" encoding="utf-8"?>
<calcChain xmlns="http://schemas.openxmlformats.org/spreadsheetml/2006/main">
  <c r="D102" i="7" l="1"/>
  <c r="D101" i="7"/>
  <c r="D100" i="7"/>
  <c r="E102" i="7" l="1"/>
  <c r="I70" i="7" l="1"/>
  <c r="I69" i="7"/>
  <c r="I68" i="7"/>
  <c r="I67" i="7"/>
  <c r="I66" i="7"/>
  <c r="I65" i="7"/>
  <c r="I64" i="7"/>
  <c r="I63" i="7"/>
  <c r="I62" i="7"/>
  <c r="I61" i="7"/>
  <c r="I60" i="7"/>
  <c r="I59" i="7"/>
  <c r="I58" i="7"/>
  <c r="I57" i="7"/>
  <c r="I56" i="7"/>
  <c r="I55" i="7"/>
  <c r="I54" i="7"/>
  <c r="I53" i="7"/>
  <c r="I52" i="7"/>
  <c r="I51" i="7"/>
  <c r="I50" i="7"/>
  <c r="I49" i="7"/>
  <c r="I48" i="7"/>
  <c r="I47" i="7"/>
  <c r="G70" i="7"/>
  <c r="G68" i="7"/>
  <c r="G66" i="7"/>
  <c r="G64" i="7"/>
  <c r="G62" i="7"/>
  <c r="G60" i="7"/>
  <c r="G58" i="7"/>
  <c r="G56" i="7"/>
  <c r="G54" i="7"/>
  <c r="G52" i="7"/>
  <c r="G50" i="7"/>
  <c r="G48" i="7"/>
  <c r="G69" i="7"/>
  <c r="G67" i="7"/>
  <c r="G65" i="7"/>
  <c r="G63" i="7"/>
  <c r="G61" i="7"/>
  <c r="G59" i="7"/>
  <c r="G57" i="7"/>
  <c r="G55" i="7"/>
  <c r="G53" i="7"/>
  <c r="G51" i="7"/>
  <c r="G49" i="7"/>
  <c r="G47" i="7"/>
  <c r="E101" i="7"/>
  <c r="F101" i="7" s="1"/>
  <c r="E71" i="7"/>
  <c r="D71" i="7"/>
  <c r="D71" i="5"/>
  <c r="C71" i="7"/>
  <c r="F67" i="5"/>
  <c r="J67" i="5" s="1"/>
  <c r="F63" i="5"/>
  <c r="J63" i="5" s="1"/>
  <c r="F61" i="5"/>
  <c r="J61" i="5" s="1"/>
  <c r="F59" i="5"/>
  <c r="J59" i="5" s="1"/>
  <c r="F55" i="5"/>
  <c r="J55" i="5" s="1"/>
  <c r="F53" i="5"/>
  <c r="J53" i="5" s="1"/>
  <c r="F49" i="5"/>
  <c r="J49" i="5" s="1"/>
  <c r="F47" i="5"/>
  <c r="J47" i="5" s="1"/>
  <c r="I70" i="5"/>
  <c r="I69" i="5"/>
  <c r="I68" i="5"/>
  <c r="I67" i="5"/>
  <c r="I66" i="5"/>
  <c r="I65" i="5"/>
  <c r="I64" i="5"/>
  <c r="I63" i="5"/>
  <c r="I62" i="5"/>
  <c r="I61" i="5"/>
  <c r="I60" i="5"/>
  <c r="I59" i="5"/>
  <c r="I58" i="5"/>
  <c r="I57" i="5"/>
  <c r="I56" i="5"/>
  <c r="I55" i="5"/>
  <c r="I54" i="5"/>
  <c r="I53" i="5"/>
  <c r="I52" i="5"/>
  <c r="I51" i="5"/>
  <c r="I50" i="5"/>
  <c r="I49" i="5"/>
  <c r="I48" i="5"/>
  <c r="I47" i="5"/>
  <c r="G70" i="5"/>
  <c r="G68" i="5"/>
  <c r="G66" i="5"/>
  <c r="G64" i="5"/>
  <c r="G62" i="5"/>
  <c r="G60" i="5"/>
  <c r="G58" i="5"/>
  <c r="G56" i="5"/>
  <c r="G54" i="5"/>
  <c r="G69" i="5"/>
  <c r="G67" i="5"/>
  <c r="G65" i="5"/>
  <c r="G63" i="5"/>
  <c r="G61" i="5"/>
  <c r="G59" i="5"/>
  <c r="G57" i="5"/>
  <c r="G55" i="5"/>
  <c r="G53" i="5"/>
  <c r="G52" i="5"/>
  <c r="G51" i="5"/>
  <c r="G50" i="5"/>
  <c r="G49" i="5"/>
  <c r="G48" i="5"/>
  <c r="G47" i="5"/>
  <c r="D24" i="7"/>
  <c r="D26" i="7"/>
  <c r="D24" i="5"/>
  <c r="D26" i="5"/>
  <c r="D104" i="7"/>
  <c r="G103" i="7"/>
  <c r="I103" i="7" s="1"/>
  <c r="F103" i="7"/>
  <c r="F102" i="7"/>
  <c r="D91" i="7"/>
  <c r="F70" i="7"/>
  <c r="H70" i="7" s="1"/>
  <c r="F69" i="7"/>
  <c r="J69" i="7" s="1"/>
  <c r="F68" i="7"/>
  <c r="H68" i="7" s="1"/>
  <c r="F67" i="7"/>
  <c r="H67" i="7" s="1"/>
  <c r="F66" i="7"/>
  <c r="J66" i="7" s="1"/>
  <c r="F65" i="7"/>
  <c r="H65" i="7" s="1"/>
  <c r="F64" i="7"/>
  <c r="H64" i="7" s="1"/>
  <c r="F63" i="7"/>
  <c r="H63" i="7" s="1"/>
  <c r="F62" i="7"/>
  <c r="H62" i="7" s="1"/>
  <c r="F61" i="7"/>
  <c r="H61" i="7" s="1"/>
  <c r="F60" i="7"/>
  <c r="H60" i="7" s="1"/>
  <c r="F59" i="7"/>
  <c r="H59" i="7" s="1"/>
  <c r="F58" i="7"/>
  <c r="H58" i="7" s="1"/>
  <c r="F57" i="7"/>
  <c r="J57" i="7" s="1"/>
  <c r="F56" i="7"/>
  <c r="H56" i="7" s="1"/>
  <c r="F55" i="7"/>
  <c r="H55" i="7" s="1"/>
  <c r="F54" i="7"/>
  <c r="H54" i="7" s="1"/>
  <c r="F53" i="7"/>
  <c r="H53" i="7" s="1"/>
  <c r="F52" i="7"/>
  <c r="H52" i="7" s="1"/>
  <c r="F51" i="7"/>
  <c r="H51" i="7" s="1"/>
  <c r="F50" i="7"/>
  <c r="H50" i="7" s="1"/>
  <c r="F49" i="7"/>
  <c r="J49" i="7" s="1"/>
  <c r="F48" i="7"/>
  <c r="H48" i="7" s="1"/>
  <c r="F47" i="7"/>
  <c r="H47" i="7" s="1"/>
  <c r="F65" i="5"/>
  <c r="J65" i="5" s="1"/>
  <c r="F57" i="5"/>
  <c r="J57" i="5" s="1"/>
  <c r="F51" i="5" l="1"/>
  <c r="J51" i="5" s="1"/>
  <c r="F69" i="5"/>
  <c r="J69" i="5" s="1"/>
  <c r="J56" i="7"/>
  <c r="K56" i="7" s="1"/>
  <c r="C71" i="5"/>
  <c r="J63" i="7"/>
  <c r="K63" i="7" s="1"/>
  <c r="J60" i="7"/>
  <c r="K60" i="7" s="1"/>
  <c r="J59" i="7"/>
  <c r="K59" i="7" s="1"/>
  <c r="J68" i="7"/>
  <c r="K68" i="7" s="1"/>
  <c r="J70" i="7"/>
  <c r="K70" i="7" s="1"/>
  <c r="J67" i="7"/>
  <c r="K67" i="7" s="1"/>
  <c r="J65" i="7"/>
  <c r="K65" i="7" s="1"/>
  <c r="J64" i="7"/>
  <c r="K64" i="7" s="1"/>
  <c r="J62" i="7"/>
  <c r="K62" i="7" s="1"/>
  <c r="J61" i="7"/>
  <c r="K61" i="7" s="1"/>
  <c r="J58" i="7"/>
  <c r="K58" i="7" s="1"/>
  <c r="J55" i="7"/>
  <c r="K55" i="7" s="1"/>
  <c r="J54" i="7"/>
  <c r="K54" i="7" s="1"/>
  <c r="J53" i="7"/>
  <c r="K53" i="7" s="1"/>
  <c r="J52" i="7"/>
  <c r="J51" i="7"/>
  <c r="J50" i="7"/>
  <c r="J48" i="7"/>
  <c r="K48" i="7" s="1"/>
  <c r="J47" i="7"/>
  <c r="F71" i="7"/>
  <c r="H66" i="7"/>
  <c r="K66" i="7" s="1"/>
  <c r="H69" i="7"/>
  <c r="K69" i="7" s="1"/>
  <c r="H57" i="7"/>
  <c r="K57" i="7" s="1"/>
  <c r="K51" i="7"/>
  <c r="E71" i="5"/>
  <c r="K50" i="7"/>
  <c r="K52" i="7"/>
  <c r="D22" i="7"/>
  <c r="H49" i="7"/>
  <c r="H69" i="5"/>
  <c r="K69" i="5" s="1"/>
  <c r="H67" i="5"/>
  <c r="K67" i="5" s="1"/>
  <c r="H65" i="5"/>
  <c r="K65" i="5" s="1"/>
  <c r="H63" i="5"/>
  <c r="K63" i="5" s="1"/>
  <c r="H61" i="5"/>
  <c r="K61" i="5" s="1"/>
  <c r="H59" i="5"/>
  <c r="K59" i="5" s="1"/>
  <c r="H57" i="5"/>
  <c r="K57" i="5" s="1"/>
  <c r="H55" i="5"/>
  <c r="K55" i="5" s="1"/>
  <c r="H53" i="5"/>
  <c r="K53" i="5" s="1"/>
  <c r="H49" i="5"/>
  <c r="K49" i="5" s="1"/>
  <c r="H47" i="5"/>
  <c r="K47" i="5" s="1"/>
  <c r="H51" i="5" l="1"/>
  <c r="K51" i="5" s="1"/>
  <c r="J71" i="7"/>
  <c r="H102" i="7" s="1"/>
  <c r="K47" i="7"/>
  <c r="H71" i="7"/>
  <c r="K49" i="7"/>
  <c r="F25" i="7"/>
  <c r="F23" i="7"/>
  <c r="F24" i="7"/>
  <c r="F26" i="7"/>
  <c r="K71" i="7" l="1"/>
  <c r="E100" i="7"/>
  <c r="F100" i="7" l="1"/>
  <c r="E104" i="7"/>
  <c r="D92" i="7"/>
  <c r="D93" i="7" s="1"/>
  <c r="D94" i="7" s="1"/>
  <c r="E94" i="7" s="1"/>
  <c r="C102" i="7"/>
  <c r="G102" i="7" s="1"/>
  <c r="I102" i="7" s="1"/>
  <c r="F104" i="7" l="1"/>
  <c r="I48" i="4"/>
  <c r="I49" i="4"/>
  <c r="I50" i="4"/>
  <c r="I51" i="4"/>
  <c r="I52" i="4"/>
  <c r="I53" i="4"/>
  <c r="I54" i="4"/>
  <c r="I55" i="4"/>
  <c r="I56" i="4"/>
  <c r="I57" i="4"/>
  <c r="I58" i="4"/>
  <c r="G48" i="4"/>
  <c r="G49" i="4"/>
  <c r="G50" i="4"/>
  <c r="G51" i="4"/>
  <c r="G52" i="4"/>
  <c r="G53" i="4"/>
  <c r="G54" i="4"/>
  <c r="G55" i="4"/>
  <c r="G56" i="4"/>
  <c r="G57" i="4"/>
  <c r="G58" i="4"/>
  <c r="I47" i="4"/>
  <c r="G47" i="4"/>
  <c r="H104" i="5"/>
  <c r="E104" i="5"/>
  <c r="D104" i="5"/>
  <c r="C104" i="5"/>
  <c r="F103" i="5"/>
  <c r="G103" i="5" s="1"/>
  <c r="I103" i="5" s="1"/>
  <c r="F102" i="5"/>
  <c r="G102" i="5" s="1"/>
  <c r="I102" i="5" s="1"/>
  <c r="F101" i="5"/>
  <c r="G101" i="5" s="1"/>
  <c r="I101" i="5" s="1"/>
  <c r="F100" i="5"/>
  <c r="G100" i="5" s="1"/>
  <c r="D91" i="5"/>
  <c r="F70" i="5"/>
  <c r="H70" i="5" s="1"/>
  <c r="F68" i="5"/>
  <c r="H68" i="5" s="1"/>
  <c r="F66" i="5"/>
  <c r="H66" i="5" s="1"/>
  <c r="F64" i="5"/>
  <c r="H64" i="5" s="1"/>
  <c r="F62" i="5"/>
  <c r="H62" i="5" s="1"/>
  <c r="F60" i="5"/>
  <c r="H60" i="5" s="1"/>
  <c r="F58" i="5"/>
  <c r="H58" i="5" s="1"/>
  <c r="F56" i="5"/>
  <c r="H56" i="5" s="1"/>
  <c r="F54" i="5"/>
  <c r="F52" i="5"/>
  <c r="H52" i="5" s="1"/>
  <c r="F50" i="5"/>
  <c r="H50" i="5" s="1"/>
  <c r="F48" i="5"/>
  <c r="H48" i="5" s="1"/>
  <c r="D26" i="4"/>
  <c r="H54" i="5" l="1"/>
  <c r="H71" i="5" s="1"/>
  <c r="F71" i="5"/>
  <c r="J48" i="5"/>
  <c r="K48" i="5" s="1"/>
  <c r="J52" i="5"/>
  <c r="K52" i="5" s="1"/>
  <c r="J68" i="5"/>
  <c r="K68" i="5" s="1"/>
  <c r="J60" i="5"/>
  <c r="K60" i="5" s="1"/>
  <c r="J64" i="5"/>
  <c r="K64" i="5" s="1"/>
  <c r="J56" i="5"/>
  <c r="K56" i="5" s="1"/>
  <c r="I100" i="5"/>
  <c r="G104" i="5"/>
  <c r="F104" i="5"/>
  <c r="J50" i="5"/>
  <c r="K50" i="5" s="1"/>
  <c r="J58" i="5"/>
  <c r="K58" i="5" s="1"/>
  <c r="J66" i="5"/>
  <c r="K66" i="5" s="1"/>
  <c r="J54" i="5"/>
  <c r="J62" i="5"/>
  <c r="K62" i="5" s="1"/>
  <c r="J70" i="5"/>
  <c r="K70" i="5" s="1"/>
  <c r="D22" i="5"/>
  <c r="F26" i="5" s="1"/>
  <c r="K54" i="5" l="1"/>
  <c r="K71" i="5" s="1"/>
  <c r="J71" i="5"/>
  <c r="H101" i="7" s="1"/>
  <c r="F24" i="5"/>
  <c r="F25" i="5"/>
  <c r="F23" i="5"/>
  <c r="D92" i="5" l="1"/>
  <c r="D93" i="5" s="1"/>
  <c r="D94" i="5" s="1"/>
  <c r="E94" i="5" s="1"/>
  <c r="C101" i="7"/>
  <c r="G101" i="7" s="1"/>
  <c r="I101" i="7" s="1"/>
  <c r="F88" i="4" l="1"/>
  <c r="G88" i="4" s="1"/>
  <c r="F89" i="4"/>
  <c r="G89" i="4" s="1"/>
  <c r="F90" i="4"/>
  <c r="G90" i="4" s="1"/>
  <c r="F91" i="4"/>
  <c r="G91" i="4" s="1"/>
  <c r="I88" i="4" l="1"/>
  <c r="G92"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100" i="7" s="1"/>
  <c r="H104" i="7" s="1"/>
  <c r="H59" i="4"/>
  <c r="K59" i="4"/>
  <c r="C100" i="7" s="1"/>
  <c r="C92" i="4"/>
  <c r="C104" i="7" l="1"/>
  <c r="G100" i="7"/>
  <c r="D80" i="4"/>
  <c r="D81" i="4" s="1"/>
  <c r="H92" i="4"/>
  <c r="I100" i="7" l="1"/>
  <c r="G104" i="7"/>
  <c r="E92" i="4"/>
  <c r="D82" i="4" l="1"/>
  <c r="E82" i="4" s="1"/>
</calcChain>
</file>

<file path=xl/sharedStrings.xml><?xml version="1.0" encoding="utf-8"?>
<sst xmlns="http://schemas.openxmlformats.org/spreadsheetml/2006/main" count="490" uniqueCount="200">
  <si>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</si>
  <si>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</si>
  <si>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</si>
  <si>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</si>
  <si>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</si>
  <si>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</si>
  <si>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</si>
  <si>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</si>
  <si>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</si>
  <si>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</si>
  <si>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</si>
  <si>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</si>
  <si>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</si>
  <si>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</si>
  <si>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</si>
  <si>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</si>
  <si>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</si>
  <si>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</si>
  <si>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</si>
  <si>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</si>
  <si>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</si>
  <si>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</si>
  <si>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</si>
  <si>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</si>
  <si>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</si>
  <si>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</si>
  <si>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</si>
  <si>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</si>
  <si>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</si>
  <si>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</si>
  <si>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</si>
  <si>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</si>
  <si>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</si>
  <si>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</si>
  <si>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</si>
  <si>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</si>
  <si>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</si>
  <si>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</si>
  <si>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</si>
  <si>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</si>
  <si>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</si>
  <si>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</si>
  <si>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</si>
  <si>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</si>
  <si>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</si>
  <si>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</si>
  <si>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</si>
  <si>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</si>
  <si>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</si>
  <si>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</si>
  <si>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</si>
  <si>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</si>
  <si>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</si>
  <si>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</si>
  <si>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</si>
  <si>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</si>
  <si>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</si>
  <si>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</si>
  <si>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</si>
  <si>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</si>
  <si>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</si>
  <si>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</si>
  <si>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</si>
  <si>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</si>
  <si>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</si>
  <si>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</si>
  <si>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</si>
  <si>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</si>
  <si>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</si>
  <si>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</si>
  <si>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</si>
  <si>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</si>
  <si>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</si>
  <si>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</si>
  <si>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</si>
  <si>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</si>
  <si>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</si>
  <si>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</si>
  <si>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</si>
  <si>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</si>
  <si>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</si>
  <si>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</si>
  <si>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</si>
  <si>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</si>
  <si>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</si>
  <si>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</si>
  <si>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</si>
  <si>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</si>
  <si>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</si>
  <si>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</si>
  <si>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</si>
  <si>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</si>
  <si>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</si>
  <si>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</si>
  <si>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</si>
  <si>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</si>
  <si>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</si>
  <si>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</si>
  <si>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</si>
  <si>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</si>
  <si>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</si>
  <si>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</si>
  <si>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</si>
  <si>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</si>
  <si>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</si>
  <si>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</si>
  <si>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</si>
  <si>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</si>
  <si>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</si>
  <si>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</si>
  <si>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</si>
  <si>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</si>
  <si>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</si>
  <si>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</si>
  <si>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</si>
  <si>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</si>
  <si>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</si>
  <si>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</si>
  <si>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</si>
  <si>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</si>
  <si>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</si>
  <si>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</si>
  <si>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</si>
  <si>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</si>
  <si>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</si>
  <si>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</si>
  <si>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</si>
  <si>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</si>
  <si>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</si>
  <si>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</si>
  <si>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</si>
  <si>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</si>
  <si>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</si>
  <si>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</si>
  <si>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</si>
  <si>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</si>
  <si>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</si>
  <si>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</si>
  <si>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</si>
  <si>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</si>
  <si>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</si>
  <si>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</si>
  <si>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</si>
  <si>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</si>
  <si>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</si>
  <si>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</si>
  <si>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</si>
  <si>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</si>
  <si>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</si>
  <si>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</si>
  <si>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</si>
  <si>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</si>
  <si>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</si>
  <si>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</si>
  <si>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</si>
  <si>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</si>
  <si>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</si>
  <si>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</si>
  <si>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</si>
  <si>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</si>
  <si>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</si>
  <si>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</si>
  <si>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2014, 2015 and 2016</t>
  </si>
  <si>
    <t>1st Estimate</t>
  </si>
  <si>
    <t>Yes</t>
  </si>
  <si>
    <t>DR $116,721 (actual revenues were greater than accrued revenues). Relates to 2013 consumption, but recorded in the GL in 2014, therefore should record DR in the current year.</t>
  </si>
  <si>
    <t>January - billed on 1st Estimate</t>
  </si>
  <si>
    <t>February - billed on 1st Estimate</t>
  </si>
  <si>
    <t>March - billed on 1st Estimate</t>
  </si>
  <si>
    <t>April - billed on 1st Estimate</t>
  </si>
  <si>
    <t>May - billed on 1st Estimate</t>
  </si>
  <si>
    <t>June - billed on 1st Estimate</t>
  </si>
  <si>
    <t>July - billed on 1st Estimate</t>
  </si>
  <si>
    <t>August - billed on 1st Estimate</t>
  </si>
  <si>
    <t>September - billed on 1st Estimate</t>
  </si>
  <si>
    <t>October - billed on 1st Estimate</t>
  </si>
  <si>
    <t>November - billed on 1st Estimate</t>
  </si>
  <si>
    <t>December - billed on 1st Estimate</t>
  </si>
  <si>
    <t>January - billed on Actual</t>
  </si>
  <si>
    <t>February - billed on Actual</t>
  </si>
  <si>
    <t>March - billed on Actual</t>
  </si>
  <si>
    <t>April - billed on 1st Actual</t>
  </si>
  <si>
    <t>May - billed on Actual</t>
  </si>
  <si>
    <t>June - billed on Actual</t>
  </si>
  <si>
    <t>July - billed on Actual</t>
  </si>
  <si>
    <t>August - billed on Actual</t>
  </si>
  <si>
    <t>September - billed on Actual</t>
  </si>
  <si>
    <t>October - billed on Actual</t>
  </si>
  <si>
    <t>November - billed on Actual</t>
  </si>
  <si>
    <t>December - billed on Actual</t>
  </si>
  <si>
    <t>April - billed on Actual</t>
  </si>
  <si>
    <t>Other</t>
  </si>
  <si>
    <t>DR $24,577 (actual revenues were greater than accrued revenues). Relates to 2014 consumption, but recorded in the GL in 2015, therefore should record DR in the current year.</t>
  </si>
  <si>
    <t>CR $13,941 (actual revenues were lower than accrued revenues). Relates to 2015 consumption, but recorded in the GL in 2016, therefore should record CR in the current year.</t>
  </si>
  <si>
    <t>DR $29,471 (actual revenues less actual cost were greater than accrued revenues less accrued cost). Relates to 2013 load transfers, but recorded in the GL in 2014, therefore should record DR in the current year.</t>
  </si>
  <si>
    <t>DR $24,577 (actual revenues less actual cost were greater than accrued revenues less accrued cost). Relates to 2014 load transfers, but recorded in the GL in 2015, therefore should record DR in the current year.</t>
  </si>
  <si>
    <t>DR $45,200 (actual revenues less actual cost were greater than accrued revenues less accrued cost). Relates to 2015 load transfers, but recorded in the GL in 2016, therefore should record DR in the current year.</t>
  </si>
  <si>
    <t>CR $17,030. Billing adjustments that relate to prior period consumption were recorded in the GL in 2014, and decreased revenue by $17,030. Therefore should record CR in the current year.</t>
  </si>
  <si>
    <t>DR $330,613. Billing adjustments that relate to prior period consumption were recorded in the GL in 2014, and increased revenue by $330,613. Therefore should record DR in the current year.</t>
  </si>
  <si>
    <t>DR $768. Billing adjustments that relate to prior period consumption were recorded in the GL in 2016, and increased revenue by $768. Therefore should record DR in the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</si>
</sst>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170" fontId="7" fillId="0" borderId="2" xfId="4" applyNumberFormat="1" applyFont="1" applyFill="1" applyBorder="1"/>
    <xf numFmtId="170" fontId="2" fillId="0" borderId="24" xfId="4" applyNumberFormat="1" applyFont="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All non-RPP Class B customers were billed using the First Estimate during 2014.</a:t>
          </a: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33</xdr:row>
      <xdr:rowOff>79374</xdr:rowOff>
    </xdr:from>
    <xdr:to>
      <xdr:col>8</xdr:col>
      <xdr:colOff>31750</xdr:colOff>
      <xdr:row>40</xdr:row>
      <xdr:rowOff>88900</xdr:rowOff>
    </xdr:to>
    <xdr:sp macro="" textlink="">
      <xdr:nvSpPr>
        <xdr:cNvPr id="2" name="TextBox 1"/>
        <xdr:cNvSpPr txBox="1"/>
      </xdr:nvSpPr>
      <xdr:spPr>
        <a:xfrm>
          <a:off x="717550" y="6416674"/>
          <a:ext cx="12192000" cy="13049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During 2015, NPEI began billing its GS &gt; 50 kW and Streetlighting Non-RPP customers based on the IESO’s Actual GA rate by moving them to a billing cycle that would accommodate actual GA billing (i.e. they are billed after the 16</a:t>
          </a:r>
          <a:r>
            <a:rPr lang="en-US" sz="1100" baseline="30000">
              <a:solidFill>
                <a:schemeClr val="dk1"/>
              </a:solidFill>
              <a:effectLst/>
              <a:latin typeface="Arial" panose="020B0604020202020204" pitchFamily="34" charset="0"/>
              <a:ea typeface="+mn-ea"/>
              <a:cs typeface="Arial" panose="020B0604020202020204" pitchFamily="34" charset="0"/>
            </a:rPr>
            <a:t>th</a:t>
          </a:r>
          <a:r>
            <a:rPr lang="en-US" sz="1100">
              <a:solidFill>
                <a:schemeClr val="dk1"/>
              </a:solidFill>
              <a:effectLst/>
              <a:latin typeface="Arial" panose="020B0604020202020204" pitchFamily="34" charset="0"/>
              <a:ea typeface="+mn-ea"/>
              <a:cs typeface="Arial" panose="020B0604020202020204" pitchFamily="34" charset="0"/>
            </a:rPr>
            <a:t> of the following month, once the actual GA rate is available from the IESO). During 2015, Residential and GS &lt; 50 kW Non-RPP customers were billed GA at either the First Estimate GA rate or the Actual GA rate, depending on when their bills were issued during the month. </a:t>
          </a: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To reflect the different rates that were used for billing, additional rows have been added to the analysis so that for</a:t>
          </a:r>
          <a:r>
            <a:rPr lang="en-CA" sz="1100" baseline="0">
              <a:latin typeface="Arial" panose="020B0604020202020204" pitchFamily="34" charset="0"/>
              <a:cs typeface="Arial" panose="020B0604020202020204" pitchFamily="34" charset="0"/>
            </a:rPr>
            <a:t> each month there is one row for consumption billed using the First Estimate GA Rate and one row for consumption billed  on the Actual GA Rate.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107</xdr:row>
      <xdr:rowOff>123825</xdr:rowOff>
    </xdr:from>
    <xdr:to>
      <xdr:col>8</xdr:col>
      <xdr:colOff>0</xdr:colOff>
      <xdr:row>119</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Arial" panose="020B0604020202020204" pitchFamily="34" charset="0"/>
              <a:ea typeface="+mn-ea"/>
              <a:cs typeface="Arial" panose="020B0604020202020204" pitchFamily="34" charset="0"/>
            </a:rPr>
            <a:t>During 2016, NPEI billed its GS &gt; 50 kW and Streetlighting Non-RPP customers based on the IESO’s Actual GA rate by moving them to a billing cycle that would accommodate actual GA billing (i.e. they are billed after the 16</a:t>
          </a:r>
          <a:r>
            <a:rPr lang="en-US" sz="1100" baseline="30000">
              <a:solidFill>
                <a:schemeClr val="dk1"/>
              </a:solidFill>
              <a:effectLst/>
              <a:latin typeface="Arial" panose="020B0604020202020204" pitchFamily="34" charset="0"/>
              <a:ea typeface="+mn-ea"/>
              <a:cs typeface="Arial" panose="020B0604020202020204" pitchFamily="34" charset="0"/>
            </a:rPr>
            <a:t>th</a:t>
          </a:r>
          <a:r>
            <a:rPr lang="en-US" sz="1100">
              <a:solidFill>
                <a:schemeClr val="dk1"/>
              </a:solidFill>
              <a:effectLst/>
              <a:latin typeface="Arial" panose="020B0604020202020204" pitchFamily="34" charset="0"/>
              <a:ea typeface="+mn-ea"/>
              <a:cs typeface="Arial" panose="020B0604020202020204" pitchFamily="34" charset="0"/>
            </a:rPr>
            <a:t> of the following month, once the actual GA rate is available from the IESO). During 2016, Residential and GS &lt; 50 kW Non-RPP customers were billed GA at either the First Estimate GA rate or the Actual GA rate, depending on when their bills were issued during the month. </a:t>
          </a:r>
          <a:endParaRPr lang="en-US">
            <a:effectLst/>
            <a:latin typeface="Arial" panose="020B0604020202020204" pitchFamily="34" charset="0"/>
            <a:cs typeface="Arial" panose="020B0604020202020204" pitchFamily="34" charset="0"/>
          </a:endParaRPr>
        </a:p>
        <a:p>
          <a:pPr eaLnBrk="1" fontAlgn="auto" latinLnBrk="0" hangingPunct="1"/>
          <a:endParaRPr lang="en-CA" sz="11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100">
              <a:solidFill>
                <a:schemeClr val="dk1"/>
              </a:solidFill>
              <a:effectLst/>
              <a:latin typeface="Arial" panose="020B0604020202020204" pitchFamily="34" charset="0"/>
              <a:ea typeface="+mn-ea"/>
              <a:cs typeface="Arial" panose="020B0604020202020204" pitchFamily="34" charset="0"/>
            </a:rPr>
            <a:t>To reflect the different rates that were used for billing, additional rows have been added to the analysis so that for</a:t>
          </a:r>
          <a:r>
            <a:rPr lang="en-CA" sz="1100" baseline="0">
              <a:solidFill>
                <a:schemeClr val="dk1"/>
              </a:solidFill>
              <a:effectLst/>
              <a:latin typeface="Arial" panose="020B0604020202020204" pitchFamily="34" charset="0"/>
              <a:ea typeface="+mn-ea"/>
              <a:cs typeface="Arial" panose="020B0604020202020204" pitchFamily="34" charset="0"/>
            </a:rPr>
            <a:t> each month there is one row for consumption billed using the First Estimate GA Rate and one row for consumption billed  on the Actual GA Rate.</a:t>
          </a:r>
          <a:endParaRPr lang="en-US">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107</xdr:row>
      <xdr:rowOff>123825</xdr:rowOff>
    </xdr:from>
    <xdr:to>
      <xdr:col>8</xdr:col>
      <xdr:colOff>0</xdr:colOff>
      <xdr:row>119</xdr:row>
      <xdr:rowOff>0</xdr:rowOff>
    </xdr:to>
    <xdr:sp macro="" textlink="">
      <xdr:nvSpPr>
        <xdr:cNvPr id="3" name="TextBox 2"/>
        <xdr:cNvSpPr txBox="1"/>
      </xdr:nvSpPr>
      <xdr:spPr>
        <a:xfrm>
          <a:off x="723900" y="246030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19" zoomScaleNormal="100" zoomScaleSheetLayoutView="85" workbookViewId="0">
      <selection activeCell="E15" sqref="E15"/>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9" t="s">
        <v>161</v>
      </c>
    </row>
    <row r="11" spans="1:3" ht="15.75" x14ac:dyDescent="0.2">
      <c r="A11" s="43" t="s">
        <v>122</v>
      </c>
    </row>
    <row r="13" spans="1:3" ht="15.75" x14ac:dyDescent="0.2">
      <c r="A13" s="44" t="s">
        <v>31</v>
      </c>
    </row>
    <row r="14" spans="1:3" ht="34.5" customHeight="1" x14ac:dyDescent="0.2">
      <c r="A14" s="145" t="s">
        <v>154</v>
      </c>
      <c r="B14" s="145"/>
      <c r="C14" s="145"/>
    </row>
    <row r="16" spans="1:3" ht="15.75" x14ac:dyDescent="0.2">
      <c r="A16" s="44" t="s">
        <v>46</v>
      </c>
    </row>
    <row r="17" spans="1:26" x14ac:dyDescent="0.2">
      <c r="A17" s="42" t="s">
        <v>47</v>
      </c>
    </row>
    <row r="18" spans="1:26" ht="33" customHeight="1" x14ac:dyDescent="0.2">
      <c r="A18" s="147" t="s">
        <v>85</v>
      </c>
      <c r="B18" s="147"/>
      <c r="C18" s="147"/>
    </row>
    <row r="20" spans="1:26" x14ac:dyDescent="0.2">
      <c r="A20" s="42">
        <v>1</v>
      </c>
      <c r="B20" s="144" t="s">
        <v>140</v>
      </c>
      <c r="C20" s="144"/>
    </row>
    <row r="21" spans="1:26" x14ac:dyDescent="0.2">
      <c r="B21" s="133"/>
      <c r="C21" s="133"/>
    </row>
    <row r="23" spans="1:26" ht="31.5" customHeight="1" x14ac:dyDescent="0.2">
      <c r="A23" s="42">
        <v>2</v>
      </c>
      <c r="B23" s="145" t="s">
        <v>86</v>
      </c>
      <c r="C23" s="145"/>
    </row>
    <row r="24" spans="1:26" x14ac:dyDescent="0.2">
      <c r="B24" s="132"/>
      <c r="C24" s="132"/>
    </row>
    <row r="26" spans="1:26" x14ac:dyDescent="0.2">
      <c r="A26" s="42">
        <v>3</v>
      </c>
      <c r="B26" s="146" t="s">
        <v>109</v>
      </c>
      <c r="C26" s="146"/>
    </row>
    <row r="27" spans="1:26" ht="32.25" customHeight="1" x14ac:dyDescent="0.2">
      <c r="B27" s="145" t="s">
        <v>117</v>
      </c>
      <c r="C27" s="145"/>
    </row>
    <row r="28" spans="1:26" ht="63" customHeight="1" x14ac:dyDescent="0.2">
      <c r="B28" s="145" t="s">
        <v>129</v>
      </c>
      <c r="C28" s="145"/>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5" t="s">
        <v>118</v>
      </c>
      <c r="C29" s="145"/>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5" t="s">
        <v>155</v>
      </c>
      <c r="B33" s="145"/>
      <c r="C33" s="145"/>
    </row>
    <row r="34" spans="1:3" x14ac:dyDescent="0.2">
      <c r="B34" s="132"/>
      <c r="C34" s="132"/>
    </row>
    <row r="35" spans="1:3" x14ac:dyDescent="0.2">
      <c r="B35" s="84"/>
    </row>
    <row r="36" spans="1:3" x14ac:dyDescent="0.2">
      <c r="A36" s="42">
        <v>4</v>
      </c>
      <c r="B36" s="146" t="s">
        <v>141</v>
      </c>
      <c r="C36" s="146"/>
    </row>
    <row r="37" spans="1:3" ht="78.75" customHeight="1" x14ac:dyDescent="0.2">
      <c r="B37" s="145" t="s">
        <v>142</v>
      </c>
      <c r="C37" s="145"/>
    </row>
    <row r="38" spans="1:3" ht="65.25" customHeight="1" x14ac:dyDescent="0.2">
      <c r="B38" s="145" t="s">
        <v>124</v>
      </c>
      <c r="C38" s="145"/>
    </row>
    <row r="39" spans="1:3" ht="31.5" customHeight="1" x14ac:dyDescent="0.2">
      <c r="B39" s="145" t="s">
        <v>123</v>
      </c>
      <c r="C39" s="145"/>
    </row>
    <row r="40" spans="1:3" ht="30" customHeight="1" x14ac:dyDescent="0.2">
      <c r="B40" s="145" t="s">
        <v>125</v>
      </c>
      <c r="C40" s="145"/>
    </row>
    <row r="41" spans="1:3" x14ac:dyDescent="0.2">
      <c r="B41" s="132"/>
      <c r="C41" s="132"/>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5" t="s">
        <v>135</v>
      </c>
      <c r="C49" s="145"/>
    </row>
    <row r="51" spans="2:3" ht="30" customHeight="1" x14ac:dyDescent="0.2">
      <c r="B51" s="145" t="s">
        <v>120</v>
      </c>
      <c r="C51" s="145"/>
    </row>
    <row r="52" spans="2:3" ht="30" customHeight="1" x14ac:dyDescent="0.2">
      <c r="B52" s="145" t="s">
        <v>88</v>
      </c>
      <c r="C52" s="145"/>
    </row>
    <row r="53" spans="2:3" x14ac:dyDescent="0.2">
      <c r="B53" s="132"/>
      <c r="C53" s="132"/>
    </row>
    <row r="54" spans="2:3" x14ac:dyDescent="0.2">
      <c r="B54" s="135"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32"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32" t="s">
        <v>144</v>
      </c>
    </row>
    <row r="69" spans="1:3" ht="30" x14ac:dyDescent="0.2">
      <c r="B69" s="92"/>
      <c r="C69" s="132" t="s">
        <v>145</v>
      </c>
    </row>
    <row r="70" spans="1:3" x14ac:dyDescent="0.2">
      <c r="B70" s="92" t="s">
        <v>106</v>
      </c>
      <c r="C70" s="40" t="s">
        <v>105</v>
      </c>
    </row>
    <row r="71" spans="1:3" ht="30" x14ac:dyDescent="0.2">
      <c r="B71" s="92"/>
      <c r="C71" s="132" t="s">
        <v>107</v>
      </c>
    </row>
    <row r="72" spans="1:3" x14ac:dyDescent="0.2">
      <c r="B72" s="92" t="s">
        <v>146</v>
      </c>
      <c r="C72" s="132" t="s">
        <v>137</v>
      </c>
    </row>
    <row r="73" spans="1:3" ht="45" x14ac:dyDescent="0.2">
      <c r="B73" s="92"/>
      <c r="C73" s="132" t="s">
        <v>148</v>
      </c>
    </row>
    <row r="74" spans="1:3" x14ac:dyDescent="0.2">
      <c r="B74" s="92" t="s">
        <v>147</v>
      </c>
      <c r="C74" s="132" t="s">
        <v>149</v>
      </c>
    </row>
    <row r="75" spans="1:3" ht="30" x14ac:dyDescent="0.2">
      <c r="B75" s="92"/>
      <c r="C75" s="132" t="s">
        <v>127</v>
      </c>
    </row>
    <row r="76" spans="1:3" x14ac:dyDescent="0.2">
      <c r="B76" s="92"/>
      <c r="C76" s="132"/>
    </row>
    <row r="77" spans="1:3" x14ac:dyDescent="0.2">
      <c r="A77" s="42">
        <v>6</v>
      </c>
      <c r="B77" s="136" t="s">
        <v>151</v>
      </c>
      <c r="C77" s="132"/>
    </row>
    <row r="78" spans="1:3" ht="59.25" customHeight="1" x14ac:dyDescent="0.2">
      <c r="B78" s="147" t="s">
        <v>152</v>
      </c>
      <c r="C78" s="147"/>
    </row>
    <row r="79" spans="1:3" x14ac:dyDescent="0.2">
      <c r="B79" s="86"/>
      <c r="C79" s="132"/>
    </row>
    <row r="81" spans="1:3" ht="30.75" customHeight="1" x14ac:dyDescent="0.2">
      <c r="A81" s="42">
        <v>7</v>
      </c>
      <c r="B81" s="145" t="s">
        <v>153</v>
      </c>
      <c r="C81" s="145"/>
    </row>
    <row r="82" spans="1:3" x14ac:dyDescent="0.2">
      <c r="B82" s="132"/>
      <c r="C82" s="132"/>
    </row>
    <row r="83" spans="1:3" ht="15.75" customHeight="1" x14ac:dyDescent="0.2">
      <c r="B83" s="144" t="s">
        <v>108</v>
      </c>
      <c r="C83" s="144"/>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opLeftCell="A82" zoomScale="75" zoomScaleNormal="75" zoomScaleSheetLayoutView="100" workbookViewId="0">
      <selection activeCell="F81" sqref="F8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3" t="s">
        <v>25</v>
      </c>
      <c r="C21" s="153"/>
      <c r="D21" s="24"/>
      <c r="E21" s="154"/>
      <c r="F21" s="155"/>
      <c r="G21" s="78"/>
      <c r="H21" s="78"/>
      <c r="I21" s="78"/>
      <c r="J21" s="78"/>
      <c r="K21" s="78"/>
      <c r="L21" s="78"/>
      <c r="M21" s="78"/>
      <c r="N21" s="78"/>
      <c r="O21" s="78"/>
      <c r="P21" s="78"/>
      <c r="Q21" s="78"/>
    </row>
    <row r="22" spans="1:24" ht="15" thickBot="1" x14ac:dyDescent="0.25">
      <c r="A22" s="4"/>
      <c r="B22" s="5" t="s">
        <v>3</v>
      </c>
      <c r="C22" s="5" t="s">
        <v>2</v>
      </c>
      <c r="D22" s="116">
        <f>D23+D24</f>
        <v>1195394886.5</v>
      </c>
      <c r="E22" s="6" t="s">
        <v>0</v>
      </c>
      <c r="F22" s="7">
        <v>1</v>
      </c>
      <c r="G22" s="78"/>
      <c r="H22" s="78"/>
      <c r="I22" s="78"/>
      <c r="J22" s="78"/>
      <c r="K22" s="78"/>
      <c r="L22" s="78"/>
      <c r="M22" s="78"/>
      <c r="N22" s="78"/>
      <c r="O22" s="78"/>
      <c r="P22" s="78"/>
      <c r="Q22" s="78"/>
    </row>
    <row r="23" spans="1:24" x14ac:dyDescent="0.2">
      <c r="B23" s="5" t="s">
        <v>7</v>
      </c>
      <c r="C23" s="5" t="s">
        <v>1</v>
      </c>
      <c r="D23" s="117">
        <v>561266797</v>
      </c>
      <c r="E23" s="6" t="s">
        <v>0</v>
      </c>
      <c r="F23" s="8">
        <f>IFERROR(D23/$D$22,0)</f>
        <v>0.46952417426122228</v>
      </c>
    </row>
    <row r="24" spans="1:24" ht="15" thickBot="1" x14ac:dyDescent="0.25">
      <c r="B24" s="5" t="s">
        <v>8</v>
      </c>
      <c r="C24" s="5" t="s">
        <v>6</v>
      </c>
      <c r="D24" s="116">
        <f>D25+D26</f>
        <v>634128089.5</v>
      </c>
      <c r="E24" s="6" t="s">
        <v>0</v>
      </c>
      <c r="F24" s="8">
        <f>IFERROR(D24/$D$22,0)</f>
        <v>0.53047582573877772</v>
      </c>
    </row>
    <row r="25" spans="1:24" x14ac:dyDescent="0.2">
      <c r="B25" s="5" t="s">
        <v>9</v>
      </c>
      <c r="C25" s="5" t="s">
        <v>4</v>
      </c>
      <c r="D25" s="117"/>
      <c r="E25" s="6" t="s">
        <v>0</v>
      </c>
      <c r="F25" s="8">
        <f>IFERROR(D25/$D$22,0)</f>
        <v>0</v>
      </c>
    </row>
    <row r="26" spans="1:24" x14ac:dyDescent="0.2">
      <c r="B26" s="5" t="s">
        <v>61</v>
      </c>
      <c r="C26" s="5" t="s">
        <v>5</v>
      </c>
      <c r="D26" s="118">
        <f>510074171+124053918.5</f>
        <v>634128089.5</v>
      </c>
      <c r="E26" s="6" t="s">
        <v>0</v>
      </c>
      <c r="F26" s="8">
        <f>IFERROR(D26/$D$22,0)</f>
        <v>0.53047582573877772</v>
      </c>
      <c r="G26" s="29"/>
      <c r="H26" s="29"/>
    </row>
    <row r="27" spans="1:24" ht="34.5" customHeight="1" x14ac:dyDescent="0.2">
      <c r="B27" s="156" t="s">
        <v>77</v>
      </c>
      <c r="C27" s="156"/>
      <c r="D27" s="156"/>
      <c r="E27" s="156"/>
      <c r="F27" s="156"/>
      <c r="G27" s="157"/>
      <c r="H27" s="157"/>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163</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2014</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48">
        <v>2016</v>
      </c>
      <c r="P45" s="148"/>
      <c r="Q45" s="148"/>
      <c r="R45" s="148">
        <v>2015</v>
      </c>
      <c r="S45" s="148"/>
      <c r="T45" s="148"/>
      <c r="U45" s="148">
        <v>2014</v>
      </c>
      <c r="V45" s="148"/>
      <c r="W45" s="148"/>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3">
        <v>60148744.128000006</v>
      </c>
      <c r="D47" s="93"/>
      <c r="E47" s="60"/>
      <c r="F47" s="51">
        <f>C47-D47+E47</f>
        <v>60148744.128000006</v>
      </c>
      <c r="G47" s="110">
        <f>U47</f>
        <v>3.6260000000000001E-2</v>
      </c>
      <c r="H47" s="15">
        <f>F47*G47</f>
        <v>2180993.4620812801</v>
      </c>
      <c r="I47" s="110">
        <f>W47</f>
        <v>1.261E-2</v>
      </c>
      <c r="J47" s="17">
        <f>F47*I47</f>
        <v>758475.66345408</v>
      </c>
      <c r="K47" s="16">
        <f>J47-H47</f>
        <v>-1422517.7986272001</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3">
        <v>54095570.495999999</v>
      </c>
      <c r="D48" s="93"/>
      <c r="E48" s="60"/>
      <c r="F48" s="51">
        <f t="shared" ref="F48:F58" si="0">C48-D48+E48</f>
        <v>54095570.495999999</v>
      </c>
      <c r="G48" s="110">
        <f t="shared" ref="G48:G58" si="1">U48</f>
        <v>2.231E-2</v>
      </c>
      <c r="H48" s="15">
        <f t="shared" ref="H48:H58" si="2">F48*G48</f>
        <v>1206872.1777657599</v>
      </c>
      <c r="I48" s="110">
        <f t="shared" ref="I48:I58" si="3">W48</f>
        <v>1.3300000000000001E-2</v>
      </c>
      <c r="J48" s="17">
        <f t="shared" ref="J48:J58" si="4">F48*I48</f>
        <v>719471.08759680006</v>
      </c>
      <c r="K48" s="16">
        <f t="shared" ref="K48:K58" si="5">J48-H48</f>
        <v>-487401.09016895981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3">
        <v>57917530.851999998</v>
      </c>
      <c r="D49" s="93"/>
      <c r="E49" s="60"/>
      <c r="F49" s="51">
        <f t="shared" si="0"/>
        <v>57917530.851999998</v>
      </c>
      <c r="G49" s="110">
        <f t="shared" si="1"/>
        <v>1.103E-2</v>
      </c>
      <c r="H49" s="15">
        <f t="shared" si="2"/>
        <v>638830.36529756</v>
      </c>
      <c r="I49" s="110">
        <f t="shared" si="3"/>
        <v>-2.7E-4</v>
      </c>
      <c r="J49" s="17">
        <f t="shared" si="4"/>
        <v>-15637.733330040001</v>
      </c>
      <c r="K49" s="16">
        <f t="shared" si="5"/>
        <v>-654468.0986276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3">
        <v>51714778.810000002</v>
      </c>
      <c r="D50" s="93"/>
      <c r="E50" s="60"/>
      <c r="F50" s="51">
        <f t="shared" si="0"/>
        <v>51714778.810000002</v>
      </c>
      <c r="G50" s="110">
        <f t="shared" si="1"/>
        <v>-9.6500000000000006E-3</v>
      </c>
      <c r="H50" s="15">
        <f t="shared" si="2"/>
        <v>-499047.61551650008</v>
      </c>
      <c r="I50" s="110">
        <f t="shared" si="3"/>
        <v>5.1979999999999998E-2</v>
      </c>
      <c r="J50" s="17">
        <f t="shared" si="4"/>
        <v>2688134.2025438002</v>
      </c>
      <c r="K50" s="16">
        <f t="shared" si="5"/>
        <v>3187181.8180603003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3">
        <v>53684635.939999998</v>
      </c>
      <c r="D51" s="93"/>
      <c r="E51" s="60"/>
      <c r="F51" s="51">
        <f t="shared" si="0"/>
        <v>53684635.939999998</v>
      </c>
      <c r="G51" s="110">
        <f t="shared" si="1"/>
        <v>5.3560000000000003E-2</v>
      </c>
      <c r="H51" s="15">
        <f t="shared" si="2"/>
        <v>2875349.1009463998</v>
      </c>
      <c r="I51" s="110">
        <f t="shared" si="3"/>
        <v>7.1959999999999996E-2</v>
      </c>
      <c r="J51" s="17">
        <f t="shared" si="4"/>
        <v>3863146.4022423998</v>
      </c>
      <c r="K51" s="16">
        <f t="shared" si="5"/>
        <v>987797.3012959999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3">
        <v>57829627.68</v>
      </c>
      <c r="D52" s="93"/>
      <c r="E52" s="60"/>
      <c r="F52" s="51">
        <f t="shared" si="0"/>
        <v>57829627.68</v>
      </c>
      <c r="G52" s="110">
        <f t="shared" si="1"/>
        <v>7.1900000000000006E-2</v>
      </c>
      <c r="H52" s="15">
        <f t="shared" si="2"/>
        <v>4157950.2301920005</v>
      </c>
      <c r="I52" s="110">
        <f t="shared" si="3"/>
        <v>6.0249999999999998E-2</v>
      </c>
      <c r="J52" s="17">
        <f t="shared" si="4"/>
        <v>3484235.0677199997</v>
      </c>
      <c r="K52" s="16">
        <f t="shared" si="5"/>
        <v>-673715.16247200081</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60770952.000000007</v>
      </c>
      <c r="D53" s="93"/>
      <c r="E53" s="60"/>
      <c r="F53" s="51">
        <f t="shared" si="0"/>
        <v>60770952.000000007</v>
      </c>
      <c r="G53" s="110">
        <f t="shared" si="1"/>
        <v>5.9760000000000001E-2</v>
      </c>
      <c r="H53" s="15">
        <f t="shared" si="2"/>
        <v>3631672.0915200007</v>
      </c>
      <c r="I53" s="110">
        <f t="shared" si="3"/>
        <v>6.2560000000000004E-2</v>
      </c>
      <c r="J53" s="17">
        <f t="shared" si="4"/>
        <v>3801830.7571200007</v>
      </c>
      <c r="K53" s="16">
        <f t="shared" si="5"/>
        <v>170158.66559999995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61002625.728000008</v>
      </c>
      <c r="D54" s="93"/>
      <c r="E54" s="60"/>
      <c r="F54" s="51">
        <f t="shared" si="0"/>
        <v>61002625.728000008</v>
      </c>
      <c r="G54" s="110">
        <f t="shared" si="1"/>
        <v>6.1079999999999995E-2</v>
      </c>
      <c r="H54" s="15">
        <f t="shared" si="2"/>
        <v>3726040.3794662403</v>
      </c>
      <c r="I54" s="110">
        <f t="shared" si="3"/>
        <v>6.7610000000000003E-2</v>
      </c>
      <c r="J54" s="17">
        <f t="shared" si="4"/>
        <v>4124387.5254700808</v>
      </c>
      <c r="K54" s="16">
        <f t="shared" si="5"/>
        <v>398347.14600384049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55942149.119999997</v>
      </c>
      <c r="D55" s="93"/>
      <c r="E55" s="60"/>
      <c r="F55" s="51">
        <f t="shared" si="0"/>
        <v>55942149.119999997</v>
      </c>
      <c r="G55" s="110">
        <f t="shared" si="1"/>
        <v>8.0489999999999992E-2</v>
      </c>
      <c r="H55" s="15">
        <f t="shared" si="2"/>
        <v>4502783.582668799</v>
      </c>
      <c r="I55" s="110">
        <f t="shared" si="3"/>
        <v>7.9629999999999992E-2</v>
      </c>
      <c r="J55" s="17">
        <f t="shared" si="4"/>
        <v>4454673.3344255993</v>
      </c>
      <c r="K55" s="16">
        <f t="shared" si="5"/>
        <v>-48110.248243199661</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52716757.631999999</v>
      </c>
      <c r="D56" s="93"/>
      <c r="E56" s="60">
        <v>9148.1280000000006</v>
      </c>
      <c r="F56" s="51">
        <f t="shared" si="0"/>
        <v>52725905.759999998</v>
      </c>
      <c r="G56" s="110">
        <f t="shared" si="1"/>
        <v>7.492E-2</v>
      </c>
      <c r="H56" s="15">
        <f t="shared" si="2"/>
        <v>3950224.8595392001</v>
      </c>
      <c r="I56" s="110">
        <f t="shared" si="3"/>
        <v>0.10014000000000001</v>
      </c>
      <c r="J56" s="17">
        <f t="shared" si="4"/>
        <v>5279972.2028064001</v>
      </c>
      <c r="K56" s="16">
        <f t="shared" si="5"/>
        <v>1329747.3432672</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49505207.136000007</v>
      </c>
      <c r="D57" s="93"/>
      <c r="E57" s="60">
        <v>2423607.648</v>
      </c>
      <c r="F57" s="51">
        <f t="shared" si="0"/>
        <v>51928814.784000009</v>
      </c>
      <c r="G57" s="110">
        <f t="shared" si="1"/>
        <v>9.9010000000000001E-2</v>
      </c>
      <c r="H57" s="15">
        <f t="shared" si="2"/>
        <v>5141471.9517638413</v>
      </c>
      <c r="I57" s="110">
        <f t="shared" si="3"/>
        <v>8.231999999999999E-2</v>
      </c>
      <c r="J57" s="17">
        <f t="shared" si="4"/>
        <v>4274780.0330188805</v>
      </c>
      <c r="K57" s="16">
        <f t="shared" si="5"/>
        <v>-866691.9187449608</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v>361259.712</v>
      </c>
      <c r="D58" s="93"/>
      <c r="E58" s="60">
        <v>55232692.832000002</v>
      </c>
      <c r="F58" s="51">
        <f t="shared" si="0"/>
        <v>55593952.544</v>
      </c>
      <c r="G58" s="110">
        <f t="shared" si="1"/>
        <v>7.3180000000000009E-2</v>
      </c>
      <c r="H58" s="15">
        <f t="shared" si="2"/>
        <v>4068365.4471699204</v>
      </c>
      <c r="I58" s="110">
        <f t="shared" si="3"/>
        <v>7.4439999999999992E-2</v>
      </c>
      <c r="J58" s="17">
        <f t="shared" si="4"/>
        <v>4138413.8273753594</v>
      </c>
      <c r="K58" s="16">
        <f t="shared" si="5"/>
        <v>70048.380205438938</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615689839.23400009</v>
      </c>
      <c r="D59" s="96">
        <f>SUM(D47:D58)</f>
        <v>0</v>
      </c>
      <c r="E59" s="96">
        <f>SUM(E47:E58)</f>
        <v>57665448.608000003</v>
      </c>
      <c r="F59" s="96">
        <f>SUM(F47:F58)</f>
        <v>673355287.84200013</v>
      </c>
      <c r="G59" s="37"/>
      <c r="H59" s="38">
        <f>SUM(H47:H58)</f>
        <v>35581506.0328945</v>
      </c>
      <c r="I59" s="37"/>
      <c r="J59" s="38">
        <f>SUM(J47:J58)</f>
        <v>37571882.370443359</v>
      </c>
      <c r="K59" s="39">
        <f>SUM(K47:K58)</f>
        <v>1990376.3375488585</v>
      </c>
      <c r="N59" s="31"/>
      <c r="O59" s="32"/>
      <c r="P59" s="32"/>
      <c r="Q59" s="32"/>
      <c r="R59" s="32"/>
      <c r="S59" s="32"/>
      <c r="T59" s="32"/>
      <c r="U59" s="32"/>
      <c r="V59" s="32"/>
      <c r="W59" s="32"/>
    </row>
    <row r="60" spans="1:24" x14ac:dyDescent="0.2">
      <c r="G60" s="4"/>
      <c r="H60" s="4"/>
      <c r="I60" s="4"/>
      <c r="J60" s="68"/>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1" t="s">
        <v>45</v>
      </c>
      <c r="C64" s="48" t="s">
        <v>67</v>
      </c>
      <c r="D64" s="48" t="s">
        <v>121</v>
      </c>
      <c r="E64" s="158" t="s">
        <v>44</v>
      </c>
      <c r="F64" s="158"/>
      <c r="G64" s="158"/>
      <c r="H64" s="158"/>
      <c r="I64" s="158"/>
      <c r="K64" s="120"/>
      <c r="O64" s="29"/>
      <c r="P64" s="29"/>
      <c r="Q64" s="29"/>
      <c r="R64" s="29"/>
      <c r="S64" s="29"/>
      <c r="T64" s="29"/>
      <c r="U64" s="29"/>
      <c r="V64" s="29"/>
      <c r="W64" s="29"/>
      <c r="X64" s="29"/>
    </row>
    <row r="65" spans="1:24" ht="30.75" customHeight="1" x14ac:dyDescent="0.25">
      <c r="A65" s="162" t="s">
        <v>134</v>
      </c>
      <c r="B65" s="163"/>
      <c r="C65" s="164"/>
      <c r="D65" s="126">
        <v>1514355.81</v>
      </c>
      <c r="E65" s="149"/>
      <c r="F65" s="150"/>
      <c r="G65" s="150"/>
      <c r="H65" s="150"/>
      <c r="I65" s="151"/>
      <c r="K65" s="120"/>
      <c r="O65" s="29"/>
      <c r="P65" s="29"/>
      <c r="Q65" s="29"/>
      <c r="R65" s="29"/>
      <c r="S65" s="29"/>
      <c r="T65" s="29"/>
      <c r="U65" s="29"/>
      <c r="V65" s="29"/>
      <c r="W65" s="29"/>
      <c r="X65" s="29"/>
    </row>
    <row r="66" spans="1:24" ht="28.5" x14ac:dyDescent="0.2">
      <c r="A66" s="69" t="s">
        <v>51</v>
      </c>
      <c r="B66" s="49" t="s">
        <v>62</v>
      </c>
      <c r="C66" s="111"/>
      <c r="D66" s="97"/>
      <c r="E66" s="152"/>
      <c r="F66" s="152"/>
      <c r="G66" s="152"/>
      <c r="H66" s="152"/>
      <c r="I66" s="152"/>
      <c r="K66" s="120"/>
      <c r="O66" s="29"/>
      <c r="P66" s="29"/>
      <c r="Q66" s="29"/>
      <c r="R66" s="29"/>
      <c r="S66" s="29"/>
      <c r="T66" s="29"/>
      <c r="U66" s="29"/>
      <c r="V66" s="29"/>
      <c r="W66" s="29"/>
      <c r="X66" s="29"/>
    </row>
    <row r="67" spans="1:24" ht="28.5" x14ac:dyDescent="0.2">
      <c r="A67" s="69" t="s">
        <v>52</v>
      </c>
      <c r="B67" s="49" t="s">
        <v>79</v>
      </c>
      <c r="C67" s="112"/>
      <c r="D67" s="113"/>
      <c r="E67" s="159"/>
      <c r="F67" s="160"/>
      <c r="G67" s="160"/>
      <c r="H67" s="160"/>
      <c r="I67" s="161"/>
      <c r="J67" s="78"/>
      <c r="K67" s="121"/>
      <c r="L67" s="78"/>
      <c r="M67" s="78"/>
      <c r="N67" s="78"/>
      <c r="O67" s="78"/>
      <c r="P67" s="78"/>
      <c r="Q67" s="78"/>
    </row>
    <row r="68" spans="1:24" ht="28.5" x14ac:dyDescent="0.2">
      <c r="A68" s="69" t="s">
        <v>65</v>
      </c>
      <c r="B68" s="49" t="s">
        <v>64</v>
      </c>
      <c r="C68" s="111" t="s">
        <v>164</v>
      </c>
      <c r="D68" s="113">
        <v>116721.24744774867</v>
      </c>
      <c r="E68" s="152" t="s">
        <v>165</v>
      </c>
      <c r="F68" s="152"/>
      <c r="G68" s="152"/>
      <c r="H68" s="152"/>
      <c r="I68" s="152"/>
      <c r="J68" s="78"/>
      <c r="K68" s="121"/>
      <c r="L68" s="78"/>
      <c r="M68" s="78"/>
      <c r="N68" s="78"/>
      <c r="O68" s="78"/>
      <c r="P68" s="78"/>
      <c r="Q68" s="78"/>
    </row>
    <row r="69" spans="1:24" ht="28.5" x14ac:dyDescent="0.2">
      <c r="A69" s="69" t="s">
        <v>66</v>
      </c>
      <c r="B69" s="49" t="s">
        <v>63</v>
      </c>
      <c r="C69" s="112"/>
      <c r="D69" s="113"/>
      <c r="E69" s="159"/>
      <c r="F69" s="160"/>
      <c r="G69" s="160"/>
      <c r="H69" s="160"/>
      <c r="I69" s="161"/>
      <c r="J69" s="78"/>
      <c r="K69" s="124"/>
      <c r="L69" s="78"/>
      <c r="M69" s="78"/>
      <c r="N69" s="78"/>
      <c r="O69" s="78"/>
      <c r="P69" s="78"/>
      <c r="Q69" s="78"/>
    </row>
    <row r="70" spans="1:24" ht="28.5" x14ac:dyDescent="0.2">
      <c r="A70" s="69" t="s">
        <v>69</v>
      </c>
      <c r="B70" s="49" t="s">
        <v>71</v>
      </c>
      <c r="C70" s="111" t="s">
        <v>164</v>
      </c>
      <c r="D70" s="97">
        <v>29471.35</v>
      </c>
      <c r="E70" s="152" t="s">
        <v>194</v>
      </c>
      <c r="F70" s="152"/>
      <c r="G70" s="152"/>
      <c r="H70" s="152"/>
      <c r="I70" s="152"/>
      <c r="J70" s="78"/>
      <c r="K70" s="124"/>
      <c r="L70" s="78"/>
      <c r="M70" s="78"/>
      <c r="N70" s="78"/>
      <c r="O70" s="78"/>
      <c r="P70" s="78"/>
      <c r="Q70" s="78"/>
    </row>
    <row r="71" spans="1:24" ht="28.5" x14ac:dyDescent="0.2">
      <c r="A71" s="69" t="s">
        <v>70</v>
      </c>
      <c r="B71" s="49" t="s">
        <v>72</v>
      </c>
      <c r="C71" s="111"/>
      <c r="D71" s="97"/>
      <c r="E71" s="152"/>
      <c r="F71" s="152"/>
      <c r="G71" s="152"/>
      <c r="H71" s="152"/>
      <c r="I71" s="152"/>
      <c r="J71" s="78"/>
      <c r="K71" s="124"/>
      <c r="L71" s="78"/>
      <c r="M71" s="78"/>
      <c r="N71" s="78"/>
      <c r="O71" s="78"/>
      <c r="P71" s="78"/>
      <c r="Q71" s="78"/>
    </row>
    <row r="72" spans="1:24" ht="33.75" customHeight="1" x14ac:dyDescent="0.2">
      <c r="A72" s="69">
        <v>4</v>
      </c>
      <c r="B72" s="49" t="s">
        <v>68</v>
      </c>
      <c r="C72" s="111"/>
      <c r="D72" s="97"/>
      <c r="E72" s="152"/>
      <c r="F72" s="152"/>
      <c r="G72" s="152"/>
      <c r="H72" s="152"/>
      <c r="I72" s="152"/>
      <c r="J72" s="78"/>
      <c r="K72" s="124"/>
      <c r="L72" s="78"/>
      <c r="M72" s="78"/>
      <c r="N72" s="78"/>
      <c r="O72" s="78"/>
      <c r="P72" s="78"/>
      <c r="Q72" s="78"/>
    </row>
    <row r="73" spans="1:24" ht="42.75" x14ac:dyDescent="0.2">
      <c r="A73" s="69">
        <v>5</v>
      </c>
      <c r="B73" s="49" t="s">
        <v>81</v>
      </c>
      <c r="C73" s="111" t="s">
        <v>164</v>
      </c>
      <c r="D73" s="97">
        <v>330613.22791373997</v>
      </c>
      <c r="E73" s="152" t="s">
        <v>198</v>
      </c>
      <c r="F73" s="152"/>
      <c r="G73" s="152"/>
      <c r="H73" s="152"/>
      <c r="I73" s="152"/>
      <c r="J73" s="78"/>
      <c r="K73" s="124"/>
      <c r="L73" s="78"/>
      <c r="M73" s="78"/>
      <c r="N73" s="78"/>
      <c r="O73" s="78"/>
      <c r="P73" s="78"/>
      <c r="Q73" s="78"/>
    </row>
    <row r="74" spans="1:24" ht="28.5" x14ac:dyDescent="0.2">
      <c r="A74" s="54">
        <v>6</v>
      </c>
      <c r="B74" s="128" t="s">
        <v>137</v>
      </c>
      <c r="C74" s="111"/>
      <c r="D74" s="97"/>
      <c r="E74" s="152"/>
      <c r="F74" s="152"/>
      <c r="G74" s="152"/>
      <c r="H74" s="152"/>
      <c r="I74" s="152"/>
      <c r="K74" s="29"/>
    </row>
    <row r="75" spans="1:24" x14ac:dyDescent="0.2">
      <c r="A75" s="54">
        <v>7</v>
      </c>
      <c r="B75" s="46"/>
      <c r="C75" s="111"/>
      <c r="D75" s="97"/>
      <c r="E75" s="152"/>
      <c r="F75" s="152"/>
      <c r="G75" s="152"/>
      <c r="H75" s="152"/>
      <c r="I75" s="152"/>
    </row>
    <row r="76" spans="1:24" x14ac:dyDescent="0.2">
      <c r="A76" s="54">
        <v>8</v>
      </c>
      <c r="B76" s="46"/>
      <c r="C76" s="111"/>
      <c r="D76" s="97"/>
      <c r="E76" s="152"/>
      <c r="F76" s="152"/>
      <c r="G76" s="152"/>
      <c r="H76" s="152"/>
      <c r="I76" s="152"/>
    </row>
    <row r="77" spans="1:24" x14ac:dyDescent="0.2">
      <c r="A77" s="54">
        <v>9</v>
      </c>
      <c r="B77" s="46"/>
      <c r="C77" s="10"/>
      <c r="D77" s="97"/>
      <c r="E77" s="159"/>
      <c r="F77" s="160"/>
      <c r="G77" s="160"/>
      <c r="H77" s="160"/>
      <c r="I77" s="161"/>
    </row>
    <row r="78" spans="1:24" x14ac:dyDescent="0.2">
      <c r="A78" s="54">
        <v>10</v>
      </c>
      <c r="B78" s="46"/>
      <c r="C78" s="10"/>
      <c r="D78" s="97"/>
      <c r="E78" s="152"/>
      <c r="F78" s="152"/>
      <c r="G78" s="152"/>
      <c r="H78" s="152"/>
      <c r="I78" s="152"/>
    </row>
    <row r="79" spans="1:24" ht="15" x14ac:dyDescent="0.25">
      <c r="A79" s="1" t="s">
        <v>150</v>
      </c>
      <c r="B79" s="2" t="s">
        <v>131</v>
      </c>
      <c r="C79" s="2"/>
      <c r="D79" s="98">
        <f>SUM(D65:D78)</f>
        <v>1991161.6353614889</v>
      </c>
      <c r="E79" s="25"/>
      <c r="F79" s="25"/>
      <c r="G79" s="25"/>
      <c r="H79" s="25"/>
    </row>
    <row r="80" spans="1:24" ht="15" x14ac:dyDescent="0.25">
      <c r="B80" s="123" t="s">
        <v>132</v>
      </c>
      <c r="C80" s="70"/>
      <c r="D80" s="98">
        <f>K59</f>
        <v>1990376.3375488585</v>
      </c>
      <c r="E80" s="25"/>
      <c r="F80" s="25"/>
      <c r="G80" s="25"/>
      <c r="H80" s="25"/>
    </row>
    <row r="81" spans="1:19" ht="15" x14ac:dyDescent="0.25">
      <c r="B81" s="70" t="s">
        <v>24</v>
      </c>
      <c r="C81" s="70"/>
      <c r="D81" s="99">
        <f>D79-D80</f>
        <v>785.29781263042241</v>
      </c>
    </row>
    <row r="82" spans="1:19" ht="15.75" thickBot="1" x14ac:dyDescent="0.3">
      <c r="B82" s="134" t="s">
        <v>73</v>
      </c>
      <c r="C82" s="71"/>
      <c r="D82" s="143">
        <f>IF(ISERROR(D81/J59),0,D81/J59)</f>
        <v>2.0901210242481541E-5</v>
      </c>
      <c r="E82" s="103"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2"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5"/>
      <c r="C88" s="106"/>
      <c r="D88" s="106"/>
      <c r="E88" s="107"/>
      <c r="F88" s="130">
        <f>SUM(D88:E88)</f>
        <v>0</v>
      </c>
      <c r="G88" s="108">
        <f>F88-C88</f>
        <v>0</v>
      </c>
      <c r="H88" s="107"/>
      <c r="I88" s="104">
        <f>IF(ISERROR(G88/H88),0,G88/H88)</f>
        <v>0</v>
      </c>
      <c r="J88" s="78"/>
      <c r="K88" s="78"/>
      <c r="L88" s="35"/>
      <c r="M88" s="35"/>
      <c r="N88" s="35"/>
      <c r="O88" s="35"/>
      <c r="P88" s="35"/>
      <c r="Q88" s="35"/>
      <c r="R88" s="35"/>
      <c r="S88" s="35"/>
    </row>
    <row r="89" spans="1:19" x14ac:dyDescent="0.2">
      <c r="B89" s="115"/>
      <c r="C89" s="106"/>
      <c r="D89" s="106"/>
      <c r="E89" s="107"/>
      <c r="F89" s="130">
        <f t="shared" ref="F89:F91" si="6">SUM(D89:E89)</f>
        <v>0</v>
      </c>
      <c r="G89" s="108">
        <f>F89-C89</f>
        <v>0</v>
      </c>
      <c r="H89" s="107"/>
      <c r="I89" s="104">
        <f>IF(ISERROR(G89/H89),0,G89/H89)</f>
        <v>0</v>
      </c>
      <c r="J89" s="78"/>
      <c r="K89" s="78"/>
      <c r="L89" s="35"/>
      <c r="M89" s="35"/>
      <c r="N89" s="35"/>
      <c r="O89" s="35"/>
      <c r="P89" s="35"/>
      <c r="Q89" s="35"/>
      <c r="R89" s="35"/>
      <c r="S89" s="35"/>
    </row>
    <row r="90" spans="1:19" x14ac:dyDescent="0.2">
      <c r="B90" s="115"/>
      <c r="C90" s="106"/>
      <c r="D90" s="106"/>
      <c r="E90" s="107"/>
      <c r="F90" s="130">
        <f t="shared" si="6"/>
        <v>0</v>
      </c>
      <c r="G90" s="108">
        <f>F90-C90</f>
        <v>0</v>
      </c>
      <c r="H90" s="107"/>
      <c r="I90" s="104">
        <f>IF(ISERROR(G90/H90),0,G90/H90)</f>
        <v>0</v>
      </c>
      <c r="J90" s="78"/>
      <c r="K90" s="78"/>
      <c r="L90" s="35"/>
      <c r="M90" s="35"/>
      <c r="N90" s="35"/>
      <c r="O90" s="35"/>
      <c r="P90" s="35"/>
      <c r="Q90" s="35"/>
      <c r="R90" s="35"/>
      <c r="S90" s="35"/>
    </row>
    <row r="91" spans="1:19" ht="15" thickBot="1" x14ac:dyDescent="0.25">
      <c r="B91" s="115"/>
      <c r="C91" s="109"/>
      <c r="D91" s="109"/>
      <c r="E91" s="109"/>
      <c r="F91" s="130">
        <f t="shared" si="6"/>
        <v>0</v>
      </c>
      <c r="G91" s="108">
        <f>F91-C91</f>
        <v>0</v>
      </c>
      <c r="H91" s="109"/>
      <c r="I91" s="105">
        <f>IF(ISERROR(G91/H91),0,G91/H91)</f>
        <v>0</v>
      </c>
      <c r="J91" s="78"/>
      <c r="K91" s="78"/>
      <c r="L91" s="35"/>
      <c r="M91" s="35"/>
      <c r="N91" s="35"/>
      <c r="O91" s="35"/>
      <c r="P91" s="35"/>
      <c r="Q91" s="35"/>
      <c r="R91" s="35"/>
      <c r="S91" s="35"/>
    </row>
    <row r="92" spans="1:19" ht="15.75" thickBot="1" x14ac:dyDescent="0.3">
      <c r="B92" s="74" t="s">
        <v>74</v>
      </c>
      <c r="C92" s="129">
        <f t="shared" ref="C92:H92" si="7">SUM(C88:C91)</f>
        <v>0</v>
      </c>
      <c r="D92" s="129">
        <f t="shared" si="7"/>
        <v>0</v>
      </c>
      <c r="E92" s="129">
        <f t="shared" si="7"/>
        <v>0</v>
      </c>
      <c r="F92" s="131">
        <f t="shared" si="7"/>
        <v>0</v>
      </c>
      <c r="G92" s="129">
        <f>SUM(G88:G91)</f>
        <v>0</v>
      </c>
      <c r="H92" s="76">
        <f t="shared" si="7"/>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scale="49"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15"/>
  <sheetViews>
    <sheetView topLeftCell="A89" zoomScale="75" zoomScaleNormal="75" zoomScaleSheetLayoutView="100" workbookViewId="0">
      <selection activeCell="E108" sqref="E10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3" t="s">
        <v>25</v>
      </c>
      <c r="C21" s="153"/>
      <c r="D21" s="24"/>
      <c r="E21" s="154"/>
      <c r="F21" s="155"/>
      <c r="G21" s="78"/>
      <c r="H21" s="78"/>
      <c r="I21" s="78"/>
      <c r="J21" s="78"/>
      <c r="K21" s="78"/>
      <c r="L21" s="78"/>
      <c r="M21" s="78"/>
      <c r="N21" s="78"/>
      <c r="O21" s="78"/>
      <c r="P21" s="78"/>
      <c r="Q21" s="78"/>
    </row>
    <row r="22" spans="1:24" ht="15" thickBot="1" x14ac:dyDescent="0.25">
      <c r="A22" s="4"/>
      <c r="B22" s="5" t="s">
        <v>3</v>
      </c>
      <c r="C22" s="5" t="s">
        <v>2</v>
      </c>
      <c r="D22" s="116">
        <f>D23+D24</f>
        <v>1203184319</v>
      </c>
      <c r="E22" s="6" t="s">
        <v>0</v>
      </c>
      <c r="F22" s="7">
        <v>1</v>
      </c>
      <c r="G22" s="78"/>
      <c r="H22" s="78"/>
      <c r="I22" s="78"/>
      <c r="J22" s="78"/>
      <c r="K22" s="78"/>
      <c r="L22" s="78"/>
      <c r="M22" s="78"/>
      <c r="N22" s="78"/>
      <c r="O22" s="78"/>
      <c r="P22" s="78"/>
      <c r="Q22" s="78"/>
    </row>
    <row r="23" spans="1:24" x14ac:dyDescent="0.2">
      <c r="B23" s="5" t="s">
        <v>7</v>
      </c>
      <c r="C23" s="5" t="s">
        <v>1</v>
      </c>
      <c r="D23" s="117">
        <v>569024338</v>
      </c>
      <c r="E23" s="6" t="s">
        <v>0</v>
      </c>
      <c r="F23" s="8">
        <f>IFERROR(D23/$D$22,0)</f>
        <v>0.47293197643477597</v>
      </c>
    </row>
    <row r="24" spans="1:24" ht="15" thickBot="1" x14ac:dyDescent="0.25">
      <c r="B24" s="5" t="s">
        <v>8</v>
      </c>
      <c r="C24" s="5" t="s">
        <v>6</v>
      </c>
      <c r="D24" s="116">
        <f>D25+D26</f>
        <v>634159981</v>
      </c>
      <c r="E24" s="6" t="s">
        <v>0</v>
      </c>
      <c r="F24" s="8">
        <f>IFERROR(D24/$D$22,0)</f>
        <v>0.52706802356522398</v>
      </c>
    </row>
    <row r="25" spans="1:24" x14ac:dyDescent="0.2">
      <c r="B25" s="5" t="s">
        <v>9</v>
      </c>
      <c r="C25" s="5" t="s">
        <v>4</v>
      </c>
      <c r="D25" s="117"/>
      <c r="E25" s="6" t="s">
        <v>0</v>
      </c>
      <c r="F25" s="8">
        <f>IFERROR(D25/$D$22,0)</f>
        <v>0</v>
      </c>
    </row>
    <row r="26" spans="1:24" ht="15" thickBot="1" x14ac:dyDescent="0.25">
      <c r="B26" s="5" t="s">
        <v>61</v>
      </c>
      <c r="C26" s="5" t="s">
        <v>5</v>
      </c>
      <c r="D26" s="116">
        <f>490337148+143822833</f>
        <v>634159981</v>
      </c>
      <c r="E26" s="6" t="s">
        <v>0</v>
      </c>
      <c r="F26" s="8">
        <f>IFERROR(D26/$D$22,0)</f>
        <v>0.52706802356522398</v>
      </c>
      <c r="G26" s="29"/>
      <c r="H26" s="29"/>
    </row>
    <row r="27" spans="1:24" ht="34.5" customHeight="1" x14ac:dyDescent="0.2">
      <c r="B27" s="156" t="s">
        <v>77</v>
      </c>
      <c r="C27" s="156"/>
      <c r="D27" s="156"/>
      <c r="E27" s="156"/>
      <c r="F27" s="156"/>
      <c r="G27" s="157"/>
      <c r="H27" s="157"/>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191</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2015</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48">
        <v>2016</v>
      </c>
      <c r="P45" s="148"/>
      <c r="Q45" s="148"/>
      <c r="R45" s="148">
        <v>2015</v>
      </c>
      <c r="S45" s="148"/>
      <c r="T45" s="148"/>
      <c r="U45" s="148">
        <v>2014</v>
      </c>
      <c r="V45" s="148"/>
      <c r="W45" s="148"/>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166</v>
      </c>
      <c r="C47" s="93">
        <v>56781903.024000011</v>
      </c>
      <c r="D47" s="93"/>
      <c r="E47" s="60"/>
      <c r="F47" s="51">
        <f>C47-D47+E47</f>
        <v>56781903.024000011</v>
      </c>
      <c r="G47" s="110">
        <f>R47</f>
        <v>5.5490000000000005E-2</v>
      </c>
      <c r="H47" s="15">
        <f>F47*G47</f>
        <v>3150827.7988017611</v>
      </c>
      <c r="I47" s="110">
        <f>+T47</f>
        <v>5.0680000000000003E-2</v>
      </c>
      <c r="J47" s="17">
        <f>F47*I47</f>
        <v>2877706.8452563207</v>
      </c>
      <c r="K47" s="16">
        <f>J47-H47</f>
        <v>-273120.95354544045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178</v>
      </c>
      <c r="C48" s="93">
        <v>554164</v>
      </c>
      <c r="D48" s="93"/>
      <c r="E48" s="60"/>
      <c r="F48" s="51">
        <f>C48-D48+E48</f>
        <v>554164</v>
      </c>
      <c r="G48" s="110">
        <f>T47</f>
        <v>5.0680000000000003E-2</v>
      </c>
      <c r="H48" s="15">
        <f>F48*G48</f>
        <v>28085.03152</v>
      </c>
      <c r="I48" s="110">
        <f>+T47</f>
        <v>5.0680000000000003E-2</v>
      </c>
      <c r="J48" s="17">
        <f>F48*I48</f>
        <v>28085.03152</v>
      </c>
      <c r="K48" s="16">
        <f>J48-H48</f>
        <v>0</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2:23" x14ac:dyDescent="0.2">
      <c r="B49" s="13" t="s">
        <v>167</v>
      </c>
      <c r="C49" s="93">
        <v>54007873.596000016</v>
      </c>
      <c r="D49" s="93"/>
      <c r="E49" s="60"/>
      <c r="F49" s="51">
        <f t="shared" ref="F49" si="0">C49-D49+E49</f>
        <v>54007873.596000016</v>
      </c>
      <c r="G49" s="110">
        <f>R48</f>
        <v>6.9809999999999997E-2</v>
      </c>
      <c r="H49" s="15">
        <f t="shared" ref="H49" si="1">F49*G49</f>
        <v>3770289.6557367612</v>
      </c>
      <c r="I49" s="110">
        <f>+T48</f>
        <v>3.9609999999999999E-2</v>
      </c>
      <c r="J49" s="17">
        <f t="shared" ref="J49" si="2">F49*I49</f>
        <v>2139251.8731375607</v>
      </c>
      <c r="K49" s="16">
        <f t="shared" ref="K49" si="3">J49-H49</f>
        <v>-1631037.7825992005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2:23" x14ac:dyDescent="0.2">
      <c r="B50" s="13" t="s">
        <v>179</v>
      </c>
      <c r="C50" s="93">
        <v>417946</v>
      </c>
      <c r="D50" s="93"/>
      <c r="E50" s="60"/>
      <c r="F50" s="51">
        <f t="shared" ref="F50:F70" si="4">C50-D50+E50</f>
        <v>417946</v>
      </c>
      <c r="G50" s="110">
        <f>T48</f>
        <v>3.9609999999999999E-2</v>
      </c>
      <c r="H50" s="15">
        <f t="shared" ref="H50:H70" si="5">F50*G50</f>
        <v>16554.841059999999</v>
      </c>
      <c r="I50" s="110">
        <f>+T48</f>
        <v>3.9609999999999999E-2</v>
      </c>
      <c r="J50" s="17">
        <f t="shared" ref="J50:J70" si="6">F50*I50</f>
        <v>16554.841059999999</v>
      </c>
      <c r="K50" s="16">
        <f t="shared" ref="K50:K70" si="7">J50-H50</f>
        <v>0</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2:23" x14ac:dyDescent="0.2">
      <c r="B51" s="13" t="s">
        <v>168</v>
      </c>
      <c r="C51" s="93">
        <v>55890087.774000004</v>
      </c>
      <c r="D51" s="93"/>
      <c r="E51" s="60">
        <v>-2377</v>
      </c>
      <c r="F51" s="51">
        <f t="shared" ref="F51" si="8">C51-D51+E51</f>
        <v>55887710.774000004</v>
      </c>
      <c r="G51" s="110">
        <f>R49</f>
        <v>3.6040000000000003E-2</v>
      </c>
      <c r="H51" s="15">
        <f t="shared" ref="H51" si="9">F51*G51</f>
        <v>2014193.0962949602</v>
      </c>
      <c r="I51" s="110">
        <f>+T49</f>
        <v>6.2899999999999998E-2</v>
      </c>
      <c r="J51" s="17">
        <f t="shared" ref="J51" si="10">F51*I51</f>
        <v>3515337.0076846001</v>
      </c>
      <c r="K51" s="16">
        <f t="shared" ref="K51" si="11">J51-H51</f>
        <v>1501143.9113896398</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2:23" x14ac:dyDescent="0.2">
      <c r="B52" s="13" t="s">
        <v>180</v>
      </c>
      <c r="C52" s="93">
        <v>397995</v>
      </c>
      <c r="D52" s="93"/>
      <c r="E52" s="60"/>
      <c r="F52" s="51">
        <f t="shared" si="4"/>
        <v>397995</v>
      </c>
      <c r="G52" s="110">
        <f>T49</f>
        <v>6.2899999999999998E-2</v>
      </c>
      <c r="H52" s="15">
        <f t="shared" si="5"/>
        <v>25033.8855</v>
      </c>
      <c r="I52" s="110">
        <f>+T49</f>
        <v>6.2899999999999998E-2</v>
      </c>
      <c r="J52" s="17">
        <f t="shared" si="6"/>
        <v>25033.8855</v>
      </c>
      <c r="K52" s="16">
        <f t="shared" si="7"/>
        <v>0</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2:23" x14ac:dyDescent="0.2">
      <c r="B53" s="13" t="s">
        <v>169</v>
      </c>
      <c r="C53" s="93">
        <v>1092063.996</v>
      </c>
      <c r="D53" s="93"/>
      <c r="E53" s="60"/>
      <c r="F53" s="51">
        <f t="shared" ref="F53" si="12">C53-D53+E53</f>
        <v>1092063.996</v>
      </c>
      <c r="G53" s="110">
        <f>R50</f>
        <v>6.7049999999999998E-2</v>
      </c>
      <c r="H53" s="15">
        <f t="shared" ref="H53" si="13">F53*G53</f>
        <v>73222.890931800008</v>
      </c>
      <c r="I53" s="110">
        <f>+T50</f>
        <v>9.5590000000000008E-2</v>
      </c>
      <c r="J53" s="17">
        <f t="shared" ref="J53" si="14">F53*I53</f>
        <v>104390.39737764001</v>
      </c>
      <c r="K53" s="16">
        <f t="shared" ref="K53" si="15">J53-H53</f>
        <v>31167.506445840001</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2:23" x14ac:dyDescent="0.2">
      <c r="B54" s="13" t="s">
        <v>190</v>
      </c>
      <c r="C54" s="93">
        <v>49713752.334000006</v>
      </c>
      <c r="D54" s="93"/>
      <c r="E54" s="60">
        <v>-4461</v>
      </c>
      <c r="F54" s="51">
        <f t="shared" si="4"/>
        <v>49709291.334000006</v>
      </c>
      <c r="G54" s="110">
        <f>+T50</f>
        <v>9.5590000000000008E-2</v>
      </c>
      <c r="H54" s="15">
        <f t="shared" si="5"/>
        <v>4751711.1586170606</v>
      </c>
      <c r="I54" s="110">
        <f>+T50</f>
        <v>9.5590000000000008E-2</v>
      </c>
      <c r="J54" s="17">
        <f t="shared" si="6"/>
        <v>4751711.1586170606</v>
      </c>
      <c r="K54" s="16">
        <f t="shared" si="7"/>
        <v>0</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2:23" x14ac:dyDescent="0.2">
      <c r="B55" s="13" t="s">
        <v>170</v>
      </c>
      <c r="C55" s="93">
        <v>1041100.8960000001</v>
      </c>
      <c r="D55" s="93"/>
      <c r="E55" s="60"/>
      <c r="F55" s="51">
        <f t="shared" ref="F55" si="16">C55-D55+E55</f>
        <v>1041100.8960000001</v>
      </c>
      <c r="G55" s="110">
        <f>R51</f>
        <v>9.4159999999999994E-2</v>
      </c>
      <c r="H55" s="15">
        <f t="shared" ref="H55" si="17">F55*G55</f>
        <v>98030.060367359998</v>
      </c>
      <c r="I55" s="110">
        <f>+T51</f>
        <v>9.6680000000000002E-2</v>
      </c>
      <c r="J55" s="17">
        <f t="shared" ref="J55" si="18">F55*I55</f>
        <v>100653.63462528001</v>
      </c>
      <c r="K55" s="16">
        <f t="shared" ref="K55" si="19">J55-H55</f>
        <v>2623.574257920016</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2:23" x14ac:dyDescent="0.2">
      <c r="B56" s="13" t="s">
        <v>182</v>
      </c>
      <c r="C56" s="93">
        <v>53189762.737999998</v>
      </c>
      <c r="D56" s="93"/>
      <c r="E56" s="60"/>
      <c r="F56" s="51">
        <f t="shared" si="4"/>
        <v>53189762.737999998</v>
      </c>
      <c r="G56" s="110">
        <f>+T51</f>
        <v>9.6680000000000002E-2</v>
      </c>
      <c r="H56" s="15">
        <f t="shared" si="5"/>
        <v>5142386.2615098404</v>
      </c>
      <c r="I56" s="110">
        <f>+T51</f>
        <v>9.6680000000000002E-2</v>
      </c>
      <c r="J56" s="17">
        <f t="shared" si="6"/>
        <v>5142386.2615098404</v>
      </c>
      <c r="K56" s="16">
        <f t="shared" si="7"/>
        <v>0</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2:23" x14ac:dyDescent="0.2">
      <c r="B57" s="13" t="s">
        <v>171</v>
      </c>
      <c r="C57" s="93">
        <v>50912114.091999993</v>
      </c>
      <c r="D57" s="93"/>
      <c r="E57" s="60"/>
      <c r="F57" s="51">
        <f t="shared" ref="F57" si="20">C57-D57+E57</f>
        <v>50912114.091999993</v>
      </c>
      <c r="G57" s="110">
        <f>R52</f>
        <v>9.2280000000000001E-2</v>
      </c>
      <c r="H57" s="15">
        <f t="shared" ref="H57" si="21">F57*G57</f>
        <v>4698169.8884097589</v>
      </c>
      <c r="I57" s="110">
        <f>+T52</f>
        <v>9.5400000000000013E-2</v>
      </c>
      <c r="J57" s="17">
        <f t="shared" ref="J57" si="22">F57*I57</f>
        <v>4857015.6843767995</v>
      </c>
      <c r="K57" s="16">
        <f t="shared" ref="K57" si="23">J57-H57</f>
        <v>158845.79596704058</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2:23" x14ac:dyDescent="0.2">
      <c r="B58" s="13" t="s">
        <v>183</v>
      </c>
      <c r="C58" s="93">
        <v>4067767.6379999993</v>
      </c>
      <c r="D58" s="93"/>
      <c r="E58" s="60"/>
      <c r="F58" s="51">
        <f t="shared" si="4"/>
        <v>4067767.6379999993</v>
      </c>
      <c r="G58" s="110">
        <f>+T52</f>
        <v>9.5400000000000013E-2</v>
      </c>
      <c r="H58" s="15">
        <f t="shared" si="5"/>
        <v>388065.03266520001</v>
      </c>
      <c r="I58" s="110">
        <f>+T52</f>
        <v>9.5400000000000013E-2</v>
      </c>
      <c r="J58" s="17">
        <f t="shared" si="6"/>
        <v>388065.03266520001</v>
      </c>
      <c r="K58" s="16">
        <f t="shared" si="7"/>
        <v>0</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2:23" x14ac:dyDescent="0.2">
      <c r="B59" s="13" t="s">
        <v>172</v>
      </c>
      <c r="C59" s="60">
        <v>3326442.2752000005</v>
      </c>
      <c r="D59" s="93"/>
      <c r="E59" s="60"/>
      <c r="F59" s="51">
        <f t="shared" ref="F59" si="24">C59-D59+E59</f>
        <v>3326442.2752000005</v>
      </c>
      <c r="G59" s="110">
        <f>+R53</f>
        <v>8.8880000000000001E-2</v>
      </c>
      <c r="H59" s="15">
        <f t="shared" ref="H59" si="25">F59*G59</f>
        <v>295654.18941977603</v>
      </c>
      <c r="I59" s="110">
        <f>+T53</f>
        <v>7.8829999999999997E-2</v>
      </c>
      <c r="J59" s="17">
        <f t="shared" ref="J59" si="26">F59*I59</f>
        <v>262223.44455401605</v>
      </c>
      <c r="K59" s="16">
        <f t="shared" ref="K59" si="27">J59-H59</f>
        <v>-33430.744865759974</v>
      </c>
      <c r="N59" s="31"/>
      <c r="O59" s="32"/>
      <c r="P59" s="32"/>
      <c r="Q59" s="32"/>
      <c r="R59" s="32"/>
      <c r="S59" s="32"/>
      <c r="T59" s="32"/>
      <c r="U59" s="32"/>
      <c r="V59" s="32"/>
      <c r="W59" s="32"/>
    </row>
    <row r="60" spans="2:23" x14ac:dyDescent="0.2">
      <c r="B60" s="13" t="s">
        <v>184</v>
      </c>
      <c r="C60" s="60">
        <v>58736494.869999997</v>
      </c>
      <c r="D60" s="93"/>
      <c r="E60" s="60"/>
      <c r="F60" s="51">
        <f t="shared" si="4"/>
        <v>58736494.869999997</v>
      </c>
      <c r="G60" s="110">
        <f>+T53</f>
        <v>7.8829999999999997E-2</v>
      </c>
      <c r="H60" s="15">
        <f t="shared" si="5"/>
        <v>4630197.8906020997</v>
      </c>
      <c r="I60" s="110">
        <f>+T53</f>
        <v>7.8829999999999997E-2</v>
      </c>
      <c r="J60" s="17">
        <f t="shared" si="6"/>
        <v>4630197.8906020997</v>
      </c>
      <c r="K60" s="16">
        <f t="shared" si="7"/>
        <v>0</v>
      </c>
      <c r="N60" s="29"/>
      <c r="O60" s="30"/>
      <c r="P60" s="30"/>
      <c r="Q60" s="30"/>
      <c r="R60" s="30"/>
      <c r="S60" s="30"/>
      <c r="T60" s="30"/>
      <c r="U60" s="30"/>
      <c r="V60" s="30"/>
      <c r="W60" s="30"/>
    </row>
    <row r="61" spans="2:23" x14ac:dyDescent="0.2">
      <c r="B61" s="13" t="s">
        <v>173</v>
      </c>
      <c r="C61" s="60">
        <v>1599710.25</v>
      </c>
      <c r="D61" s="93"/>
      <c r="E61" s="60"/>
      <c r="F61" s="51">
        <f t="shared" ref="F61" si="28">C61-D61+E61</f>
        <v>1599710.25</v>
      </c>
      <c r="G61" s="110">
        <f>+R54</f>
        <v>8.8050000000000003E-2</v>
      </c>
      <c r="H61" s="15">
        <f t="shared" ref="H61" si="29">F61*G61</f>
        <v>140854.4875125</v>
      </c>
      <c r="I61" s="110">
        <f>+T54</f>
        <v>8.0099999999999991E-2</v>
      </c>
      <c r="J61" s="17">
        <f t="shared" ref="J61" si="30">F61*I61</f>
        <v>128136.79102499998</v>
      </c>
      <c r="K61" s="16">
        <f t="shared" ref="K61" si="31">J61-H61</f>
        <v>-12717.696487500012</v>
      </c>
      <c r="N61" s="29"/>
      <c r="O61" s="30"/>
      <c r="P61" s="30"/>
      <c r="Q61" s="30"/>
      <c r="R61" s="30"/>
      <c r="S61" s="30"/>
      <c r="T61" s="30"/>
      <c r="U61" s="30"/>
      <c r="V61" s="30"/>
      <c r="W61" s="30"/>
    </row>
    <row r="62" spans="2:23" x14ac:dyDescent="0.2">
      <c r="B62" s="13" t="s">
        <v>185</v>
      </c>
      <c r="C62" s="60">
        <v>59769739.670000009</v>
      </c>
      <c r="D62" s="93"/>
      <c r="E62" s="60"/>
      <c r="F62" s="51">
        <f t="shared" si="4"/>
        <v>59769739.670000009</v>
      </c>
      <c r="G62" s="110">
        <f>+T54</f>
        <v>8.0099999999999991E-2</v>
      </c>
      <c r="H62" s="15">
        <f t="shared" si="5"/>
        <v>4787556.1475670002</v>
      </c>
      <c r="I62" s="110">
        <f>+T54</f>
        <v>8.0099999999999991E-2</v>
      </c>
      <c r="J62" s="17">
        <f t="shared" si="6"/>
        <v>4787556.1475670002</v>
      </c>
      <c r="K62" s="16">
        <f t="shared" si="7"/>
        <v>0</v>
      </c>
      <c r="N62" s="29"/>
      <c r="O62" s="30"/>
      <c r="P62" s="30"/>
      <c r="Q62" s="30"/>
      <c r="R62" s="30"/>
      <c r="S62" s="30"/>
      <c r="T62" s="30"/>
      <c r="U62" s="30"/>
      <c r="V62" s="30"/>
      <c r="W62" s="30"/>
    </row>
    <row r="63" spans="2:23" x14ac:dyDescent="0.2">
      <c r="B63" s="13" t="s">
        <v>174</v>
      </c>
      <c r="C63" s="60">
        <v>3130610.5098999995</v>
      </c>
      <c r="D63" s="93"/>
      <c r="E63" s="60"/>
      <c r="F63" s="51">
        <f t="shared" ref="F63" si="32">C63-D63+E63</f>
        <v>3130610.5098999995</v>
      </c>
      <c r="G63" s="110">
        <f>+R55</f>
        <v>8.270000000000001E-2</v>
      </c>
      <c r="H63" s="15">
        <f t="shared" ref="H63" si="33">F63*G63</f>
        <v>258901.48916872998</v>
      </c>
      <c r="I63" s="110">
        <f>+T55</f>
        <v>6.7030000000000006E-2</v>
      </c>
      <c r="J63" s="17">
        <f t="shared" ref="J63" si="34">F63*I63</f>
        <v>209844.82247859699</v>
      </c>
      <c r="K63" s="16">
        <f t="shared" ref="K63" si="35">J63-H63</f>
        <v>-49056.666690132988</v>
      </c>
      <c r="N63" s="29"/>
      <c r="O63" s="29"/>
      <c r="P63" s="29"/>
      <c r="Q63" s="29"/>
      <c r="R63" s="29"/>
      <c r="S63" s="29"/>
      <c r="T63" s="29"/>
      <c r="U63" s="29"/>
      <c r="V63" s="29"/>
      <c r="W63" s="29"/>
    </row>
    <row r="64" spans="2:23" x14ac:dyDescent="0.2">
      <c r="B64" s="13" t="s">
        <v>186</v>
      </c>
      <c r="C64" s="60">
        <v>55091014.539999999</v>
      </c>
      <c r="D64" s="93"/>
      <c r="E64" s="60"/>
      <c r="F64" s="51">
        <f t="shared" si="4"/>
        <v>55091014.539999999</v>
      </c>
      <c r="G64" s="110">
        <f>+T55</f>
        <v>6.7030000000000006E-2</v>
      </c>
      <c r="H64" s="15">
        <f t="shared" si="5"/>
        <v>3692750.7046162002</v>
      </c>
      <c r="I64" s="110">
        <f>+T55</f>
        <v>6.7030000000000006E-2</v>
      </c>
      <c r="J64" s="17">
        <f t="shared" si="6"/>
        <v>3692750.7046162002</v>
      </c>
      <c r="K64" s="16">
        <f t="shared" si="7"/>
        <v>0</v>
      </c>
      <c r="O64" s="29"/>
      <c r="P64" s="29"/>
      <c r="Q64" s="29"/>
      <c r="R64" s="29"/>
      <c r="S64" s="29"/>
      <c r="T64" s="29"/>
      <c r="U64" s="29"/>
      <c r="V64" s="29"/>
      <c r="W64" s="29"/>
    </row>
    <row r="65" spans="1:24" x14ac:dyDescent="0.2">
      <c r="B65" s="13" t="s">
        <v>175</v>
      </c>
      <c r="C65" s="60">
        <v>1034831.4500000001</v>
      </c>
      <c r="D65" s="93"/>
      <c r="E65" s="60"/>
      <c r="F65" s="51">
        <f t="shared" ref="F65" si="36">C65-D65+E65</f>
        <v>1034831.4500000001</v>
      </c>
      <c r="G65" s="110">
        <f>+R56</f>
        <v>6.3710000000000003E-2</v>
      </c>
      <c r="H65" s="15">
        <f t="shared" ref="H65" si="37">F65*G65</f>
        <v>65929.111679500013</v>
      </c>
      <c r="I65" s="110">
        <f>+T56</f>
        <v>7.5439999999999993E-2</v>
      </c>
      <c r="J65" s="17">
        <f t="shared" ref="J65" si="38">F65*I65</f>
        <v>78067.684588000004</v>
      </c>
      <c r="K65" s="16">
        <f t="shared" ref="K65" si="39">J65-H65</f>
        <v>12138.572908499991</v>
      </c>
      <c r="O65" s="29"/>
      <c r="P65" s="29"/>
      <c r="Q65" s="29"/>
      <c r="R65" s="29"/>
      <c r="S65" s="29"/>
      <c r="T65" s="29"/>
      <c r="U65" s="29"/>
      <c r="V65" s="29"/>
      <c r="W65" s="29"/>
    </row>
    <row r="66" spans="1:24" x14ac:dyDescent="0.2">
      <c r="B66" s="13" t="s">
        <v>187</v>
      </c>
      <c r="C66" s="60">
        <v>50980587.299999997</v>
      </c>
      <c r="D66" s="93"/>
      <c r="E66" s="60">
        <v>130</v>
      </c>
      <c r="F66" s="51">
        <f t="shared" si="4"/>
        <v>50980717.299999997</v>
      </c>
      <c r="G66" s="110">
        <f>+T56</f>
        <v>7.5439999999999993E-2</v>
      </c>
      <c r="H66" s="15">
        <f t="shared" si="5"/>
        <v>3845985.3131119995</v>
      </c>
      <c r="I66" s="110">
        <f>+T56</f>
        <v>7.5439999999999993E-2</v>
      </c>
      <c r="J66" s="17">
        <f t="shared" si="6"/>
        <v>3845985.3131119995</v>
      </c>
      <c r="K66" s="16">
        <f t="shared" si="7"/>
        <v>0</v>
      </c>
      <c r="O66" s="29"/>
      <c r="P66" s="29"/>
      <c r="Q66" s="29"/>
      <c r="R66" s="29"/>
      <c r="S66" s="29"/>
      <c r="T66" s="29"/>
      <c r="U66" s="29"/>
      <c r="V66" s="29"/>
      <c r="W66" s="29"/>
    </row>
    <row r="67" spans="1:24" x14ac:dyDescent="0.2">
      <c r="B67" s="13" t="s">
        <v>176</v>
      </c>
      <c r="C67" s="60">
        <v>920833.75</v>
      </c>
      <c r="D67" s="93"/>
      <c r="E67" s="60"/>
      <c r="F67" s="51">
        <f t="shared" ref="F67" si="40">C67-D67+E67</f>
        <v>920833.75</v>
      </c>
      <c r="G67" s="110">
        <f>+R57</f>
        <v>7.6230000000000006E-2</v>
      </c>
      <c r="H67" s="15">
        <f t="shared" ref="H67" si="41">F67*G67</f>
        <v>70195.156762500003</v>
      </c>
      <c r="I67" s="110">
        <f>+T57</f>
        <v>0.11320000000000001</v>
      </c>
      <c r="J67" s="17">
        <f t="shared" ref="J67" si="42">F67*I67</f>
        <v>104238.38050000001</v>
      </c>
      <c r="K67" s="16">
        <f t="shared" ref="K67" si="43">J67-H67</f>
        <v>34043.223737500011</v>
      </c>
      <c r="N67" s="78"/>
      <c r="O67" s="78"/>
      <c r="P67" s="78"/>
      <c r="Q67" s="78"/>
    </row>
    <row r="68" spans="1:24" x14ac:dyDescent="0.2">
      <c r="B68" s="13" t="s">
        <v>188</v>
      </c>
      <c r="C68" s="60">
        <v>47999241.68</v>
      </c>
      <c r="D68" s="93"/>
      <c r="E68" s="60">
        <v>2212247</v>
      </c>
      <c r="F68" s="51">
        <f t="shared" si="4"/>
        <v>50211488.68</v>
      </c>
      <c r="G68" s="110">
        <f>+T57</f>
        <v>0.11320000000000001</v>
      </c>
      <c r="H68" s="15">
        <f t="shared" si="5"/>
        <v>5683940.5185760008</v>
      </c>
      <c r="I68" s="110">
        <f>+T57</f>
        <v>0.11320000000000001</v>
      </c>
      <c r="J68" s="17">
        <f t="shared" si="6"/>
        <v>5683940.5185760008</v>
      </c>
      <c r="K68" s="16">
        <f t="shared" si="7"/>
        <v>0</v>
      </c>
      <c r="N68" s="78"/>
      <c r="O68" s="78"/>
      <c r="P68" s="78"/>
      <c r="Q68" s="78"/>
    </row>
    <row r="69" spans="1:24" x14ac:dyDescent="0.2">
      <c r="B69" s="13" t="s">
        <v>177</v>
      </c>
      <c r="C69" s="94">
        <v>211676.66</v>
      </c>
      <c r="D69" s="93"/>
      <c r="E69" s="60">
        <v>800458</v>
      </c>
      <c r="F69" s="51">
        <f t="shared" ref="F69" si="44">C69-D69+E69</f>
        <v>1012134.66</v>
      </c>
      <c r="G69" s="110">
        <f>+R58</f>
        <v>0.11462</v>
      </c>
      <c r="H69" s="15">
        <f t="shared" ref="H69" si="45">F69*G69</f>
        <v>116010.8747292</v>
      </c>
      <c r="I69" s="110">
        <f>+T58</f>
        <v>9.4709999999999989E-2</v>
      </c>
      <c r="J69" s="17">
        <f t="shared" ref="J69" si="46">F69*I69</f>
        <v>95859.273648599992</v>
      </c>
      <c r="K69" s="16">
        <f t="shared" ref="K69" si="47">J69-H69</f>
        <v>-20151.601080600012</v>
      </c>
      <c r="N69" s="78"/>
      <c r="O69" s="78"/>
      <c r="P69" s="78"/>
      <c r="Q69" s="78"/>
    </row>
    <row r="70" spans="1:24" x14ac:dyDescent="0.2">
      <c r="B70" s="13" t="s">
        <v>189</v>
      </c>
      <c r="C70" s="94">
        <v>0</v>
      </c>
      <c r="D70" s="93"/>
      <c r="E70" s="60">
        <v>52088723</v>
      </c>
      <c r="F70" s="51">
        <f t="shared" si="4"/>
        <v>52088723</v>
      </c>
      <c r="G70" s="110">
        <f>+T58</f>
        <v>9.4709999999999989E-2</v>
      </c>
      <c r="H70" s="15">
        <f t="shared" si="5"/>
        <v>4933322.9553299993</v>
      </c>
      <c r="I70" s="110">
        <f>+T58</f>
        <v>9.4709999999999989E-2</v>
      </c>
      <c r="J70" s="17">
        <f t="shared" si="6"/>
        <v>4933322.9553299993</v>
      </c>
      <c r="K70" s="16">
        <f t="shared" si="7"/>
        <v>0</v>
      </c>
      <c r="N70" s="78"/>
      <c r="O70" s="78"/>
      <c r="P70" s="78"/>
      <c r="Q70" s="78"/>
    </row>
    <row r="71" spans="1:24" ht="30.75" thickBot="1" x14ac:dyDescent="0.3">
      <c r="B71" s="127" t="s">
        <v>133</v>
      </c>
      <c r="C71" s="96">
        <f>SUM(C47:C70)</f>
        <v>610867714.0431</v>
      </c>
      <c r="D71" s="96">
        <f>SUM(D47:D70)</f>
        <v>0</v>
      </c>
      <c r="E71" s="96">
        <f>SUM(E47:E70)</f>
        <v>55094720</v>
      </c>
      <c r="F71" s="96">
        <f>SUM(F47:F70)</f>
        <v>665962434.0431</v>
      </c>
      <c r="G71" s="37"/>
      <c r="H71" s="38">
        <f>SUM(H47:H70)</f>
        <v>52677868.440490022</v>
      </c>
      <c r="I71" s="37"/>
      <c r="J71" s="38">
        <f>SUM(J47:J70)</f>
        <v>52398315.579927824</v>
      </c>
      <c r="K71" s="39">
        <f>SUM(K47:K70)</f>
        <v>-279552.8605621935</v>
      </c>
      <c r="N71" s="78"/>
      <c r="O71" s="78"/>
      <c r="P71" s="78"/>
      <c r="Q71" s="78"/>
    </row>
    <row r="72" spans="1:24" x14ac:dyDescent="0.2">
      <c r="G72" s="4"/>
      <c r="H72" s="4"/>
      <c r="I72" s="4"/>
      <c r="J72" s="68"/>
      <c r="K72" s="125"/>
      <c r="N72" s="78"/>
      <c r="O72" s="78"/>
      <c r="P72" s="78"/>
      <c r="Q72" s="78"/>
    </row>
    <row r="73" spans="1:24" x14ac:dyDescent="0.2">
      <c r="N73" s="78"/>
      <c r="O73" s="78"/>
      <c r="P73" s="78"/>
      <c r="Q73" s="78"/>
    </row>
    <row r="74" spans="1:24" ht="15" x14ac:dyDescent="0.25">
      <c r="A74" s="1" t="s">
        <v>143</v>
      </c>
      <c r="B74" s="47" t="s">
        <v>136</v>
      </c>
      <c r="C74" s="2"/>
      <c r="K74" s="114"/>
    </row>
    <row r="75" spans="1:24" ht="15" x14ac:dyDescent="0.25">
      <c r="B75" s="3"/>
      <c r="C75" s="2"/>
      <c r="K75" s="122"/>
    </row>
    <row r="76" spans="1:24" ht="45" x14ac:dyDescent="0.25">
      <c r="A76" s="11"/>
      <c r="B76" s="137" t="s">
        <v>45</v>
      </c>
      <c r="C76" s="48" t="s">
        <v>67</v>
      </c>
      <c r="D76" s="48" t="s">
        <v>121</v>
      </c>
      <c r="E76" s="158" t="s">
        <v>44</v>
      </c>
      <c r="F76" s="158"/>
      <c r="G76" s="158"/>
      <c r="H76" s="158"/>
      <c r="I76" s="158"/>
      <c r="K76" s="120"/>
      <c r="X76" s="29"/>
    </row>
    <row r="77" spans="1:24" ht="30.75" customHeight="1" x14ac:dyDescent="0.25">
      <c r="A77" s="162" t="s">
        <v>134</v>
      </c>
      <c r="B77" s="163"/>
      <c r="C77" s="164"/>
      <c r="D77" s="126">
        <v>-315253</v>
      </c>
      <c r="E77" s="149"/>
      <c r="F77" s="150"/>
      <c r="G77" s="150"/>
      <c r="H77" s="150"/>
      <c r="I77" s="151"/>
      <c r="K77" s="120"/>
      <c r="X77" s="29"/>
    </row>
    <row r="78" spans="1:24" ht="28.5" x14ac:dyDescent="0.2">
      <c r="A78" s="69" t="s">
        <v>51</v>
      </c>
      <c r="B78" s="49" t="s">
        <v>62</v>
      </c>
      <c r="C78" s="111"/>
      <c r="D78" s="97"/>
      <c r="E78" s="152"/>
      <c r="F78" s="152"/>
      <c r="G78" s="152"/>
      <c r="H78" s="152"/>
      <c r="I78" s="152"/>
      <c r="K78" s="120"/>
      <c r="X78" s="29"/>
    </row>
    <row r="79" spans="1:24" ht="28.5" x14ac:dyDescent="0.2">
      <c r="A79" s="69" t="s">
        <v>52</v>
      </c>
      <c r="B79" s="49" t="s">
        <v>79</v>
      </c>
      <c r="C79" s="112"/>
      <c r="D79" s="113"/>
      <c r="E79" s="159"/>
      <c r="F79" s="160"/>
      <c r="G79" s="160"/>
      <c r="H79" s="160"/>
      <c r="I79" s="161"/>
      <c r="J79" s="78"/>
      <c r="K79" s="121"/>
      <c r="L79" s="78"/>
      <c r="M79" s="78"/>
    </row>
    <row r="80" spans="1:24" ht="28.5" x14ac:dyDescent="0.2">
      <c r="A80" s="69" t="s">
        <v>65</v>
      </c>
      <c r="B80" s="49" t="s">
        <v>64</v>
      </c>
      <c r="C80" s="111" t="s">
        <v>164</v>
      </c>
      <c r="D80" s="113">
        <v>24576.518494720571</v>
      </c>
      <c r="E80" s="152" t="s">
        <v>192</v>
      </c>
      <c r="F80" s="152"/>
      <c r="G80" s="152"/>
      <c r="H80" s="152"/>
      <c r="I80" s="152"/>
      <c r="J80" s="78"/>
      <c r="K80" s="121"/>
      <c r="L80" s="78"/>
      <c r="M80" s="78"/>
    </row>
    <row r="81" spans="1:19" ht="28.5" x14ac:dyDescent="0.2">
      <c r="A81" s="69" t="s">
        <v>66</v>
      </c>
      <c r="B81" s="49" t="s">
        <v>63</v>
      </c>
      <c r="C81" s="112"/>
      <c r="D81" s="113"/>
      <c r="E81" s="159"/>
      <c r="F81" s="160"/>
      <c r="G81" s="160"/>
      <c r="H81" s="160"/>
      <c r="I81" s="161"/>
      <c r="J81" s="78"/>
      <c r="K81" s="124"/>
      <c r="L81" s="78"/>
      <c r="M81" s="78"/>
    </row>
    <row r="82" spans="1:19" ht="28.5" x14ac:dyDescent="0.2">
      <c r="A82" s="69" t="s">
        <v>69</v>
      </c>
      <c r="B82" s="49" t="s">
        <v>71</v>
      </c>
      <c r="C82" s="111" t="s">
        <v>164</v>
      </c>
      <c r="D82" s="97">
        <v>43460</v>
      </c>
      <c r="E82" s="152" t="s">
        <v>195</v>
      </c>
      <c r="F82" s="152"/>
      <c r="G82" s="152"/>
      <c r="H82" s="152"/>
      <c r="I82" s="152"/>
      <c r="J82" s="78"/>
      <c r="K82" s="124"/>
      <c r="L82" s="78"/>
      <c r="M82" s="78"/>
    </row>
    <row r="83" spans="1:19" ht="28.5" x14ac:dyDescent="0.2">
      <c r="A83" s="69" t="s">
        <v>70</v>
      </c>
      <c r="B83" s="49" t="s">
        <v>72</v>
      </c>
      <c r="C83" s="111"/>
      <c r="D83" s="97"/>
      <c r="E83" s="152"/>
      <c r="F83" s="152"/>
      <c r="G83" s="152"/>
      <c r="H83" s="152"/>
      <c r="I83" s="152"/>
      <c r="J83" s="78"/>
      <c r="K83" s="124"/>
      <c r="L83" s="78"/>
      <c r="M83" s="78"/>
    </row>
    <row r="84" spans="1:19" ht="33.75" customHeight="1" x14ac:dyDescent="0.2">
      <c r="A84" s="69">
        <v>4</v>
      </c>
      <c r="B84" s="49" t="s">
        <v>68</v>
      </c>
      <c r="C84" s="111"/>
      <c r="D84" s="97"/>
      <c r="E84" s="152"/>
      <c r="F84" s="152"/>
      <c r="G84" s="152"/>
      <c r="H84" s="152"/>
      <c r="I84" s="152"/>
      <c r="J84" s="78"/>
      <c r="K84" s="124"/>
      <c r="L84" s="78"/>
      <c r="M84" s="78"/>
    </row>
    <row r="85" spans="1:19" ht="42.75" customHeight="1" x14ac:dyDescent="0.2">
      <c r="A85" s="69">
        <v>5</v>
      </c>
      <c r="B85" s="49" t="s">
        <v>81</v>
      </c>
      <c r="C85" s="111" t="s">
        <v>164</v>
      </c>
      <c r="D85" s="97">
        <v>-17030.313063479967</v>
      </c>
      <c r="E85" s="152" t="s">
        <v>197</v>
      </c>
      <c r="F85" s="152"/>
      <c r="G85" s="152"/>
      <c r="H85" s="152"/>
      <c r="I85" s="152"/>
      <c r="J85" s="78"/>
      <c r="K85" s="124"/>
      <c r="L85" s="78"/>
      <c r="M85" s="78"/>
    </row>
    <row r="86" spans="1:19" ht="28.5" x14ac:dyDescent="0.2">
      <c r="A86" s="54">
        <v>6</v>
      </c>
      <c r="B86" s="128" t="s">
        <v>137</v>
      </c>
      <c r="C86" s="111"/>
      <c r="D86" s="97"/>
      <c r="E86" s="152"/>
      <c r="F86" s="152"/>
      <c r="G86" s="152"/>
      <c r="H86" s="152"/>
      <c r="I86" s="152"/>
      <c r="K86" s="29"/>
    </row>
    <row r="87" spans="1:19" x14ac:dyDescent="0.2">
      <c r="A87" s="54">
        <v>7</v>
      </c>
      <c r="B87" s="46"/>
      <c r="C87" s="10"/>
      <c r="D87" s="97"/>
      <c r="E87" s="152"/>
      <c r="F87" s="152"/>
      <c r="G87" s="152"/>
      <c r="H87" s="152"/>
      <c r="I87" s="152"/>
      <c r="N87" s="35"/>
      <c r="O87" s="35"/>
      <c r="P87" s="35"/>
      <c r="Q87" s="35"/>
      <c r="R87" s="35"/>
      <c r="S87" s="35"/>
    </row>
    <row r="88" spans="1:19" x14ac:dyDescent="0.2">
      <c r="A88" s="54">
        <v>8</v>
      </c>
      <c r="B88" s="46"/>
      <c r="C88" s="10"/>
      <c r="D88" s="97"/>
      <c r="E88" s="152"/>
      <c r="F88" s="152"/>
      <c r="G88" s="152"/>
      <c r="H88" s="152"/>
      <c r="I88" s="152"/>
      <c r="N88" s="35"/>
      <c r="O88" s="35"/>
      <c r="P88" s="35"/>
      <c r="Q88" s="35"/>
      <c r="R88" s="35"/>
      <c r="S88" s="35"/>
    </row>
    <row r="89" spans="1:19" x14ac:dyDescent="0.2">
      <c r="A89" s="54">
        <v>9</v>
      </c>
      <c r="B89" s="46"/>
      <c r="C89" s="10"/>
      <c r="D89" s="97"/>
      <c r="E89" s="159"/>
      <c r="F89" s="160"/>
      <c r="G89" s="160"/>
      <c r="H89" s="160"/>
      <c r="I89" s="161"/>
      <c r="N89" s="35"/>
      <c r="O89" s="35"/>
      <c r="P89" s="35"/>
      <c r="Q89" s="35"/>
      <c r="R89" s="35"/>
      <c r="S89" s="35"/>
    </row>
    <row r="90" spans="1:19" x14ac:dyDescent="0.2">
      <c r="A90" s="54">
        <v>10</v>
      </c>
      <c r="B90" s="46"/>
      <c r="C90" s="10"/>
      <c r="D90" s="97"/>
      <c r="E90" s="152"/>
      <c r="F90" s="152"/>
      <c r="G90" s="152"/>
      <c r="H90" s="152"/>
      <c r="I90" s="152"/>
      <c r="N90" s="35"/>
      <c r="O90" s="35"/>
      <c r="P90" s="35"/>
      <c r="Q90" s="35"/>
      <c r="R90" s="35"/>
      <c r="S90" s="35"/>
    </row>
    <row r="91" spans="1:19" ht="15" x14ac:dyDescent="0.25">
      <c r="A91" s="1" t="s">
        <v>150</v>
      </c>
      <c r="B91" s="2" t="s">
        <v>131</v>
      </c>
      <c r="C91" s="2"/>
      <c r="D91" s="98">
        <f>SUM(D77:D90)</f>
        <v>-264246.79456875939</v>
      </c>
      <c r="E91" s="25"/>
      <c r="F91" s="25"/>
      <c r="G91" s="25"/>
      <c r="H91" s="25"/>
      <c r="N91" s="35"/>
      <c r="O91" s="35"/>
      <c r="P91" s="35"/>
      <c r="Q91" s="35"/>
      <c r="R91" s="35"/>
      <c r="S91" s="35"/>
    </row>
    <row r="92" spans="1:19" ht="15" x14ac:dyDescent="0.25">
      <c r="B92" s="123" t="s">
        <v>132</v>
      </c>
      <c r="C92" s="70"/>
      <c r="D92" s="98">
        <f>K71</f>
        <v>-279552.8605621935</v>
      </c>
      <c r="E92" s="25"/>
      <c r="F92" s="25"/>
      <c r="G92" s="25"/>
      <c r="H92" s="25"/>
      <c r="N92" s="35"/>
      <c r="O92" s="35"/>
      <c r="P92" s="35"/>
      <c r="Q92" s="35"/>
      <c r="R92" s="35"/>
      <c r="S92" s="35"/>
    </row>
    <row r="93" spans="1:19" ht="15" x14ac:dyDescent="0.25">
      <c r="B93" s="70" t="s">
        <v>24</v>
      </c>
      <c r="C93" s="70"/>
      <c r="D93" s="99">
        <f>D91-D92</f>
        <v>15306.065993434109</v>
      </c>
      <c r="N93" s="35"/>
      <c r="O93" s="35"/>
      <c r="P93" s="35"/>
      <c r="Q93" s="35"/>
      <c r="R93" s="35"/>
      <c r="S93" s="35"/>
    </row>
    <row r="94" spans="1:19" ht="15.75" thickBot="1" x14ac:dyDescent="0.3">
      <c r="B94" s="134" t="s">
        <v>73</v>
      </c>
      <c r="C94" s="71"/>
      <c r="D94" s="143">
        <f>IF(ISERROR(D93/J71),0,D93/J71)</f>
        <v>2.9210988605323396E-4</v>
      </c>
      <c r="E94" s="103" t="str">
        <f>IF(AND(D94&lt;0.01,D94&gt;-0.01),"","Unresolved differences of greater than + or - 1% should be explained")</f>
        <v/>
      </c>
      <c r="G94" s="78"/>
      <c r="H94" s="35"/>
      <c r="I94" s="35"/>
      <c r="J94" s="35"/>
      <c r="K94" s="35"/>
      <c r="L94" s="35"/>
      <c r="N94" s="35"/>
      <c r="O94" s="35"/>
      <c r="P94" s="35"/>
      <c r="Q94" s="35"/>
      <c r="R94" s="35"/>
      <c r="S94" s="35"/>
    </row>
    <row r="95" spans="1:19" ht="15.75" thickTop="1" x14ac:dyDescent="0.25">
      <c r="B95" s="2"/>
      <c r="C95" s="56"/>
      <c r="D95" s="59"/>
      <c r="G95" s="78"/>
    </row>
    <row r="96" spans="1:19" ht="15" x14ac:dyDescent="0.25">
      <c r="B96" s="2"/>
      <c r="C96" s="56"/>
      <c r="D96" s="34"/>
    </row>
    <row r="97" spans="1:13" ht="15" x14ac:dyDescent="0.25">
      <c r="A97" s="1" t="s">
        <v>75</v>
      </c>
      <c r="B97" s="72" t="s">
        <v>138</v>
      </c>
      <c r="C97" s="58"/>
      <c r="D97" s="59"/>
    </row>
    <row r="98" spans="1:13" ht="15" x14ac:dyDescent="0.25">
      <c r="B98" s="57"/>
      <c r="C98" s="58"/>
      <c r="D98" s="59"/>
    </row>
    <row r="99" spans="1:13" ht="75" x14ac:dyDescent="0.25">
      <c r="B99" s="138" t="s">
        <v>25</v>
      </c>
      <c r="C99" s="48" t="s">
        <v>157</v>
      </c>
      <c r="D99" s="48" t="s">
        <v>158</v>
      </c>
      <c r="E99" s="48" t="s">
        <v>159</v>
      </c>
      <c r="F99" s="73" t="s">
        <v>131</v>
      </c>
      <c r="G99" s="48" t="s">
        <v>24</v>
      </c>
      <c r="H99" s="75" t="s">
        <v>160</v>
      </c>
      <c r="I99" s="48" t="s">
        <v>73</v>
      </c>
      <c r="J99" s="78"/>
      <c r="K99" s="78"/>
      <c r="L99" s="35"/>
      <c r="M99" s="35"/>
    </row>
    <row r="100" spans="1:13" x14ac:dyDescent="0.2">
      <c r="B100" s="115"/>
      <c r="C100" s="106"/>
      <c r="D100" s="106"/>
      <c r="E100" s="107"/>
      <c r="F100" s="130">
        <f>SUM(D100:E100)</f>
        <v>0</v>
      </c>
      <c r="G100" s="108">
        <f>F100-C100</f>
        <v>0</v>
      </c>
      <c r="H100" s="107"/>
      <c r="I100" s="104">
        <f>IF(ISERROR(G100/H100),0,G100/H100)</f>
        <v>0</v>
      </c>
      <c r="J100" s="78"/>
      <c r="K100" s="78"/>
      <c r="L100" s="35"/>
      <c r="M100" s="35"/>
    </row>
    <row r="101" spans="1:13" x14ac:dyDescent="0.2">
      <c r="B101" s="115"/>
      <c r="C101" s="106"/>
      <c r="D101" s="106"/>
      <c r="E101" s="107"/>
      <c r="F101" s="130">
        <f t="shared" ref="F101:F103" si="48">SUM(D101:E101)</f>
        <v>0</v>
      </c>
      <c r="G101" s="108">
        <f>F101-C101</f>
        <v>0</v>
      </c>
      <c r="H101" s="107"/>
      <c r="I101" s="104">
        <f>IF(ISERROR(G101/H101),0,G101/H101)</f>
        <v>0</v>
      </c>
      <c r="J101" s="78"/>
      <c r="K101" s="78"/>
      <c r="L101" s="35"/>
      <c r="M101" s="35"/>
    </row>
    <row r="102" spans="1:13" x14ac:dyDescent="0.2">
      <c r="B102" s="115"/>
      <c r="C102" s="106"/>
      <c r="D102" s="106"/>
      <c r="E102" s="107"/>
      <c r="F102" s="130">
        <f t="shared" si="48"/>
        <v>0</v>
      </c>
      <c r="G102" s="108">
        <f>F102-C102</f>
        <v>0</v>
      </c>
      <c r="H102" s="107"/>
      <c r="I102" s="104">
        <f>IF(ISERROR(G102/H102),0,G102/H102)</f>
        <v>0</v>
      </c>
      <c r="J102" s="78"/>
      <c r="K102" s="78"/>
      <c r="L102" s="35"/>
      <c r="M102" s="35"/>
    </row>
    <row r="103" spans="1:13" ht="15" thickBot="1" x14ac:dyDescent="0.25">
      <c r="B103" s="115"/>
      <c r="C103" s="109"/>
      <c r="D103" s="109"/>
      <c r="E103" s="109"/>
      <c r="F103" s="130">
        <f t="shared" si="48"/>
        <v>0</v>
      </c>
      <c r="G103" s="108">
        <f>F103-C103</f>
        <v>0</v>
      </c>
      <c r="H103" s="109"/>
      <c r="I103" s="105">
        <f>IF(ISERROR(G103/H103),0,G103/H103)</f>
        <v>0</v>
      </c>
      <c r="J103" s="78"/>
      <c r="K103" s="78"/>
      <c r="L103" s="35"/>
      <c r="M103" s="35"/>
    </row>
    <row r="104" spans="1:13" ht="15.75" thickBot="1" x14ac:dyDescent="0.3">
      <c r="B104" s="74" t="s">
        <v>74</v>
      </c>
      <c r="C104" s="129">
        <f t="shared" ref="C104:H104" si="49">SUM(C100:C103)</f>
        <v>0</v>
      </c>
      <c r="D104" s="129">
        <f t="shared" si="49"/>
        <v>0</v>
      </c>
      <c r="E104" s="129">
        <f t="shared" si="49"/>
        <v>0</v>
      </c>
      <c r="F104" s="131">
        <f t="shared" si="49"/>
        <v>0</v>
      </c>
      <c r="G104" s="129">
        <f>SUM(G100:G103)</f>
        <v>0</v>
      </c>
      <c r="H104" s="76">
        <f t="shared" si="49"/>
        <v>0</v>
      </c>
      <c r="I104" s="77" t="s">
        <v>80</v>
      </c>
      <c r="J104" s="78"/>
      <c r="K104" s="78"/>
      <c r="L104" s="35"/>
      <c r="M104" s="35"/>
    </row>
    <row r="105" spans="1:13" x14ac:dyDescent="0.2">
      <c r="B105" s="4"/>
      <c r="C105" s="4"/>
      <c r="D105" s="4"/>
      <c r="E105" s="4"/>
      <c r="F105" s="4"/>
      <c r="G105" s="4"/>
      <c r="J105" s="78"/>
      <c r="K105" s="78"/>
      <c r="L105" s="35"/>
      <c r="M105" s="35"/>
    </row>
    <row r="106" spans="1:13" x14ac:dyDescent="0.2">
      <c r="J106" s="78"/>
      <c r="K106" s="78"/>
      <c r="L106" s="35"/>
      <c r="M106" s="35"/>
    </row>
    <row r="107" spans="1:13" ht="15" x14ac:dyDescent="0.25">
      <c r="B107" s="3" t="s">
        <v>37</v>
      </c>
      <c r="J107" s="78"/>
      <c r="K107" s="78"/>
    </row>
    <row r="108" spans="1:13" x14ac:dyDescent="0.2">
      <c r="B108" s="53"/>
      <c r="C108" s="53"/>
      <c r="D108" s="53"/>
      <c r="E108" s="53"/>
      <c r="F108" s="53"/>
      <c r="G108" s="53"/>
      <c r="H108" s="53"/>
      <c r="J108" s="78"/>
      <c r="K108" s="78"/>
    </row>
    <row r="109" spans="1:13" x14ac:dyDescent="0.2">
      <c r="B109" s="53"/>
      <c r="C109" s="53"/>
      <c r="D109" s="53"/>
      <c r="E109" s="53"/>
      <c r="F109" s="53"/>
      <c r="G109" s="53"/>
      <c r="H109" s="53"/>
      <c r="J109" s="78"/>
      <c r="K109" s="78"/>
    </row>
    <row r="110" spans="1:13" x14ac:dyDescent="0.2">
      <c r="B110" s="53"/>
      <c r="C110" s="53"/>
      <c r="D110" s="53"/>
      <c r="E110" s="53"/>
      <c r="F110" s="53"/>
      <c r="G110" s="53"/>
      <c r="H110" s="53"/>
    </row>
    <row r="111" spans="1:13" x14ac:dyDescent="0.2">
      <c r="B111" s="53"/>
      <c r="C111" s="53"/>
      <c r="D111" s="53"/>
      <c r="E111" s="53"/>
      <c r="F111" s="53"/>
      <c r="G111" s="53"/>
      <c r="H111" s="53"/>
    </row>
    <row r="112" spans="1:13" x14ac:dyDescent="0.2">
      <c r="B112" s="53"/>
      <c r="C112" s="53"/>
      <c r="D112" s="53"/>
      <c r="E112" s="53"/>
      <c r="F112" s="53"/>
      <c r="G112" s="53"/>
      <c r="H112" s="53"/>
    </row>
    <row r="113" spans="2:8" x14ac:dyDescent="0.2">
      <c r="B113" s="53"/>
      <c r="C113" s="53"/>
      <c r="D113" s="53"/>
      <c r="E113" s="53"/>
      <c r="F113" s="53"/>
      <c r="G113" s="53"/>
      <c r="H113" s="53"/>
    </row>
    <row r="114" spans="2:8" x14ac:dyDescent="0.2">
      <c r="B114" s="53"/>
      <c r="C114" s="53"/>
      <c r="D114" s="53"/>
      <c r="E114" s="53"/>
      <c r="F114" s="53"/>
      <c r="G114" s="53"/>
      <c r="H114" s="53"/>
    </row>
    <row r="115" spans="2:8" x14ac:dyDescent="0.2">
      <c r="B115" s="53"/>
      <c r="C115" s="53"/>
      <c r="D115" s="53"/>
      <c r="E115" s="53"/>
      <c r="F115" s="53"/>
      <c r="G115" s="53"/>
      <c r="H115" s="53"/>
    </row>
  </sheetData>
  <mergeCells count="22">
    <mergeCell ref="R45:T45"/>
    <mergeCell ref="U45:W45"/>
    <mergeCell ref="E80:I80"/>
    <mergeCell ref="B21:C21"/>
    <mergeCell ref="E21:F21"/>
    <mergeCell ref="B27:H27"/>
    <mergeCell ref="O45:Q45"/>
    <mergeCell ref="E76:I76"/>
    <mergeCell ref="A77:C77"/>
    <mergeCell ref="E77:I77"/>
    <mergeCell ref="E78:I78"/>
    <mergeCell ref="E79:I79"/>
    <mergeCell ref="E87:I87"/>
    <mergeCell ref="E88:I88"/>
    <mergeCell ref="E89:I89"/>
    <mergeCell ref="E90:I90"/>
    <mergeCell ref="E81:I81"/>
    <mergeCell ref="E82:I82"/>
    <mergeCell ref="E83:I83"/>
    <mergeCell ref="E84:I84"/>
    <mergeCell ref="E85:I85"/>
    <mergeCell ref="E86:I86"/>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scale="49" fitToHeight="2" orientation="landscape" cellComments="asDisplayed" r:id="rId1"/>
  <rowBreaks count="1" manualBreakCount="1">
    <brk id="7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15"/>
  <sheetViews>
    <sheetView tabSelected="1" topLeftCell="A70" zoomScale="75" zoomScaleNormal="75" zoomScaleSheetLayoutView="100" workbookViewId="0">
      <selection activeCell="C55" sqref="C55:C56"/>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3" t="s">
        <v>25</v>
      </c>
      <c r="C21" s="153"/>
      <c r="D21" s="24"/>
      <c r="E21" s="154"/>
      <c r="F21" s="155"/>
      <c r="G21" s="78"/>
      <c r="H21" s="78"/>
      <c r="I21" s="78"/>
      <c r="J21" s="78"/>
      <c r="K21" s="78"/>
      <c r="L21" s="78"/>
      <c r="M21" s="78"/>
      <c r="N21" s="78"/>
      <c r="O21" s="78"/>
      <c r="P21" s="78"/>
      <c r="Q21" s="78"/>
    </row>
    <row r="22" spans="1:24" ht="15" thickBot="1" x14ac:dyDescent="0.25">
      <c r="A22" s="4"/>
      <c r="B22" s="5" t="s">
        <v>3</v>
      </c>
      <c r="C22" s="5" t="s">
        <v>2</v>
      </c>
      <c r="D22" s="116">
        <f>D23+D24</f>
        <v>1216236370</v>
      </c>
      <c r="E22" s="6" t="s">
        <v>0</v>
      </c>
      <c r="F22" s="7">
        <v>1</v>
      </c>
      <c r="G22" s="78"/>
      <c r="H22" s="78"/>
      <c r="I22" s="78"/>
      <c r="J22" s="78"/>
      <c r="K22" s="78"/>
      <c r="L22" s="78"/>
      <c r="M22" s="78"/>
      <c r="N22" s="78"/>
      <c r="O22" s="78"/>
      <c r="P22" s="78"/>
      <c r="Q22" s="78"/>
    </row>
    <row r="23" spans="1:24" x14ac:dyDescent="0.2">
      <c r="B23" s="5" t="s">
        <v>7</v>
      </c>
      <c r="C23" s="5" t="s">
        <v>1</v>
      </c>
      <c r="D23" s="117">
        <v>573730262</v>
      </c>
      <c r="E23" s="6" t="s">
        <v>0</v>
      </c>
      <c r="F23" s="8">
        <f>IFERROR(D23/$D$22,0)</f>
        <v>0.47172595405940704</v>
      </c>
    </row>
    <row r="24" spans="1:24" ht="15" thickBot="1" x14ac:dyDescent="0.25">
      <c r="B24" s="5" t="s">
        <v>8</v>
      </c>
      <c r="C24" s="5" t="s">
        <v>6</v>
      </c>
      <c r="D24" s="116">
        <f>D25+D26</f>
        <v>642506108</v>
      </c>
      <c r="E24" s="6" t="s">
        <v>0</v>
      </c>
      <c r="F24" s="8">
        <f>IFERROR(D24/$D$22,0)</f>
        <v>0.52827404594059291</v>
      </c>
    </row>
    <row r="25" spans="1:24" x14ac:dyDescent="0.2">
      <c r="B25" s="5" t="s">
        <v>9</v>
      </c>
      <c r="C25" s="5" t="s">
        <v>4</v>
      </c>
      <c r="D25" s="117"/>
      <c r="E25" s="6" t="s">
        <v>0</v>
      </c>
      <c r="F25" s="8">
        <f>IFERROR(D25/$D$22,0)</f>
        <v>0</v>
      </c>
    </row>
    <row r="26" spans="1:24" ht="15" thickBot="1" x14ac:dyDescent="0.25">
      <c r="B26" s="5" t="s">
        <v>61</v>
      </c>
      <c r="C26" s="5" t="s">
        <v>5</v>
      </c>
      <c r="D26" s="116">
        <f>498239240+144266868</f>
        <v>642506108</v>
      </c>
      <c r="E26" s="6" t="s">
        <v>0</v>
      </c>
      <c r="F26" s="8">
        <f>IFERROR(D26/$D$22,0)</f>
        <v>0.52827404594059291</v>
      </c>
      <c r="G26" s="29"/>
      <c r="H26" s="29"/>
    </row>
    <row r="27" spans="1:24" ht="34.5" customHeight="1" x14ac:dyDescent="0.2">
      <c r="B27" s="156" t="s">
        <v>77</v>
      </c>
      <c r="C27" s="156"/>
      <c r="D27" s="156"/>
      <c r="E27" s="156"/>
      <c r="F27" s="156"/>
      <c r="G27" s="157"/>
      <c r="H27" s="157"/>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2016</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48">
        <v>2016</v>
      </c>
      <c r="P45" s="148"/>
      <c r="Q45" s="148"/>
      <c r="R45" s="148">
        <v>2015</v>
      </c>
      <c r="S45" s="148"/>
      <c r="T45" s="148"/>
      <c r="U45" s="148">
        <v>2014</v>
      </c>
      <c r="V45" s="148"/>
      <c r="W45" s="148"/>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166</v>
      </c>
      <c r="C47" s="93">
        <v>899355.23</v>
      </c>
      <c r="D47" s="93"/>
      <c r="E47" s="60"/>
      <c r="F47" s="51">
        <f>C47-D47+E47</f>
        <v>899355.23</v>
      </c>
      <c r="G47" s="110">
        <f>O47</f>
        <v>8.4229999999999999E-2</v>
      </c>
      <c r="H47" s="15">
        <f>F47*G47</f>
        <v>75752.691022899991</v>
      </c>
      <c r="I47" s="110">
        <f>+Q47</f>
        <v>9.1789999999999997E-2</v>
      </c>
      <c r="J47" s="17">
        <f>F47*I47</f>
        <v>82551.81656169999</v>
      </c>
      <c r="K47" s="16">
        <f>J47-H47</f>
        <v>6799.125538799999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178</v>
      </c>
      <c r="C48" s="93">
        <v>55382613.660000004</v>
      </c>
      <c r="D48" s="93"/>
      <c r="E48" s="60"/>
      <c r="F48" s="51">
        <f>C48-D48+E48</f>
        <v>55382613.660000004</v>
      </c>
      <c r="G48" s="110">
        <f>Q47</f>
        <v>9.1789999999999997E-2</v>
      </c>
      <c r="H48" s="15">
        <f>F48*G48</f>
        <v>5083570.1078514</v>
      </c>
      <c r="I48" s="110">
        <f>+Q47</f>
        <v>9.1789999999999997E-2</v>
      </c>
      <c r="J48" s="17">
        <f>F48*I48</f>
        <v>5083570.1078514</v>
      </c>
      <c r="K48" s="16">
        <f>J48-H48</f>
        <v>0</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2:23" x14ac:dyDescent="0.2">
      <c r="B49" s="13" t="s">
        <v>167</v>
      </c>
      <c r="C49" s="93">
        <v>910679.74</v>
      </c>
      <c r="D49" s="93"/>
      <c r="E49" s="60"/>
      <c r="F49" s="51">
        <f t="shared" ref="F49:F70" si="0">C49-D49+E49</f>
        <v>910679.74</v>
      </c>
      <c r="G49" s="110">
        <f>+O48</f>
        <v>0.10384</v>
      </c>
      <c r="H49" s="15">
        <f t="shared" ref="H49:H70" si="1">F49*G49</f>
        <v>94564.984201600004</v>
      </c>
      <c r="I49" s="110">
        <f>+Q48</f>
        <v>9.851E-2</v>
      </c>
      <c r="J49" s="17">
        <f t="shared" ref="J49:J70" si="2">F49*I49</f>
        <v>89711.061187400002</v>
      </c>
      <c r="K49" s="16">
        <f t="shared" ref="K49:K70" si="3">J49-H49</f>
        <v>-4853.9230142000015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2:23" x14ac:dyDescent="0.2">
      <c r="B50" s="13" t="s">
        <v>179</v>
      </c>
      <c r="C50" s="93">
        <v>51580993.609999999</v>
      </c>
      <c r="D50" s="93"/>
      <c r="E50" s="60"/>
      <c r="F50" s="51">
        <f t="shared" si="0"/>
        <v>51580993.609999999</v>
      </c>
      <c r="G50" s="110">
        <f>+Q48</f>
        <v>9.851E-2</v>
      </c>
      <c r="H50" s="15">
        <f t="shared" si="1"/>
        <v>5081243.6805210998</v>
      </c>
      <c r="I50" s="110">
        <f>+Q48</f>
        <v>9.851E-2</v>
      </c>
      <c r="J50" s="17">
        <f t="shared" si="2"/>
        <v>5081243.6805210998</v>
      </c>
      <c r="K50" s="16">
        <f t="shared" si="3"/>
        <v>0</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2:23" x14ac:dyDescent="0.2">
      <c r="B51" s="13" t="s">
        <v>168</v>
      </c>
      <c r="C51" s="93">
        <v>938655.5</v>
      </c>
      <c r="D51" s="93"/>
      <c r="E51" s="60"/>
      <c r="F51" s="51">
        <f t="shared" si="0"/>
        <v>938655.5</v>
      </c>
      <c r="G51" s="110">
        <f>+O49</f>
        <v>9.0219999999999995E-2</v>
      </c>
      <c r="H51" s="15">
        <f t="shared" si="1"/>
        <v>84685.499209999994</v>
      </c>
      <c r="I51" s="110">
        <f>+Q49</f>
        <v>0.1061</v>
      </c>
      <c r="J51" s="17">
        <f t="shared" si="2"/>
        <v>99591.348549999995</v>
      </c>
      <c r="K51" s="16">
        <f t="shared" si="3"/>
        <v>14905.849340000001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2:23" x14ac:dyDescent="0.2">
      <c r="B52" s="13" t="s">
        <v>180</v>
      </c>
      <c r="C52" s="93">
        <v>53281932.759999998</v>
      </c>
      <c r="D52" s="93"/>
      <c r="E52" s="60"/>
      <c r="F52" s="51">
        <f t="shared" si="0"/>
        <v>53281932.759999998</v>
      </c>
      <c r="G52" s="110">
        <f>+Q49</f>
        <v>0.1061</v>
      </c>
      <c r="H52" s="15">
        <f t="shared" si="1"/>
        <v>5653213.0658359993</v>
      </c>
      <c r="I52" s="110">
        <f>+Q49</f>
        <v>0.1061</v>
      </c>
      <c r="J52" s="17">
        <f t="shared" si="2"/>
        <v>5653213.0658359993</v>
      </c>
      <c r="K52" s="16">
        <f t="shared" si="3"/>
        <v>0</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2:23" x14ac:dyDescent="0.2">
      <c r="B53" s="13" t="s">
        <v>169</v>
      </c>
      <c r="C53" s="93">
        <v>989113.84</v>
      </c>
      <c r="D53" s="93"/>
      <c r="E53" s="60"/>
      <c r="F53" s="51">
        <f t="shared" si="0"/>
        <v>989113.84</v>
      </c>
      <c r="G53" s="110">
        <f>+O50</f>
        <v>0.12114999999999999</v>
      </c>
      <c r="H53" s="15">
        <f t="shared" si="1"/>
        <v>119831.14171599998</v>
      </c>
      <c r="I53" s="110">
        <f>+Q50</f>
        <v>0.11132</v>
      </c>
      <c r="J53" s="17">
        <f t="shared" si="2"/>
        <v>110108.1526688</v>
      </c>
      <c r="K53" s="16">
        <f t="shared" si="3"/>
        <v>-9722.9890471999825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2:23" x14ac:dyDescent="0.2">
      <c r="B54" s="13" t="s">
        <v>181</v>
      </c>
      <c r="C54" s="93">
        <v>49986485.290000007</v>
      </c>
      <c r="D54" s="93"/>
      <c r="E54" s="60"/>
      <c r="F54" s="51">
        <f t="shared" si="0"/>
        <v>49986485.290000007</v>
      </c>
      <c r="G54" s="110">
        <f>+Q50</f>
        <v>0.11132</v>
      </c>
      <c r="H54" s="15">
        <f t="shared" si="1"/>
        <v>5564495.5424828008</v>
      </c>
      <c r="I54" s="110">
        <f>+Q50</f>
        <v>0.11132</v>
      </c>
      <c r="J54" s="17">
        <f t="shared" si="2"/>
        <v>5564495.5424828008</v>
      </c>
      <c r="K54" s="16">
        <f t="shared" si="3"/>
        <v>0</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2:23" x14ac:dyDescent="0.2">
      <c r="B55" s="13" t="s">
        <v>170</v>
      </c>
      <c r="C55" s="93">
        <v>828840.57</v>
      </c>
      <c r="D55" s="93"/>
      <c r="E55" s="60"/>
      <c r="F55" s="51">
        <f t="shared" si="0"/>
        <v>828840.57</v>
      </c>
      <c r="G55" s="110">
        <f>+O51</f>
        <v>0.10405</v>
      </c>
      <c r="H55" s="15">
        <f t="shared" si="1"/>
        <v>86240.861308499996</v>
      </c>
      <c r="I55" s="110">
        <f>+Q51</f>
        <v>0.10749</v>
      </c>
      <c r="J55" s="17">
        <f t="shared" si="2"/>
        <v>89092.072869299998</v>
      </c>
      <c r="K55" s="16">
        <f t="shared" si="3"/>
        <v>2851.2115608000022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2:23" x14ac:dyDescent="0.2">
      <c r="B56" s="13" t="s">
        <v>182</v>
      </c>
      <c r="C56" s="93">
        <v>52573033.009999998</v>
      </c>
      <c r="D56" s="93"/>
      <c r="E56" s="60"/>
      <c r="F56" s="51">
        <f t="shared" si="0"/>
        <v>52573033.009999998</v>
      </c>
      <c r="G56" s="110">
        <f>+Q51</f>
        <v>0.10749</v>
      </c>
      <c r="H56" s="15">
        <f t="shared" si="1"/>
        <v>5651075.3182448996</v>
      </c>
      <c r="I56" s="110">
        <f>+Q51</f>
        <v>0.10749</v>
      </c>
      <c r="J56" s="17">
        <f t="shared" si="2"/>
        <v>5651075.3182448996</v>
      </c>
      <c r="K56" s="16">
        <f t="shared" si="3"/>
        <v>0</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2:23" x14ac:dyDescent="0.2">
      <c r="B57" s="13" t="s">
        <v>171</v>
      </c>
      <c r="C57" s="93">
        <v>960473.33000000007</v>
      </c>
      <c r="D57" s="93"/>
      <c r="E57" s="60"/>
      <c r="F57" s="51">
        <f t="shared" si="0"/>
        <v>960473.33000000007</v>
      </c>
      <c r="G57" s="110">
        <f>+O52</f>
        <v>0.11650000000000001</v>
      </c>
      <c r="H57" s="15">
        <f t="shared" si="1"/>
        <v>111895.14294500001</v>
      </c>
      <c r="I57" s="110">
        <f>+Q52</f>
        <v>9.5449999999999993E-2</v>
      </c>
      <c r="J57" s="17">
        <f t="shared" si="2"/>
        <v>91677.179348499994</v>
      </c>
      <c r="K57" s="16">
        <f t="shared" si="3"/>
        <v>-20217.96359650002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2:23" x14ac:dyDescent="0.2">
      <c r="B58" s="13" t="s">
        <v>183</v>
      </c>
      <c r="C58" s="93">
        <v>56562333.449999996</v>
      </c>
      <c r="D58" s="93"/>
      <c r="E58" s="60"/>
      <c r="F58" s="51">
        <f t="shared" si="0"/>
        <v>56562333.449999996</v>
      </c>
      <c r="G58" s="110">
        <f>+Q52</f>
        <v>9.5449999999999993E-2</v>
      </c>
      <c r="H58" s="15">
        <f t="shared" si="1"/>
        <v>5398874.7278024992</v>
      </c>
      <c r="I58" s="110">
        <f>+Q52</f>
        <v>9.5449999999999993E-2</v>
      </c>
      <c r="J58" s="17">
        <f t="shared" si="2"/>
        <v>5398874.7278024992</v>
      </c>
      <c r="K58" s="16">
        <f t="shared" si="3"/>
        <v>0</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2:23" x14ac:dyDescent="0.2">
      <c r="B59" s="13" t="s">
        <v>172</v>
      </c>
      <c r="C59" s="60">
        <v>1260413.72</v>
      </c>
      <c r="D59" s="93"/>
      <c r="E59" s="60"/>
      <c r="F59" s="51">
        <f t="shared" si="0"/>
        <v>1260413.72</v>
      </c>
      <c r="G59" s="110">
        <f>+O53</f>
        <v>7.6670000000000002E-2</v>
      </c>
      <c r="H59" s="15">
        <f t="shared" si="1"/>
        <v>96635.919912400001</v>
      </c>
      <c r="I59" s="110">
        <f>+Q53</f>
        <v>8.3059999999999995E-2</v>
      </c>
      <c r="J59" s="17">
        <f t="shared" si="2"/>
        <v>104689.96358319999</v>
      </c>
      <c r="K59" s="16">
        <f t="shared" si="3"/>
        <v>8054.0436707999907</v>
      </c>
      <c r="N59" s="31"/>
      <c r="O59" s="32"/>
      <c r="P59" s="32"/>
      <c r="Q59" s="32"/>
      <c r="R59" s="32"/>
      <c r="S59" s="32"/>
      <c r="T59" s="32"/>
      <c r="U59" s="32"/>
      <c r="V59" s="32"/>
      <c r="W59" s="32"/>
    </row>
    <row r="60" spans="2:23" x14ac:dyDescent="0.2">
      <c r="B60" s="13" t="s">
        <v>184</v>
      </c>
      <c r="C60" s="60">
        <v>62357385.979999997</v>
      </c>
      <c r="D60" s="93"/>
      <c r="E60" s="60"/>
      <c r="F60" s="51">
        <f t="shared" si="0"/>
        <v>62357385.979999997</v>
      </c>
      <c r="G60" s="110">
        <f>+Q53</f>
        <v>8.3059999999999995E-2</v>
      </c>
      <c r="H60" s="15">
        <f t="shared" si="1"/>
        <v>5179404.479498799</v>
      </c>
      <c r="I60" s="110">
        <f>+Q53</f>
        <v>8.3059999999999995E-2</v>
      </c>
      <c r="J60" s="17">
        <f t="shared" si="2"/>
        <v>5179404.479498799</v>
      </c>
      <c r="K60" s="16">
        <f t="shared" si="3"/>
        <v>0</v>
      </c>
      <c r="N60" s="29"/>
      <c r="O60" s="30"/>
      <c r="P60" s="30"/>
      <c r="Q60" s="30"/>
      <c r="R60" s="30"/>
      <c r="S60" s="30"/>
      <c r="T60" s="30"/>
      <c r="U60" s="30"/>
      <c r="V60" s="30"/>
      <c r="W60" s="30"/>
    </row>
    <row r="61" spans="2:23" x14ac:dyDescent="0.2">
      <c r="B61" s="13" t="s">
        <v>173</v>
      </c>
      <c r="C61" s="60">
        <v>1422657.37</v>
      </c>
      <c r="D61" s="93"/>
      <c r="E61" s="60"/>
      <c r="F61" s="51">
        <f t="shared" si="0"/>
        <v>1422657.37</v>
      </c>
      <c r="G61" s="110">
        <f>+O54</f>
        <v>8.5690000000000002E-2</v>
      </c>
      <c r="H61" s="15">
        <f t="shared" si="1"/>
        <v>121907.51003530002</v>
      </c>
      <c r="I61" s="110">
        <f>+Q54</f>
        <v>7.1029999999999996E-2</v>
      </c>
      <c r="J61" s="17">
        <f t="shared" si="2"/>
        <v>101051.35299110001</v>
      </c>
      <c r="K61" s="16">
        <f t="shared" si="3"/>
        <v>-20856.157044200008</v>
      </c>
      <c r="N61" s="29"/>
      <c r="O61" s="30"/>
      <c r="P61" s="30"/>
      <c r="Q61" s="30"/>
      <c r="R61" s="30"/>
      <c r="S61" s="30"/>
      <c r="T61" s="30"/>
      <c r="U61" s="30"/>
      <c r="V61" s="30"/>
      <c r="W61" s="30"/>
    </row>
    <row r="62" spans="2:23" x14ac:dyDescent="0.2">
      <c r="B62" s="13" t="s">
        <v>185</v>
      </c>
      <c r="C62" s="60">
        <v>65055950.57</v>
      </c>
      <c r="D62" s="93"/>
      <c r="E62" s="60">
        <v>3491.6</v>
      </c>
      <c r="F62" s="51">
        <f t="shared" si="0"/>
        <v>65059442.170000002</v>
      </c>
      <c r="G62" s="110">
        <f>+Q54</f>
        <v>7.1029999999999996E-2</v>
      </c>
      <c r="H62" s="15">
        <f t="shared" si="1"/>
        <v>4621172.1773351002</v>
      </c>
      <c r="I62" s="110">
        <f>+Q54</f>
        <v>7.1029999999999996E-2</v>
      </c>
      <c r="J62" s="17">
        <f t="shared" si="2"/>
        <v>4621172.1773351002</v>
      </c>
      <c r="K62" s="16">
        <f t="shared" si="3"/>
        <v>0</v>
      </c>
      <c r="N62" s="29"/>
      <c r="O62" s="30"/>
      <c r="P62" s="30"/>
      <c r="Q62" s="30"/>
      <c r="R62" s="30"/>
      <c r="S62" s="30"/>
      <c r="T62" s="30"/>
      <c r="U62" s="30"/>
      <c r="V62" s="30"/>
      <c r="W62" s="30"/>
    </row>
    <row r="63" spans="2:23" x14ac:dyDescent="0.2">
      <c r="B63" s="13" t="s">
        <v>174</v>
      </c>
      <c r="C63" s="60">
        <v>1943189.95</v>
      </c>
      <c r="D63" s="93"/>
      <c r="E63" s="60"/>
      <c r="F63" s="51">
        <f t="shared" si="0"/>
        <v>1943189.95</v>
      </c>
      <c r="G63" s="110">
        <f>+O55</f>
        <v>7.0599999999999996E-2</v>
      </c>
      <c r="H63" s="15">
        <f t="shared" si="1"/>
        <v>137189.21046999999</v>
      </c>
      <c r="I63" s="110">
        <f>+Q55</f>
        <v>9.5310000000000006E-2</v>
      </c>
      <c r="J63" s="17">
        <f t="shared" si="2"/>
        <v>185205.43413450001</v>
      </c>
      <c r="K63" s="16">
        <f t="shared" si="3"/>
        <v>48016.223664500023</v>
      </c>
      <c r="N63" s="29"/>
      <c r="O63" s="29"/>
      <c r="P63" s="29"/>
      <c r="Q63" s="29"/>
      <c r="R63" s="29"/>
      <c r="S63" s="29"/>
      <c r="T63" s="29"/>
      <c r="U63" s="29"/>
      <c r="V63" s="29"/>
      <c r="W63" s="29"/>
    </row>
    <row r="64" spans="2:23" x14ac:dyDescent="0.2">
      <c r="B64" s="13" t="s">
        <v>186</v>
      </c>
      <c r="C64" s="60">
        <v>55452118.020000003</v>
      </c>
      <c r="D64" s="93"/>
      <c r="E64" s="60">
        <v>8404.16</v>
      </c>
      <c r="F64" s="51">
        <f t="shared" si="0"/>
        <v>55460522.18</v>
      </c>
      <c r="G64" s="110">
        <f>+Q55</f>
        <v>9.5310000000000006E-2</v>
      </c>
      <c r="H64" s="15">
        <f t="shared" si="1"/>
        <v>5285942.3689758005</v>
      </c>
      <c r="I64" s="110">
        <f>+Q55</f>
        <v>9.5310000000000006E-2</v>
      </c>
      <c r="J64" s="17">
        <f t="shared" si="2"/>
        <v>5285942.3689758005</v>
      </c>
      <c r="K64" s="16">
        <f t="shared" si="3"/>
        <v>0</v>
      </c>
      <c r="O64" s="29"/>
      <c r="P64" s="29"/>
      <c r="Q64" s="29"/>
      <c r="R64" s="29"/>
      <c r="S64" s="29"/>
      <c r="T64" s="29"/>
      <c r="U64" s="29"/>
      <c r="V64" s="29"/>
      <c r="W64" s="29"/>
    </row>
    <row r="65" spans="1:24" x14ac:dyDescent="0.2">
      <c r="B65" s="13" t="s">
        <v>175</v>
      </c>
      <c r="C65" s="60">
        <v>1144354.0099999998</v>
      </c>
      <c r="D65" s="93"/>
      <c r="E65" s="60"/>
      <c r="F65" s="51">
        <f t="shared" si="0"/>
        <v>1144354.0099999998</v>
      </c>
      <c r="G65" s="110">
        <f>+O56</f>
        <v>9.7199999999999995E-2</v>
      </c>
      <c r="H65" s="15">
        <f t="shared" si="1"/>
        <v>111231.20977199997</v>
      </c>
      <c r="I65" s="110">
        <f>+Q56</f>
        <v>0.11226</v>
      </c>
      <c r="J65" s="17">
        <f t="shared" si="2"/>
        <v>128465.18116259997</v>
      </c>
      <c r="K65" s="16">
        <f t="shared" si="3"/>
        <v>17233.971390599996</v>
      </c>
      <c r="O65" s="29"/>
      <c r="P65" s="29"/>
      <c r="Q65" s="29"/>
      <c r="R65" s="29"/>
      <c r="S65" s="29"/>
      <c r="T65" s="29"/>
      <c r="U65" s="29"/>
      <c r="V65" s="29"/>
      <c r="W65" s="29"/>
    </row>
    <row r="66" spans="1:24" x14ac:dyDescent="0.2">
      <c r="B66" s="13" t="s">
        <v>187</v>
      </c>
      <c r="C66" s="60">
        <v>51556970.350000001</v>
      </c>
      <c r="D66" s="93"/>
      <c r="E66" s="60">
        <v>14653.54</v>
      </c>
      <c r="F66" s="51">
        <f t="shared" si="0"/>
        <v>51571623.890000001</v>
      </c>
      <c r="G66" s="110">
        <f>+Q56</f>
        <v>0.11226</v>
      </c>
      <c r="H66" s="15">
        <f t="shared" si="1"/>
        <v>5789430.4978914</v>
      </c>
      <c r="I66" s="110">
        <f>+Q56</f>
        <v>0.11226</v>
      </c>
      <c r="J66" s="17">
        <f t="shared" si="2"/>
        <v>5789430.4978914</v>
      </c>
      <c r="K66" s="16">
        <f t="shared" si="3"/>
        <v>0</v>
      </c>
      <c r="O66" s="29"/>
      <c r="P66" s="29"/>
      <c r="Q66" s="29"/>
      <c r="R66" s="29"/>
      <c r="S66" s="29"/>
      <c r="T66" s="29"/>
      <c r="U66" s="29"/>
      <c r="V66" s="29"/>
      <c r="W66" s="29"/>
    </row>
    <row r="67" spans="1:24" x14ac:dyDescent="0.2">
      <c r="B67" s="13" t="s">
        <v>176</v>
      </c>
      <c r="C67" s="60">
        <v>1190057.98</v>
      </c>
      <c r="D67" s="93"/>
      <c r="E67" s="60"/>
      <c r="F67" s="51">
        <f t="shared" si="0"/>
        <v>1190057.98</v>
      </c>
      <c r="G67" s="110">
        <f>+O57</f>
        <v>0.12271</v>
      </c>
      <c r="H67" s="15">
        <f t="shared" si="1"/>
        <v>146032.01472579999</v>
      </c>
      <c r="I67" s="110">
        <f>+Q57</f>
        <v>0.11108999999999999</v>
      </c>
      <c r="J67" s="17">
        <f t="shared" si="2"/>
        <v>132203.54099819998</v>
      </c>
      <c r="K67" s="16">
        <f t="shared" si="3"/>
        <v>-13828.473727600009</v>
      </c>
      <c r="N67" s="78"/>
      <c r="O67" s="78"/>
      <c r="P67" s="78"/>
      <c r="Q67" s="78"/>
    </row>
    <row r="68" spans="1:24" x14ac:dyDescent="0.2">
      <c r="B68" s="13" t="s">
        <v>188</v>
      </c>
      <c r="C68" s="60">
        <v>48321237.210000001</v>
      </c>
      <c r="D68" s="93"/>
      <c r="E68" s="60">
        <v>2260827.75</v>
      </c>
      <c r="F68" s="51">
        <f t="shared" si="0"/>
        <v>50582064.960000001</v>
      </c>
      <c r="G68" s="110">
        <f>+Q57</f>
        <v>0.11108999999999999</v>
      </c>
      <c r="H68" s="15">
        <f t="shared" si="1"/>
        <v>5619161.5964064002</v>
      </c>
      <c r="I68" s="110">
        <f>+Q57</f>
        <v>0.11108999999999999</v>
      </c>
      <c r="J68" s="17">
        <f t="shared" si="2"/>
        <v>5619161.5964064002</v>
      </c>
      <c r="K68" s="16">
        <f t="shared" si="3"/>
        <v>0</v>
      </c>
      <c r="N68" s="78"/>
      <c r="O68" s="78"/>
      <c r="P68" s="78"/>
      <c r="Q68" s="78"/>
    </row>
    <row r="69" spans="1:24" x14ac:dyDescent="0.2">
      <c r="B69" s="13" t="s">
        <v>177</v>
      </c>
      <c r="C69" s="94">
        <v>198785</v>
      </c>
      <c r="D69" s="93"/>
      <c r="E69" s="60">
        <v>975860.94</v>
      </c>
      <c r="F69" s="51">
        <f t="shared" si="0"/>
        <v>1174645.94</v>
      </c>
      <c r="G69" s="110">
        <f>+O58</f>
        <v>0.10594000000000001</v>
      </c>
      <c r="H69" s="15">
        <f t="shared" si="1"/>
        <v>124441.9908836</v>
      </c>
      <c r="I69" s="110">
        <f>+Q58</f>
        <v>8.7080000000000005E-2</v>
      </c>
      <c r="J69" s="17">
        <f t="shared" si="2"/>
        <v>102288.16845519999</v>
      </c>
      <c r="K69" s="16">
        <f t="shared" si="3"/>
        <v>-22153.822428400003</v>
      </c>
      <c r="N69" s="78"/>
      <c r="O69" s="78"/>
      <c r="P69" s="78"/>
      <c r="Q69" s="78"/>
    </row>
    <row r="70" spans="1:24" x14ac:dyDescent="0.2">
      <c r="B70" s="13" t="s">
        <v>189</v>
      </c>
      <c r="C70" s="94">
        <v>0</v>
      </c>
      <c r="D70" s="93"/>
      <c r="E70" s="60">
        <v>53668106.710000001</v>
      </c>
      <c r="F70" s="51">
        <f t="shared" si="0"/>
        <v>53668106.710000001</v>
      </c>
      <c r="G70" s="110">
        <f>+Q58</f>
        <v>8.7080000000000005E-2</v>
      </c>
      <c r="H70" s="15">
        <f t="shared" si="1"/>
        <v>4673418.7323068008</v>
      </c>
      <c r="I70" s="110">
        <f>+Q58</f>
        <v>8.7080000000000005E-2</v>
      </c>
      <c r="J70" s="17">
        <f t="shared" si="2"/>
        <v>4673418.7323068008</v>
      </c>
      <c r="K70" s="16">
        <f t="shared" si="3"/>
        <v>0</v>
      </c>
      <c r="N70" s="78"/>
      <c r="O70" s="78"/>
      <c r="P70" s="78"/>
      <c r="Q70" s="78"/>
    </row>
    <row r="71" spans="1:24" ht="30.75" thickBot="1" x14ac:dyDescent="0.3">
      <c r="B71" s="127" t="s">
        <v>133</v>
      </c>
      <c r="C71" s="96">
        <f>SUM(C47:C70)</f>
        <v>614797630.1500001</v>
      </c>
      <c r="D71" s="96">
        <f>SUM(D47:D70)</f>
        <v>0</v>
      </c>
      <c r="E71" s="96">
        <f>SUM(E47:E70)</f>
        <v>56931344.700000003</v>
      </c>
      <c r="F71" s="96">
        <f>SUM(F47:F70)</f>
        <v>671728974.85000026</v>
      </c>
      <c r="G71" s="37"/>
      <c r="H71" s="38">
        <f>SUM(H47:H70)</f>
        <v>64911410.471356094</v>
      </c>
      <c r="I71" s="37"/>
      <c r="J71" s="38">
        <f>SUM(J47:J70)</f>
        <v>64917637.567663491</v>
      </c>
      <c r="K71" s="39">
        <f>SUM(K47:K70)</f>
        <v>6227.0963073999883</v>
      </c>
      <c r="N71" s="78"/>
      <c r="O71" s="78"/>
      <c r="P71" s="78"/>
      <c r="Q71" s="78"/>
    </row>
    <row r="72" spans="1:24" x14ac:dyDescent="0.2">
      <c r="G72" s="4"/>
      <c r="H72" s="4"/>
      <c r="I72" s="4"/>
      <c r="J72" s="68"/>
      <c r="K72" s="125"/>
      <c r="N72" s="78"/>
      <c r="O72" s="78"/>
      <c r="P72" s="78"/>
      <c r="Q72" s="78"/>
    </row>
    <row r="73" spans="1:24" x14ac:dyDescent="0.2">
      <c r="N73" s="78"/>
      <c r="O73" s="78"/>
      <c r="P73" s="78"/>
      <c r="Q73" s="78"/>
    </row>
    <row r="74" spans="1:24" ht="15" x14ac:dyDescent="0.25">
      <c r="A74" s="1" t="s">
        <v>143</v>
      </c>
      <c r="B74" s="47" t="s">
        <v>136</v>
      </c>
      <c r="C74" s="2"/>
      <c r="K74" s="114"/>
    </row>
    <row r="75" spans="1:24" ht="15" x14ac:dyDescent="0.25">
      <c r="B75" s="3"/>
      <c r="C75" s="2"/>
      <c r="K75" s="122"/>
    </row>
    <row r="76" spans="1:24" ht="45" x14ac:dyDescent="0.25">
      <c r="A76" s="11"/>
      <c r="B76" s="140" t="s">
        <v>45</v>
      </c>
      <c r="C76" s="48" t="s">
        <v>67</v>
      </c>
      <c r="D76" s="48" t="s">
        <v>121</v>
      </c>
      <c r="E76" s="158" t="s">
        <v>44</v>
      </c>
      <c r="F76" s="158"/>
      <c r="G76" s="158"/>
      <c r="H76" s="158"/>
      <c r="I76" s="158"/>
      <c r="K76" s="120"/>
      <c r="X76" s="29"/>
    </row>
    <row r="77" spans="1:24" ht="30.75" customHeight="1" x14ac:dyDescent="0.25">
      <c r="A77" s="162" t="s">
        <v>134</v>
      </c>
      <c r="B77" s="163"/>
      <c r="C77" s="164"/>
      <c r="D77" s="126">
        <v>-10285.17</v>
      </c>
      <c r="E77" s="149"/>
      <c r="F77" s="150"/>
      <c r="G77" s="150"/>
      <c r="H77" s="150"/>
      <c r="I77" s="151"/>
      <c r="K77" s="120"/>
      <c r="X77" s="29"/>
    </row>
    <row r="78" spans="1:24" ht="28.5" x14ac:dyDescent="0.2">
      <c r="A78" s="69" t="s">
        <v>51</v>
      </c>
      <c r="B78" s="49" t="s">
        <v>62</v>
      </c>
      <c r="C78" s="111"/>
      <c r="D78" s="97"/>
      <c r="E78" s="152"/>
      <c r="F78" s="152"/>
      <c r="G78" s="152"/>
      <c r="H78" s="152"/>
      <c r="I78" s="152"/>
      <c r="K78" s="120"/>
      <c r="X78" s="29"/>
    </row>
    <row r="79" spans="1:24" ht="28.5" x14ac:dyDescent="0.2">
      <c r="A79" s="69" t="s">
        <v>52</v>
      </c>
      <c r="B79" s="49" t="s">
        <v>79</v>
      </c>
      <c r="C79" s="112"/>
      <c r="D79" s="113"/>
      <c r="E79" s="159"/>
      <c r="F79" s="160"/>
      <c r="G79" s="160"/>
      <c r="H79" s="160"/>
      <c r="I79" s="161"/>
      <c r="J79" s="78"/>
      <c r="K79" s="121"/>
      <c r="L79" s="78"/>
      <c r="M79" s="78"/>
    </row>
    <row r="80" spans="1:24" ht="28.5" x14ac:dyDescent="0.2">
      <c r="A80" s="69" t="s">
        <v>65</v>
      </c>
      <c r="B80" s="49" t="s">
        <v>64</v>
      </c>
      <c r="C80" s="112" t="s">
        <v>164</v>
      </c>
      <c r="D80" s="113">
        <v>-13940.934811798856</v>
      </c>
      <c r="E80" s="152" t="s">
        <v>193</v>
      </c>
      <c r="F80" s="152"/>
      <c r="G80" s="152"/>
      <c r="H80" s="152"/>
      <c r="I80" s="152"/>
      <c r="J80" s="78"/>
      <c r="K80" s="121"/>
      <c r="L80" s="78"/>
      <c r="M80" s="78"/>
    </row>
    <row r="81" spans="1:19" ht="28.5" x14ac:dyDescent="0.2">
      <c r="A81" s="69" t="s">
        <v>66</v>
      </c>
      <c r="B81" s="49" t="s">
        <v>63</v>
      </c>
      <c r="C81" s="112"/>
      <c r="D81" s="113"/>
      <c r="E81" s="159"/>
      <c r="F81" s="160"/>
      <c r="G81" s="160"/>
      <c r="H81" s="160"/>
      <c r="I81" s="161"/>
      <c r="J81" s="78"/>
      <c r="K81" s="124"/>
      <c r="L81" s="78"/>
      <c r="M81" s="78"/>
    </row>
    <row r="82" spans="1:19" ht="28.5" x14ac:dyDescent="0.2">
      <c r="A82" s="69" t="s">
        <v>69</v>
      </c>
      <c r="B82" s="49" t="s">
        <v>71</v>
      </c>
      <c r="C82" s="111" t="s">
        <v>164</v>
      </c>
      <c r="D82" s="97">
        <v>45200</v>
      </c>
      <c r="E82" s="152" t="s">
        <v>196</v>
      </c>
      <c r="F82" s="152"/>
      <c r="G82" s="152"/>
      <c r="H82" s="152"/>
      <c r="I82" s="152"/>
      <c r="J82" s="78"/>
      <c r="K82" s="124"/>
      <c r="L82" s="78"/>
      <c r="M82" s="78"/>
    </row>
    <row r="83" spans="1:19" ht="28.5" x14ac:dyDescent="0.2">
      <c r="A83" s="69" t="s">
        <v>70</v>
      </c>
      <c r="B83" s="49" t="s">
        <v>72</v>
      </c>
      <c r="C83" s="111"/>
      <c r="D83" s="97"/>
      <c r="E83" s="152"/>
      <c r="F83" s="152"/>
      <c r="G83" s="152"/>
      <c r="H83" s="152"/>
      <c r="I83" s="152"/>
      <c r="J83" s="78"/>
      <c r="K83" s="124"/>
      <c r="L83" s="78"/>
      <c r="M83" s="78"/>
    </row>
    <row r="84" spans="1:19" ht="33.75" customHeight="1" x14ac:dyDescent="0.2">
      <c r="A84" s="69">
        <v>4</v>
      </c>
      <c r="B84" s="49" t="s">
        <v>68</v>
      </c>
      <c r="C84" s="111"/>
      <c r="D84" s="97"/>
      <c r="E84" s="152"/>
      <c r="F84" s="152"/>
      <c r="G84" s="152"/>
      <c r="H84" s="152"/>
      <c r="I84" s="152"/>
      <c r="J84" s="78"/>
      <c r="K84" s="124"/>
      <c r="L84" s="78"/>
      <c r="M84" s="78"/>
    </row>
    <row r="85" spans="1:19" ht="42.75" customHeight="1" x14ac:dyDescent="0.2">
      <c r="A85" s="69">
        <v>5</v>
      </c>
      <c r="B85" s="49" t="s">
        <v>81</v>
      </c>
      <c r="C85" s="111" t="s">
        <v>164</v>
      </c>
      <c r="D85" s="97">
        <v>768</v>
      </c>
      <c r="E85" s="152" t="s">
        <v>199</v>
      </c>
      <c r="F85" s="152"/>
      <c r="G85" s="152"/>
      <c r="H85" s="152"/>
      <c r="I85" s="152"/>
      <c r="J85" s="78"/>
      <c r="K85" s="124"/>
      <c r="L85" s="78"/>
      <c r="M85" s="78"/>
    </row>
    <row r="86" spans="1:19" ht="28.5" x14ac:dyDescent="0.2">
      <c r="A86" s="54">
        <v>6</v>
      </c>
      <c r="B86" s="128" t="s">
        <v>137</v>
      </c>
      <c r="C86" s="111"/>
      <c r="D86" s="97"/>
      <c r="E86" s="152"/>
      <c r="F86" s="152"/>
      <c r="G86" s="152"/>
      <c r="H86" s="152"/>
      <c r="I86" s="152"/>
      <c r="K86" s="29"/>
    </row>
    <row r="87" spans="1:19" x14ac:dyDescent="0.2">
      <c r="A87" s="54">
        <v>7</v>
      </c>
      <c r="B87" s="46"/>
      <c r="C87" s="10"/>
      <c r="D87" s="97"/>
      <c r="E87" s="152"/>
      <c r="F87" s="152"/>
      <c r="G87" s="152"/>
      <c r="H87" s="152"/>
      <c r="I87" s="152"/>
      <c r="N87" s="35"/>
      <c r="O87" s="35"/>
      <c r="P87" s="35"/>
      <c r="Q87" s="35"/>
      <c r="R87" s="35"/>
      <c r="S87" s="35"/>
    </row>
    <row r="88" spans="1:19" x14ac:dyDescent="0.2">
      <c r="A88" s="54">
        <v>8</v>
      </c>
      <c r="B88" s="46"/>
      <c r="C88" s="10"/>
      <c r="D88" s="97"/>
      <c r="E88" s="152"/>
      <c r="F88" s="152"/>
      <c r="G88" s="152"/>
      <c r="H88" s="152"/>
      <c r="I88" s="152"/>
      <c r="N88" s="35"/>
      <c r="O88" s="35"/>
      <c r="P88" s="35"/>
      <c r="Q88" s="35"/>
      <c r="R88" s="35"/>
      <c r="S88" s="35"/>
    </row>
    <row r="89" spans="1:19" x14ac:dyDescent="0.2">
      <c r="A89" s="54">
        <v>9</v>
      </c>
      <c r="B89" s="46"/>
      <c r="C89" s="10"/>
      <c r="D89" s="97"/>
      <c r="E89" s="159"/>
      <c r="F89" s="160"/>
      <c r="G89" s="160"/>
      <c r="H89" s="160"/>
      <c r="I89" s="161"/>
      <c r="N89" s="35"/>
      <c r="O89" s="35"/>
      <c r="P89" s="35"/>
      <c r="Q89" s="35"/>
      <c r="R89" s="35"/>
      <c r="S89" s="35"/>
    </row>
    <row r="90" spans="1:19" x14ac:dyDescent="0.2">
      <c r="A90" s="54">
        <v>10</v>
      </c>
      <c r="B90" s="46"/>
      <c r="C90" s="10"/>
      <c r="D90" s="97"/>
      <c r="E90" s="152"/>
      <c r="F90" s="152"/>
      <c r="G90" s="152"/>
      <c r="H90" s="152"/>
      <c r="I90" s="152"/>
      <c r="N90" s="35"/>
      <c r="O90" s="35"/>
      <c r="P90" s="35"/>
      <c r="Q90" s="35"/>
      <c r="R90" s="35"/>
      <c r="S90" s="35"/>
    </row>
    <row r="91" spans="1:19" ht="15" x14ac:dyDescent="0.25">
      <c r="A91" s="1" t="s">
        <v>150</v>
      </c>
      <c r="B91" s="2" t="s">
        <v>131</v>
      </c>
      <c r="C91" s="2"/>
      <c r="D91" s="98">
        <f>SUM(D77:D90)</f>
        <v>21741.895188201146</v>
      </c>
      <c r="E91" s="25"/>
      <c r="F91" s="25"/>
      <c r="G91" s="25"/>
      <c r="H91" s="25"/>
      <c r="N91" s="35"/>
      <c r="O91" s="35"/>
      <c r="P91" s="35"/>
      <c r="Q91" s="35"/>
      <c r="R91" s="35"/>
      <c r="S91" s="35"/>
    </row>
    <row r="92" spans="1:19" ht="15" x14ac:dyDescent="0.25">
      <c r="B92" s="123" t="s">
        <v>132</v>
      </c>
      <c r="C92" s="70"/>
      <c r="D92" s="98">
        <f>K71</f>
        <v>6227.0963073999883</v>
      </c>
      <c r="E92" s="25"/>
      <c r="F92" s="25"/>
      <c r="G92" s="25"/>
      <c r="H92" s="25"/>
      <c r="N92" s="35"/>
      <c r="O92" s="35"/>
      <c r="P92" s="35"/>
      <c r="Q92" s="35"/>
      <c r="R92" s="35"/>
      <c r="S92" s="35"/>
    </row>
    <row r="93" spans="1:19" ht="15" x14ac:dyDescent="0.25">
      <c r="B93" s="70" t="s">
        <v>24</v>
      </c>
      <c r="C93" s="70"/>
      <c r="D93" s="99">
        <f>D91-D92</f>
        <v>15514.798880801158</v>
      </c>
      <c r="N93" s="35"/>
      <c r="O93" s="35"/>
      <c r="P93" s="35"/>
      <c r="Q93" s="35"/>
      <c r="R93" s="35"/>
      <c r="S93" s="35"/>
    </row>
    <row r="94" spans="1:19" ht="15.75" thickBot="1" x14ac:dyDescent="0.3">
      <c r="B94" s="134" t="s">
        <v>73</v>
      </c>
      <c r="C94" s="71"/>
      <c r="D94" s="143">
        <f>IF(ISERROR(D93/J71),0,D93/J71)</f>
        <v>2.3899204379749836E-4</v>
      </c>
      <c r="E94" s="103" t="str">
        <f>IF(AND(D94&lt;0.01,D94&gt;-0.01),"","Unresolved differences of greater than + or - 1% should be explained")</f>
        <v/>
      </c>
      <c r="G94" s="78"/>
      <c r="H94" s="35"/>
      <c r="I94" s="35"/>
      <c r="J94" s="35"/>
      <c r="K94" s="35"/>
      <c r="L94" s="35"/>
      <c r="N94" s="35"/>
      <c r="O94" s="35"/>
      <c r="P94" s="35"/>
      <c r="Q94" s="35"/>
      <c r="R94" s="35"/>
      <c r="S94" s="35"/>
    </row>
    <row r="95" spans="1:19" ht="15.75" thickTop="1" x14ac:dyDescent="0.25">
      <c r="B95" s="2"/>
      <c r="C95" s="56"/>
      <c r="D95" s="59"/>
      <c r="G95" s="78"/>
    </row>
    <row r="96" spans="1:19" ht="15" x14ac:dyDescent="0.25">
      <c r="B96" s="2"/>
      <c r="C96" s="56"/>
      <c r="D96" s="34"/>
    </row>
    <row r="97" spans="1:13" ht="15" x14ac:dyDescent="0.25">
      <c r="A97" s="1" t="s">
        <v>75</v>
      </c>
      <c r="B97" s="72" t="s">
        <v>138</v>
      </c>
      <c r="C97" s="58"/>
      <c r="D97" s="59"/>
    </row>
    <row r="98" spans="1:13" ht="15" x14ac:dyDescent="0.25">
      <c r="B98" s="57"/>
      <c r="C98" s="58"/>
      <c r="D98" s="59"/>
    </row>
    <row r="99" spans="1:13" ht="75" x14ac:dyDescent="0.25">
      <c r="B99" s="141" t="s">
        <v>25</v>
      </c>
      <c r="C99" s="48" t="s">
        <v>157</v>
      </c>
      <c r="D99" s="48" t="s">
        <v>158</v>
      </c>
      <c r="E99" s="48" t="s">
        <v>159</v>
      </c>
      <c r="F99" s="73" t="s">
        <v>131</v>
      </c>
      <c r="G99" s="48" t="s">
        <v>24</v>
      </c>
      <c r="H99" s="75" t="s">
        <v>160</v>
      </c>
      <c r="I99" s="48" t="s">
        <v>73</v>
      </c>
      <c r="J99" s="78"/>
      <c r="K99" s="78"/>
      <c r="L99" s="35"/>
      <c r="M99" s="35"/>
    </row>
    <row r="100" spans="1:13" x14ac:dyDescent="0.2">
      <c r="B100" s="115">
        <v>2014</v>
      </c>
      <c r="C100" s="106">
        <f>'GA Analysis 2014'!K59</f>
        <v>1990376.3375488585</v>
      </c>
      <c r="D100" s="106">
        <f>'GA Analysis 2014'!D65</f>
        <v>1514355.81</v>
      </c>
      <c r="E100" s="107">
        <f>SUM('GA Analysis 2014'!D66:D78)</f>
        <v>476805.82536148862</v>
      </c>
      <c r="F100" s="130">
        <f>SUM(D100:E100)</f>
        <v>1991161.6353614887</v>
      </c>
      <c r="G100" s="108">
        <f>F100-C100</f>
        <v>785.29781263018958</v>
      </c>
      <c r="H100" s="107">
        <f>'GA Analysis 2014'!J59</f>
        <v>37571882.370443359</v>
      </c>
      <c r="I100" s="142">
        <f>IF(ISERROR(G100/H100),0,G100/H100)</f>
        <v>2.0901210242475344E-5</v>
      </c>
      <c r="J100" s="78"/>
      <c r="K100" s="78"/>
      <c r="L100" s="35"/>
      <c r="M100" s="35"/>
    </row>
    <row r="101" spans="1:13" x14ac:dyDescent="0.2">
      <c r="B101" s="115">
        <v>2015</v>
      </c>
      <c r="C101" s="106">
        <f>'GA Analysis 2015'!K71</f>
        <v>-279552.8605621935</v>
      </c>
      <c r="D101" s="106">
        <f>'GA Analysis 2015'!D77</f>
        <v>-315253</v>
      </c>
      <c r="E101" s="107">
        <f>SUM('GA Analysis 2015'!D78:D90)</f>
        <v>51006.205431240604</v>
      </c>
      <c r="F101" s="130">
        <f t="shared" ref="F101:F103" si="4">SUM(D101:E101)</f>
        <v>-264246.79456875939</v>
      </c>
      <c r="G101" s="108">
        <f>F101-C101</f>
        <v>15306.065993434109</v>
      </c>
      <c r="H101" s="107">
        <f>'GA Analysis 2015'!J71</f>
        <v>52398315.579927824</v>
      </c>
      <c r="I101" s="142">
        <f>IF(ISERROR(G101/H101),0,G101/H101)</f>
        <v>2.9210988605323396E-4</v>
      </c>
      <c r="J101" s="78"/>
      <c r="K101" s="78"/>
      <c r="L101" s="35"/>
      <c r="M101" s="35"/>
    </row>
    <row r="102" spans="1:13" x14ac:dyDescent="0.2">
      <c r="B102" s="115">
        <v>2016</v>
      </c>
      <c r="C102" s="106">
        <f>K71</f>
        <v>6227.0963073999883</v>
      </c>
      <c r="D102" s="106">
        <f>D77</f>
        <v>-10285.17</v>
      </c>
      <c r="E102" s="107">
        <f>SUM(D78:D90)</f>
        <v>32027.065188201144</v>
      </c>
      <c r="F102" s="130">
        <f t="shared" si="4"/>
        <v>21741.895188201146</v>
      </c>
      <c r="G102" s="108">
        <f>F102-C102</f>
        <v>15514.798880801158</v>
      </c>
      <c r="H102" s="107">
        <f>J71</f>
        <v>64917637.567663491</v>
      </c>
      <c r="I102" s="142">
        <f>IF(ISERROR(G102/H102),0,G102/H102)</f>
        <v>2.3899204379749836E-4</v>
      </c>
      <c r="J102" s="78"/>
      <c r="K102" s="78"/>
      <c r="L102" s="35"/>
      <c r="M102" s="35"/>
    </row>
    <row r="103" spans="1:13" ht="15" thickBot="1" x14ac:dyDescent="0.25">
      <c r="B103" s="115"/>
      <c r="C103" s="109"/>
      <c r="D103" s="109"/>
      <c r="E103" s="109"/>
      <c r="F103" s="130">
        <f t="shared" si="4"/>
        <v>0</v>
      </c>
      <c r="G103" s="108">
        <f>F103-C103</f>
        <v>0</v>
      </c>
      <c r="H103" s="109"/>
      <c r="I103" s="105">
        <f>IF(ISERROR(G103/H103),0,G103/H103)</f>
        <v>0</v>
      </c>
      <c r="J103" s="78"/>
      <c r="K103" s="78"/>
      <c r="L103" s="35"/>
      <c r="M103" s="35"/>
    </row>
    <row r="104" spans="1:13" ht="15.75" thickBot="1" x14ac:dyDescent="0.3">
      <c r="B104" s="74" t="s">
        <v>74</v>
      </c>
      <c r="C104" s="129">
        <f t="shared" ref="C104:H104" si="5">SUM(C100:C103)</f>
        <v>1717050.573294065</v>
      </c>
      <c r="D104" s="129">
        <f t="shared" si="5"/>
        <v>1188817.6400000001</v>
      </c>
      <c r="E104" s="129">
        <f t="shared" si="5"/>
        <v>559839.09598093037</v>
      </c>
      <c r="F104" s="131">
        <f t="shared" si="5"/>
        <v>1748656.7359809305</v>
      </c>
      <c r="G104" s="129">
        <f>SUM(G100:G103)</f>
        <v>31606.162686865457</v>
      </c>
      <c r="H104" s="76">
        <f t="shared" si="5"/>
        <v>154887835.51803467</v>
      </c>
      <c r="I104" s="77" t="s">
        <v>80</v>
      </c>
      <c r="J104" s="78"/>
      <c r="K104" s="78"/>
      <c r="L104" s="35"/>
      <c r="M104" s="35"/>
    </row>
    <row r="105" spans="1:13" x14ac:dyDescent="0.2">
      <c r="B105" s="4"/>
      <c r="C105" s="4"/>
      <c r="D105" s="4"/>
      <c r="E105" s="4"/>
      <c r="F105" s="4"/>
      <c r="G105" s="4"/>
      <c r="J105" s="78"/>
      <c r="K105" s="78"/>
      <c r="L105" s="35"/>
      <c r="M105" s="35"/>
    </row>
    <row r="106" spans="1:13" x14ac:dyDescent="0.2">
      <c r="J106" s="78"/>
      <c r="K106" s="78"/>
      <c r="L106" s="35"/>
      <c r="M106" s="35"/>
    </row>
    <row r="107" spans="1:13" ht="15" x14ac:dyDescent="0.25">
      <c r="B107" s="3" t="s">
        <v>37</v>
      </c>
      <c r="J107" s="78"/>
      <c r="K107" s="78"/>
    </row>
    <row r="108" spans="1:13" x14ac:dyDescent="0.2">
      <c r="B108" s="53"/>
      <c r="C108" s="53"/>
      <c r="D108" s="53"/>
      <c r="E108" s="53"/>
      <c r="F108" s="53"/>
      <c r="G108" s="53"/>
      <c r="H108" s="53"/>
      <c r="J108" s="78"/>
      <c r="K108" s="78"/>
    </row>
    <row r="109" spans="1:13" x14ac:dyDescent="0.2">
      <c r="B109" s="53"/>
      <c r="C109" s="53"/>
      <c r="D109" s="53"/>
      <c r="E109" s="53"/>
      <c r="F109" s="53"/>
      <c r="G109" s="53"/>
      <c r="H109" s="53"/>
      <c r="J109" s="78"/>
      <c r="K109" s="78"/>
    </row>
    <row r="110" spans="1:13" x14ac:dyDescent="0.2">
      <c r="B110" s="53"/>
      <c r="C110" s="53"/>
      <c r="D110" s="53"/>
      <c r="E110" s="53"/>
      <c r="F110" s="53"/>
      <c r="G110" s="53"/>
      <c r="H110" s="53"/>
    </row>
    <row r="111" spans="1:13" x14ac:dyDescent="0.2">
      <c r="B111" s="53"/>
      <c r="C111" s="53"/>
      <c r="D111" s="53"/>
      <c r="E111" s="53"/>
      <c r="F111" s="53"/>
      <c r="G111" s="53"/>
      <c r="H111" s="53"/>
    </row>
    <row r="112" spans="1:13" x14ac:dyDescent="0.2">
      <c r="B112" s="53"/>
      <c r="C112" s="53"/>
      <c r="D112" s="53"/>
      <c r="E112" s="53"/>
      <c r="F112" s="53"/>
      <c r="G112" s="53"/>
      <c r="H112" s="53"/>
    </row>
    <row r="113" spans="2:8" x14ac:dyDescent="0.2">
      <c r="B113" s="53"/>
      <c r="C113" s="53"/>
      <c r="D113" s="53"/>
      <c r="E113" s="53"/>
      <c r="F113" s="53"/>
      <c r="G113" s="53"/>
      <c r="H113" s="53"/>
    </row>
    <row r="114" spans="2:8" x14ac:dyDescent="0.2">
      <c r="B114" s="53"/>
      <c r="C114" s="53"/>
      <c r="D114" s="53"/>
      <c r="E114" s="53"/>
      <c r="F114" s="53"/>
      <c r="G114" s="53"/>
      <c r="H114" s="53"/>
    </row>
    <row r="115" spans="2:8" x14ac:dyDescent="0.2">
      <c r="B115" s="53"/>
      <c r="C115" s="53"/>
      <c r="D115" s="53"/>
      <c r="E115" s="53"/>
      <c r="F115" s="53"/>
      <c r="G115" s="53"/>
      <c r="H115" s="53"/>
    </row>
  </sheetData>
  <mergeCells count="22">
    <mergeCell ref="E87:I87"/>
    <mergeCell ref="E88:I88"/>
    <mergeCell ref="E89:I89"/>
    <mergeCell ref="E90:I90"/>
    <mergeCell ref="E81:I81"/>
    <mergeCell ref="E82:I82"/>
    <mergeCell ref="E83:I83"/>
    <mergeCell ref="E84:I84"/>
    <mergeCell ref="E85:I85"/>
    <mergeCell ref="E86:I86"/>
    <mergeCell ref="R45:T45"/>
    <mergeCell ref="U45:W45"/>
    <mergeCell ref="E80:I80"/>
    <mergeCell ref="B21:C21"/>
    <mergeCell ref="E21:F21"/>
    <mergeCell ref="B27:H27"/>
    <mergeCell ref="O45:Q45"/>
    <mergeCell ref="E76:I76"/>
    <mergeCell ref="A77:C77"/>
    <mergeCell ref="E77:I77"/>
    <mergeCell ref="E78:I78"/>
    <mergeCell ref="E79:I79"/>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scale="49" fitToHeight="2" orientation="landscape" cellComments="asDisplayed" r:id="rId1"/>
  <rowBreaks count="1" manualBreakCount="1">
    <brk id="7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GA Analysis 2014</vt:lpstr>
      <vt:lpstr>GA Analysis 2015</vt:lpstr>
      <vt:lpstr>GA Analysis 2016</vt:lpstr>
      <vt:lpstr>'GA Analysis 2014'!Print_Area</vt:lpstr>
      <vt:lpstr>'GA Analysis 2015'!Print_Area</vt:lpstr>
      <vt:lpstr>'GA Analysis 2016'!Print_Area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NPEI</cp:lastModifiedBy>
  <cp:lastPrinted>2017-10-02T14:03:39Z</cp:lastPrinted>
  <dcterms:created xsi:type="dcterms:W3CDTF">2017-05-01T19:29:01Z</dcterms:created>
  <dcterms:modified xsi:type="dcterms:W3CDTF">2017-10-13T14:35:42Z</dcterms:modified>
</cp:coreProperties>
</file>