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2018 IRM Application\Application Documents Filed\"/>
    </mc:Choice>
  </mc:AlternateContent>
  <bookViews>
    <workbookView xWindow="480" yWindow="345" windowWidth="19410" windowHeight="11520" activeTab="1"/>
  </bookViews>
  <sheets>
    <sheet name="Instructions" sheetId="2" r:id="rId1"/>
    <sheet name="GA Analysis " sheetId="4" r:id="rId2"/>
  </sheets>
  <externalReferences>
    <externalReference r:id="rId3"/>
    <externalReference r:id="rId4"/>
  </externalReference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E58" i="4" l="1"/>
  <c r="E57" i="4"/>
  <c r="E56" i="4"/>
  <c r="E55" i="4"/>
  <c r="E54" i="4"/>
  <c r="E53" i="4"/>
  <c r="E52" i="4"/>
  <c r="E51" i="4"/>
  <c r="E50" i="4"/>
  <c r="E49" i="4"/>
  <c r="E48" i="4"/>
  <c r="E47" i="4"/>
  <c r="D58" i="4"/>
  <c r="D57" i="4"/>
  <c r="D56" i="4"/>
  <c r="D55" i="4"/>
  <c r="D54" i="4"/>
  <c r="D53" i="4"/>
  <c r="D52" i="4"/>
  <c r="D51" i="4"/>
  <c r="D50" i="4"/>
  <c r="D49" i="4"/>
  <c r="D48" i="4"/>
  <c r="D47" i="4"/>
  <c r="D68" i="4" s="1"/>
  <c r="C58" i="4"/>
  <c r="C57" i="4"/>
  <c r="C56" i="4"/>
  <c r="C55" i="4"/>
  <c r="C54" i="4"/>
  <c r="C53" i="4"/>
  <c r="C52" i="4"/>
  <c r="C51" i="4"/>
  <c r="C50" i="4"/>
  <c r="C49" i="4"/>
  <c r="C48" i="4"/>
  <c r="C47" i="4"/>
  <c r="D26" i="4" l="1"/>
  <c r="D25" i="4"/>
  <c r="F88" i="4" l="1"/>
  <c r="G88" i="4" s="1"/>
  <c r="F89" i="4"/>
  <c r="G89" i="4" s="1"/>
  <c r="F90" i="4"/>
  <c r="G90" i="4" s="1"/>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c r="K55" i="4" s="1"/>
  <c r="J50" i="4" l="1"/>
  <c r="K50" i="4" s="1"/>
  <c r="K58" i="4"/>
  <c r="J49" i="4"/>
  <c r="K49" i="4" s="1"/>
  <c r="K53" i="4"/>
  <c r="F59" i="4"/>
  <c r="D24" i="4" s="1"/>
  <c r="H48" i="4"/>
  <c r="K48" i="4" s="1"/>
  <c r="K57" i="4"/>
  <c r="D22" i="4" l="1"/>
  <c r="F24" i="4" s="1"/>
  <c r="F23" i="4"/>
  <c r="F25" i="4"/>
  <c r="F26" i="4"/>
  <c r="J59" i="4"/>
  <c r="H59" i="4"/>
  <c r="K59" i="4"/>
  <c r="C92" i="4"/>
  <c r="D80" i="4" l="1"/>
  <c r="D81" i="4" s="1"/>
  <c r="H92" i="4"/>
  <c r="E92" i="4" l="1"/>
  <c r="D82" i="4" l="1"/>
  <c r="E82" i="4" s="1"/>
</calcChain>
</file>

<file path=xl/sharedStrings.xml><?xml version="1.0" encoding="utf-8"?>
<sst xmlns="http://schemas.openxmlformats.org/spreadsheetml/2006/main" count="194" uniqueCount="165">
  <si>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</si>
  <si>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</si>
  <si>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</si>
  <si>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</si>
  <si>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</si>
  <si>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</si>
  <si>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</si>
  <si>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</si>
  <si>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</si>
  <si>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</si>
  <si>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</si>
  <si>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</si>
  <si>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</si>
  <si>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</si>
  <si>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</si>
  <si>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</si>
  <si>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</si>
  <si>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</si>
  <si>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</si>
  <si>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</si>
  <si>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</si>
  <si>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</si>
  <si>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</si>
  <si>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</si>
  <si>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</si>
  <si>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</si>
  <si>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</si>
  <si>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</si>
  <si>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</si>
  <si>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</si>
  <si>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</si>
  <si>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</si>
  <si>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</si>
  <si>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</si>
  <si>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</si>
  <si>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</si>
  <si>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</si>
  <si>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</si>
  <si>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</si>
  <si>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</si>
  <si>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</si>
  <si>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</si>
  <si>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</si>
  <si>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</si>
  <si>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</si>
  <si>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</si>
  <si>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</si>
  <si>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</si>
  <si>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</si>
  <si>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</si>
  <si>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</si>
  <si>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</si>
  <si>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</si>
  <si>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</si>
  <si>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</si>
  <si>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</si>
  <si>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</si>
  <si>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</si>
  <si>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</si>
  <si>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</si>
  <si>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</si>
  <si>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</si>
  <si>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</si>
  <si>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</si>
  <si>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</si>
  <si>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</si>
  <si>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</si>
  <si>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</si>
  <si>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</si>
  <si>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</si>
  <si>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</si>
  <si>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</si>
  <si>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</si>
  <si>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</si>
  <si>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</si>
  <si>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</si>
  <si>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</si>
  <si>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</si>
  <si>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</si>
  <si>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</si>
  <si>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</si>
  <si>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</si>
  <si>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</si>
  <si>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</si>
  <si>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</si>
  <si>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</si>
  <si>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</si>
  <si>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</si>
  <si>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</si>
  <si>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</si>
  <si>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</si>
  <si>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</si>
  <si>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</si>
  <si>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</si>
  <si>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</si>
  <si>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</si>
  <si>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</si>
  <si>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</si>
  <si>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</si>
  <si>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</si>
  <si>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</si>
  <si>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</si>
  <si>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</si>
  <si>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</si>
  <si>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</si>
  <si>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</si>
  <si>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</si>
  <si>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</si>
  <si>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</si>
  <si>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</si>
  <si>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</si>
  <si>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</si>
  <si>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</si>
  <si>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</si>
  <si>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</si>
  <si>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</si>
  <si>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</si>
  <si>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</si>
  <si>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</si>
  <si>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</si>
  <si>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</si>
  <si>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</si>
  <si>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</si>
  <si>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</si>
  <si>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</si>
  <si>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</si>
  <si>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</si>
  <si>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</si>
  <si>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</si>
  <si>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</si>
  <si>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</si>
  <si>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</si>
  <si>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</si>
  <si>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</si>
  <si>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</si>
  <si>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</si>
  <si>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</si>
  <si>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</si>
  <si>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</si>
  <si>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</si>
  <si>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</si>
  <si>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</si>
  <si>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</si>
  <si>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</si>
  <si>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</si>
  <si>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</si>
  <si>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</si>
  <si>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</si>
  <si>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</si>
  <si>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</si>
  <si>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</si>
  <si>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</si>
  <si>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</si>
  <si>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</si>
  <si>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</si>
  <si>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</si>
  <si>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</si>
  <si>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</si>
  <si>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</si>
  <si>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</si>
  <si>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</si>
  <si>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</si>
  <si>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</si>
  <si>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Class A Dec2015 Unbilled @ 2nd Estimate.  Billed @ Dec2015 Actual.</t>
  </si>
  <si>
    <t>Dec2015 Unbilled Revenue @ 2nd Estimate vs. Billed at 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</si>
</sst>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For billing cycles</a:t>
          </a:r>
          <a:r>
            <a:rPr lang="en-CA" sz="1100" baseline="0">
              <a:latin typeface="Arial" panose="020B0604020202020204" pitchFamily="34" charset="0"/>
              <a:cs typeface="Arial" panose="020B0604020202020204" pitchFamily="34" charset="0"/>
            </a:rPr>
            <a:t> that span more than one load month, </a:t>
          </a:r>
          <a:r>
            <a:rPr lang="en-CA" sz="1100">
              <a:latin typeface="Arial" panose="020B0604020202020204" pitchFamily="34" charset="0"/>
              <a:cs typeface="Arial" panose="020B0604020202020204" pitchFamily="34" charset="0"/>
            </a:rPr>
            <a:t>Veridian</a:t>
          </a:r>
          <a:r>
            <a:rPr lang="en-CA" sz="1100" baseline="0">
              <a:latin typeface="Arial" panose="020B0604020202020204" pitchFamily="34" charset="0"/>
              <a:cs typeface="Arial" panose="020B0604020202020204" pitchFamily="34" charset="0"/>
            </a:rPr>
            <a:t>'s customer information system (CIS) calculates the GA on each customer's bill by taking a weighted average usage applied against the applicab</a:t>
          </a:r>
          <a:r>
            <a:rPr lang="en-CA" sz="1100" baseline="0">
              <a:solidFill>
                <a:schemeClr val="dk1"/>
              </a:solidFill>
              <a:effectLst/>
              <a:latin typeface="+mn-lt"/>
              <a:ea typeface="+mn-ea"/>
              <a:cs typeface="+mn-cs"/>
            </a:rPr>
            <a:t>le monthly rate.</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This is derived by taking the total usage divided by the days in the period.  The usage for each month is calculated by using the average per day multiplied by the number of days to be billed then multiplied by the appropriate GA rate.  This is an accepted method of calculation as noted in Ontario Regulation 429/04, Part 111, Section 16.</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Planning/2018%20IRM%20Rate%20Application/DVAs/GA%20Analysis%20Backup/NonRPP%20Billed%20vs%201598%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Planning/2018%20IRM%20Rate%20Application/Current%20Work/Veridian%202018%20IRM%20Rate%20Generator%20Model%20-%20V1.0%20Updated%2008-2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Billed Unbilled"/>
      <sheetName val="GA Exp by month"/>
      <sheetName val="Rev vs Exp Class B"/>
      <sheetName val="1598 Supply"/>
      <sheetName val="PBR Stats"/>
    </sheetNames>
    <sheetDataSet>
      <sheetData sheetId="0"/>
      <sheetData sheetId="1">
        <row r="4">
          <cell r="K4">
            <v>82512247.683168024</v>
          </cell>
        </row>
        <row r="5">
          <cell r="K5">
            <v>93193662.397830009</v>
          </cell>
        </row>
        <row r="6">
          <cell r="K6">
            <v>84591657.157799989</v>
          </cell>
        </row>
        <row r="7">
          <cell r="K7">
            <v>89103724.202999994</v>
          </cell>
        </row>
        <row r="8">
          <cell r="K8">
            <v>81736716.745800003</v>
          </cell>
        </row>
        <row r="9">
          <cell r="K9">
            <v>82797299.132400006</v>
          </cell>
        </row>
        <row r="10">
          <cell r="K10">
            <v>82898691.518399999</v>
          </cell>
        </row>
        <row r="11">
          <cell r="K11">
            <v>91553735.521200001</v>
          </cell>
        </row>
        <row r="12">
          <cell r="K12">
            <v>90906142.886399999</v>
          </cell>
        </row>
        <row r="13">
          <cell r="K13">
            <v>88595242.173360005</v>
          </cell>
        </row>
        <row r="14">
          <cell r="K14">
            <v>83727427.389683992</v>
          </cell>
        </row>
        <row r="15">
          <cell r="K15">
            <v>82457166.408360004</v>
          </cell>
        </row>
        <row r="16">
          <cell r="K16">
            <v>88614582.721200004</v>
          </cell>
        </row>
        <row r="37">
          <cell r="K37">
            <v>86829282</v>
          </cell>
        </row>
        <row r="38">
          <cell r="K38">
            <v>89517721</v>
          </cell>
        </row>
        <row r="39">
          <cell r="K39">
            <v>84964937</v>
          </cell>
        </row>
        <row r="40">
          <cell r="K40">
            <v>91538941</v>
          </cell>
        </row>
        <row r="41">
          <cell r="K41">
            <v>83579222</v>
          </cell>
        </row>
        <row r="42">
          <cell r="K42">
            <v>84214439</v>
          </cell>
        </row>
        <row r="43">
          <cell r="K43">
            <v>87665603</v>
          </cell>
        </row>
        <row r="44">
          <cell r="K44">
            <v>92329975</v>
          </cell>
        </row>
        <row r="45">
          <cell r="K45">
            <v>94316478</v>
          </cell>
        </row>
        <row r="46">
          <cell r="K46">
            <v>88360367</v>
          </cell>
        </row>
        <row r="47">
          <cell r="K47">
            <v>83724604</v>
          </cell>
        </row>
        <row r="48">
          <cell r="K48">
            <v>82015953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row r="29">
          <cell r="BO29">
            <v>-2717137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0" zoomScaleNormal="100" zoomScaleSheetLayoutView="85" workbookViewId="0">
      <selection activeCell="B28" sqref="B28:C28"/>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0" t="s">
        <v>152</v>
      </c>
      <c r="C78" s="140"/>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5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zoomScale="80" zoomScaleNormal="100" zoomScaleSheetLayoutView="80" workbookViewId="0">
      <selection activeCell="J6" sqref="J6"/>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1" t="s">
        <v>25</v>
      </c>
      <c r="C21" s="151"/>
      <c r="D21" s="24">
        <v>2016</v>
      </c>
      <c r="E21" s="152"/>
      <c r="F21" s="153"/>
      <c r="G21" s="79"/>
      <c r="H21" s="79"/>
      <c r="I21" s="79"/>
      <c r="J21" s="79"/>
      <c r="K21" s="79"/>
      <c r="L21" s="79"/>
      <c r="M21" s="79"/>
      <c r="N21" s="79"/>
      <c r="O21" s="79"/>
      <c r="P21" s="79"/>
      <c r="Q21" s="79"/>
    </row>
    <row r="22" spans="1:24" ht="15" thickBot="1" x14ac:dyDescent="0.25">
      <c r="A22" s="4"/>
      <c r="B22" s="5" t="s">
        <v>3</v>
      </c>
      <c r="C22" s="5" t="s">
        <v>2</v>
      </c>
      <c r="D22" s="117">
        <f>D23+D24</f>
        <v>2541325223</v>
      </c>
      <c r="E22" s="6" t="s">
        <v>0</v>
      </c>
      <c r="F22" s="7">
        <v>1</v>
      </c>
      <c r="G22" s="79"/>
      <c r="H22" s="79"/>
      <c r="I22" s="79"/>
      <c r="J22" s="79"/>
      <c r="K22" s="79"/>
      <c r="L22" s="79"/>
      <c r="M22" s="79"/>
      <c r="N22" s="79"/>
      <c r="O22" s="79"/>
      <c r="P22" s="79"/>
      <c r="Q22" s="79"/>
    </row>
    <row r="23" spans="1:24" x14ac:dyDescent="0.2">
      <c r="B23" s="5" t="s">
        <v>7</v>
      </c>
      <c r="C23" s="5" t="s">
        <v>1</v>
      </c>
      <c r="D23" s="118">
        <v>1250539242</v>
      </c>
      <c r="E23" s="6" t="s">
        <v>0</v>
      </c>
      <c r="F23" s="8">
        <f>IFERROR(D23/$D$22,0)</f>
        <v>0.49208154496800505</v>
      </c>
    </row>
    <row r="24" spans="1:24" ht="15" thickBot="1" x14ac:dyDescent="0.25">
      <c r="B24" s="5" t="s">
        <v>8</v>
      </c>
      <c r="C24" s="5" t="s">
        <v>6</v>
      </c>
      <c r="D24" s="117">
        <f>D25+D26</f>
        <v>1290785981</v>
      </c>
      <c r="E24" s="6" t="s">
        <v>0</v>
      </c>
      <c r="F24" s="8">
        <f>IFERROR(D24/$D$22,0)</f>
        <v>0.50791845503199495</v>
      </c>
    </row>
    <row r="25" spans="1:24" x14ac:dyDescent="0.2">
      <c r="B25" s="5" t="s">
        <v>9</v>
      </c>
      <c r="C25" s="5" t="s">
        <v>4</v>
      </c>
      <c r="D25" s="118">
        <f>96878530+181672556</f>
        <v>278551086</v>
      </c>
      <c r="E25" s="6" t="s">
        <v>0</v>
      </c>
      <c r="F25" s="8">
        <f>IFERROR(D25/$D$22,0)</f>
        <v>0.10960859455492053</v>
      </c>
    </row>
    <row r="26" spans="1:24" x14ac:dyDescent="0.2">
      <c r="B26" s="5" t="s">
        <v>61</v>
      </c>
      <c r="C26" s="5" t="s">
        <v>5</v>
      </c>
      <c r="D26" s="119">
        <f>975389505+315396476-278551086</f>
        <v>1012234895</v>
      </c>
      <c r="E26" s="6" t="s">
        <v>0</v>
      </c>
      <c r="F26" s="8">
        <f>IFERROR(D26/$D$22,0)</f>
        <v>0.3983098604770744</v>
      </c>
      <c r="G26" s="29"/>
      <c r="H26" s="29"/>
    </row>
    <row r="27" spans="1:24" ht="34.5" customHeight="1" x14ac:dyDescent="0.2">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'[1]Billed Unbilled'!$K$37</f>
        <v>86829282</v>
      </c>
      <c r="D47" s="94">
        <f>'[1]Billed Unbilled'!$K$4</f>
        <v>82512247.683168024</v>
      </c>
      <c r="E47" s="60">
        <f>'[1]Billed Unbilled'!$K$5</f>
        <v>93193662.397830009</v>
      </c>
      <c r="F47" s="51">
        <f>C47-D47+E47</f>
        <v>97510696.714661986</v>
      </c>
      <c r="G47" s="111">
        <v>8.4229999999999999E-2</v>
      </c>
      <c r="H47" s="15">
        <f>F47*G47</f>
        <v>8213325.984275979</v>
      </c>
      <c r="I47" s="111">
        <v>9.1789999999999997E-2</v>
      </c>
      <c r="J47" s="17">
        <f>F47*I47</f>
        <v>8950506.8514388241</v>
      </c>
      <c r="K47" s="16">
        <f>J47-H47</f>
        <v>737180.8671628451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'[1]Billed Unbilled'!$K$38</f>
        <v>89517721</v>
      </c>
      <c r="D48" s="94">
        <f t="shared" ref="D48:D58" si="0">E47</f>
        <v>93193662.397830009</v>
      </c>
      <c r="E48" s="60">
        <f>'[1]Billed Unbilled'!$K$6</f>
        <v>84591657.157799989</v>
      </c>
      <c r="F48" s="51">
        <f t="shared" ref="F48:F58" si="1">C48-D48+E48</f>
        <v>80915715.75996998</v>
      </c>
      <c r="G48" s="111">
        <v>0.10384</v>
      </c>
      <c r="H48" s="15">
        <f t="shared" ref="H48:H58" si="2">F48*G48</f>
        <v>8402287.9245152827</v>
      </c>
      <c r="I48" s="111">
        <v>9.851E-2</v>
      </c>
      <c r="J48" s="17">
        <f t="shared" ref="J48:J58" si="3">F48*I48</f>
        <v>7971007.1595146423</v>
      </c>
      <c r="K48" s="16">
        <f t="shared" ref="K48:K58" si="4">J48-H48</f>
        <v>-431280.76500064041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'[1]Billed Unbilled'!$K$39</f>
        <v>84964937</v>
      </c>
      <c r="D49" s="94">
        <f t="shared" si="0"/>
        <v>84591657.157799989</v>
      </c>
      <c r="E49" s="60">
        <f>'[1]Billed Unbilled'!$K$7</f>
        <v>89103724.202999994</v>
      </c>
      <c r="F49" s="51">
        <f t="shared" si="1"/>
        <v>89477004.045200005</v>
      </c>
      <c r="G49" s="111">
        <v>9.0219999999999995E-2</v>
      </c>
      <c r="H49" s="15">
        <f t="shared" si="2"/>
        <v>8072615.304957944</v>
      </c>
      <c r="I49" s="111">
        <v>0.1061</v>
      </c>
      <c r="J49" s="17">
        <f t="shared" si="3"/>
        <v>9493510.12919572</v>
      </c>
      <c r="K49" s="16">
        <f t="shared" si="4"/>
        <v>1420894.824237776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'[1]Billed Unbilled'!$K$40</f>
        <v>91538941</v>
      </c>
      <c r="D50" s="94">
        <f t="shared" si="0"/>
        <v>89103724.202999994</v>
      </c>
      <c r="E50" s="60">
        <f>'[1]Billed Unbilled'!$K$8</f>
        <v>81736716.745800003</v>
      </c>
      <c r="F50" s="51">
        <f t="shared" si="1"/>
        <v>84171933.542800009</v>
      </c>
      <c r="G50" s="111">
        <v>0.12114999999999999</v>
      </c>
      <c r="H50" s="15">
        <f t="shared" si="2"/>
        <v>10197429.748710221</v>
      </c>
      <c r="I50" s="111">
        <v>0.11132</v>
      </c>
      <c r="J50" s="17">
        <f t="shared" si="3"/>
        <v>9370019.6419844981</v>
      </c>
      <c r="K50" s="16">
        <f t="shared" si="4"/>
        <v>-827410.10672572255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'[1]Billed Unbilled'!$K$41</f>
        <v>83579222</v>
      </c>
      <c r="D51" s="94">
        <f t="shared" si="0"/>
        <v>81736716.745800003</v>
      </c>
      <c r="E51" s="60">
        <f>'[1]Billed Unbilled'!$K$9</f>
        <v>82797299.132400006</v>
      </c>
      <c r="F51" s="51">
        <f t="shared" si="1"/>
        <v>84639804.386600003</v>
      </c>
      <c r="G51" s="111">
        <v>0.10405</v>
      </c>
      <c r="H51" s="15">
        <f t="shared" si="2"/>
        <v>8806771.6464257315</v>
      </c>
      <c r="I51" s="111">
        <v>0.10749</v>
      </c>
      <c r="J51" s="17">
        <f t="shared" si="3"/>
        <v>9097932.573515635</v>
      </c>
      <c r="K51" s="16">
        <f t="shared" si="4"/>
        <v>291160.9270899035</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'[1]Billed Unbilled'!$K$42</f>
        <v>84214439</v>
      </c>
      <c r="D52" s="94">
        <f t="shared" si="0"/>
        <v>82797299.132400006</v>
      </c>
      <c r="E52" s="60">
        <f>'[1]Billed Unbilled'!$K$10</f>
        <v>82898691.518399999</v>
      </c>
      <c r="F52" s="51">
        <f t="shared" si="1"/>
        <v>84315831.385999992</v>
      </c>
      <c r="G52" s="111">
        <v>0.11650000000000001</v>
      </c>
      <c r="H52" s="15">
        <f t="shared" si="2"/>
        <v>9822794.3564689998</v>
      </c>
      <c r="I52" s="111">
        <v>9.5449999999999993E-2</v>
      </c>
      <c r="J52" s="17">
        <f t="shared" si="3"/>
        <v>8047946.1057936987</v>
      </c>
      <c r="K52" s="16">
        <f t="shared" si="4"/>
        <v>-1774848.2506753011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'[1]Billed Unbilled'!$K$43</f>
        <v>87665603</v>
      </c>
      <c r="D53" s="94">
        <f t="shared" si="0"/>
        <v>82898691.518399999</v>
      </c>
      <c r="E53" s="60">
        <f>'[1]Billed Unbilled'!$K$11</f>
        <v>91553735.521200001</v>
      </c>
      <c r="F53" s="51">
        <f t="shared" si="1"/>
        <v>96320647.002800003</v>
      </c>
      <c r="G53" s="111">
        <v>7.6670000000000002E-2</v>
      </c>
      <c r="H53" s="15">
        <f t="shared" si="2"/>
        <v>7384904.0057046767</v>
      </c>
      <c r="I53" s="111">
        <v>8.3059999999999995E-2</v>
      </c>
      <c r="J53" s="17">
        <f t="shared" si="3"/>
        <v>8000392.940052568</v>
      </c>
      <c r="K53" s="16">
        <f t="shared" si="4"/>
        <v>615488.93434789125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'[1]Billed Unbilled'!$K$44</f>
        <v>92329975</v>
      </c>
      <c r="D54" s="94">
        <f t="shared" si="0"/>
        <v>91553735.521200001</v>
      </c>
      <c r="E54" s="60">
        <f>'[1]Billed Unbilled'!$K$12</f>
        <v>90906142.886399999</v>
      </c>
      <c r="F54" s="51">
        <f t="shared" si="1"/>
        <v>91682382.365199998</v>
      </c>
      <c r="G54" s="111">
        <v>8.5690000000000002E-2</v>
      </c>
      <c r="H54" s="15">
        <f t="shared" si="2"/>
        <v>7856263.3448739881</v>
      </c>
      <c r="I54" s="111">
        <v>7.1029999999999996E-2</v>
      </c>
      <c r="J54" s="17">
        <f t="shared" si="3"/>
        <v>6512199.6194001557</v>
      </c>
      <c r="K54" s="16">
        <f t="shared" si="4"/>
        <v>-1344063.7254738323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'[1]Billed Unbilled'!$K$45</f>
        <v>94316478</v>
      </c>
      <c r="D55" s="94">
        <f t="shared" si="0"/>
        <v>90906142.886399999</v>
      </c>
      <c r="E55" s="60">
        <f>'[1]Billed Unbilled'!$K$13</f>
        <v>88595242.173360005</v>
      </c>
      <c r="F55" s="51">
        <f t="shared" si="1"/>
        <v>92005577.286960006</v>
      </c>
      <c r="G55" s="111">
        <v>7.0599999999999996E-2</v>
      </c>
      <c r="H55" s="15">
        <f t="shared" si="2"/>
        <v>6495593.7564593758</v>
      </c>
      <c r="I55" s="111">
        <v>9.5310000000000006E-2</v>
      </c>
      <c r="J55" s="17">
        <f t="shared" si="3"/>
        <v>8769051.5712201595</v>
      </c>
      <c r="K55" s="16">
        <f t="shared" si="4"/>
        <v>2273457.8147607837</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'[1]Billed Unbilled'!$K$46</f>
        <v>88360367</v>
      </c>
      <c r="D56" s="94">
        <f t="shared" si="0"/>
        <v>88595242.173360005</v>
      </c>
      <c r="E56" s="60">
        <f>'[1]Billed Unbilled'!$K$14</f>
        <v>83727427.389683992</v>
      </c>
      <c r="F56" s="51">
        <f t="shared" si="1"/>
        <v>83492552.216323987</v>
      </c>
      <c r="G56" s="111">
        <v>9.7199999999999995E-2</v>
      </c>
      <c r="H56" s="15">
        <f t="shared" si="2"/>
        <v>8115476.0754266912</v>
      </c>
      <c r="I56" s="111">
        <v>0.11226</v>
      </c>
      <c r="J56" s="17">
        <f t="shared" si="3"/>
        <v>9372873.9118045308</v>
      </c>
      <c r="K56" s="16">
        <f t="shared" si="4"/>
        <v>1257397.8363778396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'[1]Billed Unbilled'!$K$47</f>
        <v>83724604</v>
      </c>
      <c r="D57" s="94">
        <f t="shared" si="0"/>
        <v>83727427.389683992</v>
      </c>
      <c r="E57" s="60">
        <f>'[1]Billed Unbilled'!$K$15</f>
        <v>82457166.408360004</v>
      </c>
      <c r="F57" s="51">
        <f t="shared" si="1"/>
        <v>82454343.018676013</v>
      </c>
      <c r="G57" s="111">
        <v>0.12271</v>
      </c>
      <c r="H57" s="15">
        <f t="shared" si="2"/>
        <v>10117972.431821734</v>
      </c>
      <c r="I57" s="111">
        <v>0.11108999999999999</v>
      </c>
      <c r="J57" s="17">
        <f t="shared" si="3"/>
        <v>9159852.9659447186</v>
      </c>
      <c r="K57" s="16">
        <f t="shared" si="4"/>
        <v>-958119.46587701514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'[1]Billed Unbilled'!$K$48</f>
        <v>82015953</v>
      </c>
      <c r="D58" s="94">
        <f t="shared" si="0"/>
        <v>82457166.408360004</v>
      </c>
      <c r="E58" s="60">
        <f>'[1]Billed Unbilled'!$K$16</f>
        <v>88614582.721200004</v>
      </c>
      <c r="F58" s="51">
        <f t="shared" si="1"/>
        <v>88173369.31284</v>
      </c>
      <c r="G58" s="111">
        <v>0.10594000000000001</v>
      </c>
      <c r="H58" s="15">
        <f t="shared" si="2"/>
        <v>9341086.7450022697</v>
      </c>
      <c r="I58" s="111">
        <v>8.7080000000000005E-2</v>
      </c>
      <c r="J58" s="17">
        <f t="shared" si="3"/>
        <v>7678136.9997621076</v>
      </c>
      <c r="K58" s="16">
        <f t="shared" si="4"/>
        <v>-1662949.7452401621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1049057522</v>
      </c>
      <c r="D59" s="97">
        <f>SUM(D47:D58)</f>
        <v>1034073713.2174019</v>
      </c>
      <c r="E59" s="97">
        <f>SUM(E47:E58)</f>
        <v>1040176048.2554339</v>
      </c>
      <c r="F59" s="97">
        <f>SUM(F47:F58)</f>
        <v>1055159857.0380321</v>
      </c>
      <c r="G59" s="37"/>
      <c r="H59" s="38">
        <f>SUM(H47:H58)</f>
        <v>102826521.3246429</v>
      </c>
      <c r="I59" s="37"/>
      <c r="J59" s="38">
        <f>SUM(J47:J58)</f>
        <v>102423430.46962726</v>
      </c>
      <c r="K59" s="39">
        <f>SUM(K47:K58)</f>
        <v>-403090.85501563456</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7" t="s">
        <v>134</v>
      </c>
      <c r="B65" s="158"/>
      <c r="C65" s="159"/>
      <c r="D65" s="127">
        <f>'[2]3. Continuity Schedule'!$BO$29</f>
        <v>-2717137</v>
      </c>
      <c r="E65" s="148"/>
      <c r="F65" s="149"/>
      <c r="G65" s="149"/>
      <c r="H65" s="149"/>
      <c r="I65" s="150"/>
      <c r="K65" s="121"/>
      <c r="O65" s="29"/>
      <c r="P65" s="29"/>
      <c r="Q65" s="29"/>
      <c r="R65" s="29"/>
      <c r="S65" s="29"/>
      <c r="T65" s="29"/>
      <c r="U65" s="29"/>
      <c r="V65" s="29"/>
      <c r="W65" s="29"/>
      <c r="X65" s="29"/>
    </row>
    <row r="66" spans="1:24" ht="28.5" x14ac:dyDescent="0.2">
      <c r="A66" s="70" t="s">
        <v>51</v>
      </c>
      <c r="B66" s="49" t="s">
        <v>62</v>
      </c>
      <c r="C66" s="112"/>
      <c r="D66" s="98"/>
      <c r="E66" s="146"/>
      <c r="F66" s="146"/>
      <c r="G66" s="146"/>
      <c r="H66" s="146"/>
      <c r="I66" s="146"/>
      <c r="K66" s="121"/>
      <c r="O66" s="29"/>
      <c r="P66" s="29"/>
      <c r="Q66" s="29"/>
      <c r="R66" s="29"/>
      <c r="S66" s="29"/>
      <c r="T66" s="29"/>
      <c r="U66" s="29"/>
      <c r="V66" s="29"/>
      <c r="W66" s="29"/>
      <c r="X66" s="29"/>
    </row>
    <row r="67" spans="1:24" ht="28.5" x14ac:dyDescent="0.2">
      <c r="A67" s="70" t="s">
        <v>52</v>
      </c>
      <c r="B67" s="49" t="s">
        <v>79</v>
      </c>
      <c r="C67" s="113"/>
      <c r="D67" s="114"/>
      <c r="E67" s="143"/>
      <c r="F67" s="144"/>
      <c r="G67" s="144"/>
      <c r="H67" s="144"/>
      <c r="I67" s="145"/>
      <c r="J67" s="79"/>
      <c r="K67" s="122"/>
      <c r="L67" s="79"/>
      <c r="M67" s="79"/>
      <c r="N67" s="79"/>
      <c r="O67" s="79"/>
      <c r="P67" s="79"/>
      <c r="Q67" s="79"/>
    </row>
    <row r="68" spans="1:24" ht="28.5" x14ac:dyDescent="0.2">
      <c r="A68" s="70" t="s">
        <v>65</v>
      </c>
      <c r="B68" s="49" t="s">
        <v>64</v>
      </c>
      <c r="C68" s="112"/>
      <c r="D68" s="114">
        <f>-D47*S58+D47*R58</f>
        <v>2189049.9310344486</v>
      </c>
      <c r="E68" s="143" t="s">
        <v>164</v>
      </c>
      <c r="F68" s="144"/>
      <c r="G68" s="144"/>
      <c r="H68" s="144"/>
      <c r="I68" s="145"/>
      <c r="J68" s="79"/>
      <c r="K68" s="122"/>
      <c r="L68" s="79"/>
      <c r="M68" s="79"/>
      <c r="N68" s="79"/>
      <c r="O68" s="79"/>
      <c r="P68" s="79"/>
      <c r="Q68" s="79"/>
    </row>
    <row r="69" spans="1:24" ht="28.5" x14ac:dyDescent="0.2">
      <c r="A69" s="70" t="s">
        <v>66</v>
      </c>
      <c r="B69" s="49" t="s">
        <v>63</v>
      </c>
      <c r="C69" s="113"/>
      <c r="D69" s="114"/>
      <c r="E69" s="143"/>
      <c r="F69" s="144"/>
      <c r="G69" s="144"/>
      <c r="H69" s="144"/>
      <c r="I69" s="145"/>
      <c r="J69" s="79"/>
      <c r="K69" s="125"/>
      <c r="L69" s="79"/>
      <c r="M69" s="79"/>
      <c r="N69" s="79"/>
      <c r="O69" s="79"/>
      <c r="P69" s="79"/>
      <c r="Q69" s="79"/>
    </row>
    <row r="70" spans="1:24" ht="28.5" x14ac:dyDescent="0.2">
      <c r="A70" s="70" t="s">
        <v>69</v>
      </c>
      <c r="B70" s="49" t="s">
        <v>71</v>
      </c>
      <c r="C70" s="112"/>
      <c r="D70" s="98"/>
      <c r="E70" s="146"/>
      <c r="F70" s="146"/>
      <c r="G70" s="146"/>
      <c r="H70" s="146"/>
      <c r="I70" s="146"/>
      <c r="J70" s="79"/>
      <c r="K70" s="125"/>
      <c r="L70" s="79"/>
      <c r="M70" s="79"/>
      <c r="N70" s="79"/>
      <c r="O70" s="79"/>
      <c r="P70" s="79"/>
      <c r="Q70" s="79"/>
    </row>
    <row r="71" spans="1:24" ht="28.5" x14ac:dyDescent="0.2">
      <c r="A71" s="70" t="s">
        <v>70</v>
      </c>
      <c r="B71" s="49" t="s">
        <v>72</v>
      </c>
      <c r="C71" s="112"/>
      <c r="D71" s="98"/>
      <c r="E71" s="146"/>
      <c r="F71" s="146"/>
      <c r="G71" s="146"/>
      <c r="H71" s="146"/>
      <c r="I71" s="146"/>
      <c r="J71" s="79"/>
      <c r="K71" s="125"/>
      <c r="L71" s="79"/>
      <c r="M71" s="79"/>
      <c r="N71" s="79"/>
      <c r="O71" s="79"/>
      <c r="P71" s="79"/>
      <c r="Q71" s="79"/>
    </row>
    <row r="72" spans="1:24" ht="33.75" customHeight="1" x14ac:dyDescent="0.2">
      <c r="A72" s="70">
        <v>4</v>
      </c>
      <c r="B72" s="49" t="s">
        <v>68</v>
      </c>
      <c r="C72" s="112"/>
      <c r="D72" s="98">
        <v>-566750</v>
      </c>
      <c r="E72" s="146" t="s">
        <v>163</v>
      </c>
      <c r="F72" s="146"/>
      <c r="G72" s="146"/>
      <c r="H72" s="146"/>
      <c r="I72" s="146"/>
      <c r="J72" s="79"/>
      <c r="K72" s="125"/>
      <c r="L72" s="79"/>
      <c r="M72" s="79"/>
      <c r="N72" s="79"/>
      <c r="O72" s="79"/>
      <c r="P72" s="79"/>
      <c r="Q72" s="79"/>
    </row>
    <row r="73" spans="1:24" ht="42.75" x14ac:dyDescent="0.2">
      <c r="A73" s="70">
        <v>5</v>
      </c>
      <c r="B73" s="49" t="s">
        <v>81</v>
      </c>
      <c r="C73" s="112"/>
      <c r="D73" s="98"/>
      <c r="E73" s="146"/>
      <c r="F73" s="146"/>
      <c r="G73" s="146"/>
      <c r="H73" s="146"/>
      <c r="I73" s="146"/>
      <c r="J73" s="79"/>
      <c r="K73" s="125"/>
      <c r="L73" s="79"/>
      <c r="M73" s="79"/>
      <c r="N73" s="79"/>
      <c r="O73" s="79"/>
      <c r="P73" s="79"/>
      <c r="Q73" s="79"/>
    </row>
    <row r="74" spans="1:24" ht="28.5" x14ac:dyDescent="0.2">
      <c r="A74" s="54">
        <v>6</v>
      </c>
      <c r="B74" s="129" t="s">
        <v>137</v>
      </c>
      <c r="C74" s="112"/>
      <c r="D74" s="98"/>
      <c r="E74" s="146"/>
      <c r="F74" s="146"/>
      <c r="G74" s="146"/>
      <c r="H74" s="146"/>
      <c r="I74" s="146"/>
      <c r="K74" s="29"/>
    </row>
    <row r="75" spans="1:24" x14ac:dyDescent="0.2">
      <c r="A75" s="54">
        <v>7</v>
      </c>
      <c r="B75" s="46"/>
      <c r="C75" s="10"/>
      <c r="D75" s="98"/>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150</v>
      </c>
      <c r="B79" s="2" t="s">
        <v>131</v>
      </c>
      <c r="C79" s="2"/>
      <c r="D79" s="99">
        <f>SUM(D65:D78)</f>
        <v>-1094837.0689655514</v>
      </c>
      <c r="E79" s="25"/>
      <c r="F79" s="25"/>
      <c r="G79" s="25"/>
      <c r="H79" s="25"/>
    </row>
    <row r="80" spans="1:24" ht="15" x14ac:dyDescent="0.25">
      <c r="B80" s="124" t="s">
        <v>132</v>
      </c>
      <c r="C80" s="71"/>
      <c r="D80" s="99">
        <f>K59</f>
        <v>-403090.85501563456</v>
      </c>
      <c r="E80" s="25"/>
      <c r="F80" s="25"/>
      <c r="G80" s="25"/>
      <c r="H80" s="25"/>
    </row>
    <row r="81" spans="1:19" ht="15" x14ac:dyDescent="0.25">
      <c r="B81" s="71" t="s">
        <v>24</v>
      </c>
      <c r="C81" s="71"/>
      <c r="D81" s="100">
        <f>D79-D80</f>
        <v>-691746.21394991688</v>
      </c>
    </row>
    <row r="82" spans="1:19" ht="15.75" thickBot="1" x14ac:dyDescent="0.3">
      <c r="B82" s="135" t="s">
        <v>73</v>
      </c>
      <c r="C82" s="72"/>
      <c r="D82" s="61">
        <f>IF(ISERROR(D81/J59),0,D81/J59)</f>
        <v>-6.7537887647206654E-3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Steve Zebrowski</cp:lastModifiedBy>
  <cp:lastPrinted>2017-08-29T18:11:41Z</cp:lastPrinted>
  <dcterms:created xsi:type="dcterms:W3CDTF">2017-05-01T19:29:01Z</dcterms:created>
  <dcterms:modified xsi:type="dcterms:W3CDTF">2017-10-16T13:38:01Z</dcterms:modified>
</cp:coreProperties>
</file>